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:\Lucia\Planillas Add- In Acciones\Argentinizadas\"/>
    </mc:Choice>
  </mc:AlternateContent>
  <xr:revisionPtr revIDLastSave="0" documentId="13_ncr:1_{2B8156CE-0A4A-4CBB-A927-05CBC0423C6D}" xr6:coauthVersionLast="45" xr6:coauthVersionMax="45" xr10:uidLastSave="{00000000-0000-0000-0000-000000000000}"/>
  <bookViews>
    <workbookView xWindow="-120" yWindow="-120" windowWidth="20700" windowHeight="11160" activeTab="1" xr2:uid="{00000000-000D-0000-FFFF-FFFF00000000}"/>
  </bookViews>
  <sheets>
    <sheet name="Acciones Argentinas" sheetId="7" r:id="rId1"/>
    <sheet name="Indicadores Financeiros" sheetId="1" r:id="rId2"/>
    <sheet name="Base" sheetId="6" r:id="rId3"/>
  </sheets>
  <definedNames>
    <definedName name="_ECO_RANGE_ID0cc8e51d3f9547628a6aa190a88c898d" localSheetId="0" hidden="1">'Acciones Argentinas'!$A$6:$A$77</definedName>
    <definedName name="_ECO_RANGE_IDd03cd6bd3101414e8280d67f0eddddba" localSheetId="0" hidden="1">'Acciones Argentinas'!$C$6:$C$77</definedName>
    <definedName name="_ECO_RANGE_IDf81a795028ed4b4ca6e1a9f17c9dab32" localSheetId="0" hidden="1">'Acciones Argentinas'!$B$6:$B$77</definedName>
    <definedName name="_xlnm.Print_Area" localSheetId="1">'Indicadores Financeiros'!$B$1:$L$78</definedName>
    <definedName name="Multiplicador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1" l="1"/>
  <c r="C5" i="7" a="1"/>
  <c r="B5" i="7" a="1"/>
  <c r="A5" i="7" a="1"/>
  <c r="C6" i="1"/>
  <c r="L14" i="1"/>
  <c r="L53" i="1"/>
  <c r="C4" i="1"/>
  <c r="L43" i="1"/>
  <c r="L70" i="1"/>
  <c r="L24" i="1"/>
  <c r="L47" i="1"/>
  <c r="L66" i="1"/>
  <c r="L18" i="1"/>
  <c r="L33" i="1"/>
  <c r="L16" i="1"/>
  <c r="L61" i="1"/>
  <c r="L54" i="1"/>
  <c r="L36" i="1"/>
  <c r="L27" i="1"/>
  <c r="L56" i="1"/>
  <c r="L58" i="1"/>
  <c r="L30" i="1"/>
  <c r="L22" i="1"/>
  <c r="L42" i="1"/>
  <c r="L49" i="1"/>
  <c r="L73" i="1"/>
  <c r="L60" i="1"/>
  <c r="L62" i="1"/>
  <c r="L28" i="1"/>
  <c r="L64" i="1"/>
  <c r="L46" i="1"/>
  <c r="L35" i="1"/>
  <c r="L25" i="1"/>
  <c r="L29" i="1"/>
  <c r="L41" i="1"/>
  <c r="L31" i="1"/>
  <c r="L74" i="1"/>
  <c r="L32" i="1"/>
  <c r="L40" i="1"/>
  <c r="L21" i="1"/>
  <c r="L17" i="1"/>
  <c r="L57" i="1"/>
  <c r="L75" i="1"/>
  <c r="L26" i="1"/>
  <c r="L65" i="1"/>
  <c r="L63" i="1"/>
  <c r="L37" i="1"/>
  <c r="L67" i="1"/>
  <c r="L55" i="1"/>
  <c r="L50" i="1"/>
  <c r="L48" i="1"/>
  <c r="L76" i="1"/>
  <c r="L59" i="1"/>
  <c r="L34" i="1"/>
  <c r="L68" i="1"/>
  <c r="L69" i="1"/>
  <c r="L23" i="1"/>
  <c r="L15" i="1"/>
  <c r="C5" i="7" l="1"/>
  <c r="B5" i="7"/>
  <c r="A5" i="7"/>
  <c r="K14" i="1"/>
  <c r="L77" i="1"/>
  <c r="K77" i="1"/>
  <c r="K15" i="1"/>
  <c r="K18" i="1"/>
  <c r="K50" i="1"/>
  <c r="K16" i="1"/>
  <c r="K66" i="1"/>
  <c r="K67" i="1"/>
  <c r="K70" i="1"/>
  <c r="K56" i="1"/>
  <c r="K29" i="1"/>
  <c r="K24" i="1"/>
  <c r="K33" i="1"/>
  <c r="K31" i="1"/>
  <c r="K57" i="1"/>
  <c r="K30" i="1"/>
  <c r="K26" i="1"/>
  <c r="K25" i="1"/>
  <c r="K73" i="1"/>
  <c r="K58" i="1"/>
  <c r="K68" i="1"/>
  <c r="K75" i="1"/>
  <c r="K61" i="1"/>
  <c r="K59" i="1"/>
  <c r="K62" i="1"/>
  <c r="K49" i="1"/>
  <c r="K63" i="1"/>
  <c r="K41" i="1"/>
  <c r="K21" i="1"/>
  <c r="K43" i="1"/>
  <c r="K54" i="1"/>
  <c r="K47" i="1"/>
  <c r="K42" i="1"/>
  <c r="K27" i="1"/>
  <c r="K65" i="1"/>
  <c r="K36" i="1"/>
  <c r="K76" i="1"/>
  <c r="K37" i="1"/>
  <c r="K22" i="1"/>
  <c r="K64" i="1"/>
  <c r="K60" i="1"/>
  <c r="K55" i="1"/>
  <c r="K40" i="1"/>
  <c r="K32" i="1"/>
  <c r="K74" i="1"/>
  <c r="K69" i="1"/>
  <c r="K46" i="1"/>
  <c r="K35" i="1"/>
  <c r="K48" i="1"/>
  <c r="K34" i="1"/>
  <c r="K28" i="1"/>
  <c r="K23" i="1"/>
  <c r="K53" i="1"/>
  <c r="K17" i="1"/>
  <c r="J14" i="1" l="1"/>
  <c r="J26" i="1"/>
  <c r="J16" i="1"/>
  <c r="J55" i="1"/>
  <c r="J28" i="1"/>
  <c r="J70" i="1"/>
  <c r="J37" i="1"/>
  <c r="J49" i="1"/>
  <c r="J41" i="1"/>
  <c r="J36" i="1"/>
  <c r="J32" i="1"/>
  <c r="J42" i="1"/>
  <c r="J30" i="1"/>
  <c r="J48" i="1"/>
  <c r="J31" i="1"/>
  <c r="J54" i="1"/>
  <c r="J22" i="1"/>
  <c r="J29" i="1"/>
  <c r="J25" i="1"/>
  <c r="J34" i="1"/>
  <c r="J62" i="1"/>
  <c r="J66" i="1"/>
  <c r="J65" i="1"/>
  <c r="J35" i="1"/>
  <c r="J63" i="1"/>
  <c r="J43" i="1"/>
  <c r="J69" i="1"/>
  <c r="J77" i="1"/>
  <c r="J56" i="1"/>
  <c r="J33" i="1"/>
  <c r="J75" i="1"/>
  <c r="J50" i="1"/>
  <c r="J60" i="1"/>
  <c r="J61" i="1"/>
  <c r="J53" i="1"/>
  <c r="J57" i="1"/>
  <c r="J24" i="1"/>
  <c r="J58" i="1"/>
  <c r="J47" i="1"/>
  <c r="J27" i="1"/>
  <c r="J17" i="1"/>
  <c r="J18" i="1"/>
  <c r="J67" i="1"/>
  <c r="J76" i="1"/>
  <c r="J59" i="1"/>
  <c r="J64" i="1"/>
  <c r="J74" i="1"/>
  <c r="J68" i="1"/>
  <c r="J15" i="1"/>
  <c r="J46" i="1"/>
  <c r="J21" i="1"/>
  <c r="J73" i="1"/>
  <c r="J23" i="1"/>
  <c r="J40" i="1"/>
  <c r="I14" i="1" l="1"/>
  <c r="I76" i="1"/>
  <c r="I30" i="1"/>
  <c r="I53" i="1"/>
  <c r="I54" i="1"/>
  <c r="I69" i="1"/>
  <c r="I33" i="1"/>
  <c r="I35" i="1"/>
  <c r="I32" i="1"/>
  <c r="I37" i="1"/>
  <c r="I26" i="1"/>
  <c r="I36" i="1"/>
  <c r="I70" i="1"/>
  <c r="I40" i="1"/>
  <c r="I41" i="1"/>
  <c r="I64" i="1"/>
  <c r="I42" i="1"/>
  <c r="I65" i="1"/>
  <c r="I17" i="1"/>
  <c r="I25" i="1"/>
  <c r="I68" i="1"/>
  <c r="I59" i="1"/>
  <c r="I77" i="1"/>
  <c r="I16" i="1"/>
  <c r="I67" i="1"/>
  <c r="I28" i="1"/>
  <c r="I63" i="1"/>
  <c r="I29" i="1"/>
  <c r="I34" i="1"/>
  <c r="I18" i="1"/>
  <c r="I61" i="1"/>
  <c r="I24" i="1"/>
  <c r="I57" i="1"/>
  <c r="I56" i="1"/>
  <c r="I49" i="1"/>
  <c r="I23" i="1"/>
  <c r="I15" i="1"/>
  <c r="I27" i="1"/>
  <c r="I55" i="1"/>
  <c r="I48" i="1"/>
  <c r="I73" i="1"/>
  <c r="I31" i="1"/>
  <c r="I46" i="1"/>
  <c r="I74" i="1"/>
  <c r="I21" i="1"/>
  <c r="I58" i="1"/>
  <c r="I66" i="1"/>
  <c r="I22" i="1"/>
  <c r="I47" i="1"/>
  <c r="I43" i="1"/>
  <c r="I50" i="1"/>
  <c r="I75" i="1"/>
  <c r="I62" i="1"/>
  <c r="I60" i="1"/>
  <c r="H14" i="1" l="1"/>
  <c r="H18" i="1"/>
  <c r="H70" i="1"/>
  <c r="H47" i="1"/>
  <c r="H53" i="1"/>
  <c r="H75" i="1"/>
  <c r="H25" i="1"/>
  <c r="H35" i="1"/>
  <c r="H67" i="1"/>
  <c r="H29" i="1"/>
  <c r="H34" i="1"/>
  <c r="H49" i="1"/>
  <c r="H73" i="1"/>
  <c r="H33" i="1"/>
  <c r="H55" i="1"/>
  <c r="H17" i="1"/>
  <c r="H60" i="1"/>
  <c r="H16" i="1"/>
  <c r="H30" i="1"/>
  <c r="H48" i="1"/>
  <c r="H61" i="1"/>
  <c r="H40" i="1"/>
  <c r="H63" i="1"/>
  <c r="H64" i="1"/>
  <c r="H28" i="1"/>
  <c r="H69" i="1"/>
  <c r="H21" i="1"/>
  <c r="H77" i="1"/>
  <c r="H57" i="1"/>
  <c r="H50" i="1"/>
  <c r="H58" i="1"/>
  <c r="H26" i="1"/>
  <c r="H68" i="1"/>
  <c r="H41" i="1"/>
  <c r="H76" i="1"/>
  <c r="H56" i="1"/>
  <c r="H31" i="1"/>
  <c r="H43" i="1"/>
  <c r="H66" i="1"/>
  <c r="H42" i="1"/>
  <c r="H15" i="1"/>
  <c r="H54" i="1"/>
  <c r="H59" i="1"/>
  <c r="H23" i="1"/>
  <c r="H46" i="1"/>
  <c r="H27" i="1"/>
  <c r="H36" i="1"/>
  <c r="H24" i="1"/>
  <c r="H32" i="1"/>
  <c r="H37" i="1"/>
  <c r="H62" i="1"/>
  <c r="H74" i="1"/>
  <c r="H22" i="1"/>
  <c r="H65" i="1"/>
  <c r="G14" i="1" l="1"/>
  <c r="G32" i="1"/>
  <c r="G58" i="1"/>
  <c r="G22" i="1"/>
  <c r="G46" i="1"/>
  <c r="G37" i="1"/>
  <c r="G27" i="1"/>
  <c r="G43" i="1"/>
  <c r="G36" i="1"/>
  <c r="G21" i="1"/>
  <c r="G23" i="1"/>
  <c r="G75" i="1"/>
  <c r="G66" i="1"/>
  <c r="G26" i="1"/>
  <c r="G47" i="1"/>
  <c r="G59" i="1"/>
  <c r="G70" i="1"/>
  <c r="G68" i="1"/>
  <c r="G63" i="1"/>
  <c r="G34" i="1"/>
  <c r="G65" i="1"/>
  <c r="G16" i="1"/>
  <c r="G25" i="1"/>
  <c r="G77" i="1"/>
  <c r="G18" i="1"/>
  <c r="G56" i="1"/>
  <c r="G30" i="1"/>
  <c r="G35" i="1"/>
  <c r="G33" i="1"/>
  <c r="G60" i="1"/>
  <c r="G49" i="1"/>
  <c r="G28" i="1"/>
  <c r="G31" i="1"/>
  <c r="G41" i="1"/>
  <c r="G73" i="1"/>
  <c r="G55" i="1"/>
  <c r="G24" i="1"/>
  <c r="G53" i="1"/>
  <c r="G57" i="1"/>
  <c r="G61" i="1"/>
  <c r="G50" i="1"/>
  <c r="G64" i="1"/>
  <c r="G40" i="1"/>
  <c r="G42" i="1"/>
  <c r="G17" i="1"/>
  <c r="G74" i="1"/>
  <c r="G54" i="1"/>
  <c r="G29" i="1"/>
  <c r="G76" i="1"/>
  <c r="G69" i="1"/>
  <c r="G48" i="1"/>
  <c r="G67" i="1"/>
  <c r="G62" i="1"/>
  <c r="G15" i="1"/>
  <c r="F14" i="1" l="1"/>
  <c r="F60" i="1"/>
  <c r="F70" i="1"/>
  <c r="F28" i="1"/>
  <c r="F65" i="1"/>
  <c r="F26" i="1"/>
  <c r="F34" i="1"/>
  <c r="F62" i="1"/>
  <c r="F59" i="1"/>
  <c r="F49" i="1"/>
  <c r="F37" i="1"/>
  <c r="F41" i="1"/>
  <c r="F29" i="1"/>
  <c r="F67" i="1"/>
  <c r="F73" i="1"/>
  <c r="F25" i="1"/>
  <c r="F21" i="1"/>
  <c r="F47" i="1"/>
  <c r="F68" i="1"/>
  <c r="F18" i="1"/>
  <c r="F32" i="1"/>
  <c r="F30" i="1"/>
  <c r="F24" i="1"/>
  <c r="F77" i="1"/>
  <c r="F48" i="1"/>
  <c r="F33" i="1"/>
  <c r="F31" i="1"/>
  <c r="F50" i="1"/>
  <c r="F61" i="1"/>
  <c r="F58" i="1"/>
  <c r="F75" i="1"/>
  <c r="F35" i="1"/>
  <c r="F63" i="1"/>
  <c r="F64" i="1"/>
  <c r="F76" i="1"/>
  <c r="F69" i="1"/>
  <c r="F43" i="1"/>
  <c r="F17" i="1"/>
  <c r="F56" i="1"/>
  <c r="F40" i="1"/>
  <c r="F15" i="1"/>
  <c r="F36" i="1"/>
  <c r="F42" i="1"/>
  <c r="F74" i="1"/>
  <c r="F55" i="1"/>
  <c r="F57" i="1"/>
  <c r="F27" i="1"/>
  <c r="F23" i="1"/>
  <c r="F16" i="1"/>
  <c r="F53" i="1"/>
  <c r="F46" i="1"/>
  <c r="F22" i="1"/>
  <c r="F54" i="1"/>
  <c r="F66" i="1"/>
  <c r="E14" i="1" l="1"/>
  <c r="E41" i="1"/>
  <c r="E56" i="1"/>
  <c r="E59" i="1"/>
  <c r="E64" i="1"/>
  <c r="E22" i="1"/>
  <c r="E36" i="1"/>
  <c r="E32" i="1"/>
  <c r="E27" i="1"/>
  <c r="E50" i="1"/>
  <c r="E30" i="1"/>
  <c r="E17" i="1"/>
  <c r="E18" i="1"/>
  <c r="E33" i="1"/>
  <c r="E49" i="1"/>
  <c r="E76" i="1"/>
  <c r="E37" i="1"/>
  <c r="E74" i="1"/>
  <c r="E61" i="1"/>
  <c r="E66" i="1"/>
  <c r="E16" i="1"/>
  <c r="E58" i="1"/>
  <c r="E77" i="1"/>
  <c r="E28" i="1"/>
  <c r="E46" i="1"/>
  <c r="E21" i="1"/>
  <c r="E57" i="1"/>
  <c r="E15" i="1"/>
  <c r="E34" i="1"/>
  <c r="E55" i="1"/>
  <c r="E35" i="1"/>
  <c r="E54" i="1"/>
  <c r="E48" i="1"/>
  <c r="E60" i="1"/>
  <c r="E69" i="1"/>
  <c r="E29" i="1"/>
  <c r="E63" i="1"/>
  <c r="E53" i="1"/>
  <c r="E62" i="1"/>
  <c r="E40" i="1"/>
  <c r="E68" i="1"/>
  <c r="E67" i="1"/>
  <c r="E75" i="1"/>
  <c r="E73" i="1"/>
  <c r="E31" i="1"/>
  <c r="E43" i="1"/>
  <c r="E26" i="1"/>
  <c r="E24" i="1"/>
  <c r="E25" i="1"/>
  <c r="E70" i="1"/>
  <c r="E47" i="1"/>
  <c r="E23" i="1"/>
  <c r="E65" i="1"/>
  <c r="E42" i="1"/>
  <c r="D14" i="1" l="1"/>
  <c r="D22" i="1"/>
  <c r="D76" i="1"/>
  <c r="D40" i="1"/>
  <c r="D15" i="1"/>
  <c r="D57" i="1"/>
  <c r="D32" i="1"/>
  <c r="D61" i="1"/>
  <c r="D28" i="1"/>
  <c r="D35" i="1"/>
  <c r="D23" i="1"/>
  <c r="D59" i="1"/>
  <c r="D46" i="1"/>
  <c r="D36" i="1"/>
  <c r="D21" i="1"/>
  <c r="D50" i="1"/>
  <c r="D37" i="1"/>
  <c r="D60" i="1"/>
  <c r="D58" i="1"/>
  <c r="D17" i="1"/>
  <c r="D48" i="1"/>
  <c r="D34" i="1"/>
  <c r="D77" i="1"/>
  <c r="D54" i="1"/>
  <c r="D49" i="1"/>
  <c r="D43" i="1"/>
  <c r="D31" i="1"/>
  <c r="D55" i="1"/>
  <c r="D73" i="1"/>
  <c r="D70" i="1"/>
  <c r="D63" i="1"/>
  <c r="D68" i="1"/>
  <c r="D27" i="1"/>
  <c r="D66" i="1"/>
  <c r="D29" i="1"/>
  <c r="D26" i="1"/>
  <c r="D65" i="1"/>
  <c r="D53" i="1"/>
  <c r="D42" i="1"/>
  <c r="D47" i="1"/>
  <c r="D62" i="1"/>
  <c r="D18" i="1"/>
  <c r="D33" i="1"/>
  <c r="D75" i="1"/>
  <c r="D69" i="1"/>
  <c r="D30" i="1"/>
  <c r="D25" i="1"/>
  <c r="D67" i="1"/>
  <c r="D16" i="1"/>
  <c r="D24" i="1"/>
  <c r="D41" i="1"/>
  <c r="D74" i="1"/>
  <c r="D64" i="1"/>
  <c r="D56" i="1"/>
  <c r="C14" i="1" l="1"/>
  <c r="C23" i="1"/>
  <c r="C66" i="1"/>
  <c r="C46" i="1"/>
  <c r="C22" i="1"/>
  <c r="C57" i="1"/>
  <c r="C74" i="1"/>
  <c r="C48" i="1"/>
  <c r="C75" i="1"/>
  <c r="C15" i="1"/>
  <c r="C69" i="1"/>
  <c r="C34" i="1"/>
  <c r="C61" i="1"/>
  <c r="C43" i="1"/>
  <c r="C36" i="1"/>
  <c r="C49" i="1"/>
  <c r="C67" i="1"/>
  <c r="C54" i="1"/>
  <c r="C17" i="1"/>
  <c r="C53" i="1"/>
  <c r="C73" i="1"/>
  <c r="C62" i="1"/>
  <c r="C68" i="1"/>
  <c r="C77" i="1"/>
  <c r="C42" i="1"/>
  <c r="C16" i="1"/>
  <c r="C30" i="1"/>
  <c r="C40" i="1"/>
  <c r="C35" i="1"/>
  <c r="C33" i="1"/>
  <c r="C27" i="1"/>
  <c r="C76" i="1"/>
  <c r="C21" i="1"/>
  <c r="C64" i="1"/>
  <c r="C50" i="1"/>
  <c r="C31" i="1"/>
  <c r="C32" i="1"/>
  <c r="C56" i="1"/>
  <c r="C60" i="1"/>
  <c r="C70" i="1"/>
  <c r="C65" i="1"/>
  <c r="C58" i="1"/>
  <c r="C24" i="1"/>
  <c r="C37" i="1"/>
  <c r="C29" i="1"/>
  <c r="C63" i="1"/>
  <c r="C59" i="1"/>
  <c r="C18" i="1"/>
  <c r="C25" i="1"/>
  <c r="C26" i="1"/>
  <c r="C41" i="1"/>
  <c r="C55" i="1"/>
  <c r="C28" i="1"/>
  <c r="C4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<sst xmlns="http://schemas.openxmlformats.org/spreadsheetml/2006/main" count="297" uniqueCount="292">
  <si>
    <t>Código:</t>
  </si>
  <si>
    <t>Período:</t>
  </si>
  <si>
    <t>ESTRUTURA DE CAPITAL</t>
  </si>
  <si>
    <t>Estr Cap (D/D+Pat Liq) %</t>
  </si>
  <si>
    <t>LIQUIDEZ</t>
  </si>
  <si>
    <t>Liquidez Corrente x</t>
  </si>
  <si>
    <t>Capital Employed $</t>
  </si>
  <si>
    <t>CICLO</t>
  </si>
  <si>
    <t>EBITDA $</t>
  </si>
  <si>
    <t>ROE Rent Pat (pat inic)%</t>
  </si>
  <si>
    <t>ROIC (IC inicial) %</t>
  </si>
  <si>
    <t>Invested Capital $</t>
  </si>
  <si>
    <t>Capex (inc inv)/Deprec %</t>
  </si>
  <si>
    <t>Empresa:</t>
  </si>
  <si>
    <t>ORIGINAL CURRENCY</t>
  </si>
  <si>
    <t>Dias</t>
  </si>
  <si>
    <r>
      <rPr>
        <sz val="20"/>
        <color rgb="FF006B66"/>
        <rFont val="Segoe UI"/>
        <family val="2"/>
      </rPr>
      <t>I</t>
    </r>
    <r>
      <rPr>
        <sz val="20"/>
        <color rgb="FFC59C00"/>
        <rFont val="Segoe UI"/>
        <family val="2"/>
      </rPr>
      <t xml:space="preserve">ndicadores </t>
    </r>
    <r>
      <rPr>
        <sz val="20"/>
        <color rgb="FF006B66"/>
        <rFont val="Segoe UI"/>
        <family val="2"/>
      </rPr>
      <t>F</t>
    </r>
    <r>
      <rPr>
        <sz val="20"/>
        <color rgb="FFC59C00"/>
        <rFont val="Segoe UI"/>
        <family val="2"/>
      </rPr>
      <t>inanceiros</t>
    </r>
  </si>
  <si>
    <t>AGRO&lt;XBUE&gt;</t>
  </si>
  <si>
    <t>ALUA&lt;XBUE&gt;</t>
  </si>
  <si>
    <t>AUSO&lt;XBUE&gt;</t>
  </si>
  <si>
    <t>BHIP&lt;XBUE&gt;</t>
  </si>
  <si>
    <t>BMA&lt;XBUE&gt;</t>
  </si>
  <si>
    <t>BPAT&lt;XBUE&gt;</t>
  </si>
  <si>
    <t>BRIO&lt;XBUE&gt;</t>
  </si>
  <si>
    <t>BBAR&lt;XBUE&gt;</t>
  </si>
  <si>
    <t>GAMI&lt;XBUE&gt;</t>
  </si>
  <si>
    <t>ESME&lt;XBUE&gt;</t>
  </si>
  <si>
    <t>BOLT&lt;XBUE&gt;</t>
  </si>
  <si>
    <t>BYMA&lt;XBUE&gt;</t>
  </si>
  <si>
    <t>CVH&lt;XBUE&gt;</t>
  </si>
  <si>
    <t>CAPX&lt;XBUE&gt;</t>
  </si>
  <si>
    <t>CARC&lt;XBUE&gt;</t>
  </si>
  <si>
    <t>CADO&lt;XBUE&gt;</t>
  </si>
  <si>
    <t>CELU&lt;XBUE&gt;</t>
  </si>
  <si>
    <t>CEPU&lt;XBUE&gt;</t>
  </si>
  <si>
    <t>COME&lt;XBUE&gt;</t>
  </si>
  <si>
    <t>CTIO&lt;XBUE&gt;</t>
  </si>
  <si>
    <t>CRES&lt;XBUE&gt;</t>
  </si>
  <si>
    <t>DOME&lt;XBUE&gt;</t>
  </si>
  <si>
    <t>DYCA&lt;XBUE&gt;</t>
  </si>
  <si>
    <t>EDN&lt;XBUE&gt;</t>
  </si>
  <si>
    <t>EDSH&lt;XBUE&gt;</t>
  </si>
  <si>
    <t>EDLH&lt;XBUE&gt;</t>
  </si>
  <si>
    <t>EMDE&lt;XBUE&gt;</t>
  </si>
  <si>
    <t>FERR&lt;XBUE&gt;</t>
  </si>
  <si>
    <t>FIPL&lt;XBUE&gt;</t>
  </si>
  <si>
    <t>GARO&lt;XBUE&gt;</t>
  </si>
  <si>
    <t>GBAN&lt;XBUE&gt;</t>
  </si>
  <si>
    <t>GRIM&lt;XBUE&gt;</t>
  </si>
  <si>
    <t>GCLA&lt;XBUE&gt;</t>
  </si>
  <si>
    <t>OEST&lt;XBUE&gt;</t>
  </si>
  <si>
    <t>GGAL&lt;XBUE&gt;</t>
  </si>
  <si>
    <t>VALO&lt;XBUE&gt;</t>
  </si>
  <si>
    <t>SUPV&lt;XBUE&gt;</t>
  </si>
  <si>
    <t>HAVA&lt;XBUE&gt;</t>
  </si>
  <si>
    <t>HARG&lt;XBUE&gt;</t>
  </si>
  <si>
    <t>PATA&lt;XBUE&gt;</t>
  </si>
  <si>
    <t>ROSE&lt;XBUE&gt;</t>
  </si>
  <si>
    <t>INAG&lt;XBUE&gt;</t>
  </si>
  <si>
    <t>INTR&lt;XBUE&gt;</t>
  </si>
  <si>
    <t>INVJ&lt;XBUE&gt;</t>
  </si>
  <si>
    <t>IRSA&lt;XBUE&gt;</t>
  </si>
  <si>
    <t>IRCP&lt;XBUE&gt;</t>
  </si>
  <si>
    <t>RICH&lt;XBUE&gt;</t>
  </si>
  <si>
    <t>LEDE&lt;XBUE&gt;</t>
  </si>
  <si>
    <t>LOMA&lt;XBUE&gt;</t>
  </si>
  <si>
    <t>LONG&lt;XBUE&gt;</t>
  </si>
  <si>
    <t>MERA&lt;XBUE&gt;</t>
  </si>
  <si>
    <t>METR&lt;XBUE&gt;</t>
  </si>
  <si>
    <t>MIRG&lt;XBUE&gt;</t>
  </si>
  <si>
    <t>MOLA&lt;XBUE&gt;</t>
  </si>
  <si>
    <t>MOLI&lt;XBUE&gt;</t>
  </si>
  <si>
    <t>MORI&lt;XBUE&gt;</t>
  </si>
  <si>
    <t>PAMP&lt;XBUE&gt;</t>
  </si>
  <si>
    <t>PGR&lt;XBUE&gt;</t>
  </si>
  <si>
    <t>POLL&lt;XBUE&gt;</t>
  </si>
  <si>
    <t>RIGO&lt;XBUE&gt;</t>
  </si>
  <si>
    <t>SAMI&lt;XBUE&gt;</t>
  </si>
  <si>
    <t>SEMI&lt;XBUE&gt;</t>
  </si>
  <si>
    <t>TXAR&lt;XBUE&gt;</t>
  </si>
  <si>
    <t>TGLT&lt;XBUE&gt;</t>
  </si>
  <si>
    <t>TRAN&lt;XBUE&gt;</t>
  </si>
  <si>
    <t>TGNO4&lt;XBUE&gt;</t>
  </si>
  <si>
    <t>YPFD&lt;XBUE&gt;</t>
  </si>
  <si>
    <t>Agrometal</t>
  </si>
  <si>
    <t>Aluar</t>
  </si>
  <si>
    <t>Autopistas del Sol</t>
  </si>
  <si>
    <t>Banco Hipotecario</t>
  </si>
  <si>
    <t>Banco Macro S.A.</t>
  </si>
  <si>
    <t>Banco Patagonia</t>
  </si>
  <si>
    <t>Banco Santander Rio</t>
  </si>
  <si>
    <t>Bbva S. A.</t>
  </si>
  <si>
    <t>B-Gaming Sa</t>
  </si>
  <si>
    <t>Bodegas Esmeralda</t>
  </si>
  <si>
    <t>Boldt</t>
  </si>
  <si>
    <t>Bolsas Y Mercados Argentinos S.A.</t>
  </si>
  <si>
    <t>Cablevisión Holding S.A.</t>
  </si>
  <si>
    <t>Camuzzi Gas Pamp.</t>
  </si>
  <si>
    <t>Capex</t>
  </si>
  <si>
    <t>Carboclor S.A.</t>
  </si>
  <si>
    <t>Carlos Casado</t>
  </si>
  <si>
    <t>Celulosa</t>
  </si>
  <si>
    <t>Central Puerto</t>
  </si>
  <si>
    <t>Comercial del Plata</t>
  </si>
  <si>
    <t>Consultatio</t>
  </si>
  <si>
    <t>Cresud</t>
  </si>
  <si>
    <t>Distr Gas Cuyana</t>
  </si>
  <si>
    <t>Domec</t>
  </si>
  <si>
    <t>Dycasa</t>
  </si>
  <si>
    <t>Edenor</t>
  </si>
  <si>
    <t>Edesa Holding S.A.</t>
  </si>
  <si>
    <t>Edesal Holding S.A.</t>
  </si>
  <si>
    <t>Emdersa</t>
  </si>
  <si>
    <t>Enel Generacion Costanera S.A.</t>
  </si>
  <si>
    <t>Ferrum</t>
  </si>
  <si>
    <t>Fiplasto</t>
  </si>
  <si>
    <t>Garovaglio</t>
  </si>
  <si>
    <t>Gas Natural Ban</t>
  </si>
  <si>
    <t>Grimoldi</t>
  </si>
  <si>
    <t>Grupo Clarin</t>
  </si>
  <si>
    <t>Grupo Concesionario del Oeste S.A.</t>
  </si>
  <si>
    <t>Grupo Fin. Galicia</t>
  </si>
  <si>
    <t>Grupo Financiero Valores Sociedad Anonima</t>
  </si>
  <si>
    <t>Grupo Supervielle S.A.</t>
  </si>
  <si>
    <t>Havanna Holding S.A.</t>
  </si>
  <si>
    <t>Holcim Argentina</t>
  </si>
  <si>
    <t>Import. Y Export. de La Patagonia</t>
  </si>
  <si>
    <t>Instituto Rosenbusch</t>
  </si>
  <si>
    <t>Insumos Agroquímicos S.A.</t>
  </si>
  <si>
    <t>Introductora</t>
  </si>
  <si>
    <t>Inversora Juramento</t>
  </si>
  <si>
    <t>Irsa Inversiones Y Representaciones S.A.</t>
  </si>
  <si>
    <t>Irsa Propiedades Comerciales S.A Ex Alto Palermo</t>
  </si>
  <si>
    <t>Laboratorios Richmond S.A.C.I.F.</t>
  </si>
  <si>
    <t>Ledesma</t>
  </si>
  <si>
    <t>Loma Negra</t>
  </si>
  <si>
    <t>Longvie</t>
  </si>
  <si>
    <t>Meranol</t>
  </si>
  <si>
    <t>Metrogas</t>
  </si>
  <si>
    <t>Mirgor</t>
  </si>
  <si>
    <t>Molinos Agro S.A.</t>
  </si>
  <si>
    <t>Molinos Rio</t>
  </si>
  <si>
    <t>Morixe</t>
  </si>
  <si>
    <t>Pampa Energia S.A.</t>
  </si>
  <si>
    <t>Phoenix Global Resources Plc</t>
  </si>
  <si>
    <t>Polledo</t>
  </si>
  <si>
    <t>Rigolleau</t>
  </si>
  <si>
    <t>San Miguel</t>
  </si>
  <si>
    <t>Semino, Mol J</t>
  </si>
  <si>
    <t>Telecom Argentina S.A.</t>
  </si>
  <si>
    <t>Ternium Argentina</t>
  </si>
  <si>
    <t>Tglt S.A.</t>
  </si>
  <si>
    <t>Transener</t>
  </si>
  <si>
    <t>Transp Gas de Norte</t>
  </si>
  <si>
    <t>Transp Gas Sur</t>
  </si>
  <si>
    <t>Ypf S.A.</t>
  </si>
  <si>
    <t>AGRO</t>
  </si>
  <si>
    <t>ALUA</t>
  </si>
  <si>
    <t>AUSO</t>
  </si>
  <si>
    <t>BHIP</t>
  </si>
  <si>
    <t>BMA</t>
  </si>
  <si>
    <t>BPAT</t>
  </si>
  <si>
    <t>BRIO</t>
  </si>
  <si>
    <t>BBAR</t>
  </si>
  <si>
    <t>GAMI</t>
  </si>
  <si>
    <t>ESME</t>
  </si>
  <si>
    <t>BOLT</t>
  </si>
  <si>
    <t>BYMA</t>
  </si>
  <si>
    <t>CVH</t>
  </si>
  <si>
    <t>CAPX</t>
  </si>
  <si>
    <t>CARC</t>
  </si>
  <si>
    <t>CADO</t>
  </si>
  <si>
    <t>CELU</t>
  </si>
  <si>
    <t>CEPU</t>
  </si>
  <si>
    <t>COME</t>
  </si>
  <si>
    <t>CTIO</t>
  </si>
  <si>
    <t>CRES</t>
  </si>
  <si>
    <t>DOME</t>
  </si>
  <si>
    <t>DYCA</t>
  </si>
  <si>
    <t>EDN</t>
  </si>
  <si>
    <t>EDSH</t>
  </si>
  <si>
    <t>EDLH</t>
  </si>
  <si>
    <t>EMDE</t>
  </si>
  <si>
    <t>FERR</t>
  </si>
  <si>
    <t>FIPL</t>
  </si>
  <si>
    <t>GARO</t>
  </si>
  <si>
    <t>GBAN</t>
  </si>
  <si>
    <t>GRIM</t>
  </si>
  <si>
    <t>GCLA</t>
  </si>
  <si>
    <t>OEST</t>
  </si>
  <si>
    <t>GGAL</t>
  </si>
  <si>
    <t>VALO</t>
  </si>
  <si>
    <t>SUPV</t>
  </si>
  <si>
    <t>HAVA</t>
  </si>
  <si>
    <t>HARG</t>
  </si>
  <si>
    <t>PATA</t>
  </si>
  <si>
    <t>ROSE</t>
  </si>
  <si>
    <t>INAG</t>
  </si>
  <si>
    <t>INTR</t>
  </si>
  <si>
    <t>INVJ</t>
  </si>
  <si>
    <t>IRSA</t>
  </si>
  <si>
    <t>IRCP</t>
  </si>
  <si>
    <t>RICH</t>
  </si>
  <si>
    <t>LEDE</t>
  </si>
  <si>
    <t>LOMA</t>
  </si>
  <si>
    <t>LONG</t>
  </si>
  <si>
    <t>MERA</t>
  </si>
  <si>
    <t>METR</t>
  </si>
  <si>
    <t>MIRG</t>
  </si>
  <si>
    <t>MOLA</t>
  </si>
  <si>
    <t>MOLI</t>
  </si>
  <si>
    <t>MORI</t>
  </si>
  <si>
    <t>PAMP</t>
  </si>
  <si>
    <t>PGR</t>
  </si>
  <si>
    <t>POLL</t>
  </si>
  <si>
    <t>RIGO</t>
  </si>
  <si>
    <t>SAMI</t>
  </si>
  <si>
    <t>SEMI</t>
  </si>
  <si>
    <t>TXAR</t>
  </si>
  <si>
    <t>TGLT</t>
  </si>
  <si>
    <t>TRAN</t>
  </si>
  <si>
    <t>TGNO4</t>
  </si>
  <si>
    <t>YPFD</t>
  </si>
  <si>
    <t>Thousands</t>
  </si>
  <si>
    <t>DATOS POR ACCIÓN</t>
  </si>
  <si>
    <t>Ventas por acción $</t>
  </si>
  <si>
    <t>UPA Utilidad por Acción $</t>
  </si>
  <si>
    <t>VLA Valor Libro p/ Acción $</t>
  </si>
  <si>
    <t>EBITDA por Acción $</t>
  </si>
  <si>
    <t>Deuda total Neta $</t>
  </si>
  <si>
    <t>Deuda total Bruta $</t>
  </si>
  <si>
    <t>Deuda Bruta / Act Tot %</t>
  </si>
  <si>
    <t>Deuda Bruta / Pat Net %</t>
  </si>
  <si>
    <t>Deuda Neta / Pat Neto %</t>
  </si>
  <si>
    <t>EBIT / Deuda Bruta %</t>
  </si>
  <si>
    <t>EBIT / Deuda Neta %</t>
  </si>
  <si>
    <t>EBIT / Gast Fin Brut x</t>
  </si>
  <si>
    <t>EBIT /Gast Fin Net x</t>
  </si>
  <si>
    <t>Deuda Bruta / Ebitda x</t>
  </si>
  <si>
    <t>Deuda Neta / Ebitda x</t>
  </si>
  <si>
    <t>Deuda Fin CP / Deuda Tt %</t>
  </si>
  <si>
    <t>Pasivo Tt / Ativo Tt %</t>
  </si>
  <si>
    <t>Pasivo Tt / Pat Neto %</t>
  </si>
  <si>
    <t>Pasivo Tt / Ventas %</t>
  </si>
  <si>
    <t>Activo Fijo / Pat Neto %</t>
  </si>
  <si>
    <t>Capital de Trabajo $</t>
  </si>
  <si>
    <t>Plazo Promedio Invent</t>
  </si>
  <si>
    <t>Plazo Promedio Provee</t>
  </si>
  <si>
    <t>Plazo Promedio Cobro</t>
  </si>
  <si>
    <t>Ciclo Financiero</t>
  </si>
  <si>
    <t>Ciclo Operativo</t>
  </si>
  <si>
    <t>RENTABILIDAD</t>
  </si>
  <si>
    <t>Util Ant Impuestos + Desp Fin $</t>
  </si>
  <si>
    <t>Rotación de Activos x</t>
  </si>
  <si>
    <t>Rotación de Pat Neto x</t>
  </si>
  <si>
    <t>Margen Bruto %</t>
  </si>
  <si>
    <t>Margen EBIT (Operat) %</t>
  </si>
  <si>
    <t>Margen Neto %</t>
  </si>
  <si>
    <t>Margen Ebitda %</t>
  </si>
  <si>
    <t>ROA Rentab del Activo %</t>
  </si>
  <si>
    <t>ROE Rent Pat (pat final)%</t>
  </si>
  <si>
    <t>ROE Rent Pat (pat prom)%</t>
  </si>
  <si>
    <t>ROIC (IC fin) %</t>
  </si>
  <si>
    <t>ROIC (IC prom) %</t>
  </si>
  <si>
    <t>Apalancamiento Financ x</t>
  </si>
  <si>
    <t>Apalancamiento Operat x</t>
  </si>
  <si>
    <t>OTROS</t>
  </si>
  <si>
    <t>Capex (incl invers) $</t>
  </si>
  <si>
    <t>Depreciación y amortiz $</t>
  </si>
  <si>
    <t>Deprec / ActFij e Intang %</t>
  </si>
  <si>
    <t>Free cash flow $</t>
  </si>
  <si>
    <t>Fecha:</t>
  </si>
  <si>
    <t>← Ingrese fecha a analizar</t>
  </si>
  <si>
    <t>Último Balance:</t>
  </si>
  <si>
    <t>← No modificar</t>
  </si>
  <si>
    <t>← Seleccionar del desplegable</t>
  </si>
  <si>
    <t>Moneda:</t>
  </si>
  <si>
    <t>Unidad:</t>
  </si>
  <si>
    <t>Balance:</t>
  </si>
  <si>
    <t>Bot</t>
  </si>
  <si>
    <t>Liquidez Seca x</t>
  </si>
  <si>
    <t>In Fiscal Year</t>
  </si>
  <si>
    <t>CGPA2&lt;XBUE&gt;</t>
  </si>
  <si>
    <t>DGCU2&lt;XBUE&gt;</t>
  </si>
  <si>
    <t>CECO2&lt;XBUE&gt;</t>
  </si>
  <si>
    <t>TECO2&lt;XBUE&gt;</t>
  </si>
  <si>
    <t>TGSU2&lt;XBUE&gt;</t>
  </si>
  <si>
    <t>CGPA2</t>
  </si>
  <si>
    <t>DGCU2</t>
  </si>
  <si>
    <t>CECO2</t>
  </si>
  <si>
    <t>TECO2</t>
  </si>
  <si>
    <t>TGSU2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</si>
</sst>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$&quot;\ * #,##0.00_-;\-&quot;R$&quot;\ * #,##0.00_-;_-&quot;R$&quot;\ * &quot;-&quot;??_-;_-@_-"/>
    <numFmt numFmtId="165" formatCode="#,##0_ ;[Red]\-#,##0\ "/>
    <numFmt numFmtId="166" formatCode="0.0%"/>
    <numFmt numFmtId="167" formatCode="#,##0.0\ \x\ ;[Red]\-#,##0.0\ \x"/>
    <numFmt numFmtId="168" formatCode="#,##0.0%\ ;[Red]\-#,##0.0%"/>
    <numFmt numFmtId="169" formatCode="#,##0.0000_ ;[Red]\-#,##0.0000\ "/>
    <numFmt numFmtId="170" formatCode="dd/mm/yyyy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Segoe UI"/>
      <family val="2"/>
    </font>
    <font>
      <b/>
      <sz val="9"/>
      <color rgb="FF006B66"/>
      <name val="Segoe UI"/>
      <family val="2"/>
    </font>
    <font>
      <sz val="9"/>
      <color theme="1" tint="0.249977111117893"/>
      <name val="Segoe UI"/>
      <family val="2"/>
    </font>
    <font>
      <sz val="9"/>
      <color rgb="FFC00000"/>
      <name val="Segoe UI"/>
      <family val="2"/>
    </font>
    <font>
      <b/>
      <sz val="9"/>
      <color theme="1" tint="0.249977111117893"/>
      <name val="Segoe UI"/>
      <family val="2"/>
    </font>
    <font>
      <sz val="8"/>
      <color rgb="FF000000"/>
      <name val="Segoe UI"/>
      <family val="2"/>
    </font>
    <font>
      <sz val="20"/>
      <color rgb="FFC59C00"/>
      <name val="Segoe UI"/>
      <family val="2"/>
    </font>
    <font>
      <sz val="20"/>
      <color rgb="FF006B66"/>
      <name val="Segoe UI"/>
      <family val="2"/>
    </font>
    <font>
      <sz val="10"/>
      <color rgb="FF006B66"/>
      <name val="Segoe UI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999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6B66"/>
      </bottom>
      <diagonal/>
    </border>
    <border>
      <left style="thin">
        <color theme="0"/>
      </left>
      <right/>
      <top/>
      <bottom style="thick">
        <color rgb="FF006B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rgb="FF006B66"/>
      </top>
      <bottom style="thick">
        <color rgb="FF006B66"/>
      </bottom>
      <diagonal/>
    </border>
    <border>
      <left style="thin">
        <color theme="0"/>
      </left>
      <right/>
      <top style="thin">
        <color rgb="FF006B66"/>
      </top>
      <bottom style="thick">
        <color rgb="FF006B66"/>
      </bottom>
      <diagonal/>
    </border>
    <border>
      <left/>
      <right/>
      <top/>
      <bottom style="thick">
        <color rgb="FF006B66"/>
      </bottom>
      <diagonal/>
    </border>
    <border>
      <left style="thin">
        <color rgb="FF006B66"/>
      </left>
      <right style="thin">
        <color rgb="FF006B66"/>
      </right>
      <top style="thin">
        <color rgb="FF006B66"/>
      </top>
      <bottom style="thin">
        <color rgb="FF006B6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14" fontId="4" fillId="0" borderId="0" xfId="0" applyNumberFormat="1" applyFont="1" applyAlignment="1">
      <alignment horizontal="left"/>
    </xf>
    <xf numFmtId="0" fontId="5" fillId="0" borderId="0" xfId="0" applyFont="1"/>
    <xf numFmtId="37" fontId="4" fillId="0" borderId="0" xfId="0" applyNumberFormat="1" applyFont="1"/>
    <xf numFmtId="0" fontId="2" fillId="0" borderId="0" xfId="0" applyFont="1" applyAlignment="1">
      <alignment horizontal="center" vertical="center"/>
    </xf>
    <xf numFmtId="0" fontId="3" fillId="0" borderId="2" xfId="0" applyFont="1" applyBorder="1"/>
    <xf numFmtId="0" fontId="4" fillId="0" borderId="0" xfId="0" applyFont="1"/>
    <xf numFmtId="0" fontId="6" fillId="0" borderId="0" xfId="0" applyFont="1" applyAlignment="1">
      <alignment vertical="center"/>
    </xf>
    <xf numFmtId="0" fontId="0" fillId="0" borderId="3" xfId="0" applyBorder="1"/>
    <xf numFmtId="0" fontId="0" fillId="2" borderId="3" xfId="0" applyFill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4" fillId="0" borderId="1" xfId="0" applyFont="1" applyBorder="1"/>
    <xf numFmtId="15" fontId="4" fillId="0" borderId="4" xfId="0" quotePrefix="1" applyNumberFormat="1" applyFont="1" applyBorder="1" applyAlignment="1" applyProtection="1">
      <alignment horizontal="center"/>
      <protection locked="0"/>
    </xf>
    <xf numFmtId="0" fontId="3" fillId="0" borderId="5" xfId="0" applyFont="1" applyBorder="1"/>
    <xf numFmtId="0" fontId="2" fillId="0" borderId="6" xfId="0" applyFont="1" applyBorder="1"/>
    <xf numFmtId="37" fontId="10" fillId="0" borderId="0" xfId="0" applyNumberFormat="1" applyFont="1" applyAlignment="1">
      <alignment horizontal="right"/>
    </xf>
    <xf numFmtId="37" fontId="10" fillId="0" borderId="6" xfId="0" applyNumberFormat="1" applyFont="1" applyBorder="1" applyAlignment="1">
      <alignment horizontal="right"/>
    </xf>
    <xf numFmtId="37" fontId="10" fillId="0" borderId="0" xfId="0" applyNumberFormat="1" applyFont="1" applyAlignment="1">
      <alignment horizontal="left"/>
    </xf>
    <xf numFmtId="165" fontId="4" fillId="0" borderId="0" xfId="0" applyNumberFormat="1" applyFont="1" applyAlignment="1">
      <alignment horizontal="center"/>
    </xf>
    <xf numFmtId="166" fontId="4" fillId="0" borderId="0" xfId="1" applyNumberFormat="1" applyFont="1" applyAlignment="1">
      <alignment horizontal="center"/>
    </xf>
    <xf numFmtId="168" fontId="4" fillId="0" borderId="0" xfId="1" applyNumberFormat="1" applyFont="1" applyAlignment="1">
      <alignment horizontal="center"/>
    </xf>
    <xf numFmtId="167" fontId="4" fillId="0" borderId="0" xfId="0" applyNumberFormat="1" applyFont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167" fontId="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165" fontId="4" fillId="0" borderId="0" xfId="2" applyNumberFormat="1" applyFont="1" applyAlignment="1">
      <alignment horizontal="center"/>
    </xf>
    <xf numFmtId="165" fontId="4" fillId="0" borderId="1" xfId="2" applyNumberFormat="1" applyFont="1" applyBorder="1" applyAlignment="1">
      <alignment horizontal="center"/>
    </xf>
    <xf numFmtId="169" fontId="4" fillId="0" borderId="0" xfId="2" applyNumberFormat="1" applyFont="1" applyAlignment="1">
      <alignment horizontal="center"/>
    </xf>
    <xf numFmtId="169" fontId="4" fillId="0" borderId="1" xfId="2" applyNumberFormat="1" applyFont="1" applyBorder="1" applyAlignment="1">
      <alignment horizontal="center"/>
    </xf>
    <xf numFmtId="0" fontId="0" fillId="4" borderId="0" xfId="0" applyFill="1"/>
    <xf numFmtId="0" fontId="11" fillId="5" borderId="8" xfId="0" applyFont="1" applyFill="1" applyBorder="1" applyAlignment="1">
      <alignment horizontal="center"/>
    </xf>
    <xf numFmtId="0" fontId="11" fillId="5" borderId="9" xfId="0" applyFont="1" applyFill="1" applyBorder="1" applyAlignment="1">
      <alignment horizontal="center"/>
    </xf>
    <xf numFmtId="0" fontId="11" fillId="5" borderId="10" xfId="0" applyFont="1" applyFill="1" applyBorder="1" applyAlignment="1">
      <alignment horizontal="center"/>
    </xf>
    <xf numFmtId="170" fontId="4" fillId="0" borderId="4" xfId="0" quotePrefix="1" applyNumberFormat="1" applyFont="1" applyBorder="1" applyAlignment="1" applyProtection="1">
      <alignment horizontal="center"/>
      <protection locked="0"/>
    </xf>
    <xf numFmtId="170" fontId="4" fillId="0" borderId="0" xfId="0" applyNumberFormat="1" applyFont="1" applyAlignment="1">
      <alignment horizontal="left"/>
    </xf>
  </cellXfs>
  <cellStyles count="3">
    <cellStyle name="Moneda" xfId="2" builtinId="4"/>
    <cellStyle name="Normal" xfId="0" builtinId="0"/>
    <cellStyle name="Porcentaje" xfId="1" builtinId="5"/>
  </cellStyles>
  <dxfs count="7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colors>
    <mruColors>
      <color rgb="FF009999"/>
      <color rgb="FF006B66"/>
      <color rgb="FFC59C00"/>
      <color rgb="FFDAE2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129c49f2ce4b4bb1a7bd18b2ba98a2de">
      <tp t="e">
        <v>#N/A</v>
        <stp/>
        <stp>02ce190a-2406-4650-bfd0-4f698edc2efc</stp>
        <stp>1</stp>
        <tr r="L29" s="1"/>
      </tp>
    </main>
    <main first="rtdsrv.129c49f2ce4b4bb1a7bd18b2ba98a2de">
      <tp t="e">
        <v>#N/A</v>
        <stp/>
        <stp>081f6ebd-b809-40f0-9c8c-cf5c8aa588b4</stp>
        <stp>1</stp>
        <tr r="F18" s="1"/>
      </tp>
    </main>
    <main first="rtdsrv.129c49f2ce4b4bb1a7bd18b2ba98a2de">
      <tp t="e">
        <v>#N/A</v>
        <stp/>
        <stp>2f3beb04-a93c-458b-9d89-c273e4030130</stp>
        <stp>1</stp>
        <tr r="F73" s="1"/>
      </tp>
    </main>
    <main first="rtdsrv.129c49f2ce4b4bb1a7bd18b2ba98a2de">
      <tp t="e">
        <v>#N/A</v>
        <stp/>
        <stp>ad7fa0ac-76a0-4610-bc3a-3584694e49a8</stp>
        <stp>1</stp>
        <tr r="I31" s="1"/>
      </tp>
      <tp t="e">
        <v>#N/A</v>
        <stp/>
        <stp>3216768d-9a3a-4f16-baeb-dad9c04fcfec</stp>
        <stp>1</stp>
        <tr r="F68" s="1"/>
      </tp>
    </main>
    <main first="rtdsrv.129c49f2ce4b4bb1a7bd18b2ba98a2de">
      <tp t="e">
        <v>#N/A</v>
        <stp/>
        <stp>70757f41-3fce-49d0-9e94-3b3b6aa856fd</stp>
        <stp>1</stp>
        <tr r="K22" s="1"/>
      </tp>
      <tp t="e">
        <v>#N/A</v>
        <stp/>
        <stp>6c7d7914-f86d-4ee2-8b92-682e19af16fa</stp>
        <stp>1</stp>
        <tr r="F54" s="1"/>
      </tp>
    </main>
    <main first="rtdsrv.129c49f2ce4b4bb1a7bd18b2ba98a2de">
      <tp t="e">
        <v>#N/A</v>
        <stp/>
        <stp>93b66829-acb6-431a-b64b-0e3d79c276a3</stp>
        <stp>1</stp>
        <tr r="E34" s="1"/>
      </tp>
      <tp t="e">
        <v>#N/A</v>
        <stp/>
        <stp>e180638b-571f-4fce-a9e5-e5835de83676</stp>
        <stp>1</stp>
        <tr r="J62" s="1"/>
      </tp>
      <tp t="e">
        <v>#N/A</v>
        <stp/>
        <stp>3403daf9-6568-4e6e-ba11-0995762b3795</stp>
        <stp>1</stp>
        <tr r="C55" s="1"/>
      </tp>
    </main>
    <main first="rtdsrv.129c49f2ce4b4bb1a7bd18b2ba98a2de">
      <tp t="e">
        <v>#N/A</v>
        <stp/>
        <stp>e0e01562-42b6-4bfc-8900-d4d7c1627f8f</stp>
        <stp>1</stp>
        <tr r="E69" s="1"/>
      </tp>
      <tp t="e">
        <v>#N/A</v>
        <stp/>
        <stp>bf1165a5-97cb-433d-8a31-ddcc719b5194</stp>
        <stp>1</stp>
        <tr r="K34" s="1"/>
      </tp>
      <tp t="e">
        <v>#N/A</v>
        <stp/>
        <stp>5e32ca5b-70b8-40d7-b91e-f9e8d20e248d</stp>
        <stp>1</stp>
        <tr r="E18" s="1"/>
      </tp>
    </main>
    <main first="rtdsrv.129c49f2ce4b4bb1a7bd18b2ba98a2de">
      <tp t="e">
        <v>#N/A</v>
        <stp/>
        <stp>b9f802c8-526c-4f01-8123-767155dd5b9d</stp>
        <stp>1</stp>
        <tr r="G61" s="1"/>
      </tp>
      <tp t="e">
        <v>#N/A</v>
        <stp/>
        <stp>45ccd071-f000-401a-95a4-b38e6ac3547d</stp>
        <stp>1</stp>
        <tr r="B5" s="7"/>
      </tp>
    </main>
    <main first="rtdsrv.129c49f2ce4b4bb1a7bd18b2ba98a2de">
      <tp t="e">
        <v>#N/A</v>
        <stp/>
        <stp>caaef3a6-1b14-4a53-8bb6-08dd409d80ec</stp>
        <stp>1</stp>
        <tr r="L46" s="1"/>
      </tp>
      <tp t="e">
        <v>#N/A</v>
        <stp/>
        <stp>28c30a93-7e82-45e1-af9e-2acbb417845a</stp>
        <stp>1</stp>
        <tr r="G25" s="1"/>
      </tp>
    </main>
    <main first="rtdsrv.129c49f2ce4b4bb1a7bd18b2ba98a2de">
      <tp t="e">
        <v>#N/A</v>
        <stp/>
        <stp>41131802-2580-42d9-b6a7-9acae076d92f</stp>
        <stp>1</stp>
        <tr r="E53" s="1"/>
      </tp>
      <tp t="e">
        <v>#N/A</v>
        <stp/>
        <stp>7848b544-c3b6-4ac9-bb5e-95f065661843</stp>
        <stp>1</stp>
        <tr r="K37" s="1"/>
      </tp>
    </main>
    <main first="rtdsrv.129c49f2ce4b4bb1a7bd18b2ba98a2de">
      <tp t="e">
        <v>#N/A</v>
        <stp/>
        <stp>f6a996bc-6e61-4b2f-9942-23f946a7166a</stp>
        <stp>1</stp>
        <tr r="K46" s="1"/>
      </tp>
    </main>
    <main first="rtdsrv.129c49f2ce4b4bb1a7bd18b2ba98a2de">
      <tp t="e">
        <v>#N/A</v>
        <stp/>
        <stp>6e70b6ed-ab14-4544-b2dd-3be9bccfecc5</stp>
        <stp>1</stp>
        <tr r="H62" s="1"/>
      </tp>
      <tp t="e">
        <v>#N/A</v>
        <stp/>
        <stp>3d0c46c2-e62d-4d39-8c03-6a07ab6479ad</stp>
        <stp>1</stp>
        <tr r="K68" s="1"/>
      </tp>
      <tp t="e">
        <v>#N/A</v>
        <stp/>
        <stp>914b9d6f-9001-4bfb-bc11-0e7f13b2dec8</stp>
        <stp>1</stp>
        <tr r="C66" s="1"/>
      </tp>
    </main>
    <main first="rtdsrv.129c49f2ce4b4bb1a7bd18b2ba98a2de">
      <tp t="e">
        <v>#N/A</v>
        <stp/>
        <stp>23569764-3159-4759-8428-dbbb18541be6</stp>
        <stp>1</stp>
        <tr r="F23" s="1"/>
      </tp>
      <tp t="e">
        <v>#N/A</v>
        <stp/>
        <stp>4064fe53-f1d4-47d5-baf8-e48878e3d7ee</stp>
        <stp>1</stp>
        <tr r="G26" s="1"/>
      </tp>
      <tp t="e">
        <v>#N/A</v>
        <stp/>
        <stp>87602abd-e380-4bf1-ae6e-1010e2268841</stp>
        <stp>1</stp>
        <tr r="K65" s="1"/>
      </tp>
      <tp t="e">
        <v>#N/A</v>
        <stp/>
        <stp>224e066b-9feb-44f7-977c-e0d608bb158c</stp>
        <stp>1</stp>
        <tr r="K48" s="1"/>
      </tp>
    </main>
    <main first="rtdsrv.129c49f2ce4b4bb1a7bd18b2ba98a2de">
      <tp t="e">
        <v>#N/A</v>
        <stp/>
        <stp>6b64e2de-15b2-4315-888b-586c5210bfa3</stp>
        <stp>1</stp>
        <tr r="L30" s="1"/>
      </tp>
      <tp t="e">
        <v>#N/A</v>
        <stp/>
        <stp>b7fd3b60-26ac-4644-9972-ecb03676bc7d</stp>
        <stp>1</stp>
        <tr r="G27" s="1"/>
      </tp>
    </main>
    <main first="rtdsrv.129c49f2ce4b4bb1a7bd18b2ba98a2de">
      <tp t="e">
        <v>#N/A</v>
        <stp/>
        <stp>49355954-e1b9-4b3d-b06b-17b445b87267</stp>
        <stp>1</stp>
        <tr r="I65" s="1"/>
      </tp>
      <tp t="e">
        <v>#N/A</v>
        <stp/>
        <stp>baa7480e-448d-4b50-ba3a-fd8c9815075d</stp>
        <stp>1</stp>
        <tr r="F27" s="1"/>
      </tp>
    </main>
    <main first="rtdsrv.129c49f2ce4b4bb1a7bd18b2ba98a2de">
      <tp t="e">
        <v>#N/A</v>
        <stp/>
        <stp>78e2514a-6dad-4711-8185-0b6a74b0a324</stp>
        <stp>1</stp>
        <tr r="C25" s="1"/>
      </tp>
      <tp t="e">
        <v>#N/A</v>
        <stp/>
        <stp>c21c1011-1b7c-486a-bfc8-f3575991223a</stp>
        <stp>1</stp>
        <tr r="K23" s="1"/>
      </tp>
    </main>
    <main first="rtdsrv.129c49f2ce4b4bb1a7bd18b2ba98a2de">
      <tp t="e">
        <v>#N/A</v>
        <stp/>
        <stp>b6081ff6-a0e2-4ced-b5f9-21a77fe15ab4</stp>
        <stp>1</stp>
        <tr r="C27" s="1"/>
      </tp>
    </main>
    <main first="rtdsrv.129c49f2ce4b4bb1a7bd18b2ba98a2de">
      <tp t="e">
        <v>#N/A</v>
        <stp/>
        <stp>ac6a1c35-2b79-457d-9c87-4e1c6b06899b</stp>
        <stp>1</stp>
        <tr r="E49" s="1"/>
      </tp>
      <tp t="e">
        <v>#N/A</v>
        <stp/>
        <stp>5b6bcb5a-54f8-421d-beb5-f708881dc8c1</stp>
        <stp>1</stp>
        <tr r="E43" s="1"/>
      </tp>
    </main>
    <main first="rtdsrv.129c49f2ce4b4bb1a7bd18b2ba98a2de">
      <tp t="e">
        <v>#N/A</v>
        <stp/>
        <stp>7c9d7e70-e952-443d-a444-66f057b934be</stp>
        <stp>1</stp>
        <tr r="K43" s="1"/>
      </tp>
    </main>
    <main first="rtdsrv.129c49f2ce4b4bb1a7bd18b2ba98a2de">
      <tp t="e">
        <v>#N/A</v>
        <stp/>
        <stp>93352a5d-9eb8-4c74-80be-8c43e68542d5</stp>
        <stp>1</stp>
        <tr r="G35" s="1"/>
      </tp>
    </main>
    <main first="rtdsrv.129c49f2ce4b4bb1a7bd18b2ba98a2de">
      <tp t="e">
        <v>#N/A</v>
        <stp/>
        <stp>25f40067-be90-4a1d-a597-c633ff50a9db</stp>
        <stp>1</stp>
        <tr r="G34" s="1"/>
      </tp>
      <tp t="e">
        <v>#N/A</v>
        <stp/>
        <stp>d7c1c2f1-bc69-4449-b9ed-5aee4c6faf38</stp>
        <stp>1</stp>
        <tr r="G57" s="1"/>
      </tp>
    </main>
    <main first="rtdsrv.129c49f2ce4b4bb1a7bd18b2ba98a2de">
      <tp t="e">
        <v>#N/A</v>
        <stp/>
        <stp>ab0a0eff-0210-4273-8c0f-c88b70072822</stp>
        <stp>1</stp>
        <tr r="K32" s="1"/>
      </tp>
    </main>
    <main first="rtdsrv.129c49f2ce4b4bb1a7bd18b2ba98a2de">
      <tp t="e">
        <v>#N/A</v>
        <stp/>
        <stp>56b229db-314e-49a2-ab19-3a4768d445cd</stp>
        <stp>1</stp>
        <tr r="D33" s="1"/>
      </tp>
      <tp t="e">
        <v>#N/A</v>
        <stp/>
        <stp>fff3339e-d97f-43ff-8c50-ccbcdc8cac21</stp>
        <stp>1</stp>
        <tr r="I56" s="1"/>
      </tp>
      <tp t="e">
        <v>#N/A</v>
        <stp/>
        <stp>d1b3d477-6deb-487f-a6b7-2c1f439d30aa</stp>
        <stp>1</stp>
        <tr r="H47" s="1"/>
      </tp>
      <tp t="e">
        <v>#N/A</v>
        <stp/>
        <stp>44a400bb-4f1e-44d0-9268-06f0ff4c70eb</stp>
        <stp>1</stp>
        <tr r="F70" s="1"/>
      </tp>
      <tp t="e">
        <v>#N/A</v>
        <stp/>
        <stp>dac00e2f-164b-4ebf-862d-69223d1a18f7</stp>
        <stp>1</stp>
        <tr r="G65" s="1"/>
      </tp>
      <tp t="e">
        <v>#N/A</v>
        <stp/>
        <stp>022ebd91-15dd-4e76-aa59-0542083d73f9</stp>
        <stp>1</stp>
        <tr r="L34" s="1"/>
      </tp>
    </main>
    <main first="rtdsrv.129c49f2ce4b4bb1a7bd18b2ba98a2de">
      <tp t="e">
        <v>#N/A</v>
        <stp/>
        <stp>01fc682e-e73a-4e2d-8a66-20f10a8cc36a</stp>
        <stp>1</stp>
        <tr r="D22" s="1"/>
      </tp>
      <tp t="e">
        <v>#N/A</v>
        <stp/>
        <stp>f30d0ab4-396d-4817-9976-5be3df18a0a7</stp>
        <stp>1</stp>
        <tr r="K54" s="1"/>
      </tp>
      <tp t="e">
        <v>#N/A</v>
        <stp/>
        <stp>863d1307-352e-4272-8c26-361601f01e66</stp>
        <stp>1</stp>
        <tr r="E40" s="1"/>
      </tp>
      <tp t="e">
        <v>#N/A</v>
        <stp/>
        <stp>cd2d181e-5f49-48a5-aaad-a8978b9b862b</stp>
        <stp>1</stp>
        <tr r="G37" s="1"/>
      </tp>
    </main>
    <main first="rtdsrv.129c49f2ce4b4bb1a7bd18b2ba98a2de">
      <tp t="e">
        <v>#N/A</v>
        <stp/>
        <stp>0fde9fea-aced-48a8-8e21-16ce6009fa8f</stp>
        <stp>1</stp>
        <tr r="G70" s="1"/>
      </tp>
      <tp t="e">
        <v>#N/A</v>
        <stp/>
        <stp>951ef484-d7a9-4856-b10a-1b13c51f9e9d</stp>
        <stp>1</stp>
        <tr r="I22" s="1"/>
      </tp>
    </main>
    <main first="rtdsrv.129c49f2ce4b4bb1a7bd18b2ba98a2de">
      <tp t="e">
        <v>#N/A</v>
        <stp/>
        <stp>989c4828-130e-4ebd-9533-42d4034a8b89</stp>
        <stp>1</stp>
        <tr r="J50" s="1"/>
      </tp>
    </main>
    <main first="rtdsrv.129c49f2ce4b4bb1a7bd18b2ba98a2de">
      <tp t="e">
        <v>#N/A</v>
        <stp/>
        <stp>b1b03b6a-8cc5-424f-ad88-6ee30d584ec1</stp>
        <stp>1</stp>
        <tr r="C22" s="1"/>
      </tp>
    </main>
    <main first="rtdsrv.129c49f2ce4b4bb1a7bd18b2ba98a2de">
      <tp t="e">
        <v>#N/A</v>
        <stp/>
        <stp>015d2368-ba05-46d6-87cf-7fd1a8706148</stp>
        <stp>1</stp>
        <tr r="G24" s="1"/>
      </tp>
      <tp t="e">
        <v>#N/A</v>
        <stp/>
        <stp>82d46eb2-ca3b-46ac-9154-88ce30b73dd3</stp>
        <stp>1</stp>
        <tr r="L36" s="1"/>
      </tp>
    </main>
    <main first="rtdsrv.129c49f2ce4b4bb1a7bd18b2ba98a2de">
      <tp t="e">
        <v>#N/A</v>
        <stp/>
        <stp>71826dba-8895-41fd-ad55-defb0ee28e30</stp>
        <stp>1</stp>
        <tr r="E25" s="1"/>
      </tp>
      <tp t="e">
        <v>#N/A</v>
        <stp/>
        <stp>ceaa92b2-4ef4-4f4b-8e58-75650126cd12</stp>
        <stp>1</stp>
        <tr r="J70" s="1"/>
      </tp>
    </main>
    <main first="rtdsrv.129c49f2ce4b4bb1a7bd18b2ba98a2de">
      <tp t="e">
        <v>#N/A</v>
        <stp/>
        <stp>44a10db9-a9c0-4617-a9bd-5406ac446b1d</stp>
        <stp>1</stp>
        <tr r="G15" s="1"/>
      </tp>
    </main>
    <main first="rtdsrv.129c49f2ce4b4bb1a7bd18b2ba98a2de">
      <tp t="e">
        <v>#N/A</v>
        <stp/>
        <stp>68d6e3c5-8b98-44e8-ae39-f7db4243e85d</stp>
        <stp>1</stp>
        <tr r="H63" s="1"/>
      </tp>
    </main>
    <main first="rtdsrv.129c49f2ce4b4bb1a7bd18b2ba98a2de">
      <tp t="e">
        <v>#N/A</v>
        <stp/>
        <stp>eba0a774-3cce-4e86-993d-c060d25251bc</stp>
        <stp>1</stp>
        <tr r="E65" s="1"/>
      </tp>
      <tp t="e">
        <v>#N/A</v>
        <stp/>
        <stp>d6b31336-779e-4837-a1b2-30281811be36</stp>
        <stp>1</stp>
        <tr r="L17" s="1"/>
      </tp>
    </main>
    <main first="rtdsrv.129c49f2ce4b4bb1a7bd18b2ba98a2de">
      <tp t="e">
        <v>#N/A</v>
        <stp/>
        <stp>823dcdfc-14ed-405e-849f-1b27b4d69351</stp>
        <stp>1</stp>
        <tr r="J23" s="1"/>
      </tp>
    </main>
    <main first="rtdsrv.129c49f2ce4b4bb1a7bd18b2ba98a2de">
      <tp t="e">
        <v>#N/A</v>
        <stp/>
        <stp>1447360c-362f-4121-8b32-237fdcd1755b</stp>
        <stp>1</stp>
        <tr r="K60" s="1"/>
      </tp>
    </main>
    <main first="rtdsrv.129c49f2ce4b4bb1a7bd18b2ba98a2de">
      <tp t="e">
        <v>#N/A</v>
        <stp/>
        <stp>65e6ea9e-f17d-4230-ab6f-0f4d0dd13818</stp>
        <stp>1</stp>
        <tr r="G22" s="1"/>
      </tp>
    </main>
    <main first="rtdsrv.129c49f2ce4b4bb1a7bd18b2ba98a2de">
      <tp t="e">
        <v>#N/A</v>
        <stp/>
        <stp>f5908a9d-5116-4a54-8032-e811f9ecfd44</stp>
        <stp>1</stp>
        <tr r="H58" s="1"/>
      </tp>
    </main>
    <main first="rtdsrv.129c49f2ce4b4bb1a7bd18b2ba98a2de">
      <tp t="e">
        <v>#N/A</v>
        <stp/>
        <stp>b3d86e97-bbc8-4305-b1ba-7370c4eb0005</stp>
        <stp>1</stp>
        <tr r="G62" s="1"/>
      </tp>
    </main>
    <main first="rtdsrv.129c49f2ce4b4bb1a7bd18b2ba98a2de">
      <tp t="e">
        <v>#N/A</v>
        <stp/>
        <stp>32e4e4d2-888a-4a51-a845-5fd6cda4e77f</stp>
        <stp>1</stp>
        <tr r="I37" s="1"/>
      </tp>
      <tp t="e">
        <v>#N/A</v>
        <stp/>
        <stp>010deeee-7311-4950-b0b4-d75644f785e0</stp>
        <stp>1</stp>
        <tr r="C77" s="1"/>
      </tp>
    </main>
    <main first="rtdsrv.129c49f2ce4b4bb1a7bd18b2ba98a2de">
      <tp t="e">
        <v>#N/A</v>
        <stp/>
        <stp>ee032481-56c1-448e-bba4-727e0bf14eb9</stp>
        <stp>1</stp>
        <tr r="D75" s="1"/>
      </tp>
    </main>
    <main first="rtdsrv.129c49f2ce4b4bb1a7bd18b2ba98a2de">
      <tp t="e">
        <v>#N/A</v>
        <stp/>
        <stp>3392bfcd-a66c-42fc-9a7a-27bb9836232e</stp>
        <stp>1</stp>
        <tr r="F64" s="1"/>
      </tp>
      <tp t="e">
        <v>#N/A</v>
        <stp/>
        <stp>310bea63-4df8-4ddc-a658-034c3b593852</stp>
        <stp>1</stp>
        <tr r="H65" s="1"/>
      </tp>
    </main>
    <main first="rtdsrv.129c49f2ce4b4bb1a7bd18b2ba98a2de">
      <tp t="e">
        <v>#N/A</v>
        <stp/>
        <stp>1eb1e5b8-258a-44f0-bbac-d3744cf1b208</stp>
        <stp>1</stp>
        <tr r="J42" s="1"/>
      </tp>
      <tp t="e">
        <v>#N/A</v>
        <stp/>
        <stp>acd5fa97-8150-4ee8-80bd-6d8fc8ac49b5</stp>
        <stp>1</stp>
        <tr r="I24" s="1"/>
      </tp>
      <tp t="e">
        <v>#N/A</v>
        <stp/>
        <stp>02519be7-b16d-42f2-9931-ee1cdf1a26ec</stp>
        <stp>1</stp>
        <tr r="H46" s="1"/>
      </tp>
    </main>
    <main first="rtdsrv.129c49f2ce4b4bb1a7bd18b2ba98a2de">
      <tp t="e">
        <v>#N/A</v>
        <stp/>
        <stp>ffa75aae-9646-4c17-8b33-c30088eb76e2</stp>
        <stp>1</stp>
        <tr r="E46" s="1"/>
      </tp>
      <tp t="e">
        <v>#N/A</v>
        <stp/>
        <stp>0ac2b2b8-b133-4239-b94d-7fb277833665</stp>
        <stp>1</stp>
        <tr r="K76" s="1"/>
      </tp>
      <tp t="e">
        <v>#N/A</v>
        <stp/>
        <stp>19c0397e-4842-4bda-bcf4-8a94f4416b19</stp>
        <stp>1</stp>
        <tr r="K49" s="1"/>
      </tp>
      <tp t="e">
        <v>#N/A</v>
        <stp/>
        <stp>1c7ca431-e3c1-40a1-b499-e3c45b688452</stp>
        <stp>1</stp>
        <tr r="F53" s="1"/>
      </tp>
    </main>
    <main first="rtdsrv.129c49f2ce4b4bb1a7bd18b2ba98a2de">
      <tp t="e">
        <v>#N/A</v>
        <stp/>
        <stp>1c4ecbc1-de3e-4c17-98cf-0aa5fded5051</stp>
        <stp>1</stp>
        <tr r="D62" s="1"/>
      </tp>
    </main>
    <main first="rtdsrv.129c49f2ce4b4bb1a7bd18b2ba98a2de">
      <tp t="e">
        <v>#N/A</v>
        <stp/>
        <stp>4f35c5c5-6bd5-4a14-84f9-d2c61c97a55a</stp>
        <stp>1</stp>
        <tr r="F47" s="1"/>
      </tp>
    </main>
    <main first="rtdsrv.129c49f2ce4b4bb1a7bd18b2ba98a2de">
      <tp t="e">
        <v>#N/A</v>
        <stp/>
        <stp>b5f64af5-7e05-4fed-9116-dd9722b40b22</stp>
        <stp>1</stp>
        <tr r="C67" s="1"/>
      </tp>
    </main>
    <main first="rtdsrv.129c49f2ce4b4bb1a7bd18b2ba98a2de">
      <tp t="e">
        <v>#N/A</v>
        <stp/>
        <stp>b9e93f11-ca0c-449e-a4ef-50ba3dbd7a55</stp>
        <stp>1</stp>
        <tr r="F77" s="1"/>
      </tp>
      <tp t="e">
        <v>#N/A</v>
        <stp/>
        <stp>771334a0-f91f-44ec-8251-65c456e2868e</stp>
        <stp>1</stp>
        <tr r="K77" s="1"/>
      </tp>
    </main>
    <main first="rtdsrv.129c49f2ce4b4bb1a7bd18b2ba98a2de">
      <tp t="e">
        <v>#N/A</v>
        <stp/>
        <stp>3c9e6277-a66c-4952-9132-71989e1bc4dc</stp>
        <stp>1</stp>
        <tr r="F63" s="1"/>
      </tp>
      <tp t="e">
        <v>#N/A</v>
        <stp/>
        <stp>717587c2-ea79-4e9d-853c-a1424076c854</stp>
        <stp>1</stp>
        <tr r="H64" s="1"/>
      </tp>
    </main>
    <main first="rtdsrv.129c49f2ce4b4bb1a7bd18b2ba98a2de">
      <tp t="e">
        <v>#N/A</v>
        <stp/>
        <stp>59f762a3-c4f7-4231-b14a-71382a2626aa</stp>
        <stp>1</stp>
        <tr r="F29" s="1"/>
      </tp>
    </main>
    <main first="rtdsrv.129c49f2ce4b4bb1a7bd18b2ba98a2de">
      <tp t="e">
        <v>#N/A</v>
        <stp/>
        <stp>53f101b9-5b88-454a-96db-992214900f4c</stp>
        <stp>1</stp>
        <tr r="E75" s="1"/>
      </tp>
      <tp t="e">
        <v>#N/A</v>
        <stp/>
        <stp>b2a9e553-5b70-4732-a696-8912956543d1</stp>
        <stp>1</stp>
        <tr r="H41" s="1"/>
      </tp>
      <tp t="e">
        <v>#N/A</v>
        <stp/>
        <stp>60333c94-6c5e-4c1f-841a-1a9015eba07f</stp>
        <stp>1</stp>
        <tr r="E68" s="1"/>
      </tp>
      <tp t="e">
        <v>#N/A</v>
        <stp/>
        <stp>2c70521c-e700-410a-9423-23d1697c39ad</stp>
        <stp>1</stp>
        <tr r="I17" s="1"/>
      </tp>
    </main>
    <main first="rtdsrv.129c49f2ce4b4bb1a7bd18b2ba98a2de">
      <tp t="e">
        <v>#N/A</v>
        <stp/>
        <stp>a0bcfefd-f8e5-4fc5-85a1-d06b98faa43c</stp>
        <stp>1</stp>
        <tr r="L76" s="1"/>
      </tp>
      <tp t="e">
        <v>#N/A</v>
        <stp/>
        <stp>b9655e87-4222-43ba-884d-c790d11ff481</stp>
        <stp>1</stp>
        <tr r="I57" s="1"/>
      </tp>
      <tp t="e">
        <v>#N/A</v>
        <stp/>
        <stp>4c0d5e82-99d6-423d-89de-37d53a14cd5e</stp>
        <stp>1</stp>
        <tr r="G64" s="1"/>
      </tp>
      <tp t="e">
        <v>#N/A</v>
        <stp/>
        <stp>55d39543-36ba-4e98-8e2a-90217171a18c</stp>
        <stp>1</stp>
        <tr r="H75" s="1"/>
      </tp>
    </main>
    <main first="rtdsrv.129c49f2ce4b4bb1a7bd18b2ba98a2de">
      <tp t="e">
        <v>#N/A</v>
        <stp/>
        <stp>1424c372-c51e-4f05-8727-9de455a3ab42</stp>
        <stp>1</stp>
        <tr r="H59" s="1"/>
      </tp>
      <tp t="e">
        <v>#N/A</v>
        <stp/>
        <stp>973b997f-945a-4915-8411-73b1015d1f09</stp>
        <stp>1</stp>
        <tr r="H37" s="1"/>
      </tp>
      <tp t="e">
        <v>#N/A</v>
        <stp/>
        <stp>38b71c2c-af66-4b88-98a2-faba057e0cea</stp>
        <stp>1</stp>
        <tr r="J25" s="1"/>
      </tp>
    </main>
    <main first="rtdsrv.129c49f2ce4b4bb1a7bd18b2ba98a2de">
      <tp t="e">
        <v>#N/A</v>
        <stp/>
        <stp>c0e3bc2d-70fe-453b-8ea6-c1facf37a9a6</stp>
        <stp>1</stp>
        <tr r="L33" s="1"/>
      </tp>
      <tp t="e">
        <v>#N/A</v>
        <stp/>
        <stp>a5020d1c-a5fa-4a96-81b8-90d81782cc68</stp>
        <stp>1</stp>
        <tr r="L42" s="1"/>
      </tp>
      <tp t="e">
        <v>#N/A</v>
        <stp/>
        <stp>c8e134a6-6963-47e6-829b-bb696b6b0c49</stp>
        <stp>1</stp>
        <tr r="L57" s="1"/>
      </tp>
    </main>
    <main first="rtdsrv.129c49f2ce4b4bb1a7bd18b2ba98a2de">
      <tp t="e">
        <v>#N/A</v>
        <stp/>
        <stp>4734c074-2184-4d61-ab68-6cf3f8d764ae</stp>
        <stp>1</stp>
        <tr r="D34" s="1"/>
      </tp>
      <tp t="e">
        <v>#N/A</v>
        <stp/>
        <stp>9e167ab2-4cc2-4efd-970b-975ff884ccc5</stp>
        <stp>1</stp>
        <tr r="H56" s="1"/>
      </tp>
    </main>
    <main first="rtdsrv.129c49f2ce4b4bb1a7bd18b2ba98a2de">
      <tp t="e">
        <v>#N/A</v>
        <stp/>
        <stp>3fb13727-918f-40d0-bc60-ed4910a9c850</stp>
        <stp>1</stp>
        <tr r="K59" s="1"/>
      </tp>
      <tp t="e">
        <v>#N/A</v>
        <stp/>
        <stp>76ec270e-aeb7-4b6a-94f6-1e754d55cf6c</stp>
        <stp>1</stp>
        <tr r="E70" s="1"/>
      </tp>
      <tp t="e">
        <v>#N/A</v>
        <stp/>
        <stp>c754dd55-e72e-420d-8822-49af845a195b</stp>
        <stp>1</stp>
        <tr r="G16" s="1"/>
      </tp>
    </main>
    <main first="rtdsrv.129c49f2ce4b4bb1a7bd18b2ba98a2de">
      <tp t="e">
        <v>#N/A</v>
        <stp/>
        <stp>8f9f28ca-5d1e-4d6c-8c23-0498eda7ab69</stp>
        <stp>1</stp>
        <tr r="G77" s="1"/>
      </tp>
      <tp t="e">
        <v>#N/A</v>
        <stp/>
        <stp>53a2c10e-7589-4430-a662-a74b307a667e</stp>
        <stp>1</stp>
        <tr r="L27" s="1"/>
      </tp>
    </main>
    <main first="rtdsrv.129c49f2ce4b4bb1a7bd18b2ba98a2de">
      <tp t="e">
        <v>#N/A</v>
        <stp/>
        <stp>87be0996-b420-4151-82a1-e1e7e93b019a</stp>
        <stp>1</stp>
        <tr r="E73" s="1"/>
      </tp>
      <tp t="e">
        <v>#N/A</v>
        <stp/>
        <stp>9b1571b9-0491-4f99-8a76-68439ec7d143</stp>
        <stp>1</stp>
        <tr r="E47" s="1"/>
      </tp>
    </main>
    <main first="rtdsrv.129c49f2ce4b4bb1a7bd18b2ba98a2de">
      <tp t="e">
        <v>#N/A</v>
        <stp/>
        <stp>cfb926c2-d2fc-4369-a5ee-35be1ccb0fad</stp>
        <stp>1</stp>
        <tr r="K42" s="1"/>
      </tp>
      <tp t="e">
        <v>#N/A</v>
        <stp/>
        <stp>5922a92f-5fa2-463b-87de-6004d40b3ae1</stp>
        <stp>1</stp>
        <tr r="K67" s="1"/>
      </tp>
      <tp t="e">
        <v>#N/A</v>
        <stp/>
        <stp>c247029d-905c-4a68-9cfa-786a33c7a0f4</stp>
        <stp>1</stp>
        <tr r="J60" s="1"/>
      </tp>
      <tp t="e">
        <v>#N/A</v>
        <stp/>
        <stp>c9ea6164-e16b-4121-b64a-ec5c6798ae47</stp>
        <stp>1</stp>
        <tr r="E57" s="1"/>
      </tp>
      <tp t="e">
        <v>#N/A</v>
        <stp/>
        <stp>7769cc9d-b2db-4eb7-88ac-1b68953ee94e</stp>
        <stp>1</stp>
        <tr r="F67" s="1"/>
      </tp>
    </main>
    <main first="rtdsrv.129c49f2ce4b4bb1a7bd18b2ba98a2de">
      <tp t="e">
        <v>#N/A</v>
        <stp/>
        <stp>5250b0a7-b2fd-4d22-93fa-ebb3c955249f</stp>
        <stp>1</stp>
        <tr r="L77" s="1"/>
      </tp>
      <tp t="e">
        <v>#N/A</v>
        <stp/>
        <stp>10cc8f83-1786-455e-a36b-82acb407eb54</stp>
        <stp>1</stp>
        <tr r="I40" s="1"/>
      </tp>
      <tp t="e">
        <v>#N/A</v>
        <stp/>
        <stp>8c864f89-a370-4731-bc8c-06c59f85c5c1</stp>
        <stp>1</stp>
        <tr r="J49" s="1"/>
      </tp>
    </main>
    <main first="rtdsrv.129c49f2ce4b4bb1a7bd18b2ba98a2de">
      <tp t="e">
        <v>#N/A</v>
        <stp/>
        <stp>225f441f-7175-40a9-9664-678bceec577c</stp>
        <stp>1</stp>
        <tr r="F69" s="1"/>
      </tp>
      <tp t="e">
        <v>#N/A</v>
        <stp/>
        <stp>4ec94c43-7f45-466d-a01c-42b660a243c1</stp>
        <stp>1</stp>
        <tr r="K62" s="1"/>
      </tp>
    </main>
    <main first="rtdsrv.129c49f2ce4b4bb1a7bd18b2ba98a2de">
      <tp t="e">
        <v>#N/A</v>
        <stp/>
        <stp>a75e495f-1d3c-438b-bf40-e56b0d4df148</stp>
        <stp>1</stp>
        <tr r="G53" s="1"/>
      </tp>
      <tp t="e">
        <v>#N/A</v>
        <stp/>
        <stp>1d9fa91b-adf3-4f50-9e59-9ec94a5be509</stp>
        <stp>1</stp>
        <tr r="F56" s="1"/>
      </tp>
      <tp t="e">
        <v>#N/A</v>
        <stp/>
        <stp>ac69f01d-0b32-4754-a95d-811f8753bc32</stp>
        <stp>1</stp>
        <tr r="H28" s="1"/>
      </tp>
    </main>
    <main first="rtdsrv.129c49f2ce4b4bb1a7bd18b2ba98a2de">
      <tp t="e">
        <v>#N/A</v>
        <stp/>
        <stp>57c88276-b8d0-4c3e-b74d-f423b210a097</stp>
        <stp>1</stp>
        <tr r="K56" s="1"/>
      </tp>
      <tp t="e">
        <v>#N/A</v>
        <stp/>
        <stp>2f6f0651-7484-4685-b9ab-f828e01ef739</stp>
        <stp>1</stp>
        <tr r="C70" s="1"/>
      </tp>
    </main>
    <main first="rtdsrv.129c49f2ce4b4bb1a7bd18b2ba98a2de">
      <tp t="e">
        <v>#N/A</v>
        <stp/>
        <stp>f8d333a7-4f8c-4323-bab0-5d4e4b5f7951</stp>
        <stp>1</stp>
        <tr r="G36" s="1"/>
      </tp>
      <tp t="e">
        <v>#N/A</v>
        <stp/>
        <stp>4452839d-34ed-4c5e-8910-309106744c62</stp>
        <stp>1</stp>
        <tr r="L41" s="1"/>
      </tp>
      <tp t="e">
        <v>#N/A</v>
        <stp/>
        <stp>ee1db57e-9dd7-42cb-af0d-ace3129947dc</stp>
        <stp>1</stp>
        <tr r="D41" s="1"/>
      </tp>
      <tp t="e">
        <v>#N/A</v>
        <stp/>
        <stp>06c619f8-3d23-4df2-9aa8-c3f0aa08f216</stp>
        <stp>1</stp>
        <tr r="J61" s="1"/>
      </tp>
      <tp t="e">
        <v>#N/A</v>
        <stp/>
        <stp>325dd339-8e66-47df-a23f-2373bf5d11d5</stp>
        <stp>1</stp>
        <tr r="J41" s="1"/>
      </tp>
    </main>
    <main first="rtdsrv.129c49f2ce4b4bb1a7bd18b2ba98a2de">
      <tp t="e">
        <v>#N/A</v>
        <stp/>
        <stp>8d6cb3c4-b4a8-4957-b511-df3f7d4bec56</stp>
        <stp>1</stp>
        <tr r="H16" s="1"/>
      </tp>
      <tp t="e">
        <v>#N/A</v>
        <stp/>
        <stp>df7a34ef-d5d5-4a22-97c6-3d668801948c</stp>
        <stp>1</stp>
        <tr r="F41" s="1"/>
      </tp>
      <tp t="e">
        <v>#N/A</v>
        <stp/>
        <stp>13a87d29-cb35-4bb8-8142-58f9ba99bb77</stp>
        <stp>1</stp>
        <tr r="E62" s="1"/>
      </tp>
      <tp t="e">
        <v>#N/A</v>
        <stp/>
        <stp>0d20e458-13c4-43ea-b241-8bd177cd2a50</stp>
        <stp>1</stp>
        <tr r="I73" s="1"/>
      </tp>
    </main>
    <main first="rtdsrv.129c49f2ce4b4bb1a7bd18b2ba98a2de">
      <tp t="e">
        <v>#N/A</v>
        <stp/>
        <stp>4829090a-06f9-421a-8065-233157293d9c</stp>
        <stp>1</stp>
        <tr r="H70" s="1"/>
      </tp>
    </main>
    <main first="rtdsrv.129c49f2ce4b4bb1a7bd18b2ba98a2de">
      <tp t="e">
        <v>#N/A</v>
        <stp/>
        <stp>3f00c3eb-061a-4435-8eb4-fd940c863a12</stp>
        <stp>1</stp>
        <tr r="K41" s="1"/>
      </tp>
    </main>
    <main first="rtdsrv.129c49f2ce4b4bb1a7bd18b2ba98a2de">
      <tp t="e">
        <v>#N/A</v>
        <stp/>
        <stp>0e19c9e4-2c83-4379-8553-d364e184cc7a</stp>
        <stp>1</stp>
        <tr r="J29" s="1"/>
      </tp>
    </main>
    <main first="rtdsrv.129c49f2ce4b4bb1a7bd18b2ba98a2de">
      <tp t="e">
        <v>#N/A</v>
        <stp/>
        <stp>097754df-1f51-4cdc-af9e-3abadaaaf5e9</stp>
        <stp>1</stp>
        <tr r="E16" s="1"/>
      </tp>
    </main>
    <main first="rtdsrv.129c49f2ce4b4bb1a7bd18b2ba98a2de">
      <tp t="e">
        <v>#N/A</v>
        <stp/>
        <stp>12b4c1da-184d-4bc8-9035-8c9467e304cc</stp>
        <stp>1</stp>
        <tr r="D21" s="1"/>
      </tp>
    </main>
    <main first="rtdsrv.129c49f2ce4b4bb1a7bd18b2ba98a2de">
      <tp t="e">
        <v>#N/A</v>
        <stp/>
        <stp>31fa0b5f-6660-410d-82b6-f5b071e524ec</stp>
        <stp>1</stp>
        <tr r="F17" s="1"/>
      </tp>
      <tp t="e">
        <v>#N/A</v>
        <stp/>
        <stp>6a62364e-1df4-49e1-8b6b-a099353c41e4</stp>
        <stp>1</stp>
        <tr r="F75" s="1"/>
      </tp>
    </main>
    <main first="rtdsrv.129c49f2ce4b4bb1a7bd18b2ba98a2de">
      <tp t="e">
        <v>#N/A</v>
        <stp/>
        <stp>2c69af64-868c-4117-9fc9-f117fd6d1500</stp>
        <stp>1</stp>
        <tr r="I61" s="1"/>
      </tp>
      <tp t="e">
        <v>#N/A</v>
        <stp/>
        <stp>17524d3c-3fc0-4e42-9963-782c990ca8a0</stp>
        <stp>1</stp>
        <tr r="L64" s="1"/>
      </tp>
    </main>
    <main first="rtdsrv.129c49f2ce4b4bb1a7bd18b2ba98a2de">
      <tp t="e">
        <v>#N/A</v>
        <stp/>
        <stp>1262e029-1d2e-4eb5-bca0-f0e52d7c01b6</stp>
        <stp>1</stp>
        <tr r="C21" s="1"/>
      </tp>
    </main>
    <main first="rtdsrv.129c49f2ce4b4bb1a7bd18b2ba98a2de">
      <tp t="e">
        <v>#N/A</v>
        <stp/>
        <stp>d68beb33-c40f-488c-b852-12343f22cdac</stp>
        <stp>1</stp>
        <tr r="G43" s="1"/>
      </tp>
    </main>
    <main first="rtdsrv.129c49f2ce4b4bb1a7bd18b2ba98a2de">
      <tp t="e">
        <v>#N/A</v>
        <stp/>
        <stp>d98ea006-940d-4ca7-a5f9-0a5fd5f8eaca</stp>
        <stp>1</stp>
        <tr r="I53" s="1"/>
      </tp>
    </main>
    <main first="rtdsrv.129c49f2ce4b4bb1a7bd18b2ba98a2de">
      <tp t="e">
        <v>#N/A</v>
        <stp/>
        <stp>8b0a8e94-a9c2-41b7-a257-dd969952d9f3</stp>
        <stp>1</stp>
        <tr r="D66" s="1"/>
      </tp>
    </main>
    <main first="rtdsrv.129c49f2ce4b4bb1a7bd18b2ba98a2de">
      <tp t="e">
        <v>#N/A</v>
        <stp/>
        <stp>3593ae61-4cf2-4de8-a66f-8e07c6ff084a</stp>
        <stp>1</stp>
        <tr r="G67" s="1"/>
      </tp>
      <tp t="e">
        <v>#N/A</v>
        <stp/>
        <stp>94bfe67d-02cc-4d1a-8083-188cbe894be6</stp>
        <stp>1</stp>
        <tr r="I55" s="1"/>
      </tp>
    </main>
    <main first="rtdsrv.129c49f2ce4b4bb1a7bd18b2ba98a2de">
      <tp t="e">
        <v>#N/A</v>
        <stp/>
        <stp>49bac432-2980-4162-b563-35fa19d98711</stp>
        <stp>1</stp>
        <tr r="K64" s="1"/>
      </tp>
      <tp t="e">
        <v>#N/A</v>
        <stp/>
        <stp>4d190b70-3824-4dc6-8fba-c7a182541383</stp>
        <stp>1</stp>
        <tr r="G42" s="1"/>
      </tp>
      <tp t="e">
        <v>#N/A</v>
        <stp/>
        <stp>b1fe9896-7b25-4b3a-b6e9-04559b661913</stp>
        <stp>1</stp>
        <tr r="L73" s="1"/>
      </tp>
    </main>
    <main first="rtdsrv.129c49f2ce4b4bb1a7bd18b2ba98a2de">
      <tp t="e">
        <v>#N/A</v>
        <stp/>
        <stp>cea0da8d-234f-44ec-9293-be392c6f689c</stp>
        <stp>1</stp>
        <tr r="C68" s="1"/>
      </tp>
    </main>
    <main first="rtdsrv.129c49f2ce4b4bb1a7bd18b2ba98a2de">
      <tp t="e">
        <v>#N/A</v>
        <stp/>
        <stp>4dc6d46b-daf3-42e9-a12d-a62ffa8ea913</stp>
        <stp>1</stp>
        <tr r="L37" s="1"/>
      </tp>
    </main>
    <main first="rtdsrv.129c49f2ce4b4bb1a7bd18b2ba98a2de">
      <tp t="e">
        <v>#N/A</v>
        <stp/>
        <stp>ff9a476e-1624-44eb-a285-562a6d27d22d</stp>
        <stp>1</stp>
        <tr r="G41" s="1"/>
      </tp>
    </main>
    <main first="rtdsrv.129c49f2ce4b4bb1a7bd18b2ba98a2de">
      <tp t="e">
        <v>#N/A</v>
        <stp/>
        <stp>d3dea066-6238-4858-b8f4-ce29790636ad</stp>
        <stp>1</stp>
        <tr r="K73" s="1"/>
      </tp>
      <tp t="e">
        <v>#N/A</v>
        <stp/>
        <stp>0fa42b35-31e6-44c2-9b0e-b14e45597d7d</stp>
        <stp>1</stp>
        <tr r="E58" s="1"/>
      </tp>
    </main>
    <main first="rtdsrv.129c49f2ce4b4bb1a7bd18b2ba98a2de">
      <tp t="e">
        <v>#N/A</v>
        <stp/>
        <stp>ae96fa9d-a62d-4a57-93ab-ab2ecef92285</stp>
        <stp>1</stp>
        <tr r="J66" s="1"/>
      </tp>
      <tp t="e">
        <v>#N/A</v>
        <stp/>
        <stp>7101ed68-a2f0-41f7-94c4-8d034d776142</stp>
        <stp>1</stp>
        <tr r="E74" s="1"/>
      </tp>
    </main>
    <main first="rtdsrv.129c49f2ce4b4bb1a7bd18b2ba98a2de">
      <tp t="e">
        <v>#N/A</v>
        <stp/>
        <stp>71d45ad0-a40b-4083-ab2d-17fb1dbd16f2</stp>
        <stp>1</stp>
        <tr r="D60" s="1"/>
      </tp>
      <tp t="e">
        <v>#N/A</v>
        <stp/>
        <stp>8cda0991-8751-4879-9865-6ef08a101815</stp>
        <stp>1</stp>
        <tr r="E54" s="1"/>
      </tp>
    </main>
    <main first="rtdsrv.129c49f2ce4b4bb1a7bd18b2ba98a2de">
      <tp t="e">
        <v>#N/A</v>
        <stp/>
        <stp>9708f0b0-1d9e-482b-9710-a4f7563ff260</stp>
        <stp>1</stp>
        <tr r="E29" s="1"/>
      </tp>
      <tp t="e">
        <v>#N/A</v>
        <stp/>
        <stp>7fdd67c1-2fe7-43f3-83a9-c819489f9a15</stp>
        <stp>1</stp>
        <tr r="H40" s="1"/>
      </tp>
      <tp t="e">
        <v>#N/A</v>
        <stp/>
        <stp>a77b60f9-ff94-4a95-bef7-0c1069924812</stp>
        <stp>1</stp>
        <tr r="I32" s="1"/>
      </tp>
    </main>
    <main first="rtdsrv.129c49f2ce4b4bb1a7bd18b2ba98a2de">
      <tp t="e">
        <v>#N/A</v>
        <stp/>
        <stp>27446d7a-ba52-49c9-8b40-2df34b413162</stp>
        <stp>1</stp>
        <tr r="G29" s="1"/>
      </tp>
    </main>
    <main first="rtdsrv.129c49f2ce4b4bb1a7bd18b2ba98a2de">
      <tp t="e">
        <v>#N/A</v>
        <stp/>
        <stp>a23f53d7-8c38-4e24-a620-e21e8d8e4587</stp>
        <stp>1</stp>
        <tr r="G50" s="1"/>
      </tp>
    </main>
    <main first="rtdsrv.129c49f2ce4b4bb1a7bd18b2ba98a2de">
      <tp t="e">
        <v>#N/A</v>
        <stp/>
        <stp>0a082a54-531c-45fd-94a5-171d021742b3</stp>
        <stp>1</stp>
        <tr r="D40" s="1"/>
      </tp>
      <tp t="e">
        <v>#N/A</v>
        <stp/>
        <stp>56b840d2-c2ac-4ace-ab5e-bd4b24394caa</stp>
        <stp>1</stp>
        <tr r="K53" s="1"/>
      </tp>
    </main>
    <main first="rtdsrv.129c49f2ce4b4bb1a7bd18b2ba98a2de">
      <tp t="e">
        <v>#N/A</v>
        <stp/>
        <stp>25753307-7606-4fa7-a12d-bf5ed34ed8dd</stp>
        <stp>1</stp>
        <tr r="C29" s="1"/>
      </tp>
      <tp t="e">
        <v>#N/A</v>
        <stp/>
        <stp>b7a92a48-fb4b-486a-8d5d-3b7b55b3c685</stp>
        <stp>1</stp>
        <tr r="H53" s="1"/>
      </tp>
      <tp t="e">
        <v>#N/A</v>
        <stp/>
        <stp>0eeab9e8-88c8-43d3-8208-4d64404af024</stp>
        <stp>1</stp>
        <tr r="F30" s="1"/>
      </tp>
      <tp t="e">
        <v>#N/A</v>
        <stp/>
        <stp>92eff28e-c81e-4e32-a631-6d40c40a0247</stp>
        <stp>1</stp>
        <tr r="J53" s="1"/>
      </tp>
      <tp t="e">
        <v>#N/A</v>
        <stp/>
        <stp>9aadd5a9-c3d4-4e85-8dd5-8dc7afc774a4</stp>
        <stp>1</stp>
        <tr r="I77" s="1"/>
      </tp>
    </main>
    <main first="rtdsrv.129c49f2ce4b4bb1a7bd18b2ba98a2de">
      <tp t="e">
        <v>#N/A</v>
        <stp/>
        <stp>9cead132-b134-43fa-a09c-a3db25535b13</stp>
        <stp>1</stp>
        <tr r="D26" s="1"/>
      </tp>
      <tp t="e">
        <v>#N/A</v>
        <stp/>
        <stp>95c691bf-9b37-456e-88a5-0648b7405d96</stp>
        <stp>1</stp>
        <tr r="J28" s="1"/>
      </tp>
      <tp t="e">
        <v>#N/A</v>
        <stp/>
        <stp>4efa5941-94ef-4088-a83e-9355d821fa80</stp>
        <stp>1</stp>
        <tr r="L32" s="1"/>
      </tp>
    </main>
    <main first="rtdsrv.129c49f2ce4b4bb1a7bd18b2ba98a2de">
      <tp t="e">
        <v>#N/A</v>
        <stp/>
        <stp>0e61bcfa-8d2e-46e8-9006-088919eb0bbf</stp>
        <stp>1</stp>
        <tr r="C35" s="1"/>
      </tp>
      <tp t="e">
        <v>#N/A</v>
        <stp/>
        <stp>b3d18887-ec5f-42b8-aded-3c73b12381b0</stp>
        <stp>1</stp>
        <tr r="J76" s="1"/>
      </tp>
    </main>
    <main first="rtdsrv.129c49f2ce4b4bb1a7bd18b2ba98a2de">
      <tp t="e">
        <v>#N/A</v>
        <stp/>
        <stp>e9d6c69f-70ec-4190-a656-676c8c5a00f7</stp>
        <stp>1</stp>
        <tr r="J57" s="1"/>
      </tp>
      <tp t="e">
        <v>#N/A</v>
        <stp/>
        <stp>435de24b-37b3-4dc6-a23a-b54da720db7e</stp>
        <stp>1</stp>
        <tr r="E66" s="1"/>
      </tp>
    </main>
    <main first="rtdsrv.129c49f2ce4b4bb1a7bd18b2ba98a2de">
      <tp t="e">
        <v>#N/A</v>
        <stp/>
        <stp>cc65ae2e-78ec-4112-bfea-032e6fc0d2bc</stp>
        <stp>1</stp>
        <tr r="F37" s="1"/>
      </tp>
      <tp t="e">
        <v>#N/A</v>
        <stp/>
        <stp>d6b671c0-8782-433a-a2de-d97d46e9d56a</stp>
        <stp>1</stp>
        <tr r="H68" s="1"/>
      </tp>
    </main>
    <main first="rtdsrv.129c49f2ce4b4bb1a7bd18b2ba98a2de">
      <tp t="e">
        <v>#N/A</v>
        <stp/>
        <stp>f9e6131b-a610-426d-b7e3-a46999f80c4d</stp>
        <stp>1</stp>
        <tr r="J15" s="1"/>
      </tp>
      <tp t="e">
        <v>#N/A</v>
        <stp/>
        <stp>76cf986c-16e8-4716-ad1f-8684256effc7</stp>
        <stp>1</stp>
        <tr r="G40" s="1"/>
      </tp>
    </main>
    <main first="rtdsrv.129c49f2ce4b4bb1a7bd18b2ba98a2de">
      <tp t="e">
        <v>#N/A</v>
        <stp/>
        <stp>c9c4d617-818d-4b2d-9326-c7c057e677c6</stp>
        <stp>1</stp>
        <tr r="L26" s="1"/>
      </tp>
    </main>
    <main first="rtdsrv.129c49f2ce4b4bb1a7bd18b2ba98a2de">
      <tp t="e">
        <v>#N/A</v>
        <stp/>
        <stp>58f2ee68-7e2f-481e-baaf-b1a4f041f997</stp>
        <stp>1</stp>
        <tr r="J54" s="1"/>
      </tp>
    </main>
    <main first="rtdsrv.129c49f2ce4b4bb1a7bd18b2ba98a2de">
      <tp t="e">
        <v>#N/A</v>
        <stp/>
        <stp>11125b65-589b-450d-9f28-b6c309f3f52b</stp>
        <stp>1</stp>
        <tr r="K74" s="1"/>
      </tp>
      <tp t="e">
        <v>#N/A</v>
        <stp/>
        <stp>556350a3-8775-4cd0-ae42-872489be1644</stp>
        <stp>1</stp>
        <tr r="C36" s="1"/>
      </tp>
    </main>
    <main first="rtdsrv.129c49f2ce4b4bb1a7bd18b2ba98a2de">
      <tp t="e">
        <v>#N/A</v>
        <stp/>
        <stp>6af45195-79e6-4402-a754-b54c33b69f37</stp>
        <stp>1</stp>
        <tr r="F24" s="1"/>
      </tp>
    </main>
    <main first="rtdsrv.129c49f2ce4b4bb1a7bd18b2ba98a2de">
      <tp t="e">
        <v>#N/A</v>
        <stp/>
        <stp>1a10e692-ecd7-4c65-a9f4-75d16c6764b1</stp>
        <stp>1</stp>
        <tr r="E17" s="1"/>
      </tp>
      <tp t="e">
        <v>#N/A</v>
        <stp/>
        <stp>79be50c3-dbdd-4203-b8db-4eecc8d6afcd</stp>
        <stp>1</stp>
        <tr r="F60" s="1"/>
      </tp>
    </main>
    <main first="rtdsrv.129c49f2ce4b4bb1a7bd18b2ba98a2de">
      <tp t="e">
        <v>#N/A</v>
        <stp/>
        <stp>e7d1e5f1-50fe-4ee3-a4ec-be2a75c63edf</stp>
        <stp>1</stp>
        <tr r="F26" s="1"/>
      </tp>
    </main>
    <main first="rtdsrv.129c49f2ce4b4bb1a7bd18b2ba98a2de">
      <tp t="e">
        <v>#N/A</v>
        <stp/>
        <stp>0ae1445b-fa9b-44cd-9600-e84d341c5cc3</stp>
        <stp>1</stp>
        <tr r="F31" s="1"/>
      </tp>
      <tp t="e">
        <v>#N/A</v>
        <stp/>
        <stp>b0ac6ab0-379d-49d3-a106-eeb7d66d42a2</stp>
        <stp>1</stp>
        <tr r="I64" s="1"/>
      </tp>
    </main>
    <main first="rtdsrv.129c49f2ce4b4bb1a7bd18b2ba98a2de">
      <tp t="e">
        <v>#N/A</v>
        <stp/>
        <stp>69663004-d3fe-470e-b9b2-4010085386da</stp>
        <stp>1</stp>
        <tr r="D46" s="1"/>
      </tp>
      <tp t="e">
        <v>#N/A</v>
        <stp/>
        <stp>68f98cba-fc49-4cae-8450-e05f0042bef0</stp>
        <stp>1</stp>
        <tr r="J35" s="1"/>
      </tp>
    </main>
    <main first="rtdsrv.129c49f2ce4b4bb1a7bd18b2ba98a2de">
      <tp t="e">
        <v>#N/A</v>
        <stp/>
        <stp>c936e6b9-71de-4e93-8b98-2b450f8b2e92</stp>
        <stp>1</stp>
        <tr r="C17" s="1"/>
      </tp>
      <tp t="e">
        <v>#N/A</v>
        <stp/>
        <stp>20a49a9e-2235-47e5-af97-c327cbc110ea</stp>
        <stp>1</stp>
        <tr r="I16" s="1"/>
      </tp>
      <tp t="e">
        <v>#N/A</v>
        <stp/>
        <stp>a3444663-eaeb-405c-bd20-34928d77ae4f</stp>
        <stp>1</stp>
        <tr r="F36" s="1"/>
      </tp>
    </main>
    <main first="rtdsrv.129c49f2ce4b4bb1a7bd18b2ba98a2de">
      <tp t="e">
        <v>#N/A</v>
        <stp/>
        <stp>14ebda0c-7a43-45f5-abe0-230f9d0cd157</stp>
        <stp>1</stp>
        <tr r="H29" s="1"/>
      </tp>
    </main>
    <main first="rtdsrv.129c49f2ce4b4bb1a7bd18b2ba98a2de">
      <tp t="e">
        <v>#N/A</v>
        <stp/>
        <stp>a7a08ac9-3a1b-461e-89be-3cfbd265b312</stp>
        <stp>1</stp>
        <tr r="L22" s="1"/>
      </tp>
      <tp t="e">
        <v>#N/A</v>
        <stp/>
        <stp>bb157375-6ad7-4013-b363-c3e7efb1a04c</stp>
        <stp>1</stp>
        <tr r="K31" s="1"/>
      </tp>
      <tp t="e">
        <v>#N/A</v>
        <stp/>
        <stp>a63f2e3e-a6cf-453a-8458-0108ef8eca4c</stp>
        <stp>1</stp>
        <tr r="K55" s="1"/>
      </tp>
    </main>
    <main first="rtdsrv.129c49f2ce4b4bb1a7bd18b2ba98a2de">
      <tp t="e">
        <v>#N/A</v>
        <stp/>
        <stp>63acb17b-404b-49b0-80d3-f78aa8ae81ab</stp>
        <stp>1</stp>
        <tr r="J32" s="1"/>
      </tp>
    </main>
    <main first="rtdsrv.129c49f2ce4b4bb1a7bd18b2ba98a2de">
      <tp t="e">
        <v>#N/A</v>
        <stp/>
        <stp>c942ae37-f247-468a-bfd5-426a07f040df</stp>
        <stp>1</stp>
        <tr r="G30" s="1"/>
      </tp>
      <tp t="e">
        <v>#N/A</v>
        <stp/>
        <stp>9cedf513-c116-4375-80ee-a8712e48f186</stp>
        <stp>1</stp>
        <tr r="I27" s="1"/>
      </tp>
    </main>
    <main first="rtdsrv.129c49f2ce4b4bb1a7bd18b2ba98a2de">
      <tp t="e">
        <v>#N/A</v>
        <stp/>
        <stp>ff6f3983-8cc5-4de8-99ee-d858712277e3</stp>
        <stp>1</stp>
        <tr r="J40" s="1"/>
      </tp>
      <tp t="e">
        <v>#N/A</v>
        <stp/>
        <stp>acddcf73-0925-4ee2-b46e-9b77db1cb72d</stp>
        <stp>1</stp>
        <tr r="D73" s="1"/>
      </tp>
    </main>
    <main first="rtdsrv.129c49f2ce4b4bb1a7bd18b2ba98a2de">
      <tp t="e">
        <v>#N/A</v>
        <stp/>
        <stp>4965bb14-6963-458f-b6ae-a1b1ef220531</stp>
        <stp>1</stp>
        <tr r="E76" s="1"/>
      </tp>
      <tp t="e">
        <v>#N/A</v>
        <stp/>
        <stp>88e39d51-3640-451e-b069-d94205138d42</stp>
        <stp>1</stp>
        <tr r="L25" s="1"/>
      </tp>
      <tp t="e">
        <v>#N/A</v>
        <stp/>
        <stp>fb9f1726-07dc-40fb-913f-725b19b998d4</stp>
        <stp>1</stp>
        <tr r="L66" s="1"/>
      </tp>
    </main>
    <main first="rtdsrv.129c49f2ce4b4bb1a7bd18b2ba98a2de">
      <tp t="e">
        <v>#N/A</v>
        <stp/>
        <stp>2c80929e-822b-4be5-8438-6b62e43e9048</stp>
        <stp>1</stp>
        <tr r="H76" s="1"/>
      </tp>
      <tp t="e">
        <v>#N/A</v>
        <stp/>
        <stp>3736e7d5-f9c7-4a0c-abae-7cbaf846137e</stp>
        <stp>1</stp>
        <tr r="C56" s="1"/>
      </tp>
    </main>
    <main first="rtdsrv.129c49f2ce4b4bb1a7bd18b2ba98a2de">
      <tp t="e">
        <v>#N/A</v>
        <stp/>
        <stp>6d81ef77-68f5-40be-a136-28ad3dececbd</stp>
        <stp>1</stp>
        <tr r="H35" s="1"/>
      </tp>
      <tp t="e">
        <v>#N/A</v>
        <stp/>
        <stp>e9c7acfc-8bab-4fd5-aba3-72629d6780ee</stp>
        <stp>1</stp>
        <tr r="H69" s="1"/>
      </tp>
      <tp t="e">
        <v>#N/A</v>
        <stp/>
        <stp>b808d809-9920-4109-b030-a50758434776</stp>
        <stp>1</stp>
        <tr r="I48" s="1"/>
      </tp>
      <tp t="e">
        <v>#N/A</v>
        <stp/>
        <stp>5b831f9b-394d-4ac6-8b46-b858f0ae1f53</stp>
        <stp>1</stp>
        <tr r="F15" s="1"/>
      </tp>
      <tp t="e">
        <v>#N/A</v>
        <stp/>
        <stp>d3da6d38-1cd2-4631-8e24-873e8107bdd3</stp>
        <stp>1</stp>
        <tr r="G56" s="1"/>
      </tp>
      <tp t="e">
        <v>#N/A</v>
        <stp/>
        <stp>c7233968-4911-4022-9de8-2b96433ae9a6</stp>
        <stp>1</stp>
        <tr r="J59" s="1"/>
      </tp>
    </main>
    <main first="rtdsrv.129c49f2ce4b4bb1a7bd18b2ba98a2de">
      <tp t="e">
        <v>#N/A</v>
        <stp/>
        <stp>8dc2862a-653e-4e47-8e9a-5b287963892d</stp>
        <stp>1</stp>
        <tr r="J21" s="1"/>
      </tp>
      <tp t="e">
        <v>#N/A</v>
        <stp/>
        <stp>e228ee70-bef0-4492-86fa-3c5e00b400ba</stp>
        <stp>1</stp>
        <tr r="C49" s="1"/>
      </tp>
      <tp t="e">
        <v>#N/A</v>
        <stp/>
        <stp>6840c307-8a01-4395-942b-3f21bfe845df</stp>
        <stp>1</stp>
        <tr r="I62" s="1"/>
      </tp>
      <tp t="e">
        <v>#N/A</v>
        <stp/>
        <stp>aeb0fd8b-7c34-4efd-9987-7a3bac497504</stp>
        <stp>1</stp>
        <tr r="C5" s="7"/>
      </tp>
    </main>
    <main first="rtdsrv.129c49f2ce4b4bb1a7bd18b2ba98a2de">
      <tp t="e">
        <v>#N/A</v>
        <stp/>
        <stp>4b253b3e-7934-4520-9dbe-23b12785b619</stp>
        <stp>1</stp>
        <tr r="H42" s="1"/>
      </tp>
      <tp t="e">
        <v>#N/A</v>
        <stp/>
        <stp>7c26ada7-da9d-40e5-8162-48c2cdaa5f81</stp>
        <stp>1</stp>
        <tr r="L48" s="1"/>
      </tp>
      <tp t="e">
        <v>#N/A</v>
        <stp/>
        <stp>475671f7-a0b2-4992-a791-0f69955420bd</stp>
        <stp>1</stp>
        <tr r="I34" s="1"/>
      </tp>
    </main>
    <main first="rtdsrv.129c49f2ce4b4bb1a7bd18b2ba98a2de">
      <tp t="e">
        <v>#N/A</v>
        <stp/>
        <stp>6979de00-7f1e-4c28-b09a-758789cca5d8</stp>
        <stp>1</stp>
        <tr r="I33" s="1"/>
      </tp>
    </main>
    <main first="rtdsrv.129c49f2ce4b4bb1a7bd18b2ba98a2de">
      <tp t="e">
        <v>#N/A</v>
        <stp/>
        <stp>e7095da0-414b-4749-983f-f6be1fb113f2</stp>
        <stp>1</stp>
        <tr r="D48" s="1"/>
      </tp>
      <tp t="e">
        <v>#N/A</v>
        <stp/>
        <stp>21f8ca74-13d5-46d1-8bb2-886ea682bd1d</stp>
        <stp>1</stp>
        <tr r="L67" s="1"/>
      </tp>
      <tp t="e">
        <v>#N/A</v>
        <stp/>
        <stp>ffc85751-ffca-4ec7-8dc8-30cb9cf5fc85</stp>
        <stp>1</stp>
        <tr r="G74" s="1"/>
      </tp>
      <tp t="e">
        <v>#N/A</v>
        <stp/>
        <stp>34f4ff90-22a2-4575-ac96-69dcbe2f901a</stp>
        <stp>1</stp>
        <tr r="K29" s="1"/>
      </tp>
      <tp t="e">
        <v>#N/A</v>
        <stp/>
        <stp>6f76540f-dfe3-4f9d-a127-e683fa9ad9d5</stp>
        <stp>1</stp>
        <tr r="E63" s="1"/>
      </tp>
      <tp t="e">
        <v>#N/A</v>
        <stp/>
        <stp>18ef4022-ef00-4306-9a4d-83ab275820ca</stp>
        <stp>1</stp>
        <tr r="C40" s="1"/>
      </tp>
      <tp t="e">
        <v>#N/A</v>
        <stp/>
        <stp>131f9ff2-5298-4a04-87b2-0630826bb1d3</stp>
        <stp>1</stp>
        <tr r="C23" s="1"/>
      </tp>
      <tp t="e">
        <v>#N/A</v>
        <stp/>
        <stp>b7cb0c29-6947-43c6-8439-19d6c6c71dd0</stp>
        <stp>1</stp>
        <tr r="I60" s="1"/>
      </tp>
      <tp t="e">
        <v>#N/A</v>
        <stp/>
        <stp>2dfe0016-8deb-40bf-ba0f-0ad73b216367</stp>
        <stp>1</stp>
        <tr r="L18" s="1"/>
      </tp>
      <tp t="e">
        <v>#N/A</v>
        <stp/>
        <stp>8eba09f5-91de-43c5-a286-aba505d794d5</stp>
        <stp>1</stp>
        <tr r="I47" s="1"/>
      </tp>
      <tp t="e">
        <v>#N/A</v>
        <stp/>
        <stp>c723beea-cac5-44c1-91cd-bdc90844ae7d</stp>
        <stp>1</stp>
        <tr r="L62" s="1"/>
      </tp>
      <tp t="e">
        <v>#N/A</v>
        <stp/>
        <stp>6ed68aaf-5a4b-456d-9eb2-46818139ffb5</stp>
        <stp>1</stp>
        <tr r="C18" s="1"/>
      </tp>
    </main>
    <main first="rtdsrv.129c49f2ce4b4bb1a7bd18b2ba98a2de">
      <tp t="e">
        <v>#N/A</v>
        <stp/>
        <stp>fd13d01b-25e9-4a9b-9aa4-64285fa65ff7</stp>
        <stp>1</stp>
        <tr r="I36" s="1"/>
      </tp>
    </main>
    <main first="rtdsrv.129c49f2ce4b4bb1a7bd18b2ba98a2de">
      <tp t="e">
        <v>#N/A</v>
        <stp/>
        <stp>d63349e2-9328-4e76-bf51-e5953622d39f</stp>
        <stp>1</stp>
        <tr r="L69" s="1"/>
      </tp>
      <tp t="e">
        <v>#N/A</v>
        <stp/>
        <stp>bd24241f-4340-43ec-841b-b804b5a98e05</stp>
        <stp>1</stp>
        <tr r="I46" s="1"/>
      </tp>
    </main>
    <main first="rtdsrv.129c49f2ce4b4bb1a7bd18b2ba98a2de">
      <tp t="e">
        <v>#N/A</v>
        <stp/>
        <stp>48089ed5-a125-40c3-8a5c-a4726f43dd1c</stp>
        <stp>1</stp>
        <tr r="C74" s="1"/>
      </tp>
    </main>
    <main first="rtdsrv.129c49f2ce4b4bb1a7bd18b2ba98a2de">
      <tp t="e">
        <v>#N/A</v>
        <stp/>
        <stp>a8312bb8-5d58-48ec-b6e0-b1f80169e5d2</stp>
        <stp>1</stp>
        <tr r="H18" s="1"/>
      </tp>
    </main>
    <main first="rtdsrv.129c49f2ce4b4bb1a7bd18b2ba98a2de">
      <tp t="e">
        <v>#N/A</v>
        <stp/>
        <stp>f3eff561-3e89-45e4-aab2-8028ca80de8f</stp>
        <stp>1</stp>
        <tr r="C37" s="1"/>
      </tp>
    </main>
    <main first="rtdsrv.129c49f2ce4b4bb1a7bd18b2ba98a2de">
      <tp t="e">
        <v>#N/A</v>
        <stp/>
        <stp>cd9cf350-3f1e-4e29-a522-2c45fb333ab5</stp>
        <stp>1</stp>
        <tr r="I42" s="1"/>
      </tp>
      <tp t="e">
        <v>#N/A</v>
        <stp/>
        <stp>b74e4610-80b3-4873-9bbe-4b27575f7b12</stp>
        <stp>1</stp>
        <tr r="K24" s="1"/>
      </tp>
    </main>
    <main first="rtdsrv.129c49f2ce4b4bb1a7bd18b2ba98a2de">
      <tp t="e">
        <v>#N/A</v>
        <stp/>
        <stp>cbef2c28-1e59-4cb9-900b-feefa36a88fc</stp>
        <stp>1</stp>
        <tr r="K40" s="1"/>
      </tp>
      <tp t="e">
        <v>#N/A</v>
        <stp/>
        <stp>17a9cfbf-361a-4724-83b5-8d5ddf4e4de4</stp>
        <stp>1</stp>
        <tr r="D67" s="1"/>
      </tp>
    </main>
    <main first="rtdsrv.129c49f2ce4b4bb1a7bd18b2ba98a2de">
      <tp t="e">
        <v>#N/A</v>
        <stp/>
        <stp>b89aad28-19ff-4ed3-9305-599cd5028d1f</stp>
        <stp>1</stp>
        <tr r="J48" s="1"/>
      </tp>
    </main>
    <main first="rtdsrv.129c49f2ce4b4bb1a7bd18b2ba98a2de">
      <tp t="e">
        <v>#N/A</v>
        <stp/>
        <stp>d9df9dab-0d7a-4876-9f7a-d671b21d3133</stp>
        <stp>1</stp>
        <tr r="F46" s="1"/>
      </tp>
    </main>
    <main first="rtdsrv.129c49f2ce4b4bb1a7bd18b2ba98a2de">
      <tp t="e">
        <v>#N/A</v>
        <stp/>
        <stp>b5ed168a-0a6b-484a-8872-34ab06adffca</stp>
        <stp>1</stp>
        <tr r="D64" s="1"/>
      </tp>
      <tp t="e">
        <v>#N/A</v>
        <stp/>
        <stp>ee507f06-d7f4-44d2-941b-91cbabb80fcc</stp>
        <stp>1</stp>
        <tr r="G54" s="1"/>
      </tp>
    </main>
    <main first="rtdsrv.129c49f2ce4b4bb1a7bd18b2ba98a2de">
      <tp t="e">
        <v>#N/A</v>
        <stp/>
        <stp>518950a9-5259-4855-bbf8-9636e789a7b4</stp>
        <stp>1</stp>
        <tr r="I67" s="1"/>
      </tp>
      <tp t="e">
        <v>#N/A</v>
        <stp/>
        <stp>0f0a95d2-3048-43ec-9070-57cb82099f3b</stp>
        <stp>1</stp>
        <tr r="C26" s="1"/>
      </tp>
      <tp t="e">
        <v>#N/A</v>
        <stp/>
        <stp>f634dcfc-ea04-4f53-a169-d5e5590e2f0d</stp>
        <stp>1</stp>
        <tr r="H32" s="1"/>
      </tp>
    </main>
    <main first="rtdsrv.129c49f2ce4b4bb1a7bd18b2ba98a2de">
      <tp t="e">
        <v>#N/A</v>
        <stp/>
        <stp>8bec8aa9-9486-43e8-9d3c-52712a48df15</stp>
        <stp>1</stp>
        <tr r="D27" s="1"/>
      </tp>
    </main>
    <main first="rtdsrv.129c49f2ce4b4bb1a7bd18b2ba98a2de">
      <tp t="e">
        <v>#N/A</v>
        <stp/>
        <stp>193eae11-a86e-4a97-b76a-4c6d034440ce</stp>
        <stp>1</stp>
        <tr r="C16" s="1"/>
      </tp>
    </main>
    <main first="rtdsrv.129c49f2ce4b4bb1a7bd18b2ba98a2de">
      <tp t="e">
        <v>#N/A</v>
        <stp/>
        <stp>95083e93-7f42-44d4-a4a8-46663181fdf9</stp>
        <stp>1</stp>
        <tr r="E64" s="1"/>
      </tp>
    </main>
    <main first="rtdsrv.129c49f2ce4b4bb1a7bd18b2ba98a2de">
      <tp t="e">
        <v>#N/A</v>
        <stp/>
        <stp>470d284e-4d33-4445-af26-da7d906f6721</stp>
        <stp>1</stp>
        <tr r="E37" s="1"/>
      </tp>
    </main>
    <main first="rtdsrv.129c49f2ce4b4bb1a7bd18b2ba98a2de">
      <tp t="e">
        <v>#N/A</v>
        <stp/>
        <stp>3a055047-0715-4e3b-bf7a-e034678f81f2</stp>
        <stp>1</stp>
        <tr r="G59" s="1"/>
      </tp>
      <tp t="e">
        <v>#N/A</v>
        <stp/>
        <stp>bcb35bba-e4e7-46ec-b4fb-54dfc9a0e00a</stp>
        <stp>1</stp>
        <tr r="G18" s="1"/>
      </tp>
      <tp t="e">
        <v>#N/A</v>
        <stp/>
        <stp>04eac626-6fbb-48b4-93d6-ec49c93ae238</stp>
        <stp>1</stp>
        <tr r="C41" s="1"/>
      </tp>
      <tp t="e">
        <v>#N/A</v>
        <stp/>
        <stp>801d8bf3-10f7-4b9a-b0a7-3d15452b90a2</stp>
        <stp>1</stp>
        <tr r="I76" s="1"/>
      </tp>
      <tp t="e">
        <v>#N/A</v>
        <stp/>
        <stp>d1ae340c-eea3-4037-bc3c-d875dfde3791</stp>
        <stp>1</stp>
        <tr r="I15" s="1"/>
      </tp>
    </main>
    <main first="rtdsrv.129c49f2ce4b4bb1a7bd18b2ba98a2de">
      <tp t="e">
        <v>#N/A</v>
        <stp/>
        <stp>36310f9a-a75d-4a89-b90b-c5af83229eaf</stp>
        <stp>1</stp>
        <tr r="F76" s="1"/>
      </tp>
      <tp t="e">
        <v>#N/A</v>
        <stp/>
        <stp>e6f27b23-070b-48a1-81b2-251352e4bf8b</stp>
        <stp>1</stp>
        <tr r="D43" s="1"/>
      </tp>
      <tp t="e">
        <v>#N/A</v>
        <stp/>
        <stp>734acff0-4259-4ab3-9a13-1b0113694a5c</stp>
        <stp>1</stp>
        <tr r="I63" s="1"/>
      </tp>
      <tp t="e">
        <v>#N/A</v>
        <stp/>
        <stp>e473076c-1968-4a29-a7b7-a6c0b9971b46</stp>
        <stp>1</stp>
        <tr r="C60" s="1"/>
      </tp>
      <tp t="e">
        <v>#N/A</v>
        <stp/>
        <stp>0e326239-1a18-4267-8086-a80c6d127896</stp>
        <stp>1</stp>
        <tr r="J77" s="1"/>
      </tp>
      <tp t="e">
        <v>#N/A</v>
        <stp/>
        <stp>8e7ebac9-9e08-45f5-8cf2-ece6b7cc81dc</stp>
        <stp>1</stp>
        <tr r="E41" s="1"/>
      </tp>
    </main>
    <main first="rtdsrv.129c49f2ce4b4bb1a7bd18b2ba98a2de">
      <tp t="e">
        <v>#N/A</v>
        <stp/>
        <stp>77e01ea7-2258-40e0-bf2c-25320316b5a3</stp>
        <stp>1</stp>
        <tr r="L56" s="1"/>
      </tp>
    </main>
    <main first="rtdsrv.129c49f2ce4b4bb1a7bd18b2ba98a2de">
      <tp t="e">
        <v>#N/A</v>
        <stp/>
        <stp>5c2cb0f6-4f61-4560-8a72-45f8a0a46f25</stp>
        <stp>1</stp>
        <tr r="H33" s="1"/>
      </tp>
    </main>
    <main first="rtdsrv.129c49f2ce4b4bb1a7bd18b2ba98a2de">
      <tp t="e">
        <v>#N/A</v>
        <stp/>
        <stp>61d5bda1-60fd-4ede-af6f-bcbd6d8e7260</stp>
        <stp>1</stp>
        <tr r="L49" s="1"/>
      </tp>
    </main>
    <main first="rtdsrv.129c49f2ce4b4bb1a7bd18b2ba98a2de">
      <tp t="e">
        <v>#N/A</v>
        <stp/>
        <stp>a2ddc6d1-f7e7-4fd3-835f-c96c005ce139</stp>
        <stp>1</stp>
        <tr r="J16" s="1"/>
      </tp>
      <tp t="e">
        <v>#N/A</v>
        <stp/>
        <stp>9860facc-c53e-4440-adca-10fc7e8e970d</stp>
        <stp>1</stp>
        <tr r="I35" s="1"/>
      </tp>
    </main>
    <main first="rtdsrv.129c49f2ce4b4bb1a7bd18b2ba98a2de">
      <tp t="e">
        <v>#N/A</v>
        <stp/>
        <stp>e6cb80f0-3c45-4248-aa55-f3a4686dc062</stp>
        <stp>1</stp>
        <tr r="F74" s="1"/>
      </tp>
    </main>
    <main first="rtdsrv.129c49f2ce4b4bb1a7bd18b2ba98a2de">
      <tp t="e">
        <v>#N/A</v>
        <stp/>
        <stp>24d7f966-5f9d-4dad-8ada-4b017ec107a3</stp>
        <stp>1</stp>
        <tr r="C57" s="1"/>
      </tp>
      <tp t="e">
        <v>#N/A</v>
        <stp/>
        <stp>f8a4cce5-b787-47ee-9d6b-f09c6bb1c402</stp>
        <stp>1</stp>
        <tr r="L15" s="1"/>
      </tp>
    </main>
    <main first="rtdsrv.129c49f2ce4b4bb1a7bd18b2ba98a2de">
      <tp t="e">
        <v>#N/A</v>
        <stp/>
        <stp>6f897287-9f09-49a6-ac12-c056f0278cf0</stp>
        <stp>1</stp>
        <tr r="I59" s="1"/>
      </tp>
    </main>
    <main first="rtdsrv.129c49f2ce4b4bb1a7bd18b2ba98a2de">
      <tp t="e">
        <v>#N/A</v>
        <stp/>
        <stp>fd967785-e345-4a6a-94c0-13bd358d8449</stp>
        <stp>1</stp>
        <tr r="I69" s="1"/>
      </tp>
      <tp t="e">
        <v>#N/A</v>
        <stp/>
        <stp>19726a37-e9c9-4d8a-b668-9e6165b5b2d2</stp>
        <stp>1</stp>
        <tr r="F21" s="1"/>
      </tp>
      <tp t="e">
        <v>#N/A</v>
        <stp/>
        <stp>69a2489d-9b37-4f37-93a0-a50640e92f0c</stp>
        <stp>1</stp>
        <tr r="F62" s="1"/>
      </tp>
    </main>
    <main first="rtdsrv.129c49f2ce4b4bb1a7bd18b2ba98a2de">
      <tp t="e">
        <v>#N/A</v>
        <stp/>
        <stp>f1402290-00e8-437a-ab70-d5f5922c20d7</stp>
        <stp>1</stp>
        <tr r="L35" s="1"/>
      </tp>
    </main>
    <main first="rtdsrv.129c49f2ce4b4bb1a7bd18b2ba98a2de">
      <tp t="e">
        <v>#N/A</v>
        <stp/>
        <stp>3b4f716c-d9fe-42ea-af80-5dc51be23e8a</stp>
        <stp>1</stp>
        <tr r="C24" s="1"/>
      </tp>
      <tp t="e">
        <v>#N/A</v>
        <stp/>
        <stp>c447e5f3-bfc5-44a2-93ce-8269de456870</stp>
        <stp>1</stp>
        <tr r="L59" s="1"/>
      </tp>
    </main>
    <main first="rtdsrv.129c49f2ce4b4bb1a7bd18b2ba98a2de">
      <tp t="e">
        <v>#N/A</v>
        <stp/>
        <stp>b43035b9-9cac-4beb-a862-d2e317d84b86</stp>
        <stp>1</stp>
        <tr r="K57" s="1"/>
      </tp>
    </main>
    <main first="rtdsrv.129c49f2ce4b4bb1a7bd18b2ba98a2de">
      <tp t="e">
        <v>#N/A</v>
        <stp/>
        <stp>74b8cd56-b2ec-41fe-85b6-5b8490acdfdc</stp>
        <stp>1</stp>
        <tr r="L68" s="1"/>
      </tp>
      <tp t="e">
        <v>#N/A</v>
        <stp/>
        <stp>c376e25a-ebe2-4019-b682-7be712278a06</stp>
        <stp>1</stp>
        <tr r="H66" s="1"/>
      </tp>
    </main>
    <main first="rtdsrv.129c49f2ce4b4bb1a7bd18b2ba98a2de">
      <tp t="e">
        <v>#N/A</v>
        <stp/>
        <stp>0d25d6ea-2d12-49f3-a449-3abb3cf97c40</stp>
        <stp>1</stp>
        <tr r="E23" s="1"/>
      </tp>
      <tp t="e">
        <v>#N/A</v>
        <stp/>
        <stp>4b96e58f-a50d-4545-b738-461dbb83a8f6</stp>
        <stp>1</stp>
        <tr r="J26" s="1"/>
      </tp>
      <tp t="e">
        <v>#N/A</v>
        <stp/>
        <stp>82bc3610-0b6f-4a1f-ac9b-8b8d86a58e7b</stp>
        <stp>1</stp>
        <tr r="I49" s="1"/>
      </tp>
    </main>
    <main first="rtdsrv.129c49f2ce4b4bb1a7bd18b2ba98a2de">
      <tp t="e">
        <v>#N/A</v>
        <stp/>
        <stp>fe943c01-0465-46c2-89ff-b9a02c2e157a</stp>
        <stp>1</stp>
        <tr r="J36" s="1"/>
      </tp>
      <tp t="e">
        <v>#N/A</v>
        <stp/>
        <stp>63edf68c-521f-448c-9425-20315f5af66b</stp>
        <stp>1</stp>
        <tr r="H17" s="1"/>
      </tp>
    </main>
    <main first="rtdsrv.129c49f2ce4b4bb1a7bd18b2ba98a2de">
      <tp t="e">
        <v>#N/A</v>
        <stp/>
        <stp>df062d2a-df8b-4beb-b1c9-786305b115ad</stp>
        <stp>1</stp>
        <tr r="D77" s="1"/>
      </tp>
      <tp t="e">
        <v>#N/A</v>
        <stp/>
        <stp>bc0401af-a1ea-4d26-8465-f40502e27b2e</stp>
        <stp>1</stp>
        <tr r="L63" s="1"/>
      </tp>
      <tp t="e">
        <v>#N/A</v>
        <stp/>
        <stp>a3d53586-fef4-40ab-91df-1243f02e4e53</stp>
        <stp>1</stp>
        <tr r="C53" s="1"/>
      </tp>
      <tp t="e">
        <v>#N/A</v>
        <stp/>
        <stp>616a4bb1-e725-4335-8221-a77f9541dc77</stp>
        <stp>1</stp>
        <tr r="G49" s="1"/>
      </tp>
      <tp t="e">
        <v>#N/A</v>
        <stp/>
        <stp>da32169b-c529-458a-9eb0-b5c2c4a08ece</stp>
        <stp>1</stp>
        <tr r="K66" s="1"/>
      </tp>
      <tp t="e">
        <v>#N/A</v>
        <stp/>
        <stp>f0f29fb8-6073-4d6e-9c32-d614311df989</stp>
        <stp>1</stp>
        <tr r="K70" s="1"/>
      </tp>
      <tp t="e">
        <v>#N/A</v>
        <stp/>
        <stp>72827c14-63a6-4dfe-85e4-a66a9505489f</stp>
        <stp>1</stp>
        <tr r="K16" s="1"/>
      </tp>
    </main>
    <main first="rtdsrv.129c49f2ce4b4bb1a7bd18b2ba98a2de">
      <tp t="e">
        <v>#N/A</v>
        <stp/>
        <stp>b14b8d30-3240-4467-9147-8e8fe3ab1c4f</stp>
        <stp>1</stp>
        <tr r="I30" s="1"/>
      </tp>
      <tp t="e">
        <v>#N/A</v>
        <stp/>
        <stp>92e04034-9fe7-4f8d-8abd-fa8e64ad2ed7</stp>
        <stp>1</stp>
        <tr r="H25" s="1"/>
      </tp>
      <tp t="e">
        <v>#N/A</v>
        <stp/>
        <stp>bff4f127-43c1-4382-8cee-54c7d15f93d3</stp>
        <stp>1</stp>
        <tr r="G69" s="1"/>
      </tp>
      <tp t="e">
        <v>#N/A</v>
        <stp/>
        <stp>2360ff56-23df-49b9-ac4b-1ace5ceb3254</stp>
        <stp>1</stp>
        <tr r="E30" s="1"/>
      </tp>
    </main>
    <main first="rtdsrv.129c49f2ce4b4bb1a7bd18b2ba98a2de">
      <tp t="e">
        <v>#N/A</v>
        <stp/>
        <stp>87f82002-1f38-4d43-b82a-88ffe63e87f4</stp>
        <stp>1</stp>
        <tr r="L55" s="1"/>
      </tp>
    </main>
    <main first="rtdsrv.129c49f2ce4b4bb1a7bd18b2ba98a2de">
      <tp t="e">
        <v>#N/A</v>
        <stp/>
        <stp>9790b459-2f3f-4476-9f8b-ae6b6aa9f78d</stp>
        <stp>1</stp>
        <tr r="D76" s="1"/>
      </tp>
      <tp t="e">
        <v>#N/A</v>
        <stp/>
        <stp>70a1b7d6-fe00-4798-9b9f-3b434d71df33</stp>
        <stp>1</stp>
        <tr r="I70" s="1"/>
      </tp>
      <tp t="e">
        <v>#N/A</v>
        <stp/>
        <stp>a9442c20-3103-4a0f-a4a7-3d1915904a35</stp>
        <stp>1</stp>
        <tr r="D31" s="1"/>
      </tp>
      <tp t="e">
        <v>#N/A</v>
        <stp/>
        <stp>0277379f-0a13-458f-86d7-9b47bf806d6b</stp>
        <stp>1</stp>
        <tr r="D47" s="1"/>
      </tp>
      <tp t="e">
        <v>#N/A</v>
        <stp/>
        <stp>6a72eeb4-5163-431c-993f-8fc408d10fc7</stp>
        <stp>1</stp>
        <tr r="C69" s="1"/>
      </tp>
    </main>
    <main first="rtdsrv.129c49f2ce4b4bb1a7bd18b2ba98a2de">
      <tp t="e">
        <v>#N/A</v>
        <stp/>
        <stp>00210215-e9fb-4a71-944e-12a3138511f4</stp>
        <stp>1</stp>
        <tr r="C63" s="1"/>
      </tp>
      <tp t="e">
        <v>#N/A</v>
        <stp/>
        <stp>ddb6e22b-53c6-495b-b4bf-a405ba6fb437</stp>
        <stp>1</stp>
        <tr r="L21" s="1"/>
      </tp>
    </main>
    <main first="rtdsrv.129c49f2ce4b4bb1a7bd18b2ba98a2de">
      <tp t="e">
        <v>#N/A</v>
        <stp/>
        <stp>0a9ca44c-7ddd-4974-9d5b-864d4478b690</stp>
        <stp>1</stp>
        <tr r="C61" s="1"/>
      </tp>
    </main>
    <main first="rtdsrv.129c49f2ce4b4bb1a7bd18b2ba98a2de">
      <tp t="e">
        <v>#N/A</v>
        <stp/>
        <stp>2120aa94-6bd8-4923-98a1-4b28cf13916c</stp>
        <stp>1</stp>
        <tr r="L23" s="1"/>
      </tp>
      <tp t="e">
        <v>#N/A</v>
        <stp/>
        <stp>18301ff7-c63d-41f1-8785-4636040320d0</stp>
        <stp>1</stp>
        <tr r="G33" s="1"/>
      </tp>
      <tp t="e">
        <v>#N/A</v>
        <stp/>
        <stp>c2855649-c440-4561-b3f0-f5a0d24aaab6</stp>
        <stp>1</stp>
        <tr r="D54" s="1"/>
      </tp>
    </main>
    <main first="rtdsrv.129c49f2ce4b4bb1a7bd18b2ba98a2de">
      <tp t="e">
        <v>#N/A</v>
        <stp/>
        <stp>26d92a05-bffb-47fe-b68e-20ef5c8241cc</stp>
        <stp>1</stp>
        <tr r="K17" s="1"/>
      </tp>
    </main>
    <main first="rtdsrv.129c49f2ce4b4bb1a7bd18b2ba98a2de">
      <tp t="e">
        <v>#N/A</v>
        <stp/>
        <stp>20cccf6e-5cc3-41b3-935a-62730fc3275e</stp>
        <stp>1</stp>
        <tr r="G63" s="1"/>
      </tp>
    </main>
    <main first="rtdsrv.129c49f2ce4b4bb1a7bd18b2ba98a2de">
      <tp t="e">
        <v>#N/A</v>
        <stp/>
        <stp>35096a8f-1028-4901-90f9-ffacf6229364</stp>
        <stp>1</stp>
        <tr r="G55" s="1"/>
      </tp>
      <tp t="e">
        <v>#N/A</v>
        <stp/>
        <stp>a21dfef5-ed63-4e8f-8bae-255be3bdc667</stp>
        <stp>1</stp>
        <tr r="E55" s="1"/>
      </tp>
    </main>
    <main first="rtdsrv.129c49f2ce4b4bb1a7bd18b2ba98a2de">
      <tp t="e">
        <v>#N/A</v>
        <stp/>
        <stp>cfa8b000-924c-4aa2-990b-3df2d87e7168</stp>
        <stp>1</stp>
        <tr r="H54" s="1"/>
      </tp>
    </main>
    <main first="rtdsrv.129c49f2ce4b4bb1a7bd18b2ba98a2de">
      <tp t="e">
        <v>#N/A</v>
        <stp/>
        <stp>871ce845-65d3-4e53-886e-76604d6599aa</stp>
        <stp>1</stp>
        <tr r="C30" s="1"/>
      </tp>
    </main>
    <main first="rtdsrv.129c49f2ce4b4bb1a7bd18b2ba98a2de">
      <tp t="e">
        <v>#N/A</v>
        <stp/>
        <stp>13ccac98-8869-4f51-b3ac-e0a20fdeccc5</stp>
        <stp>1</stp>
        <tr r="D42" s="1"/>
      </tp>
    </main>
    <main first="rtdsrv.129c49f2ce4b4bb1a7bd18b2ba98a2de">
      <tp t="e">
        <v>#N/A</v>
        <stp/>
        <stp>d4224bf5-494d-4040-b7e2-2d5ee0e629d9</stp>
        <stp>1</stp>
        <tr r="E48" s="1"/>
      </tp>
    </main>
    <main first="rtdsrv.129c49f2ce4b4bb1a7bd18b2ba98a2de">
      <tp t="e">
        <v>#N/A</v>
        <stp/>
        <stp>f4d224be-d119-4266-954a-4dd79d070c9f</stp>
        <stp>1</stp>
        <tr r="H50" s="1"/>
      </tp>
    </main>
    <main first="rtdsrv.129c49f2ce4b4bb1a7bd18b2ba98a2de">
      <tp t="e">
        <v>#N/A</v>
        <stp/>
        <stp>fdf4681a-bce1-4bab-9687-7b1cf9cf138e</stp>
        <stp>1</stp>
        <tr r="E21" s="1"/>
      </tp>
      <tp t="e">
        <v>#N/A</v>
        <stp/>
        <stp>c02484fc-57a4-4e70-85fb-1b4638d38b5e</stp>
        <stp>1</stp>
        <tr r="D23" s="1"/>
      </tp>
    </main>
    <main first="rtdsrv.129c49f2ce4b4bb1a7bd18b2ba98a2de">
      <tp t="e">
        <v>#N/A</v>
        <stp/>
        <stp>43414df8-f19f-455e-9262-2c1011ee52cb</stp>
        <stp>1</stp>
        <tr r="D58" s="1"/>
      </tp>
      <tp t="e">
        <v>#N/A</v>
        <stp/>
        <stp>2bf6431a-00d2-469e-8881-8036e3c6cba6</stp>
        <stp>1</stp>
        <tr r="H23" s="1"/>
      </tp>
      <tp t="e">
        <v>#N/A</v>
        <stp/>
        <stp>40d95385-c5ef-479d-af7d-2ace2c82392c</stp>
        <stp>1</stp>
        <tr r="G28" s="1"/>
      </tp>
    </main>
    <main first="rtdsrv.129c49f2ce4b4bb1a7bd18b2ba98a2de">
      <tp t="e">
        <v>#N/A</v>
        <stp/>
        <stp>054ee212-761b-433b-98e1-e6eb3a00ad05</stp>
        <stp>1</stp>
        <tr r="E67" s="1"/>
      </tp>
    </main>
    <main first="rtdsrv.129c49f2ce4b4bb1a7bd18b2ba98a2de">
      <tp t="e">
        <v>#N/A</v>
        <stp/>
        <stp>d135be4c-3892-45ec-bad9-925b662d1a85</stp>
        <stp>1</stp>
        <tr r="D55" s="1"/>
      </tp>
      <tp t="e">
        <v>#N/A</v>
        <stp/>
        <stp>826c7c42-d3f4-4bcb-982b-89dab1076641</stp>
        <stp>1</stp>
        <tr r="J31" s="1"/>
      </tp>
      <tp t="e">
        <v>#N/A</v>
        <stp/>
        <stp>fbe4fd52-3d52-4c51-bfbe-90496769cb29</stp>
        <stp>1</stp>
        <tr r="I50" s="1"/>
      </tp>
      <tp t="e">
        <v>#N/A</v>
        <stp/>
        <stp>783599ad-e75d-4f58-8ca9-23a867e85941</stp>
        <stp>1</stp>
        <tr r="I23" s="1"/>
      </tp>
    </main>
    <main first="rtdsrv.129c49f2ce4b4bb1a7bd18b2ba98a2de">
      <tp t="e">
        <v>#N/A</v>
        <stp/>
        <stp>3577705c-aa67-474d-9dcd-88fc80fec40a</stp>
        <stp>1</stp>
        <tr r="D35" s="1"/>
      </tp>
      <tp t="e">
        <v>#N/A</v>
        <stp/>
        <stp>3a0ccaa5-7954-4845-8c8e-47a356c8201c</stp>
        <stp>1</stp>
        <tr r="G17" s="1"/>
      </tp>
      <tp t="e">
        <v>#N/A</v>
        <stp/>
        <stp>824f457b-0318-4cf6-898e-8a711667c76c</stp>
        <stp>1</stp>
        <tr r="F35" s="1"/>
      </tp>
    </main>
    <main first="rtdsrv.129c49f2ce4b4bb1a7bd18b2ba98a2de">
      <tp t="e">
        <v>#N/A</v>
        <stp/>
        <stp>0e3db953-f814-4c87-908d-2173c2708e94</stp>
        <stp>1</stp>
        <tr r="D68" s="1"/>
      </tp>
    </main>
    <main first="rtdsrv.129c49f2ce4b4bb1a7bd18b2ba98a2de">
      <tp t="e">
        <v>#N/A</v>
        <stp/>
        <stp>de01b63c-f908-4693-89a6-9617d6f3ffcc</stp>
        <stp>1</stp>
        <tr r="J17" s="1"/>
      </tp>
    </main>
    <main first="rtdsrv.129c49f2ce4b4bb1a7bd18b2ba98a2de">
      <tp t="e">
        <v>#N/A</v>
        <stp/>
        <stp>9c48452e-8849-4f2b-bdac-135a6b2045b6</stp>
        <stp>1</stp>
        <tr r="L47" s="1"/>
      </tp>
      <tp t="e">
        <v>#N/A</v>
        <stp/>
        <stp>693730ad-172b-4d1b-9af0-6ea1f16519c2</stp>
        <stp>1</stp>
        <tr r="D59" s="1"/>
      </tp>
      <tp t="e">
        <v>#N/A</v>
        <stp/>
        <stp>e5df12b7-edda-4bac-8b1e-6a1df5341ab5</stp>
        <stp>1</stp>
        <tr r="C34" s="1"/>
      </tp>
      <tp t="e">
        <v>#N/A</v>
        <stp/>
        <stp>fc3a12bd-51ed-468b-8737-cb9a9c5622f3</stp>
        <stp>1</stp>
        <tr r="D36" s="1"/>
      </tp>
    </main>
    <main first="rtdsrv.129c49f2ce4b4bb1a7bd18b2ba98a2de">
      <tp t="e">
        <v>#N/A</v>
        <stp/>
        <stp>f49cdb9e-6ba6-446b-9ec4-8eb136d2bcfc</stp>
        <stp>1</stp>
        <tr r="G58" s="1"/>
      </tp>
      <tp t="e">
        <v>#N/A</v>
        <stp/>
        <stp>f574d395-fede-49e4-b56e-dc2594e4d875</stp>
        <stp>1</stp>
        <tr r="H15" s="1"/>
      </tp>
    </main>
    <main first="rtdsrv.129c49f2ce4b4bb1a7bd18b2ba98a2de">
      <tp t="e">
        <v>#N/A</v>
        <stp/>
        <stp>8ed7680f-5b26-49f7-a157-c6f46d6a7c6d</stp>
        <stp>1</stp>
        <tr r="H74" s="1"/>
      </tp>
      <tp t="e">
        <v>#N/A</v>
        <stp/>
        <stp>f5b1e9c0-ae93-4728-af12-91a0133ba676</stp>
        <stp>1</stp>
        <tr r="E33" s="1"/>
      </tp>
      <tp t="e">
        <v>#N/A</v>
        <stp/>
        <stp>5d79d42d-d798-408c-864d-8a53bef00a3e</stp>
        <stp>1</stp>
        <tr r="E56" s="1"/>
      </tp>
    </main>
    <main first="rtdsrv.129c49f2ce4b4bb1a7bd18b2ba98a2de">
      <tp t="e">
        <v>#N/A</v>
        <stp/>
        <stp>1b6336e0-7b44-4edb-8b7b-4470da23f9cc</stp>
        <stp>1</stp>
        <tr r="K15" s="1"/>
      </tp>
      <tp t="e">
        <v>#N/A</v>
        <stp/>
        <stp>2c5f6d24-13e1-4bbc-9f81-46b2f2e1e06e</stp>
        <stp>1</stp>
        <tr r="G32" s="1"/>
      </tp>
    </main>
    <main first="rtdsrv.129c49f2ce4b4bb1a7bd18b2ba98a2de">
      <tp t="e">
        <v>#N/A</v>
        <stp/>
        <stp>70c90b09-3780-44f4-b9d4-36f03097177d</stp>
        <stp>1</stp>
        <tr r="J33" s="1"/>
      </tp>
      <tp t="e">
        <v>#N/A</v>
        <stp/>
        <stp>fb1b8967-5803-4bd2-b502-fed1ed08c22a</stp>
        <stp>1</stp>
        <tr r="G73" s="1"/>
      </tp>
    </main>
    <main first="rtdsrv.129c49f2ce4b4bb1a7bd18b2ba98a2de">
      <tp t="e">
        <v>#N/A</v>
        <stp/>
        <stp>94e7528e-f796-4e68-baa6-4b2a6fbe249e</stp>
        <stp>1</stp>
        <tr r="L50" s="1"/>
      </tp>
      <tp t="e">
        <v>#N/A</v>
        <stp/>
        <stp>d27c99c7-47d9-4ac5-bdaa-4ab070962ba8</stp>
        <stp>1</stp>
        <tr r="D61" s="1"/>
      </tp>
    </main>
    <main first="rtdsrv.129c49f2ce4b4bb1a7bd18b2ba98a2de">
      <tp t="e">
        <v>#N/A</v>
        <stp/>
        <stp>f0c1721d-367e-4cd0-96e6-98a19dea6b0e</stp>
        <stp>1</stp>
        <tr r="I29" s="1"/>
      </tp>
    </main>
    <main first="rtdsrv.129c49f2ce4b4bb1a7bd18b2ba98a2de">
      <tp t="e">
        <v>#N/A</v>
        <stp/>
        <stp>f711dd17-67b7-4eab-9667-f7484c94ff89</stp>
        <stp>1</stp>
        <tr r="C65" s="1"/>
      </tp>
    </main>
    <main first="rtdsrv.129c49f2ce4b4bb1a7bd18b2ba98a2de">
      <tp t="e">
        <v>#N/A</v>
        <stp/>
        <stp>ba6a2911-6941-4575-85fd-294d0aa864c8</stp>
        <stp>1</stp>
        <tr r="J27" s="1"/>
      </tp>
    </main>
    <main first="rtdsrv.129c49f2ce4b4bb1a7bd18b2ba98a2de">
      <tp t="e">
        <v>#N/A</v>
        <stp/>
        <stp>e9ef7d07-10da-4999-897b-656fd26957ff</stp>
        <stp>1</stp>
        <tr r="G66" s="1"/>
      </tp>
      <tp t="e">
        <v>#N/A</v>
        <stp/>
        <stp>5693550b-b790-4cbe-b9de-800a7c7f173c</stp>
        <stp>1</stp>
        <tr r="D69" s="1"/>
      </tp>
    </main>
    <main first="rtdsrv.129c49f2ce4b4bb1a7bd18b2ba98a2de">
      <tp t="e">
        <v>#N/A</v>
        <stp/>
        <stp>918ee201-4467-411a-8695-25a5e88d3787</stp>
        <stp>1</stp>
        <tr r="I66" s="1"/>
      </tp>
      <tp t="e">
        <v>#N/A</v>
        <stp/>
        <stp>c95a51db-bd1a-45a6-90e5-dad754be925a</stp>
        <stp>1</stp>
        <tr r="K36" s="1"/>
      </tp>
    </main>
    <main first="rtdsrv.129c49f2ce4b4bb1a7bd18b2ba98a2de">
      <tp t="e">
        <v>#N/A</v>
        <stp/>
        <stp>9877a350-639e-4ce6-ac07-9001fa1de91d</stp>
        <stp>1</stp>
        <tr r="J75" s="1"/>
      </tp>
    </main>
    <main first="rtdsrv.129c49f2ce4b4bb1a7bd18b2ba98a2de">
      <tp t="e">
        <v>#N/A</v>
        <stp/>
        <stp>6104dd8e-5be5-4c1e-814d-6d9bd7111521</stp>
        <stp>1</stp>
        <tr r="D30" s="1"/>
      </tp>
      <tp t="e">
        <v>#N/A</v>
        <stp/>
        <stp>7b2a4944-a2cb-4dca-95b4-2b5d9074f367</stp>
        <stp>1</stp>
        <tr r="D28" s="1"/>
      </tp>
      <tp t="e">
        <v>#N/A</v>
        <stp/>
        <stp>d4942ffe-590c-4065-a8c7-6ff43071d029</stp>
        <stp>1</stp>
        <tr r="E22" s="1"/>
      </tp>
    </main>
    <main first="rtdsrv.129c49f2ce4b4bb1a7bd18b2ba98a2de">
      <tp t="e">
        <v>#N/A</v>
        <stp/>
        <stp>08f6c998-ce18-4385-b430-8a9ceb08ebc9</stp>
        <stp>1</stp>
        <tr r="H60" s="1"/>
      </tp>
    </main>
    <main first="rtdsrv.129c49f2ce4b4bb1a7bd18b2ba98a2de">
      <tp t="e">
        <v>#N/A</v>
        <stp/>
        <stp>28e4a81f-d5b0-48da-ba3c-d47632aec225</stp>
        <stp>1</stp>
        <tr r="H36" s="1"/>
      </tp>
    </main>
    <main first="rtdsrv.129c49f2ce4b4bb1a7bd18b2ba98a2de">
      <tp t="e">
        <v>#N/A</v>
        <stp/>
        <stp>ef7862a5-01ce-4d6e-b2c8-316e1a64c1e5</stp>
        <stp>1</stp>
        <tr r="C6" s="1"/>
      </tp>
      <tp t="e">
        <v>#N/A</v>
        <stp/>
        <stp>1e624d6f-f203-4d01-91c3-e7ef1abf3895</stp>
        <stp>1</stp>
        <tr r="F57" s="1"/>
      </tp>
      <tp t="e">
        <v>#N/A</v>
        <stp/>
        <stp>875e15e7-7c07-48b1-b710-9e81ea8ac0ed</stp>
        <stp>1</stp>
        <tr r="E36" s="1"/>
      </tp>
    </main>
    <main first="rtdsrv.129c49f2ce4b4bb1a7bd18b2ba98a2de">
      <tp t="e">
        <v>#N/A</v>
        <stp/>
        <stp>66b9af60-ac78-42e6-9c74-1f446bb8eae5</stp>
        <stp>1</stp>
        <tr r="D32" s="1"/>
      </tp>
    </main>
    <main first="rtdsrv.129c49f2ce4b4bb1a7bd18b2ba98a2de">
      <tp t="e">
        <v>#N/A</v>
        <stp/>
        <stp>3c1230a9-c032-4883-9d5f-24c57d50c330</stp>
        <stp>1</stp>
        <tr r="E24" s="1"/>
      </tp>
      <tp t="e">
        <v>#N/A</v>
        <stp/>
        <stp>36f0d285-c082-4e1e-8611-7f8c9b47bf68</stp>
        <stp>1</stp>
        <tr r="D25" s="1"/>
      </tp>
      <tp t="e">
        <v>#N/A</v>
        <stp/>
        <stp>14a31d0f-ba94-4817-9ed1-49eec9b38007</stp>
        <stp>1</stp>
        <tr r="K75" s="1"/>
      </tp>
    </main>
    <main first="rtdsrv.129c49f2ce4b4bb1a7bd18b2ba98a2de">
      <tp t="e">
        <v>#N/A</v>
        <stp/>
        <stp>d7664682-9055-4002-848e-4e9ab84e5881</stp>
        <stp>1</stp>
        <tr r="L40" s="1"/>
      </tp>
      <tp t="e">
        <v>#N/A</v>
        <stp/>
        <stp>0324f232-a8b8-4b79-9877-9294c1ef882a</stp>
        <stp>1</stp>
        <tr r="H57" s="1"/>
      </tp>
      <tp t="e">
        <v>#N/A</v>
        <stp/>
        <stp>b2d4cacd-00ca-4d05-9e53-f247b913123f</stp>
        <stp>1</stp>
        <tr r="H61" s="1"/>
      </tp>
      <tp t="e">
        <v>#N/A</v>
        <stp/>
        <stp>6cb0c446-a584-48e7-ab2e-cb6d50290e76</stp>
        <stp>1</stp>
        <tr r="K25" s="1"/>
      </tp>
    </main>
    <main first="rtdsrv.129c49f2ce4b4bb1a7bd18b2ba98a2de">
      <tp t="e">
        <v>#N/A</v>
        <stp/>
        <stp>0096f4d0-3421-4e3a-9d47-aeaf124cd67a</stp>
        <stp>1</stp>
        <tr r="D24" s="1"/>
      </tp>
    </main>
    <main first="rtdsrv.129c49f2ce4b4bb1a7bd18b2ba98a2de">
      <tp t="e">
        <v>#N/A</v>
        <stp/>
        <stp>381406d3-ea20-43af-8854-7d4efa77afbc</stp>
        <stp>1</stp>
        <tr r="D37" s="1"/>
      </tp>
    </main>
    <main first="rtdsrv.129c49f2ce4b4bb1a7bd18b2ba98a2de">
      <tp t="e">
        <v>#N/A</v>
        <stp/>
        <stp>ea5cd040-bcae-4a2a-8c49-cee82b1d83f8</stp>
        <stp>1</stp>
        <tr r="D49" s="1"/>
      </tp>
    </main>
    <main first="rtdsrv.129c49f2ce4b4bb1a7bd18b2ba98a2de">
      <tp t="e">
        <v>#N/A</v>
        <stp/>
        <stp>2d4a6f28-1f4a-4fff-9cda-59343e494070</stp>
        <stp>1</stp>
        <tr r="C73" s="1"/>
      </tp>
      <tp t="e">
        <v>#N/A</v>
        <stp/>
        <stp>88a609c7-3fa0-4399-926a-14a2633bf615</stp>
        <stp>1</stp>
        <tr r="I18" s="1"/>
      </tp>
    </main>
    <main first="rtdsrv.129c49f2ce4b4bb1a7bd18b2ba98a2de">
      <tp t="e">
        <v>#N/A</v>
        <stp/>
        <stp>623a8417-db32-474f-b4af-c2a11f789026</stp>
        <stp>1</stp>
        <tr r="L58" s="1"/>
      </tp>
      <tp t="e">
        <v>#N/A</v>
        <stp/>
        <stp>983239dc-0145-4e22-9100-cab5215b997a</stp>
        <stp>1</stp>
        <tr r="K50" s="1"/>
      </tp>
      <tp t="e">
        <v>#N/A</v>
        <stp/>
        <stp>b77591bb-4cf7-48f2-b8d6-bdd363ee29c2</stp>
        <stp>1</stp>
        <tr r="C43" s="1"/>
      </tp>
    </main>
    <main first="rtdsrv.129c49f2ce4b4bb1a7bd18b2ba98a2de">
      <tp t="e">
        <v>#N/A</v>
        <stp/>
        <stp>136db2a1-fa70-4c16-b1f4-a0c6559cbc69</stp>
        <stp>1</stp>
        <tr r="G31" s="1"/>
      </tp>
    </main>
    <main first="rtdsrv.129c49f2ce4b4bb1a7bd18b2ba98a2de">
      <tp t="e">
        <v>#N/A</v>
        <stp/>
        <stp>0b181699-d218-40ac-a144-c23d981380a9</stp>
        <stp>1</stp>
        <tr r="C62" s="1"/>
      </tp>
    </main>
    <main first="rtdsrv.129c49f2ce4b4bb1a7bd18b2ba98a2de">
      <tp t="e">
        <v>#N/A</v>
        <stp/>
        <stp>cd4c42c4-a545-4a1c-8464-d1a304348b12</stp>
        <stp>1</stp>
        <tr r="H67" s="1"/>
      </tp>
      <tp t="e">
        <v>#N/A</v>
        <stp/>
        <stp>cbd893f2-28ed-4531-9ee4-b12918dc3136</stp>
        <stp>1</stp>
        <tr r="J34" s="1"/>
      </tp>
    </main>
    <main first="rtdsrv.129c49f2ce4b4bb1a7bd18b2ba98a2de">
      <tp t="e">
        <v>#N/A</v>
        <stp/>
        <stp>2951923c-31e7-4b2d-97ea-2563894f7066</stp>
        <stp>1</stp>
        <tr r="J18" s="1"/>
      </tp>
    </main>
    <main first="rtdsrv.129c49f2ce4b4bb1a7bd18b2ba98a2de">
      <tp t="e">
        <v>#N/A</v>
        <stp/>
        <stp>7562d110-ef73-4bfb-a2e9-831c680cbca8</stp>
        <stp>1</stp>
        <tr r="I43" s="1"/>
      </tp>
      <tp t="e">
        <v>#N/A</v>
        <stp/>
        <stp>c3caa5ef-0a55-497f-ae66-7371321e85b0</stp>
        <stp>1</stp>
        <tr r="H77" s="1"/>
      </tp>
    </main>
    <main first="rtdsrv.129c49f2ce4b4bb1a7bd18b2ba98a2de">
      <tp t="e">
        <v>#N/A</v>
        <stp/>
        <stp>9533079c-971e-44f9-bb58-0cac3f48777b</stp>
        <stp>1</stp>
        <tr r="L31" s="1"/>
      </tp>
    </main>
    <main first="rtdsrv.129c49f2ce4b4bb1a7bd18b2ba98a2de">
      <tp t="e">
        <v>#N/A</v>
        <stp/>
        <stp>ab8ff334-bd1d-4c51-9532-edc50486a0f4</stp>
        <stp>1</stp>
        <tr r="K47" s="1"/>
      </tp>
    </main>
    <main first="rtdsrv.129c49f2ce4b4bb1a7bd18b2ba98a2de">
      <tp t="e">
        <v>#N/A</v>
        <stp/>
        <stp>4f5c7991-9a87-49ea-8283-c0dd37649335</stp>
        <stp>1</stp>
        <tr r="L75" s="1"/>
      </tp>
    </main>
    <main first="rtdsrv.129c49f2ce4b4bb1a7bd18b2ba98a2de">
      <tp t="e">
        <v>#N/A</v>
        <stp/>
        <stp>a542da7f-21f8-4217-93d3-0ae3757f13eb</stp>
        <stp>1</stp>
        <tr r="F32" s="1"/>
      </tp>
      <tp t="e">
        <v>#N/A</v>
        <stp/>
        <stp>1a46de91-d84b-4911-b8ae-fefabfad372c</stp>
        <stp>1</stp>
        <tr r="J65" s="1"/>
      </tp>
      <tp t="e">
        <v>#N/A</v>
        <stp/>
        <stp>cd720a2d-eac2-41cd-9388-85f724c05134</stp>
        <stp>1</stp>
        <tr r="E42" s="1"/>
      </tp>
    </main>
    <main first="rtdsrv.129c49f2ce4b4bb1a7bd18b2ba98a2de">
      <tp t="e">
        <v>#N/A</v>
        <stp/>
        <stp>cd0f6525-4ad2-4a3d-8634-9340abfe7325</stp>
        <stp>1</stp>
        <tr r="C76" s="1"/>
      </tp>
      <tp t="e">
        <v>#N/A</v>
        <stp/>
        <stp>1c055caa-081d-4bb4-9f39-1c6a3554d9ae</stp>
        <stp>1</stp>
        <tr r="E50" s="1"/>
      </tp>
    </main>
    <main first="rtdsrv.129c49f2ce4b4bb1a7bd18b2ba98a2de">
      <tp t="e">
        <v>#N/A</v>
        <stp/>
        <stp>2bbc11aa-e2cc-4d42-b796-b5e8116332bb</stp>
        <stp>1</stp>
        <tr r="L60" s="1"/>
      </tp>
    </main>
    <main first="rtdsrv.129c49f2ce4b4bb1a7bd18b2ba98a2de">
      <tp t="e">
        <v>#N/A</v>
        <stp/>
        <stp>3888de29-b18e-434f-9bb2-ab647a712538</stp>
        <stp>1</stp>
        <tr r="J74" s="1"/>
      </tp>
      <tp t="e">
        <v>#N/A</v>
        <stp/>
        <stp>45e3c27d-cf69-411a-9bc1-973c503371b7</stp>
        <stp>1</stp>
        <tr r="F59" s="1"/>
      </tp>
      <tp t="e">
        <v>#N/A</v>
        <stp/>
        <stp>940c17d1-a779-45c8-ac0b-db094a06f950</stp>
        <stp>1</stp>
        <tr r="D70" s="1"/>
      </tp>
      <tp t="e">
        <v>#N/A</v>
        <stp/>
        <stp>532cc4e9-2a6b-4122-97ab-c9091251f45b</stp>
        <stp>1</stp>
        <tr r="J73" s="1"/>
      </tp>
    </main>
    <main first="rtdsrv.129c49f2ce4b4bb1a7bd18b2ba98a2de">
      <tp t="e">
        <v>#N/A</v>
        <stp/>
        <stp>a0454ec9-4804-49a0-a8f3-a9104a367b7c</stp>
        <stp>1</stp>
        <tr r="J22" s="1"/>
      </tp>
      <tp t="e">
        <v>#N/A</v>
        <stp/>
        <stp>a57378df-b006-4b8d-a108-b5eef3a77705</stp>
        <stp>1</stp>
        <tr r="C31" s="1"/>
      </tp>
      <tp t="e">
        <v>#N/A</v>
        <stp/>
        <stp>7f6485aa-80d8-4e81-aec7-2336017429d6</stp>
        <stp>1</stp>
        <tr r="D74" s="1"/>
      </tp>
      <tp t="e">
        <v>#N/A</v>
        <stp/>
        <stp>71d8101f-03ee-4b45-8e72-89b74d91e65f</stp>
        <stp>1</stp>
        <tr r="D56" s="1"/>
      </tp>
      <tp t="e">
        <v>#N/A</v>
        <stp/>
        <stp>5e38c45b-49d9-40aa-b320-b3ec260861d6</stp>
        <stp>1</stp>
        <tr r="A5" s="7"/>
      </tp>
    </main>
    <main first="rtdsrv.129c49f2ce4b4bb1a7bd18b2ba98a2de">
      <tp t="e">
        <v>#N/A</v>
        <stp/>
        <stp>4e98d698-a9b2-4a32-b14f-bf7ec7439f86</stp>
        <stp>1</stp>
        <tr r="F16" s="1"/>
      </tp>
      <tp t="e">
        <v>#N/A</v>
        <stp/>
        <stp>f9c47a0d-28c6-4740-a5ec-644692010e3c</stp>
        <stp>1</stp>
        <tr r="J68" s="1"/>
      </tp>
    </main>
    <main first="rtdsrv.129c49f2ce4b4bb1a7bd18b2ba98a2de">
      <tp t="e">
        <v>#N/A</v>
        <stp/>
        <stp>541183f4-dca3-4ad4-9004-fb42bfd70938</stp>
        <stp>1</stp>
        <tr r="C46" s="1"/>
      </tp>
      <tp t="e">
        <v>#N/A</v>
        <stp/>
        <stp>dd34a510-b823-4b83-b3ab-b3986f877e58</stp>
        <stp>1</stp>
        <tr r="F34" s="1"/>
      </tp>
      <tp t="e">
        <v>#N/A</v>
        <stp/>
        <stp>2495d5c9-464f-48e5-b9e3-9ce6875c2a96</stp>
        <stp>1</stp>
        <tr r="L28" s="1"/>
      </tp>
    </main>
    <main first="rtdsrv.129c49f2ce4b4bb1a7bd18b2ba98a2de">
      <tp t="e">
        <v>#N/A</v>
        <stp/>
        <stp>d3452a11-5de6-4068-b395-31e3766b3dbc</stp>
        <stp>1</stp>
        <tr r="D18" s="1"/>
      </tp>
    </main>
    <main first="rtdsrv.129c49f2ce4b4bb1a7bd18b2ba98a2de">
      <tp t="e">
        <v>#N/A</v>
        <stp/>
        <stp>d7a869e0-18ec-4e02-9303-e3e2e497bb55</stp>
        <stp>1</stp>
        <tr r="E61" s="1"/>
      </tp>
      <tp t="e">
        <v>#N/A</v>
        <stp/>
        <stp>8dc04df6-b296-4d41-bf90-c718903ebc4e</stp>
        <stp>1</stp>
        <tr r="D53" s="1"/>
      </tp>
    </main>
    <main first="rtdsrv.129c49f2ce4b4bb1a7bd18b2ba98a2de">
      <tp t="e">
        <v>#N/A</v>
        <stp/>
        <stp>86774738-5ce8-445e-a972-7204fe7286d8</stp>
        <stp>1</stp>
        <tr r="C54" s="1"/>
      </tp>
    </main>
    <main first="rtdsrv.129c49f2ce4b4bb1a7bd18b2ba98a2de">
      <tp t="e">
        <v>#N/A</v>
        <stp/>
        <stp>718e79e6-eafc-42b7-a749-27a1199ecf03</stp>
        <stp>1</stp>
        <tr r="E59" s="1"/>
      </tp>
    </main>
    <main first="rtdsrv.129c49f2ce4b4bb1a7bd18b2ba98a2de">
      <tp t="e">
        <v>#N/A</v>
        <stp/>
        <stp>6279569d-e8ef-4274-96d0-a16049bcf09a</stp>
        <stp>1</stp>
        <tr r="D63" s="1"/>
      </tp>
      <tp t="e">
        <v>#N/A</v>
        <stp/>
        <stp>365d94cd-5048-439e-b36c-d8a3c4c152df</stp>
        <stp>1</stp>
        <tr r="G47" s="1"/>
      </tp>
    </main>
    <main first="rtdsrv.129c49f2ce4b4bb1a7bd18b2ba98a2de">
      <tp t="e">
        <v>#N/A</v>
        <stp/>
        <stp>733186db-2887-4758-a961-c229c86a8dcd</stp>
        <stp>1</stp>
        <tr r="I21" s="1"/>
      </tp>
      <tp t="e">
        <v>#N/A</v>
        <stp/>
        <stp>e33ef4a4-aae1-46bd-aa48-6e2c6bd53e84</stp>
        <stp>1</stp>
        <tr r="G48" s="1"/>
      </tp>
      <tp t="e">
        <v>#N/A</v>
        <stp/>
        <stp>0a451b48-da35-42e0-9e91-ff37e71604a5</stp>
        <stp>1</stp>
        <tr r="I75" s="1"/>
      </tp>
      <tp t="e">
        <v>#N/A</v>
        <stp/>
        <stp>2b08f432-81e9-4fba-80da-9928db28fcf0</stp>
        <stp>1</stp>
        <tr r="H49" s="1"/>
      </tp>
      <tp t="e">
        <v>#N/A</v>
        <stp/>
        <stp>fb7c16d2-554e-4055-a18b-0b052fc909b9</stp>
        <stp>1</stp>
        <tr r="H22" s="1"/>
      </tp>
    </main>
    <main first="rtdsrv.129c49f2ce4b4bb1a7bd18b2ba98a2de">
      <tp t="e">
        <v>#N/A</v>
        <stp/>
        <stp>65ba2ec6-38a8-4716-95bd-44eaeb9a7828</stp>
        <stp>1</stp>
        <tr r="F42" s="1"/>
      </tp>
    </main>
    <main first="rtdsrv.129c49f2ce4b4bb1a7bd18b2ba98a2de">
      <tp t="e">
        <v>#N/A</v>
        <stp/>
        <stp>63e0ab93-76c6-4e1b-a3b4-80a202ea8617</stp>
        <stp>1</stp>
        <tr r="F55" s="1"/>
      </tp>
      <tp t="e">
        <v>#N/A</v>
        <stp/>
        <stp>bd050b56-1451-4ad8-a866-ac368c435383</stp>
        <stp>1</stp>
        <tr r="C15" s="1"/>
      </tp>
    </main>
    <main first="rtdsrv.129c49f2ce4b4bb1a7bd18b2ba98a2de">
      <tp t="e">
        <v>#N/A</v>
        <stp/>
        <stp>2f96c3ae-c350-4c8a-b868-74facb50bab6</stp>
        <stp>1</stp>
        <tr r="E35" s="1"/>
      </tp>
    </main>
    <main first="rtdsrv.129c49f2ce4b4bb1a7bd18b2ba98a2de">
      <tp t="e">
        <v>#N/A</v>
        <stp/>
        <stp>3a59ddd4-a46d-4707-9dc5-4ab7790c06fa</stp>
        <stp>1</stp>
        <tr r="J67" s="1"/>
      </tp>
      <tp t="e">
        <v>#N/A</v>
        <stp/>
        <stp>a7ab8616-c7c0-42f1-9c0c-8bfa5d9e52c8</stp>
        <stp>1</stp>
        <tr r="K61" s="1"/>
      </tp>
    </main>
    <main first="rtdsrv.129c49f2ce4b4bb1a7bd18b2ba98a2de">
      <tp t="e">
        <v>#N/A</v>
        <stp/>
        <stp>65d61441-5198-4c91-bcda-fa9b39889abe</stp>
        <stp>1</stp>
        <tr r="I26" s="1"/>
      </tp>
      <tp t="e">
        <v>#N/A</v>
        <stp/>
        <stp>f417cc40-f02a-4224-b892-c638592d1a99</stp>
        <stp>1</stp>
        <tr r="C28" s="1"/>
      </tp>
      <tp t="e">
        <v>#N/A</v>
        <stp/>
        <stp>5be7716a-07be-47c8-b734-0d3f26558362</stp>
        <stp>1</stp>
        <tr r="E27" s="1"/>
      </tp>
    </main>
    <main first="rtdsrv.129c49f2ce4b4bb1a7bd18b2ba98a2de">
      <tp t="e">
        <v>#N/A</v>
        <stp/>
        <stp>9d4aad88-5057-4a50-ba28-1ef258be0248</stp>
        <stp>1</stp>
        <tr r="C75" s="1"/>
      </tp>
    </main>
    <main first="rtdsrv.129c49f2ce4b4bb1a7bd18b2ba98a2de">
      <tp t="e">
        <v>#N/A</v>
        <stp/>
        <stp>7f1658f6-e956-4424-805c-9169e39ff48f</stp>
        <stp>1</stp>
        <tr r="C58" s="1"/>
      </tp>
    </main>
    <main first="rtdsrv.129c49f2ce4b4bb1a7bd18b2ba98a2de">
      <tp t="e">
        <v>#N/A</v>
        <stp/>
        <stp>e1f6de28-7095-4200-b5c7-01905f1a9b36</stp>
        <stp>1</stp>
        <tr r="D65" s="1"/>
      </tp>
      <tp t="e">
        <v>#N/A</v>
        <stp/>
        <stp>0d1ead2b-ade9-45ec-a2a5-00178e785979</stp>
        <stp>1</stp>
        <tr r="I41" s="1"/>
      </tp>
      <tp t="e">
        <v>#N/A</v>
        <stp/>
        <stp>83905222-b9be-40ae-a271-862b9696817e</stp>
        <stp>1</stp>
        <tr r="G21" s="1"/>
      </tp>
      <tp t="e">
        <v>#N/A</v>
        <stp/>
        <stp>8771122a-a990-4464-8972-dc220e56a94a</stp>
        <stp>1</stp>
        <tr r="D50" s="1"/>
      </tp>
      <tp t="e">
        <v>#N/A</v>
        <stp/>
        <stp>dcb4b929-ce93-4ab1-ab2e-42bc47b15d0f</stp>
        <stp>1</stp>
        <tr r="G68" s="1"/>
      </tp>
    </main>
    <main first="rtdsrv.129c49f2ce4b4bb1a7bd18b2ba98a2de">
      <tp t="e">
        <v>#N/A</v>
        <stp/>
        <stp>28332d64-0237-434d-b7bf-bc3ce2632455</stp>
        <stp>1</stp>
        <tr r="I25" s="1"/>
      </tp>
      <tp t="e">
        <v>#N/A</v>
        <stp/>
        <stp>b32d2590-3c24-4709-b888-9379a5435999</stp>
        <stp>1</stp>
        <tr r="F48" s="1"/>
      </tp>
    </main>
    <main first="rtdsrv.129c49f2ce4b4bb1a7bd18b2ba98a2de">
      <tp t="e">
        <v>#N/A</v>
        <stp/>
        <stp>62db3184-e06d-4de2-b10a-85da003492d3</stp>
        <stp>1</stp>
        <tr r="I74" s="1"/>
      </tp>
      <tp t="e">
        <v>#N/A</v>
        <stp/>
        <stp>e12f2905-1a55-4d92-b5e2-3ea5cad0e83f</stp>
        <stp>1</stp>
        <tr r="D29" s="1"/>
      </tp>
    </main>
    <main first="rtdsrv.129c49f2ce4b4bb1a7bd18b2ba98a2de">
      <tp t="e">
        <v>#N/A</v>
        <stp/>
        <stp>e7242904-e211-48b2-aeb0-51b807e64c5e</stp>
        <stp>1</stp>
        <tr r="L14" s="1"/>
      </tp>
      <tp t="e">
        <v>#N/A</v>
        <stp/>
        <stp>c7181d49-53de-4a69-9e9c-5b29cc31bd96</stp>
        <stp>1</stp>
        <tr r="E60" s="1"/>
      </tp>
    </main>
    <main first="rtdsrv.129c49f2ce4b4bb1a7bd18b2ba98a2de">
      <tp t="e">
        <v>#N/A</v>
        <stp/>
        <stp>112226ec-0551-4cdc-ac01-d790a643fdaf</stp>
        <stp>1</stp>
        <tr r="L53" s="1"/>
      </tp>
      <tp t="e">
        <v>#N/A</v>
        <stp/>
        <stp>6a9802d9-398b-4c91-a307-092908b2d213</stp>
        <stp>1</stp>
        <tr r="K69" s="1"/>
      </tp>
    </main>
    <main first="rtdsrv.129c49f2ce4b4bb1a7bd18b2ba98a2de">
      <tp t="e">
        <v>#N/A</v>
        <stp/>
        <stp>c33319ee-8ef3-4130-afd4-9d05ebbdf9f2</stp>
        <stp>1</stp>
        <tr r="H55" s="1"/>
      </tp>
      <tp t="e">
        <v>#N/A</v>
        <stp/>
        <stp>57dd26f4-7fdb-43c3-998c-cd36daf87713</stp>
        <stp>1</stp>
        <tr r="K58" s="1"/>
      </tp>
      <tp t="e">
        <v>#N/A</v>
        <stp/>
        <stp>296ad122-36e0-414c-ab36-8db46dda1b40</stp>
        <stp>1</stp>
        <tr r="C64" s="1"/>
      </tp>
    </main>
    <main first="rtdsrv.129c49f2ce4b4bb1a7bd18b2ba98a2de">
      <tp t="e">
        <v>#N/A</v>
        <stp/>
        <stp>0a24dfbc-5dcf-4840-9376-7ef4c066aa84</stp>
        <stp>1</stp>
        <tr r="F25" s="1"/>
      </tp>
    </main>
    <main first="rtdsrv.129c49f2ce4b4bb1a7bd18b2ba98a2de">
      <tp t="e">
        <v>#N/A</v>
        <stp/>
        <stp>0eb15038-aac4-4e83-a55b-93b7015841ab</stp>
        <stp>1</stp>
        <tr r="H21" s="1"/>
      </tp>
      <tp t="e">
        <v>#N/A</v>
        <stp/>
        <stp>0026997e-93dd-44d8-a255-9866e8f5af7b</stp>
        <stp>1</stp>
        <tr r="K33" s="1"/>
      </tp>
      <tp t="e">
        <v>#N/A</v>
        <stp/>
        <stp>4aad5352-80d6-4eef-90f0-42fa2e98b0b4</stp>
        <stp>1</stp>
        <tr r="K26" s="1"/>
      </tp>
    </main>
    <main first="rtdsrv.129c49f2ce4b4bb1a7bd18b2ba98a2de">
      <tp t="e">
        <v>#N/A</v>
        <stp/>
        <stp>a8d7fd3f-2b99-48d1-aa2f-f3d3aa64b8f4</stp>
        <stp>1</stp>
        <tr r="H43" s="1"/>
      </tp>
      <tp t="e">
        <v>#N/A</v>
        <stp/>
        <stp>b3c472a8-faf9-4eba-8411-6575ad2526a5</stp>
        <stp>1</stp>
        <tr r="J55" s="1"/>
      </tp>
      <tp t="e">
        <v>#N/A</v>
        <stp/>
        <stp>114e02f2-8aa6-44c8-a828-354c592051c2</stp>
        <stp>1</stp>
        <tr r="D57" s="1"/>
      </tp>
    </main>
    <main first="rtdsrv.129c49f2ce4b4bb1a7bd18b2ba98a2de">
      <tp t="e">
        <v>#N/A</v>
        <stp/>
        <stp>d795a45c-aeb0-4897-8026-c841eca1f186</stp>
        <stp>1</stp>
        <tr r="F58" s="1"/>
      </tp>
    </main>
    <main first="rtdsrv.129c49f2ce4b4bb1a7bd18b2ba98a2de">
      <tp t="e">
        <v>#N/A</v>
        <stp/>
        <stp>882aa8da-553f-4f63-984e-a3f8ab22a92d</stp>
        <stp>1</stp>
        <tr r="J30" s="1"/>
      </tp>
      <tp t="e">
        <v>#N/A</v>
        <stp/>
        <stp>b0a18312-3bbe-443a-8890-e518e681d9af</stp>
        <stp>1</stp>
        <tr r="F33" s="1"/>
      </tp>
    </main>
    <main first="rtdsrv.129c49f2ce4b4bb1a7bd18b2ba98a2de">
      <tp t="e">
        <v>#N/A</v>
        <stp/>
        <stp>738d16ef-a875-41c3-aae7-f87d15d51a86</stp>
        <stp>1</stp>
        <tr r="H26" s="1"/>
      </tp>
    </main>
    <main first="rtdsrv.129c49f2ce4b4bb1a7bd18b2ba98a2de">
      <tp t="e">
        <v>#N/A</v>
        <stp/>
        <stp>75e48ab8-83ab-457e-8f17-00493df9652b</stp>
        <stp>1</stp>
        <tr r="F43" s="1"/>
      </tp>
    </main>
    <main first="rtdsrv.129c49f2ce4b4bb1a7bd18b2ba98a2de">
      <tp t="e">
        <v>#N/A</v>
        <stp/>
        <stp>19147507-e4b1-4cb2-a665-b18e5fce973a</stp>
        <stp>1</stp>
        <tr r="F65" s="1"/>
      </tp>
      <tp t="e">
        <v>#N/A</v>
        <stp/>
        <stp>62f4ab2e-7cae-4021-861b-f01ac38c1228</stp>
        <stp>1</stp>
        <tr r="L43" s="1"/>
      </tp>
      <tp t="e">
        <v>#N/A</v>
        <stp/>
        <stp>cd04f1be-ebba-441b-a11a-53c0eef56f5a</stp>
        <stp>1</stp>
        <tr r="C59" s="1"/>
      </tp>
    </main>
    <main first="rtdsrv.129c49f2ce4b4bb1a7bd18b2ba98a2de">
      <tp t="e">
        <v>#N/A</v>
        <stp/>
        <stp>fba3638c-4528-4cd2-a8a9-0706128e6531</stp>
        <stp>1</stp>
        <tr r="F22" s="1"/>
      </tp>
      <tp t="e">
        <v>#N/A</v>
        <stp/>
        <stp>20c30bf4-7826-4981-98cf-4c6489719a62</stp>
        <stp>1</stp>
        <tr r="F66" s="1"/>
      </tp>
    </main>
    <main first="rtdsrv.129c49f2ce4b4bb1a7bd18b2ba98a2de">
      <tp t="e">
        <v>#N/A</v>
        <stp/>
        <stp>9286b2f5-c4aa-43db-aedf-61f4e8291cf8</stp>
        <stp>1</stp>
        <tr r="J56" s="1"/>
      </tp>
    </main>
    <main first="rtdsrv.129c49f2ce4b4bb1a7bd18b2ba98a2de">
      <tp t="e">
        <v>#N/A</v>
        <stp/>
        <stp>1bf94d5f-2b85-49ba-8c42-f372ab75ea7d</stp>
        <stp>1</stp>
        <tr r="G75" s="1"/>
      </tp>
      <tp t="e">
        <v>#N/A</v>
        <stp/>
        <stp>0737e77a-8b05-4f42-92f2-2838cd22d726</stp>
        <stp>1</stp>
        <tr r="C47" s="1"/>
      </tp>
      <tp t="e">
        <v>#N/A</v>
        <stp/>
        <stp>cdc9b9b1-9344-41a1-9471-a36bdc4e63d6</stp>
        <stp>1</stp>
        <tr r="J47" s="1"/>
      </tp>
      <tp t="e">
        <v>#N/A</v>
        <stp/>
        <stp>62270696-b1c5-456c-974a-15f9e23f62a4</stp>
        <stp>1</stp>
        <tr r="H34" s="1"/>
      </tp>
      <tp t="e">
        <v>#N/A</v>
        <stp/>
        <stp>22e7e49a-72b6-4a85-a371-08659d4e24fa</stp>
        <stp>1</stp>
        <tr r="L74" s="1"/>
      </tp>
    </main>
    <main first="rtdsrv.129c49f2ce4b4bb1a7bd18b2ba98a2de">
      <tp t="e">
        <v>#N/A</v>
        <stp/>
        <stp>49d388a0-c124-4b05-88de-78882187bbfa</stp>
        <stp>1</stp>
        <tr r="E32" s="1"/>
      </tp>
    </main>
    <main first="rtdsrv.129c49f2ce4b4bb1a7bd18b2ba98a2de">
      <tp t="e">
        <v>#N/A</v>
        <stp/>
        <stp>dedad97a-c2cc-4541-bd42-be8fa6759d3b</stp>
        <stp>1</stp>
        <tr r="J58" s="1"/>
      </tp>
    </main>
    <main first="rtdsrv.129c49f2ce4b4bb1a7bd18b2ba98a2de">
      <tp t="e">
        <v>#N/A</v>
        <stp/>
        <stp>d58d34cc-7243-4069-83a7-9277e2c907f0</stp>
        <stp>1</stp>
        <tr r="L65" s="1"/>
      </tp>
    </main>
    <main first="rtdsrv.129c49f2ce4b4bb1a7bd18b2ba98a2de">
      <tp t="e">
        <v>#N/A</v>
        <stp/>
        <stp>0aced3e6-a631-4fe1-81ad-3e056f669748</stp>
        <stp>1</stp>
        <tr r="H24" s="1"/>
      </tp>
    </main>
    <main first="rtdsrv.129c49f2ce4b4bb1a7bd18b2ba98a2de">
      <tp t="e">
        <v>#N/A</v>
        <stp/>
        <stp>1e99de1d-8a2e-4fd8-8dde-72d3bf75d772</stp>
        <stp>1</stp>
        <tr r="D16" s="1"/>
      </tp>
      <tp t="e">
        <v>#N/A</v>
        <stp/>
        <stp>3dfda47a-f523-42e0-a69c-a7a656f5b0eb</stp>
        <stp>1</stp>
        <tr r="H48" s="1"/>
      </tp>
    </main>
    <main first="rtdsrv.129c49f2ce4b4bb1a7bd18b2ba98a2de">
      <tp t="e">
        <v>#N/A</v>
        <stp/>
        <stp>cf68873f-ae2c-4a41-856b-002daaaf2273</stp>
        <stp>1</stp>
        <tr r="K63" s="1"/>
      </tp>
    </main>
    <main first="rtdsrv.129c49f2ce4b4bb1a7bd18b2ba98a2de">
      <tp t="e">
        <v>#N/A</v>
        <stp/>
        <stp>919610b4-d4d0-4e13-a13b-ea97d47bd423</stp>
        <stp>1</stp>
        <tr r="H73" s="1"/>
      </tp>
    </main>
    <main first="rtdsrv.129c49f2ce4b4bb1a7bd18b2ba98a2de">
      <tp t="e">
        <v>#N/A</v>
        <stp/>
        <stp>4959e206-2ff7-43a8-8d25-1ae656ac5163</stp>
        <stp>1</stp>
        <tr r="I28" s="1"/>
      </tp>
      <tp t="e">
        <v>#N/A</v>
        <stp/>
        <stp>a4decd7f-dc1c-4b41-be41-299fae3e19d5</stp>
        <stp>1</stp>
        <tr r="L24" s="1"/>
      </tp>
    </main>
    <main first="rtdsrv.129c49f2ce4b4bb1a7bd18b2ba98a2de">
      <tp t="e">
        <v>#N/A</v>
        <stp/>
        <stp>7f821ea2-7b1c-413e-b92f-89754ecc6490</stp>
        <stp>1</stp>
        <tr r="J64" s="1"/>
      </tp>
    </main>
    <main first="rtdsrv.129c49f2ce4b4bb1a7bd18b2ba98a2de">
      <tp t="e">
        <v>#N/A</v>
        <stp/>
        <stp>3b9e4ecb-2fbb-4b11-b499-9c74cebb19b7</stp>
        <stp>1</stp>
        <tr r="J24" s="1"/>
      </tp>
      <tp t="e">
        <v>#N/A</v>
        <stp/>
        <stp>034c7fb6-400f-42c1-981e-db7abf184c73</stp>
        <stp>1</stp>
        <tr r="J69" s="1"/>
      </tp>
      <tp t="e">
        <v>#N/A</v>
        <stp/>
        <stp>6f34ed9e-befa-41e3-be1d-b1c48d76fa5b</stp>
        <stp>1</stp>
        <tr r="E77" s="1"/>
      </tp>
    </main>
    <main first="rtdsrv.129c49f2ce4b4bb1a7bd18b2ba98a2de">
      <tp t="e">
        <v>#N/A</v>
        <stp/>
        <stp>a756a921-c7f1-44a8-a9b1-d56c4a07440d</stp>
        <stp>1</stp>
        <tr r="J43" s="1"/>
      </tp>
    </main>
    <main first="rtdsrv.129c49f2ce4b4bb1a7bd18b2ba98a2de">
      <tp t="e">
        <v>#N/A</v>
        <stp/>
        <stp>f28aa6cf-8f8c-4d25-808d-dd054dbf5ec4</stp>
        <stp>1</stp>
        <tr r="K18" s="1"/>
      </tp>
      <tp t="e">
        <v>#N/A</v>
        <stp/>
        <stp>ad76261e-4e9d-4f0b-ba4f-db85f49fd6a9</stp>
        <stp>1</stp>
        <tr r="F40" s="1"/>
      </tp>
      <tp t="e">
        <v>#N/A</v>
        <stp/>
        <stp>7f1acce6-e2e7-4aef-9c82-c774014b7a58</stp>
        <stp>1</stp>
        <tr r="H31" s="1"/>
      </tp>
      <tp t="e">
        <v>#N/A</v>
        <stp/>
        <stp>1a43cfed-936f-4164-a48f-d5e27d0fc6ea</stp>
        <stp>1</stp>
        <tr r="G46" s="1"/>
      </tp>
    </main>
    <main first="rtdsrv.129c49f2ce4b4bb1a7bd18b2ba98a2de">
      <tp t="e">
        <v>#N/A</v>
        <stp/>
        <stp>9ba3fa08-eaf0-4b7a-8e98-2e7609108875</stp>
        <stp>1</stp>
        <tr r="I68" s="1"/>
      </tp>
    </main>
    <main first="rtdsrv.129c49f2ce4b4bb1a7bd18b2ba98a2de">
      <tp t="e">
        <v>#N/A</v>
        <stp/>
        <stp>b1c288b7-46c8-496a-82ff-cc363283318f</stp>
        <stp>1</stp>
        <tr r="L61" s="1"/>
      </tp>
      <tp t="e">
        <v>#N/A</v>
        <stp/>
        <stp>d66f090c-b54e-4c47-a383-364292209d05</stp>
        <stp>1</stp>
        <tr r="J46" s="1"/>
      </tp>
      <tp t="e">
        <v>#N/A</v>
        <stp/>
        <stp>160a08bf-3a61-46ea-bd9d-d6aef44f6e0b</stp>
        <stp>1</stp>
        <tr r="G23" s="1"/>
      </tp>
      <tp t="e">
        <v>#N/A</v>
        <stp/>
        <stp>7c0931e3-ad23-4d92-9ca1-44e359a56e0d</stp>
        <stp>1</stp>
        <tr r="C32" s="1"/>
      </tp>
    </main>
    <main first="rtdsrv.129c49f2ce4b4bb1a7bd18b2ba98a2de">
      <tp t="e">
        <v>#N/A</v>
        <stp/>
        <stp>02d99dc1-b638-4495-8502-293e5d0fd993</stp>
        <stp>1</stp>
        <tr r="I54" s="1"/>
      </tp>
    </main>
    <main first="rtdsrv.129c49f2ce4b4bb1a7bd18b2ba98a2de">
      <tp t="e">
        <v>#N/A</v>
        <stp/>
        <stp>cff54d34-c599-4004-9c62-c60c96d18cbd</stp>
        <stp>1</stp>
        <tr r="G76" s="1"/>
      </tp>
      <tp t="e">
        <v>#N/A</v>
        <stp/>
        <stp>a946eaf4-bca6-4ff8-9c93-c23492661cd9</stp>
        <stp>1</stp>
        <tr r="I58" s="1"/>
      </tp>
      <tp t="e">
        <v>#N/A</v>
        <stp/>
        <stp>31f58f3e-1ba4-49fc-8aa2-00fd1900d65c</stp>
        <stp>1</stp>
        <tr r="G60" s="1"/>
      </tp>
    </main>
    <main first="rtdsrv.129c49f2ce4b4bb1a7bd18b2ba98a2de">
      <tp t="e">
        <v>#N/A</v>
        <stp/>
        <stp>47998af1-5ff4-43cd-9482-8fbd7fe019b7</stp>
        <stp>1</stp>
        <tr r="K21" s="1"/>
      </tp>
    </main>
    <main first="rtdsrv.129c49f2ce4b4bb1a7bd18b2ba98a2de">
      <tp t="e">
        <v>#N/A</v>
        <stp/>
        <stp>d36a007e-e097-452b-bf5e-16ec4c47d1e9</stp>
        <stp>1</stp>
        <tr r="J63" s="1"/>
      </tp>
    </main>
    <main first="rtdsrv.129c49f2ce4b4bb1a7bd18b2ba98a2de">
      <tp t="e">
        <v>#N/A</v>
        <stp/>
        <stp>8149672b-11f6-48bf-b32f-2e65865f45e3</stp>
        <stp>1</stp>
        <tr r="J37" s="1"/>
      </tp>
    </main>
    <main first="rtdsrv.129c49f2ce4b4bb1a7bd18b2ba98a2de">
      <tp t="e">
        <v>#N/A</v>
        <stp/>
        <stp>e56ae07a-6fee-4212-a0f0-441047791cf8</stp>
        <stp>1</stp>
        <tr r="C50" s="1"/>
      </tp>
    </main>
    <main first="rtdsrv.129c49f2ce4b4bb1a7bd18b2ba98a2de">
      <tp t="e">
        <v>#N/A</v>
        <stp/>
        <stp>7893a9e3-431e-420a-b834-61e0ce93f0de</stp>
        <stp>1</stp>
        <tr r="E31" s="1"/>
      </tp>
      <tp t="e">
        <v>#N/A</v>
        <stp/>
        <stp>83ee24c6-3a61-49c3-9653-eda1c447f2bd</stp>
        <stp>1</stp>
        <tr r="D15" s="1"/>
      </tp>
    </main>
    <main first="rtdsrv.129c49f2ce4b4bb1a7bd18b2ba98a2de">
      <tp t="e">
        <v>#N/A</v>
        <stp/>
        <stp>e66f7987-7cd6-497b-9990-94c57cc7f590</stp>
        <stp>1</stp>
        <tr r="C48" s="1"/>
      </tp>
    </main>
    <main first="rtdsrv.129c49f2ce4b4bb1a7bd18b2ba98a2de">
      <tp t="e">
        <v>#N/A</v>
        <stp/>
        <stp>4df930cb-247a-49e4-a49c-b3315e54dba6</stp>
        <stp>1</stp>
        <tr r="F28" s="1"/>
      </tp>
      <tp t="e">
        <v>#N/A</v>
        <stp/>
        <stp>ecdf5c3d-ee07-4ff8-b0e0-3dab14aa7d32</stp>
        <stp>1</stp>
        <tr r="L16" s="1"/>
      </tp>
    </main>
    <main first="rtdsrv.129c49f2ce4b4bb1a7bd18b2ba98a2de">
      <tp t="e">
        <v>#N/A</v>
        <stp/>
        <stp>9f74650b-994b-4958-89ff-317b8b352972</stp>
        <stp>1</stp>
        <tr r="K28" s="1"/>
      </tp>
    </main>
    <main first="rtdsrv.129c49f2ce4b4bb1a7bd18b2ba98a2de">
      <tp t="e">
        <v>#N/A</v>
        <stp/>
        <stp>84d0acbc-45ce-4563-8dad-303f163851ee</stp>
        <stp>1</stp>
        <tr r="K35" s="1"/>
      </tp>
    </main>
    <main first="rtdsrv.129c49f2ce4b4bb1a7bd18b2ba98a2de">
      <tp t="e">
        <v>#N/A</v>
        <stp/>
        <stp>14a7bd07-ba7d-42ac-a497-ceb7e98e9b10</stp>
        <stp>1</stp>
        <tr r="F49" s="1"/>
      </tp>
    </main>
    <main first="rtdsrv.129c49f2ce4b4bb1a7bd18b2ba98a2de">
      <tp t="e">
        <v>#N/A</v>
        <stp/>
        <stp>a5381bd0-deba-4120-8a1d-c370e6b679fc</stp>
        <stp>1</stp>
        <tr r="E15" s="1"/>
      </tp>
    </main>
    <main first="rtdsrv.129c49f2ce4b4bb1a7bd18b2ba98a2de">
      <tp t="e">
        <v>#N/A</v>
        <stp/>
        <stp>f43d685b-7306-464f-a2f2-fa41125caed5</stp>
        <stp>1</stp>
        <tr r="H30" s="1"/>
      </tp>
    </main>
    <main first="rtdsrv.129c49f2ce4b4bb1a7bd18b2ba98a2de">
      <tp t="e">
        <v>#N/A</v>
        <stp/>
        <stp>74cc00aa-70d3-4b27-b5fe-514ec25c189f</stp>
        <stp>1</stp>
        <tr r="F50" s="1"/>
      </tp>
      <tp t="e">
        <v>#N/A</v>
        <stp/>
        <stp>3b0d2db5-eb61-4a22-9027-6cf92218c188</stp>
        <stp>1</stp>
        <tr r="D17" s="1"/>
      </tp>
    </main>
    <main first="rtdsrv.129c49f2ce4b4bb1a7bd18b2ba98a2de">
      <tp t="e">
        <v>#N/A</v>
        <stp/>
        <stp>52f44ab2-a06d-470c-b06d-8acf30eaea5d</stp>
        <stp>1</stp>
        <tr r="E28" s="1"/>
      </tp>
    </main>
    <main first="rtdsrv.129c49f2ce4b4bb1a7bd18b2ba98a2de">
      <tp t="e">
        <v>#N/A</v>
        <stp/>
        <stp>6ecc7ced-8cb6-4d53-b32c-c9398df8bccd</stp>
        <stp>1</stp>
        <tr r="E26" s="1"/>
      </tp>
      <tp t="e">
        <v>#N/A</v>
        <stp/>
        <stp>3c1b02b9-051b-4e8b-b343-d25c2e915229</stp>
        <stp>1</stp>
        <tr r="C4" s="1"/>
      </tp>
      <tp t="e">
        <v>#N/A</v>
        <stp/>
        <stp>e646f2fa-aa19-49e6-af9d-1442adb8fdc2</stp>
        <stp>1</stp>
        <tr r="L70" s="1"/>
      </tp>
      <tp t="e">
        <v>#N/A</v>
        <stp/>
        <stp>d4bd64e1-59ee-4d67-a1b7-148a9fb07f6b</stp>
        <stp>1</stp>
        <tr r="K30" s="1"/>
      </tp>
    </main>
    <main first="rtdsrv.129c49f2ce4b4bb1a7bd18b2ba98a2de">
      <tp t="e">
        <v>#N/A</v>
        <stp/>
        <stp>68ad7946-72e7-43c9-99ba-6b09fcbc1d6a</stp>
        <stp>1</stp>
        <tr r="F61" s="1"/>
      </tp>
    </main>
    <main first="rtdsrv.129c49f2ce4b4bb1a7bd18b2ba98a2de">
      <tp t="e">
        <v>#N/A</v>
        <stp/>
        <stp>8b953787-bd81-4205-ae07-e17897eb39b5</stp>
        <stp>1</stp>
        <tr r="K27" s="1"/>
      </tp>
      <tp t="e">
        <v>#N/A</v>
        <stp/>
        <stp>c2ea69af-fd9f-471c-bdd1-ae3e5fd12c69</stp>
        <stp>1</stp>
        <tr r="C42" s="1"/>
      </tp>
      <tp t="e">
        <v>#N/A</v>
        <stp/>
        <stp>a5d86570-ad44-44cc-8f43-251fa8bc4a93</stp>
        <stp>1</stp>
        <tr r="C33" s="1"/>
      </tp>
    </main>
    <main first="rtdsrv.129c49f2ce4b4bb1a7bd18b2ba98a2de">
      <tp t="e">
        <v>#N/A</v>
        <stp/>
        <stp>e9aeb7dd-ce6f-4541-a778-0197227df6e6</stp>
        <stp>1</stp>
        <tr r="H27" s="1"/>
      </tp>
    </main>
    <main first="rtdsrv.129c49f2ce4b4bb1a7bd18b2ba98a2de">
      <tp t="e">
        <v>#N/A</v>
        <stp/>
        <stp>9afaff9e-06e1-4783-a303-5eedc65473aa</stp>
        <stp>1</stp>
        <tr r="L54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ctrlProps/ctrlProp1.xml><?xml version="1.0" encoding="utf-8"?>
<formControlPr xmlns="http://schemas.microsoft.com/office/spreadsheetml/2009/9/main" objectType="Radio" firstButton="1" fmlaLink="Base!$B$1" lockText="1"/>
</file>

<file path=xl/ctrlProps/ctrlProp2.xml><?xml version="1.0" encoding="utf-8"?>
<formControlPr xmlns="http://schemas.microsoft.com/office/spreadsheetml/2009/9/main" objectType="Radio" checked="Checked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</xdr:rowOff>
    </xdr:from>
    <xdr:to>
      <xdr:col>12</xdr:col>
      <xdr:colOff>628650</xdr:colOff>
      <xdr:row>1</xdr:row>
      <xdr:rowOff>152400</xdr:rowOff>
    </xdr:to>
    <xdr:sp macro="" textlink="">
      <xdr:nvSpPr>
        <xdr:cNvPr id="2" name="Retângulo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19050"/>
          <a:ext cx="9772650" cy="32385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152400</xdr:colOff>
      <xdr:row>0</xdr:row>
      <xdr:rowOff>0</xdr:rowOff>
    </xdr:from>
    <xdr:to>
      <xdr:col>1</xdr:col>
      <xdr:colOff>1060454</xdr:colOff>
      <xdr:row>2</xdr:row>
      <xdr:rowOff>87044</xdr:rowOff>
    </xdr:to>
    <xdr:pic>
      <xdr:nvPicPr>
        <xdr:cNvPr id="3" name="Imagem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0"/>
          <a:ext cx="2155829" cy="4680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77</xdr:row>
      <xdr:rowOff>57150</xdr:rowOff>
    </xdr:from>
    <xdr:to>
      <xdr:col>12</xdr:col>
      <xdr:colOff>18225</xdr:colOff>
      <xdr:row>77</xdr:row>
      <xdr:rowOff>129150</xdr:rowOff>
    </xdr:to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14300" y="14316075"/>
          <a:ext cx="9648000" cy="7200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1381125</xdr:colOff>
          <xdr:row>9</xdr:row>
          <xdr:rowOff>19050</xdr:rowOff>
        </xdr:from>
        <xdr:to>
          <xdr:col>2</xdr:col>
          <xdr:colOff>752475</xdr:colOff>
          <xdr:row>10</xdr:row>
          <xdr:rowOff>19050</xdr:rowOff>
        </xdr:to>
        <xdr:sp macro="" textlink="">
          <xdr:nvSpPr>
            <xdr:cNvPr id="2049" name="Option 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A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Consolidado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9</xdr:row>
          <xdr:rowOff>19050</xdr:rowOff>
        </xdr:from>
        <xdr:to>
          <xdr:col>3</xdr:col>
          <xdr:colOff>409575</xdr:colOff>
          <xdr:row>10</xdr:row>
          <xdr:rowOff>19050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A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Individual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0</xdr:colOff>
      <xdr:row>0</xdr:row>
      <xdr:rowOff>19050</xdr:rowOff>
    </xdr:from>
    <xdr:to>
      <xdr:col>12</xdr:col>
      <xdr:colOff>0</xdr:colOff>
      <xdr:row>1</xdr:row>
      <xdr:rowOff>19050</xdr:rowOff>
    </xdr:to>
    <xdr:sp macro="" textlink="">
      <xdr:nvSpPr>
        <xdr:cNvPr id="6" name="Retângul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0" y="19050"/>
          <a:ext cx="9772650" cy="32385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28575</xdr:colOff>
      <xdr:row>0</xdr:row>
      <xdr:rowOff>0</xdr:rowOff>
    </xdr:from>
    <xdr:to>
      <xdr:col>2</xdr:col>
      <xdr:colOff>746129</xdr:colOff>
      <xdr:row>1</xdr:row>
      <xdr:rowOff>144194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0"/>
          <a:ext cx="2155829" cy="4680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BCA8C-9AF3-4201-AEB7-044BD58CC900}">
  <dimension ref="A5:C77"/>
  <sheetViews>
    <sheetView workbookViewId="0">
      <selection activeCell="C5" sqref="C5"/>
    </sheetView>
  </sheetViews>
  <sheetFormatPr baseColWidth="10" defaultRowHeight="15" x14ac:dyDescent="0.25"/>
  <cols>
    <col min="1" max="1" width="18.7109375" style="31" bestFit="1" customWidth="1"/>
    <col min="2" max="2" width="45.5703125" style="31" bestFit="1" customWidth="1"/>
    <col min="3" max="3" width="7.140625" style="31" bestFit="1" customWidth="1"/>
    <col min="4" max="16384" width="11.42578125" style="31"/>
  </cols>
  <sheetData>
    <row r="5" spans="1:3" x14ac:dyDescent="0.25">
      <c r="A5" s="32" t="str" cm="1">
        <f t="array" ref="A5">_xll.ECOSECURITIES("stock","active","true","arg",,"true","Acciones")</f>
        <v>Acciones</v>
      </c>
      <c r="B5" s="33" t="str" cm="1">
        <f t="array" ref="B5">_xll.ECONOMATICA($A$6:$A$77,"Name",,,,,,,,"true","Nombre")</f>
        <v>Nombre</v>
      </c>
      <c r="C5" s="34" t="str" cm="1">
        <f t="array" ref="C5">_xll.ECONOMATICA($A$6:$A$77,"ticker",,,,,,,,"true","Código")</f>
        <v>Código</v>
      </c>
    </row>
    <row r="6" spans="1:3" x14ac:dyDescent="0.25">
      <c r="A6" s="31" t="s">
        <v>17</v>
      </c>
      <c r="B6" s="31" t="s">
        <v>84</v>
      </c>
      <c r="C6" s="31" t="s">
        <v>156</v>
      </c>
    </row>
    <row r="7" spans="1:3" x14ac:dyDescent="0.25">
      <c r="A7" s="31" t="s">
        <v>18</v>
      </c>
      <c r="B7" s="31" t="s">
        <v>85</v>
      </c>
      <c r="C7" s="31" t="s">
        <v>157</v>
      </c>
    </row>
    <row r="8" spans="1:3" x14ac:dyDescent="0.25">
      <c r="A8" s="31" t="s">
        <v>19</v>
      </c>
      <c r="B8" s="31" t="s">
        <v>86</v>
      </c>
      <c r="C8" s="31" t="s">
        <v>158</v>
      </c>
    </row>
    <row r="9" spans="1:3" x14ac:dyDescent="0.25">
      <c r="A9" s="31" t="s">
        <v>20</v>
      </c>
      <c r="B9" s="31" t="s">
        <v>87</v>
      </c>
      <c r="C9" s="31" t="s">
        <v>159</v>
      </c>
    </row>
    <row r="10" spans="1:3" x14ac:dyDescent="0.25">
      <c r="A10" s="31" t="s">
        <v>21</v>
      </c>
      <c r="B10" s="31" t="s">
        <v>88</v>
      </c>
      <c r="C10" s="31" t="s">
        <v>160</v>
      </c>
    </row>
    <row r="11" spans="1:3" x14ac:dyDescent="0.25">
      <c r="A11" s="31" t="s">
        <v>22</v>
      </c>
      <c r="B11" s="31" t="s">
        <v>89</v>
      </c>
      <c r="C11" s="31" t="s">
        <v>161</v>
      </c>
    </row>
    <row r="12" spans="1:3" x14ac:dyDescent="0.25">
      <c r="A12" s="31" t="s">
        <v>23</v>
      </c>
      <c r="B12" s="31" t="s">
        <v>90</v>
      </c>
      <c r="C12" s="31" t="s">
        <v>162</v>
      </c>
    </row>
    <row r="13" spans="1:3" x14ac:dyDescent="0.25">
      <c r="A13" s="31" t="s">
        <v>24</v>
      </c>
      <c r="B13" s="31" t="s">
        <v>91</v>
      </c>
      <c r="C13" s="31" t="s">
        <v>163</v>
      </c>
    </row>
    <row r="14" spans="1:3" x14ac:dyDescent="0.25">
      <c r="A14" s="31" t="s">
        <v>25</v>
      </c>
      <c r="B14" s="31" t="s">
        <v>92</v>
      </c>
      <c r="C14" s="31" t="s">
        <v>164</v>
      </c>
    </row>
    <row r="15" spans="1:3" x14ac:dyDescent="0.25">
      <c r="A15" s="31" t="s">
        <v>26</v>
      </c>
      <c r="B15" s="31" t="s">
        <v>93</v>
      </c>
      <c r="C15" s="31" t="s">
        <v>165</v>
      </c>
    </row>
    <row r="16" spans="1:3" x14ac:dyDescent="0.25">
      <c r="A16" s="31" t="s">
        <v>27</v>
      </c>
      <c r="B16" s="31" t="s">
        <v>94</v>
      </c>
      <c r="C16" s="31" t="s">
        <v>166</v>
      </c>
    </row>
    <row r="17" spans="1:3" x14ac:dyDescent="0.25">
      <c r="A17" s="31" t="s">
        <v>28</v>
      </c>
      <c r="B17" s="31" t="s">
        <v>95</v>
      </c>
      <c r="C17" s="31" t="s">
        <v>167</v>
      </c>
    </row>
    <row r="18" spans="1:3" x14ac:dyDescent="0.25">
      <c r="A18" s="31" t="s">
        <v>29</v>
      </c>
      <c r="B18" s="31" t="s">
        <v>96</v>
      </c>
      <c r="C18" s="31" t="s">
        <v>168</v>
      </c>
    </row>
    <row r="19" spans="1:3" x14ac:dyDescent="0.25">
      <c r="A19" s="31" t="s">
        <v>282</v>
      </c>
      <c r="B19" s="31" t="s">
        <v>97</v>
      </c>
      <c r="C19" s="31" t="s">
        <v>287</v>
      </c>
    </row>
    <row r="20" spans="1:3" x14ac:dyDescent="0.25">
      <c r="A20" s="31" t="s">
        <v>30</v>
      </c>
      <c r="B20" s="31" t="s">
        <v>98</v>
      </c>
      <c r="C20" s="31" t="s">
        <v>169</v>
      </c>
    </row>
    <row r="21" spans="1:3" x14ac:dyDescent="0.25">
      <c r="A21" s="31" t="s">
        <v>31</v>
      </c>
      <c r="B21" s="31" t="s">
        <v>99</v>
      </c>
      <c r="C21" s="31" t="s">
        <v>170</v>
      </c>
    </row>
    <row r="22" spans="1:3" x14ac:dyDescent="0.25">
      <c r="A22" s="31" t="s">
        <v>32</v>
      </c>
      <c r="B22" s="31" t="s">
        <v>100</v>
      </c>
      <c r="C22" s="31" t="s">
        <v>171</v>
      </c>
    </row>
    <row r="23" spans="1:3" x14ac:dyDescent="0.25">
      <c r="A23" s="31" t="s">
        <v>33</v>
      </c>
      <c r="B23" s="31" t="s">
        <v>101</v>
      </c>
      <c r="C23" s="31" t="s">
        <v>172</v>
      </c>
    </row>
    <row r="24" spans="1:3" x14ac:dyDescent="0.25">
      <c r="A24" s="31" t="s">
        <v>34</v>
      </c>
      <c r="B24" s="31" t="s">
        <v>102</v>
      </c>
      <c r="C24" s="31" t="s">
        <v>173</v>
      </c>
    </row>
    <row r="25" spans="1:3" x14ac:dyDescent="0.25">
      <c r="A25" s="31" t="s">
        <v>35</v>
      </c>
      <c r="B25" s="31" t="s">
        <v>103</v>
      </c>
      <c r="C25" s="31" t="s">
        <v>174</v>
      </c>
    </row>
    <row r="26" spans="1:3" x14ac:dyDescent="0.25">
      <c r="A26" s="31" t="s">
        <v>36</v>
      </c>
      <c r="B26" s="31" t="s">
        <v>104</v>
      </c>
      <c r="C26" s="31" t="s">
        <v>175</v>
      </c>
    </row>
    <row r="27" spans="1:3" x14ac:dyDescent="0.25">
      <c r="A27" s="31" t="s">
        <v>37</v>
      </c>
      <c r="B27" s="31" t="s">
        <v>105</v>
      </c>
      <c r="C27" s="31" t="s">
        <v>176</v>
      </c>
    </row>
    <row r="28" spans="1:3" x14ac:dyDescent="0.25">
      <c r="A28" s="31" t="s">
        <v>283</v>
      </c>
      <c r="B28" s="31" t="s">
        <v>106</v>
      </c>
      <c r="C28" s="31" t="s">
        <v>288</v>
      </c>
    </row>
    <row r="29" spans="1:3" x14ac:dyDescent="0.25">
      <c r="A29" s="31" t="s">
        <v>38</v>
      </c>
      <c r="B29" s="31" t="s">
        <v>107</v>
      </c>
      <c r="C29" s="31" t="s">
        <v>177</v>
      </c>
    </row>
    <row r="30" spans="1:3" x14ac:dyDescent="0.25">
      <c r="A30" s="31" t="s">
        <v>39</v>
      </c>
      <c r="B30" s="31" t="s">
        <v>108</v>
      </c>
      <c r="C30" s="31" t="s">
        <v>178</v>
      </c>
    </row>
    <row r="31" spans="1:3" x14ac:dyDescent="0.25">
      <c r="A31" s="31" t="s">
        <v>40</v>
      </c>
      <c r="B31" s="31" t="s">
        <v>109</v>
      </c>
      <c r="C31" s="31" t="s">
        <v>179</v>
      </c>
    </row>
    <row r="32" spans="1:3" x14ac:dyDescent="0.25">
      <c r="A32" s="31" t="s">
        <v>41</v>
      </c>
      <c r="B32" s="31" t="s">
        <v>110</v>
      </c>
      <c r="C32" s="31" t="s">
        <v>180</v>
      </c>
    </row>
    <row r="33" spans="1:3" x14ac:dyDescent="0.25">
      <c r="A33" s="31" t="s">
        <v>42</v>
      </c>
      <c r="B33" s="31" t="s">
        <v>111</v>
      </c>
      <c r="C33" s="31" t="s">
        <v>181</v>
      </c>
    </row>
    <row r="34" spans="1:3" x14ac:dyDescent="0.25">
      <c r="A34" s="31" t="s">
        <v>43</v>
      </c>
      <c r="B34" s="31" t="s">
        <v>112</v>
      </c>
      <c r="C34" s="31" t="s">
        <v>182</v>
      </c>
    </row>
    <row r="35" spans="1:3" x14ac:dyDescent="0.25">
      <c r="A35" s="31" t="s">
        <v>284</v>
      </c>
      <c r="B35" s="31" t="s">
        <v>113</v>
      </c>
      <c r="C35" s="31" t="s">
        <v>289</v>
      </c>
    </row>
    <row r="36" spans="1:3" x14ac:dyDescent="0.25">
      <c r="A36" s="31" t="s">
        <v>44</v>
      </c>
      <c r="B36" s="31" t="s">
        <v>114</v>
      </c>
      <c r="C36" s="31" t="s">
        <v>183</v>
      </c>
    </row>
    <row r="37" spans="1:3" x14ac:dyDescent="0.25">
      <c r="A37" s="31" t="s">
        <v>45</v>
      </c>
      <c r="B37" s="31" t="s">
        <v>115</v>
      </c>
      <c r="C37" s="31" t="s">
        <v>184</v>
      </c>
    </row>
    <row r="38" spans="1:3" x14ac:dyDescent="0.25">
      <c r="A38" s="31" t="s">
        <v>46</v>
      </c>
      <c r="B38" s="31" t="s">
        <v>116</v>
      </c>
      <c r="C38" s="31" t="s">
        <v>185</v>
      </c>
    </row>
    <row r="39" spans="1:3" x14ac:dyDescent="0.25">
      <c r="A39" s="31" t="s">
        <v>47</v>
      </c>
      <c r="B39" s="31" t="s">
        <v>117</v>
      </c>
      <c r="C39" s="31" t="s">
        <v>186</v>
      </c>
    </row>
    <row r="40" spans="1:3" x14ac:dyDescent="0.25">
      <c r="A40" s="31" t="s">
        <v>48</v>
      </c>
      <c r="B40" s="31" t="s">
        <v>118</v>
      </c>
      <c r="C40" s="31" t="s">
        <v>187</v>
      </c>
    </row>
    <row r="41" spans="1:3" x14ac:dyDescent="0.25">
      <c r="A41" s="31" t="s">
        <v>49</v>
      </c>
      <c r="B41" s="31" t="s">
        <v>119</v>
      </c>
      <c r="C41" s="31" t="s">
        <v>188</v>
      </c>
    </row>
    <row r="42" spans="1:3" x14ac:dyDescent="0.25">
      <c r="A42" s="31" t="s">
        <v>50</v>
      </c>
      <c r="B42" s="31" t="s">
        <v>120</v>
      </c>
      <c r="C42" s="31" t="s">
        <v>189</v>
      </c>
    </row>
    <row r="43" spans="1:3" x14ac:dyDescent="0.25">
      <c r="A43" s="31" t="s">
        <v>51</v>
      </c>
      <c r="B43" s="31" t="s">
        <v>121</v>
      </c>
      <c r="C43" s="31" t="s">
        <v>190</v>
      </c>
    </row>
    <row r="44" spans="1:3" x14ac:dyDescent="0.25">
      <c r="A44" s="31" t="s">
        <v>52</v>
      </c>
      <c r="B44" s="31" t="s">
        <v>122</v>
      </c>
      <c r="C44" s="31" t="s">
        <v>191</v>
      </c>
    </row>
    <row r="45" spans="1:3" x14ac:dyDescent="0.25">
      <c r="A45" s="31" t="s">
        <v>53</v>
      </c>
      <c r="B45" s="31" t="s">
        <v>123</v>
      </c>
      <c r="C45" s="31" t="s">
        <v>192</v>
      </c>
    </row>
    <row r="46" spans="1:3" x14ac:dyDescent="0.25">
      <c r="A46" s="31" t="s">
        <v>54</v>
      </c>
      <c r="B46" s="31" t="s">
        <v>124</v>
      </c>
      <c r="C46" s="31" t="s">
        <v>193</v>
      </c>
    </row>
    <row r="47" spans="1:3" x14ac:dyDescent="0.25">
      <c r="A47" s="31" t="s">
        <v>55</v>
      </c>
      <c r="B47" s="31" t="s">
        <v>125</v>
      </c>
      <c r="C47" s="31" t="s">
        <v>194</v>
      </c>
    </row>
    <row r="48" spans="1:3" x14ac:dyDescent="0.25">
      <c r="A48" s="31" t="s">
        <v>56</v>
      </c>
      <c r="B48" s="31" t="s">
        <v>126</v>
      </c>
      <c r="C48" s="31" t="s">
        <v>195</v>
      </c>
    </row>
    <row r="49" spans="1:3" x14ac:dyDescent="0.25">
      <c r="A49" s="31" t="s">
        <v>57</v>
      </c>
      <c r="B49" s="31" t="s">
        <v>127</v>
      </c>
      <c r="C49" s="31" t="s">
        <v>196</v>
      </c>
    </row>
    <row r="50" spans="1:3" x14ac:dyDescent="0.25">
      <c r="A50" s="31" t="s">
        <v>58</v>
      </c>
      <c r="B50" s="31" t="s">
        <v>128</v>
      </c>
      <c r="C50" s="31" t="s">
        <v>197</v>
      </c>
    </row>
    <row r="51" spans="1:3" x14ac:dyDescent="0.25">
      <c r="A51" s="31" t="s">
        <v>59</v>
      </c>
      <c r="B51" s="31" t="s">
        <v>129</v>
      </c>
      <c r="C51" s="31" t="s">
        <v>198</v>
      </c>
    </row>
    <row r="52" spans="1:3" x14ac:dyDescent="0.25">
      <c r="A52" s="31" t="s">
        <v>60</v>
      </c>
      <c r="B52" s="31" t="s">
        <v>130</v>
      </c>
      <c r="C52" s="31" t="s">
        <v>199</v>
      </c>
    </row>
    <row r="53" spans="1:3" x14ac:dyDescent="0.25">
      <c r="A53" s="31" t="s">
        <v>61</v>
      </c>
      <c r="B53" s="31" t="s">
        <v>131</v>
      </c>
      <c r="C53" s="31" t="s">
        <v>200</v>
      </c>
    </row>
    <row r="54" spans="1:3" x14ac:dyDescent="0.25">
      <c r="A54" s="31" t="s">
        <v>62</v>
      </c>
      <c r="B54" s="31" t="s">
        <v>132</v>
      </c>
      <c r="C54" s="31" t="s">
        <v>201</v>
      </c>
    </row>
    <row r="55" spans="1:3" x14ac:dyDescent="0.25">
      <c r="A55" s="31" t="s">
        <v>63</v>
      </c>
      <c r="B55" s="31" t="s">
        <v>133</v>
      </c>
      <c r="C55" s="31" t="s">
        <v>202</v>
      </c>
    </row>
    <row r="56" spans="1:3" x14ac:dyDescent="0.25">
      <c r="A56" s="31" t="s">
        <v>64</v>
      </c>
      <c r="B56" s="31" t="s">
        <v>134</v>
      </c>
      <c r="C56" s="31" t="s">
        <v>203</v>
      </c>
    </row>
    <row r="57" spans="1:3" x14ac:dyDescent="0.25">
      <c r="A57" s="31" t="s">
        <v>65</v>
      </c>
      <c r="B57" s="31" t="s">
        <v>135</v>
      </c>
      <c r="C57" s="31" t="s">
        <v>204</v>
      </c>
    </row>
    <row r="58" spans="1:3" x14ac:dyDescent="0.25">
      <c r="A58" s="31" t="s">
        <v>66</v>
      </c>
      <c r="B58" s="31" t="s">
        <v>136</v>
      </c>
      <c r="C58" s="31" t="s">
        <v>205</v>
      </c>
    </row>
    <row r="59" spans="1:3" x14ac:dyDescent="0.25">
      <c r="A59" s="31" t="s">
        <v>67</v>
      </c>
      <c r="B59" s="31" t="s">
        <v>137</v>
      </c>
      <c r="C59" s="31" t="s">
        <v>206</v>
      </c>
    </row>
    <row r="60" spans="1:3" x14ac:dyDescent="0.25">
      <c r="A60" s="31" t="s">
        <v>68</v>
      </c>
      <c r="B60" s="31" t="s">
        <v>138</v>
      </c>
      <c r="C60" s="31" t="s">
        <v>207</v>
      </c>
    </row>
    <row r="61" spans="1:3" x14ac:dyDescent="0.25">
      <c r="A61" s="31" t="s">
        <v>69</v>
      </c>
      <c r="B61" s="31" t="s">
        <v>139</v>
      </c>
      <c r="C61" s="31" t="s">
        <v>208</v>
      </c>
    </row>
    <row r="62" spans="1:3" x14ac:dyDescent="0.25">
      <c r="A62" s="31" t="s">
        <v>70</v>
      </c>
      <c r="B62" s="31" t="s">
        <v>140</v>
      </c>
      <c r="C62" s="31" t="s">
        <v>209</v>
      </c>
    </row>
    <row r="63" spans="1:3" x14ac:dyDescent="0.25">
      <c r="A63" s="31" t="s">
        <v>71</v>
      </c>
      <c r="B63" s="31" t="s">
        <v>141</v>
      </c>
      <c r="C63" s="31" t="s">
        <v>210</v>
      </c>
    </row>
    <row r="64" spans="1:3" x14ac:dyDescent="0.25">
      <c r="A64" s="31" t="s">
        <v>72</v>
      </c>
      <c r="B64" s="31" t="s">
        <v>142</v>
      </c>
      <c r="C64" s="31" t="s">
        <v>211</v>
      </c>
    </row>
    <row r="65" spans="1:3" x14ac:dyDescent="0.25">
      <c r="A65" s="31" t="s">
        <v>73</v>
      </c>
      <c r="B65" s="31" t="s">
        <v>143</v>
      </c>
      <c r="C65" s="31" t="s">
        <v>212</v>
      </c>
    </row>
    <row r="66" spans="1:3" x14ac:dyDescent="0.25">
      <c r="A66" s="31" t="s">
        <v>74</v>
      </c>
      <c r="B66" s="31" t="s">
        <v>144</v>
      </c>
      <c r="C66" s="31" t="s">
        <v>213</v>
      </c>
    </row>
    <row r="67" spans="1:3" x14ac:dyDescent="0.25">
      <c r="A67" s="31" t="s">
        <v>75</v>
      </c>
      <c r="B67" s="31" t="s">
        <v>145</v>
      </c>
      <c r="C67" s="31" t="s">
        <v>214</v>
      </c>
    </row>
    <row r="68" spans="1:3" x14ac:dyDescent="0.25">
      <c r="A68" s="31" t="s">
        <v>76</v>
      </c>
      <c r="B68" s="31" t="s">
        <v>146</v>
      </c>
      <c r="C68" s="31" t="s">
        <v>215</v>
      </c>
    </row>
    <row r="69" spans="1:3" x14ac:dyDescent="0.25">
      <c r="A69" s="31" t="s">
        <v>77</v>
      </c>
      <c r="B69" s="31" t="s">
        <v>147</v>
      </c>
      <c r="C69" s="31" t="s">
        <v>216</v>
      </c>
    </row>
    <row r="70" spans="1:3" x14ac:dyDescent="0.25">
      <c r="A70" s="31" t="s">
        <v>78</v>
      </c>
      <c r="B70" s="31" t="s">
        <v>148</v>
      </c>
      <c r="C70" s="31" t="s">
        <v>217</v>
      </c>
    </row>
    <row r="71" spans="1:3" x14ac:dyDescent="0.25">
      <c r="A71" s="31" t="s">
        <v>285</v>
      </c>
      <c r="B71" s="31" t="s">
        <v>149</v>
      </c>
      <c r="C71" s="31" t="s">
        <v>290</v>
      </c>
    </row>
    <row r="72" spans="1:3" x14ac:dyDescent="0.25">
      <c r="A72" s="31" t="s">
        <v>79</v>
      </c>
      <c r="B72" s="31" t="s">
        <v>150</v>
      </c>
      <c r="C72" s="31" t="s">
        <v>218</v>
      </c>
    </row>
    <row r="73" spans="1:3" x14ac:dyDescent="0.25">
      <c r="A73" s="31" t="s">
        <v>80</v>
      </c>
      <c r="B73" s="31" t="s">
        <v>151</v>
      </c>
      <c r="C73" s="31" t="s">
        <v>219</v>
      </c>
    </row>
    <row r="74" spans="1:3" x14ac:dyDescent="0.25">
      <c r="A74" s="31" t="s">
        <v>81</v>
      </c>
      <c r="B74" s="31" t="s">
        <v>152</v>
      </c>
      <c r="C74" s="31" t="s">
        <v>220</v>
      </c>
    </row>
    <row r="75" spans="1:3" x14ac:dyDescent="0.25">
      <c r="A75" s="31" t="s">
        <v>82</v>
      </c>
      <c r="B75" s="31" t="s">
        <v>153</v>
      </c>
      <c r="C75" s="31" t="s">
        <v>221</v>
      </c>
    </row>
    <row r="76" spans="1:3" x14ac:dyDescent="0.25">
      <c r="A76" s="31" t="s">
        <v>286</v>
      </c>
      <c r="B76" s="31" t="s">
        <v>154</v>
      </c>
      <c r="C76" s="31" t="s">
        <v>291</v>
      </c>
    </row>
    <row r="77" spans="1:3" x14ac:dyDescent="0.25">
      <c r="A77" s="31" t="s">
        <v>83</v>
      </c>
      <c r="B77" s="31" t="s">
        <v>155</v>
      </c>
      <c r="C77" s="31" t="s">
        <v>222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4"/>
  <dimension ref="A1:Y80"/>
  <sheetViews>
    <sheetView showGridLines="0" tabSelected="1" zoomScaleNormal="100" workbookViewId="0">
      <pane xSplit="4" ySplit="10" topLeftCell="E74" activePane="bottomRight" state="frozen"/>
      <selection pane="topRight" activeCell="E1" sqref="E1"/>
      <selection pane="bottomLeft" activeCell="A11" sqref="A11"/>
      <selection pane="bottomRight" activeCell="L17" sqref="L17"/>
    </sheetView>
  </sheetViews>
  <sheetFormatPr baseColWidth="10" defaultColWidth="9.140625" defaultRowHeight="15" x14ac:dyDescent="0.25"/>
  <cols>
    <col min="1" max="1" width="1.7109375" style="1" customWidth="1"/>
    <col min="2" max="2" width="21.5703125" style="1" customWidth="1"/>
    <col min="3" max="3" width="17.85546875" style="1" bestFit="1" customWidth="1"/>
    <col min="4" max="11" width="11.7109375" style="1" customWidth="1"/>
    <col min="12" max="12" width="12.5703125" style="1" bestFit="1" customWidth="1"/>
    <col min="13" max="13" width="1.7109375" customWidth="1"/>
    <col min="14" max="14" width="8.5703125" customWidth="1"/>
    <col min="15" max="25" width="8.85546875" customWidth="1"/>
    <col min="26" max="16384" width="9.140625" style="1"/>
  </cols>
  <sheetData>
    <row r="1" spans="1:25" customFormat="1" ht="25.5" customHeight="1" x14ac:dyDescent="0.25">
      <c r="A1" s="1"/>
      <c r="B1" s="1"/>
      <c r="C1" s="1"/>
    </row>
    <row r="2" spans="1:25" customFormat="1" ht="13.5" customHeight="1" x14ac:dyDescent="0.25">
      <c r="A2" s="1"/>
    </row>
    <row r="3" spans="1:25" customFormat="1" ht="12.95" customHeight="1" x14ac:dyDescent="0.25">
      <c r="A3" s="1"/>
      <c r="B3" s="18" t="s">
        <v>271</v>
      </c>
      <c r="C3" s="26"/>
      <c r="D3" s="3" t="s">
        <v>272</v>
      </c>
    </row>
    <row r="4" spans="1:25" customFormat="1" ht="12.95" customHeight="1" x14ac:dyDescent="0.25">
      <c r="A4" s="1"/>
      <c r="B4" s="18" t="s">
        <v>273</v>
      </c>
      <c r="C4" s="36">
        <f>_xll.ECONOMATICA($C$5,"Fin Statm Date")</f>
        <v>44012</v>
      </c>
      <c r="D4" s="1" t="s">
        <v>274</v>
      </c>
    </row>
    <row r="5" spans="1:25" customFormat="1" ht="12.95" customHeight="1" x14ac:dyDescent="0.25">
      <c r="A5" s="1"/>
      <c r="B5" s="18" t="s">
        <v>0</v>
      </c>
      <c r="C5" s="2" t="s">
        <v>222</v>
      </c>
      <c r="D5" s="3" t="s">
        <v>275</v>
      </c>
    </row>
    <row r="6" spans="1:25" customFormat="1" ht="12.95" customHeight="1" x14ac:dyDescent="0.25">
      <c r="A6" s="1"/>
      <c r="B6" s="18" t="s">
        <v>13</v>
      </c>
      <c r="C6" s="2" t="str">
        <f>_xll.ECONOMATICA($C$5,"NAME")</f>
        <v>Ypf S.A.</v>
      </c>
      <c r="D6" s="1" t="s">
        <v>274</v>
      </c>
    </row>
    <row r="7" spans="1:25" customFormat="1" ht="12.95" customHeight="1" x14ac:dyDescent="0.25">
      <c r="A7" s="1"/>
      <c r="B7" s="18" t="s">
        <v>276</v>
      </c>
      <c r="C7" s="4" t="s">
        <v>14</v>
      </c>
      <c r="D7" s="3" t="s">
        <v>275</v>
      </c>
    </row>
    <row r="8" spans="1:25" customFormat="1" ht="12.95" customHeight="1" x14ac:dyDescent="0.25">
      <c r="A8" s="1"/>
      <c r="B8" s="18" t="s">
        <v>1</v>
      </c>
      <c r="C8" s="4" t="s">
        <v>281</v>
      </c>
      <c r="D8" s="3" t="s">
        <v>275</v>
      </c>
    </row>
    <row r="9" spans="1:25" customFormat="1" ht="12.95" customHeight="1" x14ac:dyDescent="0.25">
      <c r="A9" s="1"/>
      <c r="B9" s="18" t="s">
        <v>277</v>
      </c>
      <c r="C9" s="4" t="s">
        <v>223</v>
      </c>
      <c r="D9" s="3" t="s">
        <v>275</v>
      </c>
    </row>
    <row r="10" spans="1:25" customFormat="1" ht="18" customHeight="1" x14ac:dyDescent="0.25">
      <c r="A10" s="1"/>
      <c r="B10" s="18" t="s">
        <v>278</v>
      </c>
      <c r="C10" s="2"/>
      <c r="D10" s="3"/>
    </row>
    <row r="11" spans="1:25" customFormat="1" x14ac:dyDescent="0.25">
      <c r="A11" s="1"/>
    </row>
    <row r="12" spans="1:25" customFormat="1" ht="30.75" x14ac:dyDescent="0.25">
      <c r="A12" s="1"/>
      <c r="B12" s="25" t="s">
        <v>16</v>
      </c>
    </row>
    <row r="13" spans="1:25" customFormat="1" ht="12" customHeight="1" x14ac:dyDescent="0.25">
      <c r="A13" s="1"/>
      <c r="L13" s="16" t="str">
        <f>C9</f>
        <v>Thousands</v>
      </c>
    </row>
    <row r="14" spans="1:25" s="5" customFormat="1" ht="15.75" thickBot="1" x14ac:dyDescent="0.3">
      <c r="A14" s="1"/>
      <c r="B14" s="14" t="s">
        <v>224</v>
      </c>
      <c r="C14" s="13">
        <f t="shared" ref="C14:F14" si="0">EOMONTH(D14,-3)</f>
        <v>43190</v>
      </c>
      <c r="D14" s="13">
        <f t="shared" si="0"/>
        <v>43281</v>
      </c>
      <c r="E14" s="13">
        <f t="shared" si="0"/>
        <v>43373</v>
      </c>
      <c r="F14" s="13">
        <f t="shared" si="0"/>
        <v>43465</v>
      </c>
      <c r="G14" s="13">
        <f t="shared" ref="G14:J14" si="1">EOMONTH(H14,-3)</f>
        <v>43555</v>
      </c>
      <c r="H14" s="13">
        <f t="shared" si="1"/>
        <v>43646</v>
      </c>
      <c r="I14" s="13">
        <f t="shared" si="1"/>
        <v>43738</v>
      </c>
      <c r="J14" s="13">
        <f t="shared" si="1"/>
        <v>43830</v>
      </c>
      <c r="K14" s="13">
        <f>EOMONTH(L14,-3)</f>
        <v>43921</v>
      </c>
      <c r="L14" s="35">
        <f>_xll.ECONOMATICA($C$5,"Fin Statm Date",,IF(C3="","LATEST",C3))</f>
        <v>44012</v>
      </c>
      <c r="M14"/>
      <c r="N14"/>
      <c r="O14"/>
      <c r="P14"/>
      <c r="Q14"/>
      <c r="R14"/>
      <c r="S14"/>
      <c r="T14"/>
      <c r="U14"/>
      <c r="V14"/>
      <c r="W14"/>
      <c r="X14"/>
      <c r="Y14"/>
    </row>
    <row r="15" spans="1:25" s="5" customFormat="1" ht="15" customHeight="1" thickTop="1" x14ac:dyDescent="0.25">
      <c r="A15" s="1"/>
      <c r="B15" s="7" t="s">
        <v>226</v>
      </c>
      <c r="C15" s="29">
        <f>IFERROR(_xll.ECONOMATICA($C$5,"EPS",$C$8,C$14,,,$C$7,,,,,IF(Base!$B$1=1,{"jtb.opcconscontr=2"},{"jtb.opcconscontr=3"})),"-")</f>
        <v>15.425381802924701</v>
      </c>
      <c r="D15" s="29">
        <f>IFERROR(_xll.ECONOMATICA($C$5,"EPS",$C$8,D$14,,,$C$7,,,,,IF(Base!$B$1=1,{"jtb.opcconscontr=2"},{"jtb.opcconscontr=3"})),"-")</f>
        <v>20.4925955713843</v>
      </c>
      <c r="E15" s="29">
        <f>IFERROR(_xll.ECONOMATICA($C$5,"EPS",$C$8,E$14,,,$C$7,,,,,IF(Base!$B$1=1,{"jtb.opcconscontr=2"},{"jtb.opcconscontr=3"})),"-")</f>
        <v>54.061297721404102</v>
      </c>
      <c r="F15" s="29" t="str">
        <f>IFERROR(_xll.ECONOMATICA($C$5,"EPS",$C$8,F$14,,,$C$7,,,,,IF(Base!$B$1=1,{"jtb.opcconscontr=2"},{"jtb.opcconscontr=3"})),"-")</f>
        <v>-</v>
      </c>
      <c r="G15" s="29">
        <f>IFERROR(_xll.ECONOMATICA($C$5,"EPS",$C$8,G$14,,,$C$7,,,,,IF(Base!$B$1=1,{"jtb.opcconscontr=2"},{"jtb.opcconscontr=3"})),"-")</f>
        <v>-20.810408778139401</v>
      </c>
      <c r="H15" s="29">
        <f>IFERROR(_xll.ECONOMATICA($C$5,"EPS",$C$8,H$14,,,$C$7,,,,,IF(Base!$B$1=1,{"jtb.opcconscontr=2"},{"jtb.opcconscontr=3"})),"-")</f>
        <v>-27.6344939535193</v>
      </c>
      <c r="I15" s="29">
        <f>IFERROR(_xll.ECONOMATICA($C$5,"EPS",$C$8,I$14,,,$C$7,,,,,IF(Base!$B$1=1,{"jtb.opcconscontr=2"},{"jtb.opcconscontr=3"})),"-")</f>
        <v>-59.9904209065717</v>
      </c>
      <c r="J15" s="29">
        <f>IFERROR(_xll.ECONOMATICA($C$5,"EPS",$C$8,J$14,,,$C$7,,,,,IF(Base!$B$1=1,{"jtb.opcconscontr=2"},{"jtb.opcconscontr=3"})),"-")</f>
        <v>-86.6257101381198</v>
      </c>
      <c r="K15" s="29">
        <f>IFERROR(_xll.ECONOMATICA($C$5,"EPS",$C$8,K$14,,,$C$7,,,,,IF(Base!$B$1=1,{"jtb.opcconscontr=2"},{"jtb.opcconscontr=3"})),"-")</f>
        <v>15.7940451227623</v>
      </c>
      <c r="L15" s="29">
        <f>IFERROR(_xll.ECONOMATICA($C$5,"EPS",$C$8,L$14,,,$C$7,,,,,IF(Base!$B$1=1,{"jtb.opcconscontr=2"},{"jtb.opcconscontr=3"})),"-")</f>
        <v>-199.3782083767</v>
      </c>
      <c r="M15"/>
      <c r="N15"/>
      <c r="O15"/>
      <c r="P15"/>
      <c r="Q15"/>
      <c r="R15"/>
      <c r="S15"/>
      <c r="T15"/>
      <c r="U15"/>
      <c r="V15"/>
      <c r="W15"/>
      <c r="X15"/>
      <c r="Y15"/>
    </row>
    <row r="16" spans="1:25" s="5" customFormat="1" ht="15" customHeight="1" x14ac:dyDescent="0.25">
      <c r="A16" s="1"/>
      <c r="B16" s="7" t="s">
        <v>227</v>
      </c>
      <c r="C16" s="29" t="str">
        <f>IFERROR(_xll.ECONOMATICA($C$5,"BVperShare",,C$14,,,$C$7,,,,,IF(Base!$B$1=1,{"jtb.opcconscontr=2"},{"jtb.opcconscontr=3"})),"-")</f>
        <v>-</v>
      </c>
      <c r="D16" s="29" t="str">
        <f>IFERROR(_xll.ECONOMATICA($C$5,"BVperShare",,D$14,,,$C$7,,,,,IF(Base!$B$1=1,{"jtb.opcconscontr=2"},{"jtb.opcconscontr=3"})),"-")</f>
        <v>-</v>
      </c>
      <c r="E16" s="29">
        <f>IFERROR(_xll.ECONOMATICA($C$5,"BVperShare",,E$14,,,$C$7,,,,,IF(Base!$B$1=1,{"jtb.opcconscontr=2"},{"jtb.opcconscontr=3"})),"-")</f>
        <v>922.10832308139697</v>
      </c>
      <c r="F16" s="29">
        <f>IFERROR(_xll.ECONOMATICA($C$5,"BVperShare",,F$14,,,$C$7,,,,,IF(Base!$B$1=1,{"jtb.opcconscontr=2"},{"jtb.opcconscontr=3"})),"-")</f>
        <v>913.26803092192904</v>
      </c>
      <c r="G16" s="29">
        <f>IFERROR(_xll.ECONOMATICA($C$5,"BVperShare",,G$14,,,$C$7,,,,,IF(Base!$B$1=1,{"jtb.opcconscontr=2"},{"jtb.opcconscontr=3"})),"-")</f>
        <v>1034.74640856683</v>
      </c>
      <c r="H16" s="29">
        <f>IFERROR(_xll.ECONOMATICA($C$5,"BVperShare",,H$14,,,$C$7,,,,,IF(Base!$B$1=1,{"jtb.opcconscontr=2"},{"jtb.opcconscontr=3"})),"-")</f>
        <v>1006.91359917074</v>
      </c>
      <c r="I16" s="29">
        <f>IFERROR(_xll.ECONOMATICA($C$5,"BVperShare",,I$14,,,$C$7,,,,,IF(Base!$B$1=1,{"jtb.opcconscontr=2"},{"jtb.opcconscontr=3"})),"-")</f>
        <v>1330.1881080698199</v>
      </c>
      <c r="J16" s="29">
        <f>IFERROR(_xll.ECONOMATICA($C$5,"BVperShare",,J$14,,,$C$7,,,,,IF(Base!$B$1=1,{"jtb.opcconscontr=2"},{"jtb.opcconscontr=3"})),"-")</f>
        <v>1379.43390008248</v>
      </c>
      <c r="K16" s="29">
        <f>IFERROR(_xll.ECONOMATICA($C$5,"BVperShare",,K$14,,,$C$7,,,,,IF(Base!$B$1=1,{"jtb.opcconscontr=2"},{"jtb.opcconscontr=3"})),"-")</f>
        <v>1504.53534828126</v>
      </c>
      <c r="L16" s="29">
        <f>IFERROR(_xll.ECONOMATICA($C$5,"BVperShare",,L$14,,,$C$7,,,,,IF(Base!$B$1=1,{"jtb.opcconscontr=2"},{"jtb.opcconscontr=3"})),"-")</f>
        <v>1430.6603039987399</v>
      </c>
      <c r="M16"/>
      <c r="N16"/>
      <c r="O16"/>
      <c r="P16"/>
      <c r="Q16"/>
      <c r="R16"/>
      <c r="S16"/>
      <c r="T16"/>
      <c r="U16"/>
      <c r="V16"/>
      <c r="W16"/>
      <c r="X16"/>
      <c r="Y16"/>
    </row>
    <row r="17" spans="1:25" s="5" customFormat="1" ht="15" customHeight="1" x14ac:dyDescent="0.25">
      <c r="A17" s="1"/>
      <c r="B17" s="7" t="s">
        <v>225</v>
      </c>
      <c r="C17" s="29">
        <f>IFERROR(_xll.ECONOMATICA($C$5,"Sales/Share",$C$8,C$14,,,$C$7,,,,,IF(Base!$B$1=1,{"jtb.opcconscontr=2"},{"jtb.opcconscontr=3"})),"-")</f>
        <v>176.91517092357401</v>
      </c>
      <c r="D17" s="29">
        <f>IFERROR(_xll.ECONOMATICA($C$5,"Sales/Share",$C$8,D$14,,,$C$7,,,,,IF(Base!$B$1=1,{"jtb.opcconscontr=2"},{"jtb.opcconscontr=3"})),"-")</f>
        <v>389.07455522287597</v>
      </c>
      <c r="E17" s="29">
        <f>IFERROR(_xll.ECONOMATICA($C$5,"Sales/Share",$C$8,E$14,,,$C$7,,,,,IF(Base!$B$1=1,{"jtb.opcconscontr=2"},{"jtb.opcconscontr=3"})),"-")</f>
        <v>664.21180457249295</v>
      </c>
      <c r="F17" s="29">
        <f>IFERROR(_xll.ECONOMATICA($C$5,"Sales/Share",$C$8,F$14,,,$C$7,,,,,IF(Base!$B$1=1,{"jtb.opcconscontr=2"},{"jtb.opcconscontr=3"})),"-")</f>
        <v>983.84544537309603</v>
      </c>
      <c r="G17" s="29">
        <f>IFERROR(_xll.ECONOMATICA($C$5,"Sales/Share",$C$8,G$14,,,$C$7,,,,,IF(Base!$B$1=1,{"jtb.opcconscontr=2"},{"jtb.opcconscontr=3"})),"-")</f>
        <v>297.57740425225302</v>
      </c>
      <c r="H17" s="29">
        <f>IFERROR(_xll.ECONOMATICA($C$5,"Sales/Share",$C$8,H$14,,,$C$7,,,,,IF(Base!$B$1=1,{"jtb.opcconscontr=2"},{"jtb.opcconscontr=3"})),"-")</f>
        <v>654.62401575129502</v>
      </c>
      <c r="I17" s="29">
        <f>IFERROR(_xll.ECONOMATICA($C$5,"Sales/Share",$C$8,I$14,,,$C$7,,,,,IF(Base!$B$1=1,{"jtb.opcconscontr=2"},{"jtb.opcconscontr=3"})),"-")</f>
        <v>1052.0227344874299</v>
      </c>
      <c r="J17" s="29">
        <f>IFERROR(_xll.ECONOMATICA($C$5,"Sales/Share",$C$8,J$14,,,$C$7,,,,,IF(Base!$B$1=1,{"jtb.opcconscontr=2"},{"jtb.opcconscontr=3"})),"-")</f>
        <v>1501.67502942123</v>
      </c>
      <c r="K17" s="29">
        <f>IFERROR(_xll.ECONOMATICA($C$5,"Sales/Share",$C$8,K$14,,,$C$7,,,,,IF(Base!$B$1=1,{"jtb.opcconscontr=2"},{"jtb.opcconscontr=3"})),"-")</f>
        <v>401.92437879834301</v>
      </c>
      <c r="L17" s="29">
        <f>IFERROR(_xll.ECONOMATICA($C$5,"Sales/Share",$C$8,L$14,,,$C$7,,,,,IF(Base!$B$1=1,{"jtb.opcconscontr=2"},{"jtb.opcconscontr=3"})),"-")</f>
        <v>709.142964490689</v>
      </c>
      <c r="M17"/>
      <c r="N17"/>
      <c r="O17"/>
      <c r="P17"/>
      <c r="Q17"/>
      <c r="R17"/>
      <c r="S17"/>
      <c r="T17"/>
      <c r="U17"/>
      <c r="V17"/>
      <c r="W17"/>
      <c r="X17"/>
      <c r="Y17"/>
    </row>
    <row r="18" spans="1:25" s="5" customFormat="1" ht="15" customHeight="1" x14ac:dyDescent="0.25">
      <c r="A18" s="1"/>
      <c r="B18" s="12" t="s">
        <v>228</v>
      </c>
      <c r="C18" s="30" t="str">
        <f>IFERROR(_xll.ECONOMATICA($C$5,"EBITDA/Share",$C$8,C$14,,,$C$7,,,,,IF(Base!$B$1=1,{"jtb.opcconscontr=2"},{"jtb.opcconscontr=3"})),"-")</f>
        <v>-</v>
      </c>
      <c r="D18" s="30">
        <f>IFERROR(_xll.ECONOMATICA($C$5,"EBITDA/Share",$C$8,D$14,,,$C$7,,,,,IF(Base!$B$1=1,{"jtb.opcconscontr=2"},{"jtb.opcconscontr=3"})),"-")</f>
        <v>152.677464523818</v>
      </c>
      <c r="E18" s="30">
        <f>IFERROR(_xll.ECONOMATICA($C$5,"EBITDA/Share",$C$8,E$14,,,$C$7,,,,,IF(Base!$B$1=1,{"jtb.opcconscontr=2"},{"jtb.opcconscontr=3"})),"-")</f>
        <v>237.579355828231</v>
      </c>
      <c r="F18" s="30">
        <f>IFERROR(_xll.ECONOMATICA($C$5,"EBITDA/Share",$C$8,F$14,,,$C$7,,,,,IF(Base!$B$1=1,{"jtb.opcconscontr=2"},{"jtb.opcconscontr=3"})),"-")</f>
        <v>312.64937776885898</v>
      </c>
      <c r="G18" s="30">
        <f>IFERROR(_xll.ECONOMATICA($C$5,"EBITDA/Share",$C$8,G$14,,,$C$7,,,,,IF(Base!$B$1=1,{"jtb.opcconscontr=2"},{"jtb.opcconscontr=3"})),"-")</f>
        <v>101.99261431105</v>
      </c>
      <c r="H18" s="30">
        <f>IFERROR(_xll.ECONOMATICA($C$5,"EBITDA/Share",$C$8,H$14,,,$C$7,,,,,IF(Base!$B$1=1,{"jtb.opcconscontr=2"},{"jtb.opcconscontr=3"})),"-")</f>
        <v>207.43540879455401</v>
      </c>
      <c r="I18" s="30" t="str">
        <f>IFERROR(_xll.ECONOMATICA($C$5,"EBITDA/Share",$C$8,I$14,,,$C$7,,,,,IF(Base!$B$1=1,{"jtb.opcconscontr=2"},{"jtb.opcconscontr=3"})),"-")</f>
        <v>-</v>
      </c>
      <c r="J18" s="30">
        <f>IFERROR(_xll.ECONOMATICA($C$5,"EBITDA/Share",$C$8,J$14,,,$C$7,,,,,IF(Base!$B$1=1,{"jtb.opcconscontr=2"},{"jtb.opcconscontr=3"})),"-")</f>
        <v>438.81613583816198</v>
      </c>
      <c r="K18" s="30">
        <f>IFERROR(_xll.ECONOMATICA($C$5,"EBITDA/Share",$C$8,K$14,,,$C$7,,,,,IF(Base!$B$1=1,{"jtb.opcconscontr=2"},{"jtb.opcconscontr=3"})),"-")</f>
        <v>160.566859568236</v>
      </c>
      <c r="L18" s="30">
        <f>IFERROR(_xll.ECONOMATICA($C$5,"EBITDA/Share",$C$8,L$14,,,$C$7,,,,,IF(Base!$B$1=1,{"jtb.opcconscontr=2"},{"jtb.opcconscontr=3"})),"-")</f>
        <v>193.88893866958099</v>
      </c>
      <c r="M18"/>
      <c r="N18"/>
      <c r="O18"/>
      <c r="P18"/>
      <c r="Q18"/>
      <c r="R18"/>
      <c r="S18"/>
      <c r="T18"/>
      <c r="U18"/>
      <c r="V18"/>
      <c r="W18"/>
      <c r="X18"/>
      <c r="Y18"/>
    </row>
    <row r="19" spans="1:25" customFormat="1" ht="8.1" customHeight="1" x14ac:dyDescent="0.25">
      <c r="A19" s="1"/>
    </row>
    <row r="20" spans="1:25" s="5" customFormat="1" ht="15" customHeight="1" thickBot="1" x14ac:dyDescent="0.3">
      <c r="A20" s="1"/>
      <c r="B20" s="6" t="s">
        <v>2</v>
      </c>
      <c r="C20" s="15"/>
      <c r="D20" s="15"/>
      <c r="E20" s="15"/>
      <c r="F20" s="15"/>
      <c r="G20" s="15"/>
      <c r="H20" s="15"/>
      <c r="I20" s="15"/>
      <c r="J20" s="15"/>
      <c r="K20" s="15"/>
      <c r="L20" s="17"/>
      <c r="M20"/>
      <c r="N20"/>
      <c r="O20"/>
      <c r="P20"/>
      <c r="Q20"/>
      <c r="R20"/>
      <c r="S20"/>
      <c r="T20"/>
      <c r="U20"/>
      <c r="V20"/>
      <c r="W20"/>
      <c r="X20"/>
      <c r="Y20"/>
    </row>
    <row r="21" spans="1:25" s="5" customFormat="1" ht="15" customHeight="1" thickTop="1" x14ac:dyDescent="0.25">
      <c r="A21" s="1"/>
      <c r="B21" s="7" t="s">
        <v>229</v>
      </c>
      <c r="C21" s="19">
        <f>IFERROR(_xll.ECONOMATICA($C$5,"TtNetDebt",,C$14,,,$C$7,$C$9,,,,IF(Base!$B$1=1,{"jtb.opcconscontr=2"},{"jtb.opcconscontr=3"})),"-")</f>
        <v>167299000</v>
      </c>
      <c r="D21" s="19">
        <f>IFERROR(_xll.ECONOMATICA($C$5,"TtNetDebt",,D$14,,,$C$7,$C$9,,,,IF(Base!$B$1=1,{"jtb.opcconscontr=2"},{"jtb.opcconscontr=3"})),"-")</f>
        <v>226482000.00025001</v>
      </c>
      <c r="E21" s="19">
        <f>IFERROR(_xll.ECONOMATICA($C$5,"TtNetDebt",,E$14,,,$C$7,$C$9,,,,IF(Base!$B$1=1,{"jtb.opcconscontr=2"},{"jtb.opcconscontr=3"})),"-")</f>
        <v>311936000</v>
      </c>
      <c r="F21" s="19">
        <f>IFERROR(_xll.ECONOMATICA($C$5,"TtNetDebt",,F$14,,,$C$7,$C$9,,,,IF(Base!$B$1=1,{"jtb.opcconscontr=2"},{"jtb.opcconscontr=3"})),"-")</f>
        <v>287161000</v>
      </c>
      <c r="G21" s="19">
        <f>IFERROR(_xll.ECONOMATICA($C$5,"TtNetDebt",,G$14,,,$C$7,$C$9,,,,IF(Base!$B$1=1,{"jtb.opcconscontr=2"},{"jtb.opcconscontr=3"})),"-")</f>
        <v>321144000.00050002</v>
      </c>
      <c r="H21" s="19" t="str">
        <f>IFERROR(_xll.ECONOMATICA($C$5,"TtNetDebt",,H$14,,,$C$7,$C$9,,,,IF(Base!$B$1=1,{"jtb.opcconscontr=2"},{"jtb.opcconscontr=3"})),"-")</f>
        <v>-</v>
      </c>
      <c r="I21" s="19">
        <f>IFERROR(_xll.ECONOMATICA($C$5,"TtNetDebt",,I$14,,,$C$7,$C$9,,,,IF(Base!$B$1=1,{"jtb.opcconscontr=2"},{"jtb.opcconscontr=3"})),"-")</f>
        <v>444746000.00050002</v>
      </c>
      <c r="J21" s="19">
        <f>IFERROR(_xll.ECONOMATICA($C$5,"TtNetDebt",,J$14,,,$C$7,$C$9,,,,IF(Base!$B$1=1,{"jtb.opcconscontr=2"},{"jtb.opcconscontr=3"})),"-")</f>
        <v>517650000</v>
      </c>
      <c r="K21" s="19">
        <f>IFERROR(_xll.ECONOMATICA($C$5,"TtNetDebt",,K$14,,,$C$7,$C$9,,,,IF(Base!$B$1=1,{"jtb.opcconscontr=2"},{"jtb.opcconscontr=3"})),"-")</f>
        <v>557743000</v>
      </c>
      <c r="L21" s="19">
        <f>IFERROR(_xll.ECONOMATICA($C$5,"TtNetDebt",,L$14,,,$C$7,$C$9,,,,IF(Base!$B$1=1,{"jtb.opcconscontr=2"},{"jtb.opcconscontr=3"})),"-")</f>
        <v>589931000</v>
      </c>
      <c r="M21"/>
      <c r="N21"/>
      <c r="O21"/>
      <c r="P21"/>
      <c r="Q21"/>
      <c r="R21"/>
      <c r="S21"/>
      <c r="T21"/>
      <c r="U21"/>
      <c r="V21"/>
      <c r="W21"/>
      <c r="X21"/>
      <c r="Y21"/>
    </row>
    <row r="22" spans="1:25" s="5" customFormat="1" ht="15" customHeight="1" x14ac:dyDescent="0.25">
      <c r="A22" s="1"/>
      <c r="B22" s="7" t="s">
        <v>230</v>
      </c>
      <c r="C22" s="19" t="str">
        <f>IFERROR(_xll.ECONOMATICA($C$5,"TtDebtGr",,C$14,,,$C$7,$C$9,,,,IF(Base!$B$1=1,{"jtb.opcconscontr=2"},{"jtb.opcconscontr=3"})),"-")</f>
        <v>-</v>
      </c>
      <c r="D22" s="19">
        <f>IFERROR(_xll.ECONOMATICA($C$5,"TtDebtGr",,D$14,,,$C$7,$C$9,,,,IF(Base!$B$1=1,{"jtb.opcconscontr=2"},{"jtb.opcconscontr=3"})),"-")</f>
        <v>269681000.00024998</v>
      </c>
      <c r="E22" s="19">
        <f>IFERROR(_xll.ECONOMATICA($C$5,"TtDebtGr",,E$14,,,$C$7,$C$9,,,,IF(Base!$B$1=1,{"jtb.opcconscontr=2"},{"jtb.opcconscontr=3"})),"-")</f>
        <v>364012000</v>
      </c>
      <c r="F22" s="19">
        <f>IFERROR(_xll.ECONOMATICA($C$5,"TtDebtGr",,F$14,,,$C$7,$C$9,,,,IF(Base!$B$1=1,{"jtb.opcconscontr=2"},{"jtb.opcconscontr=3"})),"-")</f>
        <v>325255000</v>
      </c>
      <c r="G22" s="19" t="str">
        <f>IFERROR(_xll.ECONOMATICA($C$5,"TtDebtGr",,G$14,,,$C$7,$C$9,,,,IF(Base!$B$1=1,{"jtb.opcconscontr=2"},{"jtb.opcconscontr=3"})),"-")</f>
        <v>-</v>
      </c>
      <c r="H22" s="19">
        <f>IFERROR(_xll.ECONOMATICA($C$5,"TtDebtGr",,H$14,,,$C$7,$C$9,,,,IF(Base!$B$1=1,{"jtb.opcconscontr=2"},{"jtb.opcconscontr=3"})),"-")</f>
        <v>385636000</v>
      </c>
      <c r="I22" s="19">
        <f>IFERROR(_xll.ECONOMATICA($C$5,"TtDebtGr",,I$14,,,$C$7,$C$9,,,,IF(Base!$B$1=1,{"jtb.opcconscontr=2"},{"jtb.opcconscontr=3"})),"-")</f>
        <v>490411000.00050002</v>
      </c>
      <c r="J22" s="19">
        <f>IFERROR(_xll.ECONOMATICA($C$5,"TtDebtGr",,J$14,,,$C$7,$C$9,,,,IF(Base!$B$1=1,{"jtb.opcconscontr=2"},{"jtb.opcconscontr=3"})),"-")</f>
        <v>576511000</v>
      </c>
      <c r="K22" s="19">
        <f>IFERROR(_xll.ECONOMATICA($C$5,"TtDebtGr",,K$14,,,$C$7,$C$9,,,,IF(Base!$B$1=1,{"jtb.opcconscontr=2"},{"jtb.opcconscontr=3"})),"-")</f>
        <v>617487000</v>
      </c>
      <c r="L22" s="19">
        <f>IFERROR(_xll.ECONOMATICA($C$5,"TtDebtGr",,L$14,,,$C$7,$C$9,,,,IF(Base!$B$1=1,{"jtb.opcconscontr=2"},{"jtb.opcconscontr=3"})),"-")</f>
        <v>665246000</v>
      </c>
      <c r="M22"/>
      <c r="N22"/>
      <c r="O22"/>
      <c r="P22"/>
      <c r="Q22"/>
      <c r="R22"/>
      <c r="S22"/>
      <c r="T22"/>
      <c r="U22"/>
      <c r="V22"/>
      <c r="W22"/>
      <c r="X22"/>
      <c r="Y22"/>
    </row>
    <row r="23" spans="1:25" s="5" customFormat="1" ht="15" customHeight="1" x14ac:dyDescent="0.25">
      <c r="A23" s="1"/>
      <c r="B23" s="7" t="s">
        <v>231</v>
      </c>
      <c r="C23" s="20">
        <f>IFERROR(_xll.ECONOMATICA($C$5,"DebtGr/Assets",,C$14,,,,"Decimal",,,,IF(Base!$B$1=1,{"jtb.opcconscontr=2"},{"jtb.opcconscontr=3"})),"-")</f>
        <v>0.363837398614269</v>
      </c>
      <c r="D23" s="20">
        <f>IFERROR(_xll.ECONOMATICA($C$5,"DebtGr/Assets",,D$14,,,,"Decimal",,,,IF(Base!$B$1=1,{"jtb.opcconscontr=2"},{"jtb.opcconscontr=3"})),"-")</f>
        <v>0.36093370236747402</v>
      </c>
      <c r="E23" s="20">
        <f>IFERROR(_xll.ECONOMATICA($C$5,"DebtGr/Assets",,E$14,,,,"Decimal",,,,IF(Base!$B$1=1,{"jtb.opcconscontr=2"},{"jtb.opcconscontr=3"})),"-")</f>
        <v>0.34709560166171299</v>
      </c>
      <c r="F23" s="20">
        <f>IFERROR(_xll.ECONOMATICA($C$5,"DebtGr/Assets",,F$14,,,,"Decimal",,,,IF(Base!$B$1=1,{"jtb.opcconscontr=2"},{"jtb.opcconscontr=3"})),"-")</f>
        <v>0.33780759232351598</v>
      </c>
      <c r="G23" s="20">
        <f>IFERROR(_xll.ECONOMATICA($C$5,"DebtGr/Assets",,G$14,,,,"Decimal",,,,IF(Base!$B$1=1,{"jtb.opcconscontr=2"},{"jtb.opcconscontr=3"})),"-")</f>
        <v>0.329744456256158</v>
      </c>
      <c r="H23" s="20">
        <f>IFERROR(_xll.ECONOMATICA($C$5,"DebtGr/Assets",,H$14,,,,"Decimal",,,,IF(Base!$B$1=1,{"jtb.opcconscontr=2"},{"jtb.opcconscontr=3"})),"-")</f>
        <v>0.340297485422343</v>
      </c>
      <c r="I23" s="20">
        <f>IFERROR(_xll.ECONOMATICA($C$5,"DebtGr/Assets",,I$14,,,,"Decimal",,,,IF(Base!$B$1=1,{"jtb.opcconscontr=2"},{"jtb.opcconscontr=3"})),"-")</f>
        <v>0.33909238124149899</v>
      </c>
      <c r="J23" s="20">
        <f>IFERROR(_xll.ECONOMATICA($C$5,"DebtGr/Assets",,J$14,,,,"Decimal",,,,IF(Base!$B$1=1,{"jtb.opcconscontr=2"},{"jtb.opcconscontr=3"})),"-")</f>
        <v>0.38006167891144299</v>
      </c>
      <c r="K23" s="20">
        <f>IFERROR(_xll.ECONOMATICA($C$5,"DebtGr/Assets",,K$14,,,,"Decimal",,,,IF(Base!$B$1=1,{"jtb.opcconscontr=2"},{"jtb.opcconscontr=3"})),"-")</f>
        <v>0.38473285581858402</v>
      </c>
      <c r="L23" s="20">
        <f>IFERROR(_xll.ECONOMATICA($C$5,"DebtGr/Assets",,L$14,,,,"Decimal",,,,IF(Base!$B$1=1,{"jtb.opcconscontr=2"},{"jtb.opcconscontr=3"})),"-")</f>
        <v>0.409297020065715</v>
      </c>
      <c r="M23"/>
      <c r="N23"/>
      <c r="O23"/>
      <c r="P23"/>
      <c r="Q23"/>
      <c r="R23"/>
      <c r="S23"/>
      <c r="T23"/>
      <c r="U23"/>
      <c r="V23"/>
      <c r="W23"/>
      <c r="X23"/>
      <c r="Y23"/>
    </row>
    <row r="24" spans="1:25" s="5" customFormat="1" ht="15" customHeight="1" x14ac:dyDescent="0.25">
      <c r="A24" s="1"/>
      <c r="B24" s="7" t="s">
        <v>232</v>
      </c>
      <c r="C24" s="21">
        <f>IFERROR(_xll.ECONOMATICA($C$5,"DebtGr/StkEq",,C$14,,,,"DECIMAL",,,,IF(Base!$B$1=1,{"jtb.opcconscontr=2"},{"jtb.opcconscontr=3"})),"-")</f>
        <v>1.14844897103147</v>
      </c>
      <c r="D24" s="21">
        <f>IFERROR(_xll.ECONOMATICA($C$5,"DebtGr/StkEq",,D$14,,,,"DECIMAL",,,,IF(Base!$B$1=1,{"jtb.opcconscontr=2"},{"jtb.opcconscontr=3"})),"-")</f>
        <v>1.11040610704687</v>
      </c>
      <c r="E24" s="21">
        <f>IFERROR(_xll.ECONOMATICA($C$5,"DebtGr/StkEq",,E$14,,,,"DECIMAL",,,,IF(Base!$B$1=1,{"jtb.opcconscontr=2"},{"jtb.opcconscontr=3"})),"-")</f>
        <v>1.0036809612962001</v>
      </c>
      <c r="F24" s="21">
        <f>IFERROR(_xll.ECONOMATICA($C$5,"DebtGr/StkEq",,F$14,,,,"DECIMAL",,,,IF(Base!$B$1=1,{"jtb.opcconscontr=2"},{"jtb.opcconscontr=3"})),"-")</f>
        <v>0.90549832962104104</v>
      </c>
      <c r="G24" s="21">
        <f>IFERROR(_xll.ECONOMATICA($C$5,"DebtGr/StkEq",,G$14,,,,"DECIMAL",,,,IF(Base!$B$1=1,{"jtb.opcconscontr=2"},{"jtb.opcconscontr=3"})),"-")</f>
        <v>0.91538138331496199</v>
      </c>
      <c r="H24" s="21">
        <f>IFERROR(_xll.ECONOMATICA($C$5,"DebtGr/StkEq",,H$14,,,,"DECIMAL",,,,IF(Base!$B$1=1,{"jtb.opcconscontr=2"},{"jtb.opcconscontr=3"})),"-")</f>
        <v>0.97374959599226696</v>
      </c>
      <c r="I24" s="21">
        <f>IFERROR(_xll.ECONOMATICA($C$5,"DebtGr/StkEq",,I$14,,,,"DECIMAL",,,,IF(Base!$B$1=1,{"jtb.opcconscontr=2"},{"jtb.opcconscontr=3"})),"-")</f>
        <v>0.93736572499037696</v>
      </c>
      <c r="J24" s="21">
        <f>IFERROR(_xll.ECONOMATICA($C$5,"DebtGr/StkEq",,J$14,,,,"DECIMAL",,,,IF(Base!$B$1=1,{"jtb.opcconscontr=2"},{"jtb.opcconscontr=3"})),"-")</f>
        <v>1.0625971110444501</v>
      </c>
      <c r="K24" s="21" t="str">
        <f>IFERROR(_xll.ECONOMATICA($C$5,"DebtGr/StkEq",,K$14,,,,"DECIMAL",,,,IF(Base!$B$1=1,{"jtb.opcconscontr=2"},{"jtb.opcconscontr=3"})),"-")</f>
        <v>-</v>
      </c>
      <c r="L24" s="21">
        <f>IFERROR(_xll.ECONOMATICA($C$5,"DebtGr/StkEq",,L$14,,,,"DECIMAL",,,,IF(Base!$B$1=1,{"jtb.opcconscontr=2"},{"jtb.opcconscontr=3"})),"-")</f>
        <v>1.1822455069073501</v>
      </c>
      <c r="M24"/>
      <c r="N24"/>
      <c r="O24"/>
      <c r="P24"/>
      <c r="Q24"/>
      <c r="R24"/>
      <c r="S24"/>
      <c r="T24"/>
      <c r="U24"/>
      <c r="V24"/>
      <c r="W24"/>
      <c r="X24"/>
      <c r="Y24"/>
    </row>
    <row r="25" spans="1:25" s="5" customFormat="1" ht="15" customHeight="1" x14ac:dyDescent="0.25">
      <c r="A25" s="1"/>
      <c r="B25" s="7" t="s">
        <v>233</v>
      </c>
      <c r="C25" s="21">
        <f>IFERROR(_xll.ECONOMATICA($C$5,"NetDebt/StckhEq",,C$14,,,,"DECIMAL",,,,IF(Base!$B$1=1,{"jtb.opcconscontr=2"},{"jtb.opcconscontr=3"})),"-")</f>
        <v>0.97477684293989997</v>
      </c>
      <c r="D25" s="21">
        <f>IFERROR(_xll.ECONOMATICA($C$5,"NetDebt/StckhEq",,D$14,,,,"DECIMAL",,,,IF(Base!$B$1=1,{"jtb.opcconscontr=2"},{"jtb.opcconscontr=3"})),"-")</f>
        <v>0.93253509122412703</v>
      </c>
      <c r="E25" s="21">
        <f>IFERROR(_xll.ECONOMATICA($C$5,"NetDebt/StckhEq",,E$14,,,,"DECIMAL",,,,IF(Base!$B$1=1,{"jtb.opcconscontr=2"},{"jtb.opcconscontr=3"})),"-")</f>
        <v>0.86009314072784004</v>
      </c>
      <c r="F25" s="21">
        <f>IFERROR(_xll.ECONOMATICA($C$5,"NetDebt/StckhEq",,F$14,,,,"DECIMAL",,,,IF(Base!$B$1=1,{"jtb.opcconscontr=2"},{"jtb.opcconscontr=3"})),"-")</f>
        <v>0.79944599109119696</v>
      </c>
      <c r="G25" s="21">
        <f>IFERROR(_xll.ECONOMATICA($C$5,"NetDebt/StckhEq",,G$14,,,,"DECIMAL",,,,IF(Base!$B$1=1,{"jtb.opcconscontr=2"},{"jtb.opcconscontr=3"})),"-")</f>
        <v>0.78909231188939899</v>
      </c>
      <c r="H25" s="21">
        <f>IFERROR(_xll.ECONOMATICA($C$5,"NetDebt/StckhEq",,H$14,,,,"DECIMAL",,,,IF(Base!$B$1=1,{"jtb.opcconscontr=2"},{"jtb.opcconscontr=3"})),"-")</f>
        <v>0.84464639221085203</v>
      </c>
      <c r="I25" s="21">
        <f>IFERROR(_xll.ECONOMATICA($C$5,"NetDebt/StckhEq",,I$14,,,,"DECIMAL",,,,IF(Base!$B$1=1,{"jtb.opcconscontr=2"},{"jtb.opcconscontr=3"})),"-")</f>
        <v>0.85008218968636395</v>
      </c>
      <c r="J25" s="21">
        <f>IFERROR(_xll.ECONOMATICA($C$5,"NetDebt/StckhEq",,J$14,,,,"DECIMAL",,,,IF(Base!$B$1=1,{"jtb.opcconscontr=2"},{"jtb.opcconscontr=3"})),"-")</f>
        <v>0.95410737094585796</v>
      </c>
      <c r="K25" s="21">
        <f>IFERROR(_xll.ECONOMATICA($C$5,"NetDebt/StckhEq",,K$14,,,,"DECIMAL",,,,IF(Base!$B$1=1,{"jtb.opcconscontr=2"},{"jtb.opcconscontr=3"})),"-")</f>
        <v>0.94252669610432305</v>
      </c>
      <c r="L25" s="21" t="str">
        <f>IFERROR(_xll.ECONOMATICA($C$5,"NetDebt/StckhEq",,L$14,,,,"DECIMAL",,,,IF(Base!$B$1=1,{"jtb.opcconscontr=2"},{"jtb.opcconscontr=3"})),"-")</f>
        <v>-</v>
      </c>
      <c r="M25"/>
      <c r="N25"/>
      <c r="O25"/>
      <c r="P25"/>
      <c r="Q25"/>
      <c r="R25"/>
      <c r="S25"/>
      <c r="T25"/>
      <c r="U25"/>
      <c r="V25"/>
      <c r="W25"/>
      <c r="X25"/>
      <c r="Y25"/>
    </row>
    <row r="26" spans="1:25" s="5" customFormat="1" ht="15" customHeight="1" x14ac:dyDescent="0.25">
      <c r="A26" s="1"/>
      <c r="B26" s="7" t="s">
        <v>3</v>
      </c>
      <c r="C26" s="21">
        <f>IFERROR(_xll.ECONOMATICA($C$5,"Cap Str (Stk Eq)",,C$14,,,,"DECIMAL",,,,IF(Base!$B$1=1,{"jtb.opcconscontr=2"},{"jtb.opcconscontr=3"})),"-")</f>
        <v>0.53454793970740899</v>
      </c>
      <c r="D26" s="21">
        <f>IFERROR(_xll.ECONOMATICA($C$5,"Cap Str (Stk Eq)",,D$14,,,,"DECIMAL",,,,IF(Base!$B$1=1,{"jtb.opcconscontr=2"},{"jtb.opcconscontr=3"})),"-")</f>
        <v>0.52615755012200704</v>
      </c>
      <c r="E26" s="21">
        <f>IFERROR(_xll.ECONOMATICA($C$5,"Cap Str (Stk Eq)",,E$14,,,,"DECIMAL",,,,IF(Base!$B$1=1,{"jtb.opcconscontr=2"},{"jtb.opcconscontr=3"})),"-")</f>
        <v>0.50091854975093197</v>
      </c>
      <c r="F26" s="21">
        <f>IFERROR(_xll.ECONOMATICA($C$5,"Cap Str (Stk Eq)",,F$14,,,,"DECIMAL",,,,IF(Base!$B$1=1,{"jtb.opcconscontr=2"},{"jtb.opcconscontr=3"})),"-")</f>
        <v>0.475202898656717</v>
      </c>
      <c r="G26" s="21">
        <f>IFERROR(_xll.ECONOMATICA($C$5,"Cap Str (Stk Eq)",,G$14,,,,"DECIMAL",,,,IF(Base!$B$1=1,{"jtb.opcconscontr=2"},{"jtb.opcconscontr=3"})),"-")</f>
        <v>0.477910765599809</v>
      </c>
      <c r="H26" s="21">
        <f>IFERROR(_xll.ECONOMATICA($C$5,"Cap Str (Stk Eq)",,H$14,,,,"DECIMAL",,,,IF(Base!$B$1=1,{"jtb.opcconscontr=2"},{"jtb.opcconscontr=3"})),"-")</f>
        <v>0.49335011795279599</v>
      </c>
      <c r="I26" s="21">
        <f>IFERROR(_xll.ECONOMATICA($C$5,"Cap Str (Stk Eq)",,I$14,,,,"DECIMAL",,,,IF(Base!$B$1=1,{"jtb.opcconscontr=2"},{"jtb.opcconscontr=3"})),"-")</f>
        <v>0.48383519585360801</v>
      </c>
      <c r="J26" s="21">
        <f>IFERROR(_xll.ECONOMATICA($C$5,"Cap Str (Stk Eq)",,J$14,,,,"DECIMAL",,,,IF(Base!$B$1=1,{"jtb.opcconscontr=2"},{"jtb.opcconscontr=3"})),"-")</f>
        <v>0.51517434275243401</v>
      </c>
      <c r="K26" s="21">
        <f>IFERROR(_xll.ECONOMATICA($C$5,"Cap Str (Stk Eq)",,K$14,,,,"DECIMAL",,,,IF(Base!$B$1=1,{"jtb.opcconscontr=2"},{"jtb.opcconscontr=3"})),"-")</f>
        <v>0.51064056762959797</v>
      </c>
      <c r="L26" s="21">
        <f>IFERROR(_xll.ECONOMATICA($C$5,"Cap Str (Stk Eq)",,L$14,,,,"DECIMAL",,,,IF(Base!$B$1=1,{"jtb.opcconscontr=2"},{"jtb.opcconscontr=3"})),"-")</f>
        <v>0.54175641703186606</v>
      </c>
      <c r="M26"/>
      <c r="N26"/>
      <c r="O26"/>
      <c r="P26"/>
      <c r="Q26"/>
      <c r="R26"/>
      <c r="S26"/>
      <c r="T26"/>
      <c r="U26"/>
      <c r="V26"/>
      <c r="W26"/>
      <c r="X26"/>
      <c r="Y26"/>
    </row>
    <row r="27" spans="1:25" s="5" customFormat="1" ht="15" customHeight="1" x14ac:dyDescent="0.25">
      <c r="A27" s="1"/>
      <c r="B27" s="7" t="s">
        <v>234</v>
      </c>
      <c r="C27" s="21">
        <f>IFERROR(_xll.ECONOMATICA($C$5,"EBIT/DebtGr",$C$8,C$14,,,,"DECIMAL",,,,IF(Base!$B$1=1,{"jtb.opcconscontr=2"},{"jtb.opcconscontr=3"})),"-")</f>
        <v>8.5147078221925798E-2</v>
      </c>
      <c r="D27" s="21">
        <f>IFERROR(_xll.ECONOMATICA($C$5,"EBIT/DebtGr",$C$8,D$14,,,,"DECIMAL",,,,IF(Base!$B$1=1,{"jtb.opcconscontr=2"},{"jtb.opcconscontr=3"})),"-")</f>
        <v>6.7728167723980701E-2</v>
      </c>
      <c r="E27" s="21">
        <f>IFERROR(_xll.ECONOMATICA($C$5,"EBIT/DebtGr",$C$8,E$14,,,,"DECIMAL",,,,IF(Base!$B$1=1,{"jtb.opcconscontr=2"},{"jtb.opcconscontr=3"})),"-")</f>
        <v>7.7123831082499206E-2</v>
      </c>
      <c r="F27" s="21">
        <f>IFERROR(_xll.ECONOMATICA($C$5,"EBIT/DebtGr",$C$8,F$14,,,,"DECIMAL",,,,IF(Base!$B$1=1,{"jtb.opcconscontr=2"},{"jtb.opcconscontr=3"})),"-")</f>
        <v>0.11847627246315801</v>
      </c>
      <c r="G27" s="21">
        <f>IFERROR(_xll.ECONOMATICA($C$5,"EBIT/DebtGr",$C$8,G$14,,,,"DECIMAL",,,,IF(Base!$B$1=1,{"jtb.opcconscontr=2"},{"jtb.opcconscontr=3"})),"-")</f>
        <v>2.75352243108864E-2</v>
      </c>
      <c r="H27" s="21" t="str">
        <f>IFERROR(_xll.ECONOMATICA($C$5,"EBIT/DebtGr",$C$8,H$14,,,,"DECIMAL",,,,IF(Base!$B$1=1,{"jtb.opcconscontr=2"},{"jtb.opcconscontr=3"})),"-")</f>
        <v>-</v>
      </c>
      <c r="I27" s="21">
        <f>IFERROR(_xll.ECONOMATICA($C$5,"EBIT/DebtGr",$C$8,I$14,,,,"DECIMAL",,,,IF(Base!$B$1=1,{"jtb.opcconscontr=2"},{"jtb.opcconscontr=3"})),"-")</f>
        <v>-3.16571202522027E-2</v>
      </c>
      <c r="J27" s="21">
        <f>IFERROR(_xll.ECONOMATICA($C$5,"EBIT/DebtGr",$C$8,J$14,,,,"DECIMAL",,,,IF(Base!$B$1=1,{"jtb.opcconscontr=2"},{"jtb.opcconscontr=3"})),"-")</f>
        <v>-4.2186532433988802E-2</v>
      </c>
      <c r="K27" s="21" t="str">
        <f>IFERROR(_xll.ECONOMATICA($C$5,"EBIT/DebtGr",$C$8,K$14,,,,"DECIMAL",,,,IF(Base!$B$1=1,{"jtb.opcconscontr=2"},{"jtb.opcconscontr=3"})),"-")</f>
        <v>-</v>
      </c>
      <c r="L27" s="21">
        <f>IFERROR(_xll.ECONOMATICA($C$5,"EBIT/DebtGr",$C$8,L$14,,,,"DECIMAL",,,,IF(Base!$B$1=1,{"jtb.opcconscontr=2"},{"jtb.opcconscontr=3"})),"-")</f>
        <v>-0.115124329947139</v>
      </c>
      <c r="M27"/>
      <c r="N27"/>
      <c r="O27"/>
      <c r="P27"/>
      <c r="Q27"/>
      <c r="R27"/>
      <c r="S27"/>
      <c r="T27"/>
      <c r="U27"/>
      <c r="V27"/>
      <c r="W27"/>
      <c r="X27"/>
      <c r="Y27"/>
    </row>
    <row r="28" spans="1:25" s="5" customFormat="1" ht="15" customHeight="1" x14ac:dyDescent="0.25">
      <c r="A28" s="1"/>
      <c r="B28" s="7" t="s">
        <v>235</v>
      </c>
      <c r="C28" s="21">
        <f>IFERROR(_xll.ECONOMATICA($C$5,"EBIT/Net Debt",$C$8,C$14,,,,"DECIMAL",,,,IF(Base!$B$1=1,{"jtb.opcconscontr=2"},{"jtb.opcconscontr=3"})),"-")</f>
        <v>0.10031739580023</v>
      </c>
      <c r="D28" s="21">
        <f>IFERROR(_xll.ECONOMATICA($C$5,"EBIT/Net Debt",$C$8,D$14,,,,"DECIMAL",,,,IF(Base!$B$1=1,{"jtb.opcconscontr=2"},{"jtb.opcconscontr=3"})),"-")</f>
        <v>8.0646585600625306E-2</v>
      </c>
      <c r="E28" s="21">
        <f>IFERROR(_xll.ECONOMATICA($C$5,"EBIT/Net Debt",$C$8,E$14,,,,"DECIMAL",,,,IF(Base!$B$1=1,{"jtb.opcconscontr=2"},{"jtb.opcconscontr=3"})),"-")</f>
        <v>8.9999230611429101E-2</v>
      </c>
      <c r="F28" s="21">
        <f>IFERROR(_xll.ECONOMATICA($C$5,"EBIT/Net Debt",$C$8,F$14,,,,"DECIMAL",,,,IF(Base!$B$1=1,{"jtb.opcconscontr=2"},{"jtb.opcconscontr=3"})),"-")</f>
        <v>0.134193013675249</v>
      </c>
      <c r="G28" s="21">
        <f>IFERROR(_xll.ECONOMATICA($C$5,"EBIT/Net Debt",$C$8,G$14,,,,"DECIMAL",,,,IF(Base!$B$1=1,{"jtb.opcconscontr=2"},{"jtb.opcconscontr=3"})),"-")</f>
        <v>3.1942057145715803E-2</v>
      </c>
      <c r="H28" s="21" t="str">
        <f>IFERROR(_xll.ECONOMATICA($C$5,"EBIT/Net Debt",$C$8,H$14,,,,"DECIMAL",,,,IF(Base!$B$1=1,{"jtb.opcconscontr=2"},{"jtb.opcconscontr=3"})),"-")</f>
        <v>-</v>
      </c>
      <c r="I28" s="21">
        <f>IFERROR(_xll.ECONOMATICA($C$5,"EBIT/Net Debt",$C$8,I$14,,,,"DECIMAL",,,,IF(Base!$B$1=1,{"jtb.opcconscontr=2"},{"jtb.opcconscontr=3"})),"-")</f>
        <v>-3.49075652169267E-2</v>
      </c>
      <c r="J28" s="21">
        <f>IFERROR(_xll.ECONOMATICA($C$5,"EBIT/Net Debt",$C$8,J$14,,,,"DECIMAL",,,,IF(Base!$B$1=1,{"jtb.opcconscontr=2"},{"jtb.opcconscontr=3"})),"-")</f>
        <v>-4.6983483048461498E-2</v>
      </c>
      <c r="K28" s="21">
        <f>IFERROR(_xll.ECONOMATICA($C$5,"EBIT/Net Debt",$C$8,K$14,,,,"DECIMAL",,,,IF(Base!$B$1=1,{"jtb.opcconscontr=2"},{"jtb.opcconscontr=3"})),"-")</f>
        <v>2.62701638568251E-2</v>
      </c>
      <c r="L28" s="21">
        <f>IFERROR(_xll.ECONOMATICA($C$5,"EBIT/Net Debt",$C$8,L$14,,,,"DECIMAL",,,,IF(Base!$B$1=1,{"jtb.opcconscontr=2"},{"jtb.opcconscontr=3"})),"-")</f>
        <v>-0.12982196222947101</v>
      </c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s="5" customFormat="1" ht="15" customHeight="1" x14ac:dyDescent="0.25">
      <c r="A29" s="1"/>
      <c r="B29" s="7" t="s">
        <v>236</v>
      </c>
      <c r="C29" s="22" t="str">
        <f>IFERROR(_xll.ECONOMATICA($C$5,"EBIT/GrossIntExp",$C$8,C$14,,,,,,,,IF(Base!$B$1=1,{"jtb.opcconscontr=2"},{"jtb.opcconscontr=3"})),"-")</f>
        <v>-</v>
      </c>
      <c r="D29" s="22">
        <f>IFERROR(_xll.ECONOMATICA($C$5,"EBIT/GrossIntExp",$C$8,D$14,,,,,,,,IF(Base!$B$1=1,{"jtb.opcconscontr=2"},{"jtb.opcconscontr=3"})),"-")</f>
        <v>0.65148380653408799</v>
      </c>
      <c r="E29" s="22">
        <f>IFERROR(_xll.ECONOMATICA($C$5,"EBIT/GrossIntExp",$C$8,E$14,,,,,,,,IF(Base!$B$1=1,{"jtb.opcconscontr=2"},{"jtb.opcconscontr=3"})),"-")</f>
        <v>0.60589187439381897</v>
      </c>
      <c r="F29" s="22" t="str">
        <f>IFERROR(_xll.ECONOMATICA($C$5,"EBIT/GrossIntExp",$C$8,F$14,,,,,,,,IF(Base!$B$1=1,{"jtb.opcconscontr=2"},{"jtb.opcconscontr=3"})),"-")</f>
        <v>-</v>
      </c>
      <c r="G29" s="22">
        <f>IFERROR(_xll.ECONOMATICA($C$5,"EBIT/GrossIntExp",$C$8,G$14,,,,,,,,IF(Base!$B$1=1,{"jtb.opcconscontr=2"},{"jtb.opcconscontr=3"})),"-")</f>
        <v>0.56916162681136495</v>
      </c>
      <c r="H29" s="22">
        <f>IFERROR(_xll.ECONOMATICA($C$5,"EBIT/GrossIntExp",$C$8,H$14,,,,,,,,IF(Base!$B$1=1,{"jtb.opcconscontr=2"},{"jtb.opcconscontr=3"})),"-")</f>
        <v>0.55998869138056795</v>
      </c>
      <c r="I29" s="22">
        <f>IFERROR(_xll.ECONOMATICA($C$5,"EBIT/GrossIntExp",$C$8,I$14,,,,,,,,IF(Base!$B$1=1,{"jtb.opcconscontr=2"},{"jtb.opcconscontr=3"})),"-")</f>
        <v>-0.285370292079278</v>
      </c>
      <c r="J29" s="22" t="str">
        <f>IFERROR(_xll.ECONOMATICA($C$5,"EBIT/GrossIntExp",$C$8,J$14,,,,,,,,IF(Base!$B$1=1,{"jtb.opcconscontr=2"},{"jtb.opcconscontr=3"})),"-")</f>
        <v>-</v>
      </c>
      <c r="K29" s="22">
        <f>IFERROR(_xll.ECONOMATICA($C$5,"EBIT/GrossIntExp",$C$8,K$14,,,,,,,,IF(Base!$B$1=1,{"jtb.opcconscontr=2"},{"jtb.opcconscontr=3"})),"-")</f>
        <v>0.48167263881168798</v>
      </c>
      <c r="L29" s="22">
        <f>IFERROR(_xll.ECONOMATICA($C$5,"EBIT/GrossIntExp",$C$8,L$14,,,,,,,,IF(Base!$B$1=1,{"jtb.opcconscontr=2"},{"jtb.opcconscontr=3"})),"-")</f>
        <v>-1.41011194579551</v>
      </c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s="5" customFormat="1" ht="15" customHeight="1" x14ac:dyDescent="0.25">
      <c r="A30" s="1"/>
      <c r="B30" s="7" t="s">
        <v>237</v>
      </c>
      <c r="C30" s="22" t="str">
        <f>IFERROR(_xll.ECONOMATICA($C$5,"EBIT/NetIntExp",$C$8,C$14,,,,,,,,IF(Base!$B$1=1,{"jtb.opcconscontr=2"},{"jtb.opcconscontr=3"})),"-")</f>
        <v>-</v>
      </c>
      <c r="D30" s="22">
        <f>IFERROR(_xll.ECONOMATICA($C$5,"EBIT/NetIntExp",$C$8,D$14,,,,,,,,IF(Base!$B$1=1,{"jtb.opcconscontr=2"},{"jtb.opcconscontr=3"})),"-")</f>
        <v>-0.69324780809984099</v>
      </c>
      <c r="E30" s="22">
        <f>IFERROR(_xll.ECONOMATICA($C$5,"EBIT/NetIntExp",$C$8,E$14,,,,,,,,IF(Base!$B$1=1,{"jtb.opcconscontr=2"},{"jtb.opcconscontr=3"})),"-")</f>
        <v>-0.51893750346607703</v>
      </c>
      <c r="F30" s="22">
        <f>IFERROR(_xll.ECONOMATICA($C$5,"EBIT/NetIntExp",$C$8,F$14,,,,,,,,IF(Base!$B$1=1,{"jtb.opcconscontr=2"},{"jtb.opcconscontr=3"})),"-")</f>
        <v>-0.83884801253861996</v>
      </c>
      <c r="G30" s="22">
        <f>IFERROR(_xll.ECONOMATICA($C$5,"EBIT/NetIntExp",$C$8,G$14,,,,,,,,IF(Base!$B$1=1,{"jtb.opcconscontr=2"},{"jtb.opcconscontr=3"})),"-")</f>
        <v>-1.2648581997546</v>
      </c>
      <c r="H30" s="22" t="str">
        <f>IFERROR(_xll.ECONOMATICA($C$5,"EBIT/NetIntExp",$C$8,H$14,,,,,,,,IF(Base!$B$1=1,{"jtb.opcconscontr=2"},{"jtb.opcconscontr=3"})),"-")</f>
        <v>-</v>
      </c>
      <c r="I30" s="22">
        <f>IFERROR(_xll.ECONOMATICA($C$5,"EBIT/NetIntExp",$C$8,I$14,,,,,,,,IF(Base!$B$1=1,{"jtb.opcconscontr=2"},{"jtb.opcconscontr=3"})),"-")</f>
        <v>0.64822546972845896</v>
      </c>
      <c r="J30" s="22" t="str">
        <f>IFERROR(_xll.ECONOMATICA($C$5,"EBIT/NetIntExp",$C$8,J$14,,,,,,,,IF(Base!$B$1=1,{"jtb.opcconscontr=2"},{"jtb.opcconscontr=3"})),"-")</f>
        <v>-</v>
      </c>
      <c r="K30" s="22" t="str">
        <f>IFERROR(_xll.ECONOMATICA($C$5,"EBIT/NetIntExp",$C$8,K$14,,,,,,,,IF(Base!$B$1=1,{"jtb.opcconscontr=2"},{"jtb.opcconscontr=3"})),"-")</f>
        <v>-</v>
      </c>
      <c r="L30" s="22">
        <f>IFERROR(_xll.ECONOMATICA($C$5,"EBIT/NetIntExp",$C$8,L$14,,,,,,,,IF(Base!$B$1=1,{"jtb.opcconscontr=2"},{"jtb.opcconscontr=3"})),"-")</f>
        <v>-26.228082191810199</v>
      </c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s="5" customFormat="1" ht="15" customHeight="1" x14ac:dyDescent="0.25">
      <c r="A31" s="1"/>
      <c r="B31" s="7" t="s">
        <v>238</v>
      </c>
      <c r="C31" s="22">
        <f>IFERROR(_xll.ECONOMATICA($C$5,"GrDebt/Ebitda",$C$8,C$14,,,,,,,,IF(Base!$B$1=1,{"jtb.opcconscontr=2"},{"jtb.opcconscontr=3"})),"-")</f>
        <v>5.5279896791544196</v>
      </c>
      <c r="D31" s="22">
        <f>IFERROR(_xll.ECONOMATICA($C$5,"GrDebt/Ebitda",$C$8,D$14,,,,,,,,IF(Base!$B$1=1,{"jtb.opcconscontr=2"},{"jtb.opcconscontr=3"})),"-")</f>
        <v>4.4909408825988102</v>
      </c>
      <c r="E31" s="22">
        <f>IFERROR(_xll.ECONOMATICA($C$5,"GrDebt/Ebitda",$C$8,E$14,,,,,,,,IF(Base!$B$1=1,{"jtb.opcconscontr=2"},{"jtb.opcconscontr=3"})),"-")</f>
        <v>3.8955512986540302</v>
      </c>
      <c r="F31" s="22">
        <f>IFERROR(_xll.ECONOMATICA($C$5,"GrDebt/Ebitda",$C$8,F$14,,,,,,,,IF(Base!$B$1=1,{"jtb.opcconscontr=2"},{"jtb.opcconscontr=3"})),"-")</f>
        <v>2.6450162235996699</v>
      </c>
      <c r="G31" s="22">
        <f>IFERROR(_xll.ECONOMATICA($C$5,"GrDebt/Ebitda",$C$8,G$14,,,,,,,,IF(Base!$B$1=1,{"jtb.opcconscontr=2"},{"jtb.opcconscontr=3"})),"-")</f>
        <v>9.2868253770429892</v>
      </c>
      <c r="H31" s="22">
        <f>IFERROR(_xll.ECONOMATICA($C$5,"GrDebt/Ebitda",$C$8,H$14,,,,,,,,IF(Base!$B$1=1,{"jtb.opcconscontr=2"},{"jtb.opcconscontr=3"})),"-")</f>
        <v>4.7266843982506499</v>
      </c>
      <c r="I31" s="22">
        <f>IFERROR(_xll.ECONOMATICA($C$5,"GrDebt/Ebitda",$C$8,I$14,,,,,,,,IF(Base!$B$1=1,{"jtb.opcconscontr=2"},{"jtb.opcconscontr=3"})),"-")</f>
        <v>3.72749038505208</v>
      </c>
      <c r="J31" s="22">
        <f>IFERROR(_xll.ECONOMATICA($C$5,"GrDebt/Ebitda",$C$8,J$14,,,,,,,,IF(Base!$B$1=1,{"jtb.opcconscontr=2"},{"jtb.opcconscontr=3"})),"-")</f>
        <v>3.3403112542873701</v>
      </c>
      <c r="K31" s="22">
        <f>IFERROR(_xll.ECONOMATICA($C$5,"GrDebt/Ebitda",$C$8,K$14,,,,,,,,IF(Base!$B$1=1,{"jtb.opcconscontr=2"},{"jtb.opcconscontr=3"})),"-")</f>
        <v>9.7776352667278807</v>
      </c>
      <c r="L31" s="22">
        <f>IFERROR(_xll.ECONOMATICA($C$5,"GrDebt/Ebitda",$C$8,L$14,,,,,,,,IF(Base!$B$1=1,{"jtb.opcconscontr=2"},{"jtb.opcconscontr=3"})),"-")</f>
        <v>8.7235080449463602</v>
      </c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s="5" customFormat="1" ht="15" customHeight="1" x14ac:dyDescent="0.25">
      <c r="A32" s="1"/>
      <c r="B32" s="7" t="s">
        <v>239</v>
      </c>
      <c r="C32" s="22">
        <f>IFERROR(_xll.ECONOMATICA($C$5,"NetDebt/Ebitda",$C$8,C$14,,,,,,,,IF(Base!$B$1=1,{"jtb.opcconscontr=2"},{"jtb.opcconscontr=3"})),"-")</f>
        <v>4.69202939196839</v>
      </c>
      <c r="D32" s="22">
        <f>IFERROR(_xll.ECONOMATICA($C$5,"NetDebt/Ebitda",$C$8,D$14,,,,,,,,IF(Base!$B$1=1,{"jtb.opcconscontr=2"},{"jtb.opcconscontr=3"})),"-")</f>
        <v>3.7715570358086601</v>
      </c>
      <c r="E32" s="22">
        <f>IFERROR(_xll.ECONOMATICA($C$5,"NetDebt/Ebitda",$C$8,E$14,,,,,,,,IF(Base!$B$1=1,{"jtb.opcconscontr=2"},{"jtb.opcconscontr=3"})),"-")</f>
        <v>3.3382489860123301</v>
      </c>
      <c r="F32" s="22">
        <f>IFERROR(_xll.ECONOMATICA($C$5,"NetDebt/Ebitda",$C$8,F$14,,,,,,,,IF(Base!$B$1=1,{"jtb.opcconscontr=2"},{"jtb.opcconscontr=3"})),"-")</f>
        <v>2.3352308305329599</v>
      </c>
      <c r="G32" s="22">
        <f>IFERROR(_xll.ECONOMATICA($C$5,"NetDebt/Ebitda",$C$8,G$14,,,,,,,,IF(Base!$B$1=1,{"jtb.opcconscontr=2"},{"jtb.opcconscontr=3"})),"-")</f>
        <v>8.0055839461565501</v>
      </c>
      <c r="H32" s="22">
        <f>IFERROR(_xll.ECONOMATICA($C$5,"NetDebt/Ebitda",$C$8,H$14,,,,,,,,IF(Base!$B$1=1,{"jtb.opcconscontr=2"},{"jtb.opcconscontr=3"})),"-")</f>
        <v>4.1000036770565202</v>
      </c>
      <c r="I32" s="22">
        <f>IFERROR(_xll.ECONOMATICA($C$5,"NetDebt/Ebitda",$C$8,I$14,,,,,,,,IF(Base!$B$1=1,{"jtb.opcconscontr=2"},{"jtb.opcconscontr=3"})),"-")</f>
        <v>3.3804022315780502</v>
      </c>
      <c r="J32" s="22">
        <f>IFERROR(_xll.ECONOMATICA($C$5,"NetDebt/Ebitda",$C$8,J$14,,,,,,,,IF(Base!$B$1=1,{"jtb.opcconscontr=2"},{"jtb.opcconscontr=3"})),"-")</f>
        <v>2.9992699545764498</v>
      </c>
      <c r="K32" s="22">
        <f>IFERROR(_xll.ECONOMATICA($C$5,"NetDebt/Ebitda",$C$8,K$14,,,,,,,,IF(Base!$B$1=1,{"jtb.opcconscontr=2"},{"jtb.opcconscontr=3"})),"-")</f>
        <v>8.8316152835177508</v>
      </c>
      <c r="L32" s="22">
        <f>IFERROR(_xll.ECONOMATICA($C$5,"NetDebt/Ebitda",$C$8,L$14,,,,,,,,IF(Base!$B$1=1,{"jtb.opcconscontr=2"},{"jtb.opcconscontr=3"})),"-")</f>
        <v>7.7358869117087998</v>
      </c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s="5" customFormat="1" ht="15" customHeight="1" x14ac:dyDescent="0.25">
      <c r="A33" s="1"/>
      <c r="B33" s="7" t="s">
        <v>240</v>
      </c>
      <c r="C33" s="21">
        <f>IFERROR(_xll.ECONOMATICA($C$5,"DebtST/DebtTt",,C$14,,,,"DECIMAL",,,,IF(Base!$B$1=1,{"jtb.opcconscontr=2"},{"jtb.opcconscontr=3"})),"-")</f>
        <v>0.186549369374989</v>
      </c>
      <c r="D33" s="21" t="str">
        <f>IFERROR(_xll.ECONOMATICA($C$5,"DebtST/DebtTt",,D$14,,,,"DECIMAL",,,,IF(Base!$B$1=1,{"jtb.opcconscontr=2"},{"jtb.opcconscontr=3"})),"-")</f>
        <v>-</v>
      </c>
      <c r="E33" s="21">
        <f>IFERROR(_xll.ECONOMATICA($C$5,"DebtST/DebtTt",,E$14,,,,"DECIMAL",,,,IF(Base!$B$1=1,{"jtb.opcconscontr=2"},{"jtb.opcconscontr=3"})),"-")</f>
        <v>0.20945463336363901</v>
      </c>
      <c r="F33" s="21">
        <f>IFERROR(_xll.ECONOMATICA($C$5,"DebtST/DebtTt",,F$14,,,,"DECIMAL",,,,IF(Base!$B$1=1,{"jtb.opcconscontr=2"},{"jtb.opcconscontr=3"})),"-")</f>
        <v>0.185758866120596</v>
      </c>
      <c r="G33" s="21">
        <f>IFERROR(_xll.ECONOMATICA($C$5,"DebtST/DebtTt",,G$14,,,,"DECIMAL",,,,IF(Base!$B$1=1,{"jtb.opcconscontr=2"},{"jtb.opcconscontr=3"})),"-")</f>
        <v>0.18833094880858001</v>
      </c>
      <c r="H33" s="21">
        <f>IFERROR(_xll.ECONOMATICA($C$5,"DebtST/DebtTt",,H$14,,,,"DECIMAL",,,,IF(Base!$B$1=1,{"jtb.opcconscontr=2"},{"jtb.opcconscontr=3"})),"-")</f>
        <v>0.18878683525399501</v>
      </c>
      <c r="I33" s="21">
        <f>IFERROR(_xll.ECONOMATICA($C$5,"DebtST/DebtTt",,I$14,,,,"DECIMAL",,,,IF(Base!$B$1=1,{"jtb.opcconscontr=2"},{"jtb.opcconscontr=3"})),"-")</f>
        <v>0.179604454223008</v>
      </c>
      <c r="J33" s="21">
        <f>IFERROR(_xll.ECONOMATICA($C$5,"DebtST/DebtTt",,J$14,,,,"DECIMAL",,,,IF(Base!$B$1=1,{"jtb.opcconscontr=2"},{"jtb.opcconscontr=3"})),"-")</f>
        <v>0.204448830985348</v>
      </c>
      <c r="K33" s="21">
        <f>IFERROR(_xll.ECONOMATICA($C$5,"DebtST/DebtTt",,K$14,,,,"DECIMAL",,,,IF(Base!$B$1=1,{"jtb.opcconscontr=2"},{"jtb.opcconscontr=3"})),"-")</f>
        <v>0.31208592245675398</v>
      </c>
      <c r="L33" s="21">
        <f>IFERROR(_xll.ECONOMATICA($C$5,"DebtST/DebtTt",,L$14,,,,"DECIMAL",,,,IF(Base!$B$1=1,{"jtb.opcconscontr=2"},{"jtb.opcconscontr=3"})),"-")</f>
        <v>0.31886249597882899</v>
      </c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s="5" customFormat="1" ht="15" customHeight="1" x14ac:dyDescent="0.25">
      <c r="A34" s="1"/>
      <c r="B34" s="7" t="s">
        <v>241</v>
      </c>
      <c r="C34" s="21">
        <f>IFERROR(_xll.ECONOMATICA($C$5,"Liab/Asset",,C$14,,,,"DECIMAL",,,,IF(Base!$B$1=1,{"jtb.opcconscontr=2"},{"jtb.opcconscontr=3"})),"-")</f>
        <v>0.68319236832321595</v>
      </c>
      <c r="D34" s="21">
        <f>IFERROR(_xll.ECONOMATICA($C$5,"Liab/Asset",,D$14,,,,"DECIMAL",,,,IF(Base!$B$1=1,{"jtb.opcconscontr=2"},{"jtb.opcconscontr=3"})),"-")</f>
        <v>0.67495342462789298</v>
      </c>
      <c r="E34" s="21">
        <f>IFERROR(_xll.ECONOMATICA($C$5,"Liab/Asset",,E$14,,,,"DECIMAL",,,,IF(Base!$B$1=1,{"jtb.opcconscontr=2"},{"jtb.opcconscontr=3"})),"-")</f>
        <v>0.65417735809809496</v>
      </c>
      <c r="F34" s="21">
        <f>IFERROR(_xll.ECONOMATICA($C$5,"Liab/Asset",,F$14,,,,"DECIMAL",,,,IF(Base!$B$1=1,{"jtb.opcconscontr=2"},{"jtb.opcconscontr=3"})),"-")</f>
        <v>0.62693736556684598</v>
      </c>
      <c r="G34" s="21" t="str">
        <f>IFERROR(_xll.ECONOMATICA($C$5,"Liab/Asset",,G$14,,,,"DECIMAL",,,,IF(Base!$B$1=1,{"jtb.opcconscontr=2"},{"jtb.opcconscontr=3"})),"-")</f>
        <v>-</v>
      </c>
      <c r="H34" s="21">
        <f>IFERROR(_xll.ECONOMATICA($C$5,"Liab/Asset",,H$14,,,,"DECIMAL",,,,IF(Base!$B$1=1,{"jtb.opcconscontr=2"},{"jtb.opcconscontr=3"})),"-")</f>
        <v>0.65052875315886904</v>
      </c>
      <c r="I34" s="21">
        <f>IFERROR(_xll.ECONOMATICA($C$5,"Liab/Asset",,I$14,,,,"DECIMAL",,,,IF(Base!$B$1=1,{"jtb.opcconscontr=2"},{"jtb.opcconscontr=3"})),"-")</f>
        <v>0.63824964770930803</v>
      </c>
      <c r="J34" s="21">
        <f>IFERROR(_xll.ECONOMATICA($C$5,"Liab/Asset",,J$14,,,,"DECIMAL",,,,IF(Base!$B$1=1,{"jtb.opcconscontr=2"},{"jtb.opcconscontr=3"})),"-")</f>
        <v>0.64232758120633704</v>
      </c>
      <c r="K34" s="21">
        <f>IFERROR(_xll.ECONOMATICA($C$5,"Liab/Asset",,K$14,,,,"DECIMAL",,,,IF(Base!$B$1=1,{"jtb.opcconscontr=2"},{"jtb.opcconscontr=3"})),"-")</f>
        <v>0.63130102880066297</v>
      </c>
      <c r="L34" s="21" t="str">
        <f>IFERROR(_xll.ECONOMATICA($C$5,"Liab/Asset",,L$14,,,,"DECIMAL",,,,IF(Base!$B$1=1,{"jtb.opcconscontr=2"},{"jtb.opcconscontr=3"})),"-")</f>
        <v>-</v>
      </c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s="5" customFormat="1" ht="15" customHeight="1" x14ac:dyDescent="0.25">
      <c r="A35" s="1"/>
      <c r="B35" s="7" t="s">
        <v>242</v>
      </c>
      <c r="C35" s="21">
        <f>IFERROR(_xll.ECONOMATICA($C$5,"Liab/StkhEq",,C$14,,,,"DECIMAL",,,,IF(Base!$B$1=1,{"jtb.opcconscontr=2"},{"jtb.opcconscontr=3"})),"-")</f>
        <v>2.1564896170795</v>
      </c>
      <c r="D35" s="21">
        <f>IFERROR(_xll.ECONOMATICA($C$5,"Liab/StkhEq",,D$14,,,,"DECIMAL",,,,IF(Base!$B$1=1,{"jtb.opcconscontr=2"},{"jtb.opcconscontr=3"})),"-")</f>
        <v>2.0764821898401702</v>
      </c>
      <c r="E35" s="21">
        <f>IFERROR(_xll.ECONOMATICA($C$5,"Liab/StkhEq",,E$14,,,,"DECIMAL",,,,IF(Base!$B$1=1,{"jtb.opcconscontr=2"},{"jtb.opcconscontr=3"})),"-")</f>
        <v>1.8916556605463799</v>
      </c>
      <c r="F35" s="21">
        <f>IFERROR(_xll.ECONOMATICA($C$5,"Liab/StkhEq",,F$14,,,,"DECIMAL",,,,IF(Base!$B$1=1,{"jtb.opcconscontr=2"},{"jtb.opcconscontr=3"})),"-")</f>
        <v>1.6805150334071399</v>
      </c>
      <c r="G35" s="21">
        <f>IFERROR(_xll.ECONOMATICA($C$5,"Liab/StkhEq",,G$14,,,,"DECIMAL",,,,IF(Base!$B$1=1,{"jtb.opcconscontr=2"},{"jtb.opcconscontr=3"})),"-")</f>
        <v>1.7760326699889299</v>
      </c>
      <c r="H35" s="21">
        <f>IFERROR(_xll.ECONOMATICA($C$5,"Liab/StkhEq",,H$14,,,,"DECIMAL",,,,IF(Base!$B$1=1,{"jtb.opcconscontr=2"},{"jtb.opcconscontr=3"})),"-")</f>
        <v>1.8614657401433199</v>
      </c>
      <c r="I35" s="21">
        <f>IFERROR(_xll.ECONOMATICA($C$5,"Liab/StkhEq",,I$14,,,,"DECIMAL",,,,IF(Base!$B$1=1,{"jtb.opcconscontr=2"},{"jtb.opcconscontr=3"})),"-")</f>
        <v>1.764337321762</v>
      </c>
      <c r="J35" s="21">
        <f>IFERROR(_xll.ECONOMATICA($C$5,"Liab/StkhEq",,J$14,,,,"DECIMAL",,,,IF(Base!$B$1=1,{"jtb.opcconscontr=2"},{"jtb.opcconscontr=3"})),"-")</f>
        <v>1.79585438365815</v>
      </c>
      <c r="K35" s="21">
        <f>IFERROR(_xll.ECONOMATICA($C$5,"Liab/StkhEq",,K$14,,,,"DECIMAL",,,,IF(Base!$B$1=1,{"jtb.opcconscontr=2"},{"jtb.opcconscontr=3"})),"-")</f>
        <v>1.7122397351590899</v>
      </c>
      <c r="L35" s="21">
        <f>IFERROR(_xll.ECONOMATICA($C$5,"Liab/StkhEq",,L$14,,,,"DECIMAL",,,,IF(Base!$B$1=1,{"jtb.opcconscontr=2"},{"jtb.opcconscontr=3"})),"-")</f>
        <v>1.8884781685355101</v>
      </c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s="5" customFormat="1" ht="15" customHeight="1" x14ac:dyDescent="0.25">
      <c r="A36" s="1"/>
      <c r="B36" s="7" t="s">
        <v>243</v>
      </c>
      <c r="C36" s="21" t="str">
        <f>IFERROR(_xll.ECONOMATICA($C$5,"Liab/Sales",$C$8,C$14,,,,"DECIMAL",,,,IF(Base!$B$1=1,{"jtb.opcconscontr=2"},{"jtb.opcconscontr=3"})),"-")</f>
        <v>-</v>
      </c>
      <c r="D36" s="21">
        <f>IFERROR(_xll.ECONOMATICA($C$5,"Liab/Sales",$C$8,D$14,,,,"DECIMAL",,,,IF(Base!$B$1=1,{"jtb.opcconscontr=2"},{"jtb.opcconscontr=3"})),"-")</f>
        <v>3.2955341506144</v>
      </c>
      <c r="E36" s="21">
        <f>IFERROR(_xll.ECONOMATICA($C$5,"Liab/Sales",$C$8,E$14,,,,"DECIMAL",,,,IF(Base!$B$1=1,{"jtb.opcconscontr=2"},{"jtb.opcconscontr=3"})),"-")</f>
        <v>2.6261373510491102</v>
      </c>
      <c r="F36" s="21">
        <f>IFERROR(_xll.ECONOMATICA($C$5,"Liab/Sales",$C$8,F$14,,,,"DECIMAL",,,,IF(Base!$B$1=1,{"jtb.opcconscontr=2"},{"jtb.opcconscontr=3"})),"-")</f>
        <v>1.5599611328332701</v>
      </c>
      <c r="G36" s="21" t="str">
        <f>IFERROR(_xll.ECONOMATICA($C$5,"Liab/Sales",$C$8,G$14,,,,"DECIMAL",,,,IF(Base!$B$1=1,{"jtb.opcconscontr=2"},{"jtb.opcconscontr=3"})),"-")</f>
        <v>-</v>
      </c>
      <c r="H36" s="21">
        <f>IFERROR(_xll.ECONOMATICA($C$5,"Liab/Sales",$C$8,H$14,,,,"DECIMAL",,,,IF(Base!$B$1=1,{"jtb.opcconscontr=2"},{"jtb.opcconscontr=3"})),"-")</f>
        <v>2.8632239622157099</v>
      </c>
      <c r="I36" s="21">
        <f>IFERROR(_xll.ECONOMATICA($C$5,"Liab/Sales",$C$8,I$14,,,,"DECIMAL",,,,IF(Base!$B$1=1,{"jtb.opcconscontr=2"},{"jtb.opcconscontr=3"})),"-")</f>
        <v>2.2308458240469902</v>
      </c>
      <c r="J36" s="21" t="str">
        <f>IFERROR(_xll.ECONOMATICA($C$5,"Liab/Sales",$C$8,J$14,,,,"DECIMAL",,,,IF(Base!$B$1=1,{"jtb.opcconscontr=2"},{"jtb.opcconscontr=3"})),"-")</f>
        <v>-</v>
      </c>
      <c r="K36" s="21">
        <f>IFERROR(_xll.ECONOMATICA($C$5,"Liab/Sales",$C$8,K$14,,,,"DECIMAL",,,,IF(Base!$B$1=1,{"jtb.opcconscontr=2"},{"jtb.opcconscontr=3"})),"-")</f>
        <v>6.4094773598480996</v>
      </c>
      <c r="L36" s="21">
        <f>IFERROR(_xll.ECONOMATICA($C$5,"Liab/Sales",$C$8,L$14,,,,"DECIMAL",,,,IF(Base!$B$1=1,{"jtb.opcconscontr=2"},{"jtb.opcconscontr=3"})),"-")</f>
        <v>3.8099098291620601</v>
      </c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s="5" customFormat="1" ht="15" customHeight="1" x14ac:dyDescent="0.25">
      <c r="A37" s="1"/>
      <c r="B37" s="7" t="s">
        <v>244</v>
      </c>
      <c r="C37" s="21">
        <f>IFERROR(_xll.ECONOMATICA($C$5,"FixAsset/StkEq",,C$14,,,,"DECIMAL",,,,IF(Base!$B$1=1,{"jtb.opcconscontr=2"},{"jtb.opcconscontr=3"})),"-")</f>
        <v>2.1627648169314502</v>
      </c>
      <c r="D37" s="21">
        <f>IFERROR(_xll.ECONOMATICA($C$5,"FixAsset/StkEq",,D$14,,,,"DECIMAL",,,,IF(Base!$B$1=1,{"jtb.opcconscontr=2"},{"jtb.opcconscontr=3"})),"-")</f>
        <v>2.1635792429582201</v>
      </c>
      <c r="E37" s="21">
        <f>IFERROR(_xll.ECONOMATICA($C$5,"FixAsset/StkEq",,E$14,,,,"DECIMAL",,,,IF(Base!$B$1=1,{"jtb.opcconscontr=2"},{"jtb.opcconscontr=3"})),"-")</f>
        <v>2.0639053482818399</v>
      </c>
      <c r="F37" s="21" t="str">
        <f>IFERROR(_xll.ECONOMATICA($C$5,"FixAsset/StkEq",,F$14,,,,"DECIMAL",,,,IF(Base!$B$1=1,{"jtb.opcconscontr=2"},{"jtb.opcconscontr=3"})),"-")</f>
        <v>-</v>
      </c>
      <c r="G37" s="21">
        <f>IFERROR(_xll.ECONOMATICA($C$5,"FixAsset/StkEq",,G$14,,,,"DECIMAL",,,,IF(Base!$B$1=1,{"jtb.opcconscontr=2"},{"jtb.opcconscontr=3"})),"-")</f>
        <v>1.90131186129991</v>
      </c>
      <c r="H37" s="21">
        <f>IFERROR(_xll.ECONOMATICA($C$5,"FixAsset/StkEq",,H$14,,,,"DECIMAL",,,,IF(Base!$B$1=1,{"jtb.opcconscontr=2"},{"jtb.opcconscontr=3"})),"-")</f>
        <v>1.9166632999340101</v>
      </c>
      <c r="I37" s="21">
        <f>IFERROR(_xll.ECONOMATICA($C$5,"FixAsset/StkEq",,I$14,,,,"DECIMAL",,,,IF(Base!$B$1=1,{"jtb.opcconscontr=2"},{"jtb.opcconscontr=3"})),"-")</f>
        <v>1.8801827286975501</v>
      </c>
      <c r="J37" s="21">
        <f>IFERROR(_xll.ECONOMATICA($C$5,"FixAsset/StkEq",,J$14,,,,"DECIMAL",,,,IF(Base!$B$1=1,{"jtb.opcconscontr=2"},{"jtb.opcconscontr=3"})),"-")</f>
        <v>1.89902110224124</v>
      </c>
      <c r="K37" s="21">
        <f>IFERROR(_xll.ECONOMATICA($C$5,"FixAsset/StkEq",,K$14,,,,"DECIMAL",,,,IF(Base!$B$1=1,{"jtb.opcconscontr=2"},{"jtb.opcconscontr=3"})),"-")</f>
        <v>1.8477236279333</v>
      </c>
      <c r="L37" s="21">
        <f>IFERROR(_xll.ECONOMATICA($C$5,"FixAsset/StkEq",,L$14,,,,"DECIMAL",,,,IF(Base!$B$1=1,{"jtb.opcconscontr=2"},{"jtb.opcconscontr=3"})),"-")</f>
        <v>1.95585546039976</v>
      </c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customFormat="1" x14ac:dyDescent="0.25">
      <c r="A38" s="1"/>
    </row>
    <row r="39" spans="1:25" s="5" customFormat="1" ht="15" customHeight="1" thickBot="1" x14ac:dyDescent="0.3">
      <c r="A39" s="1"/>
      <c r="B39" s="6" t="s">
        <v>4</v>
      </c>
      <c r="C39" s="15"/>
      <c r="D39" s="15"/>
      <c r="E39" s="15"/>
      <c r="F39" s="15"/>
      <c r="G39" s="15"/>
      <c r="H39" s="15"/>
      <c r="I39" s="15"/>
      <c r="J39" s="15"/>
      <c r="K39" s="15"/>
      <c r="L39" s="17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s="5" customFormat="1" ht="15" customHeight="1" thickTop="1" x14ac:dyDescent="0.25">
      <c r="A40" s="1"/>
      <c r="B40" s="7" t="s">
        <v>5</v>
      </c>
      <c r="C40" s="22">
        <f>IFERROR(_xll.ECONOMATICA($C$5,"CurrRatio",,C$14,,,,,,,,IF(Base!$B$1=1,{"jtb.opcconscontr=2"},{"jtb.opcconscontr=3"})),"-")</f>
        <v>1.13542435061572</v>
      </c>
      <c r="D40" s="22">
        <f>IFERROR(_xll.ECONOMATICA($C$5,"CurrRatio",,D$14,,,,,,,,IF(Base!$B$1=1,{"jtb.opcconscontr=2"},{"jtb.opcconscontr=3"})),"-")</f>
        <v>1.15621200621899</v>
      </c>
      <c r="E40" s="22">
        <f>IFERROR(_xll.ECONOMATICA($C$5,"CurrRatio",,E$14,,,,,,,,IF(Base!$B$1=1,{"jtb.opcconscontr=2"},{"jtb.opcconscontr=3"})),"-")</f>
        <v>1.10369347601045</v>
      </c>
      <c r="F40" s="22">
        <f>IFERROR(_xll.ECONOMATICA($C$5,"CurrRatio",,F$14,,,,,,,,IF(Base!$B$1=1,{"jtb.opcconscontr=2"},{"jtb.opcconscontr=3"})),"-")</f>
        <v>1.1044995634620101</v>
      </c>
      <c r="G40" s="22">
        <f>IFERROR(_xll.ECONOMATICA($C$5,"CurrRatio",,G$14,,,,,,,,IF(Base!$B$1=1,{"jtb.opcconscontr=2"},{"jtb.opcconscontr=3"})),"-")</f>
        <v>1.09810211960394</v>
      </c>
      <c r="H40" s="22">
        <f>IFERROR(_xll.ECONOMATICA($C$5,"CurrRatio",,H$14,,,,,,,,IF(Base!$B$1=1,{"jtb.opcconscontr=2"},{"jtb.opcconscontr=3"})),"-")</f>
        <v>1.09757555223041</v>
      </c>
      <c r="I40" s="22">
        <f>IFERROR(_xll.ECONOMATICA($C$5,"CurrRatio",,I$14,,,,,,,,IF(Base!$B$1=1,{"jtb.opcconscontr=2"},{"jtb.opcconscontr=3"})),"-")</f>
        <v>1.0465241253150499</v>
      </c>
      <c r="J40" s="22">
        <f>IFERROR(_xll.ECONOMATICA($C$5,"CurrRatio",,J$14,,,,,,,,IF(Base!$B$1=1,{"jtb.opcconscontr=2"},{"jtb.opcconscontr=3"})),"-")</f>
        <v>0.97103863717802597</v>
      </c>
      <c r="K40" s="22">
        <f>IFERROR(_xll.ECONOMATICA($C$5,"CurrRatio",,K$14,,,,,,,,IF(Base!$B$1=1,{"jtb.opcconscontr=2"},{"jtb.opcconscontr=3"})),"-")</f>
        <v>0.84409647402389998</v>
      </c>
      <c r="L40" s="22">
        <f>IFERROR(_xll.ECONOMATICA($C$5,"CurrRatio",,L$14,,,,,,,,IF(Base!$B$1=1,{"jtb.opcconscontr=2"},{"jtb.opcconscontr=3"})),"-")</f>
        <v>0.857914122106195</v>
      </c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s="5" customFormat="1" ht="15" customHeight="1" x14ac:dyDescent="0.25">
      <c r="A41" s="1"/>
      <c r="B41" s="7" t="s">
        <v>280</v>
      </c>
      <c r="C41" s="22">
        <f>IFERROR(_xll.ECONOMATICA($C$5,"QuickRatio",,C$14,,,,,,,,IF(Base!$B$1=1,{"jtb.opcconscontr=2"},{"jtb.opcconscontr=3"})),"-")</f>
        <v>0.85310751133692997</v>
      </c>
      <c r="D41" s="22">
        <f>IFERROR(_xll.ECONOMATICA($C$5,"QuickRatio",,D$14,,,,,,,,IF(Base!$B$1=1,{"jtb.opcconscontr=2"},{"jtb.opcconscontr=3"})),"-")</f>
        <v>0.85929866704009294</v>
      </c>
      <c r="E41" s="22">
        <f>IFERROR(_xll.ECONOMATICA($C$5,"QuickRatio",,E$14,,,,,,,,IF(Base!$B$1=1,{"jtb.opcconscontr=2"},{"jtb.opcconscontr=3"})),"-")</f>
        <v>0.77056371312482996</v>
      </c>
      <c r="F41" s="22">
        <f>IFERROR(_xll.ECONOMATICA($C$5,"QuickRatio",,F$14,,,,,,,,IF(Base!$B$1=1,{"jtb.opcconscontr=2"},{"jtb.opcconscontr=3"})),"-")</f>
        <v>0.79824916061625095</v>
      </c>
      <c r="G41" s="22">
        <f>IFERROR(_xll.ECONOMATICA($C$5,"QuickRatio",,G$14,,,,,,,,IF(Base!$B$1=1,{"jtb.opcconscontr=2"},{"jtb.opcconscontr=3"})),"-")</f>
        <v>0.78058854404389399</v>
      </c>
      <c r="H41" s="22">
        <f>IFERROR(_xll.ECONOMATICA($C$5,"QuickRatio",,H$14,,,,,,,,IF(Base!$B$1=1,{"jtb.opcconscontr=2"},{"jtb.opcconscontr=3"})),"-")</f>
        <v>0.77541858429594901</v>
      </c>
      <c r="I41" s="22">
        <f>IFERROR(_xll.ECONOMATICA($C$5,"QuickRatio",,I$14,,,,,,,,IF(Base!$B$1=1,{"jtb.opcconscontr=2"},{"jtb.opcconscontr=3"})),"-")</f>
        <v>0.68865386081415603</v>
      </c>
      <c r="J41" s="22">
        <f>IFERROR(_xll.ECONOMATICA($C$5,"QuickRatio",,J$14,,,,,,,,IF(Base!$B$1=1,{"jtb.opcconscontr=2"},{"jtb.opcconscontr=3"})),"-")</f>
        <v>0.69755948261172296</v>
      </c>
      <c r="K41" s="22">
        <f>IFERROR(_xll.ECONOMATICA($C$5,"QuickRatio",,K$14,,,,,,,,IF(Base!$B$1=1,{"jtb.opcconscontr=2"},{"jtb.opcconscontr=3"})),"-")</f>
        <v>0.57095930340165102</v>
      </c>
      <c r="L41" s="22">
        <f>IFERROR(_xll.ECONOMATICA($C$5,"QuickRatio",,L$14,,,,,,,,IF(Base!$B$1=1,{"jtb.opcconscontr=2"},{"jtb.opcconscontr=3"})),"-")</f>
        <v>0.58004802713821801</v>
      </c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s="5" customFormat="1" ht="15" customHeight="1" x14ac:dyDescent="0.25">
      <c r="A42" s="1"/>
      <c r="B42" s="7" t="s">
        <v>245</v>
      </c>
      <c r="C42" s="27">
        <f>IFERROR(_xll.ECONOMATICA($C$5,"WorkCap",,C$14,,,$C$7,$C$9,,,,IF(Base!$B$1=1,{"jtb.opcconscontr=2"},{"jtb.opcconscontr=3"})),"-")</f>
        <v>13769000.000125</v>
      </c>
      <c r="D42" s="27">
        <f>IFERROR(_xll.ECONOMATICA($C$5,"WorkCap",,D$14,,,$C$7,$C$9,,,,IF(Base!$B$1=1,{"jtb.opcconscontr=2"},{"jtb.opcconscontr=3"})),"-")</f>
        <v>21200000</v>
      </c>
      <c r="E42" s="27">
        <f>IFERROR(_xll.ECONOMATICA($C$5,"WorkCap",,E$14,,,$C$7,$C$9,,,,IF(Base!$B$1=1,{"jtb.opcconscontr=2"},{"jtb.opcconscontr=3"})),"-")</f>
        <v>19526000</v>
      </c>
      <c r="F42" s="27">
        <f>IFERROR(_xll.ECONOMATICA($C$5,"WorkCap",,F$14,,,$C$7,$C$9,,,,IF(Base!$B$1=1,{"jtb.opcconscontr=2"},{"jtb.opcconscontr=3"})),"-")</f>
        <v>17834000</v>
      </c>
      <c r="G42" s="27">
        <f>IFERROR(_xll.ECONOMATICA($C$5,"WorkCap",,G$14,,,$C$7,$C$9,,,,IF(Base!$B$1=1,{"jtb.opcconscontr=2"},{"jtb.opcconscontr=3"})),"-")</f>
        <v>19999000.000250001</v>
      </c>
      <c r="H42" s="27">
        <f>IFERROR(_xll.ECONOMATICA($C$5,"WorkCap",,H$14,,,$C$7,$C$9,,,,IF(Base!$B$1=1,{"jtb.opcconscontr=2"},{"jtb.opcconscontr=3"})),"-")</f>
        <v>20735000</v>
      </c>
      <c r="I42" s="27">
        <f>IFERROR(_xll.ECONOMATICA($C$5,"WorkCap",,I$14,,,$C$7,$C$9,,,,IF(Base!$B$1=1,{"jtb.opcconscontr=2"},{"jtb.opcconscontr=3"})),"-")</f>
        <v>12207000.000250001</v>
      </c>
      <c r="J42" s="27" t="str">
        <f>IFERROR(_xll.ECONOMATICA($C$5,"WorkCap",,J$14,,,$C$7,$C$9,,,,IF(Base!$B$1=1,{"jtb.opcconscontr=2"},{"jtb.opcconscontr=3"})),"-")</f>
        <v>-</v>
      </c>
      <c r="K42" s="27">
        <f>IFERROR(_xll.ECONOMATICA($C$5,"WorkCap",,K$14,,,$C$7,$C$9,,,,IF(Base!$B$1=1,{"jtb.opcconscontr=2"},{"jtb.opcconscontr=3"})),"-")</f>
        <v>-54770000</v>
      </c>
      <c r="L42" s="27">
        <f>IFERROR(_xll.ECONOMATICA($C$5,"WorkCap",,L$14,,,$C$7,$C$9,,,,IF(Base!$B$1=1,{"jtb.opcconscontr=2"},{"jtb.opcconscontr=3"})),"-")</f>
        <v>-50766999.999499999</v>
      </c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s="5" customFormat="1" ht="15" customHeight="1" x14ac:dyDescent="0.25">
      <c r="A43" s="1"/>
      <c r="B43" s="12" t="s">
        <v>6</v>
      </c>
      <c r="C43" s="28">
        <f>IFERROR(_xll.ECONOMATICA($C$5,"CapitalEmpl",,C$14,,,$C$7,$C$9,,,,IF(Base!$B$1=1,{"jtb.opcconscontr=2"},{"jtb.opcconscontr=3"})),"-")</f>
        <v>476839000</v>
      </c>
      <c r="D43" s="28" t="str">
        <f>IFERROR(_xll.ECONOMATICA($C$5,"CapitalEmpl",,D$14,,,$C$7,$C$9,,,,IF(Base!$B$1=1,{"jtb.opcconscontr=2"},{"jtb.opcconscontr=3"})),"-")</f>
        <v>-</v>
      </c>
      <c r="E43" s="28">
        <f>IFERROR(_xll.ECONOMATICA($C$5,"CapitalEmpl",,E$14,,,$C$7,$C$9,,,,IF(Base!$B$1=1,{"jtb.opcconscontr=2"},{"jtb.opcconscontr=3"})),"-")</f>
        <v>936676000</v>
      </c>
      <c r="F43" s="28">
        <f>IFERROR(_xll.ECONOMATICA($C$5,"CapitalEmpl",,F$14,,,$C$7,$C$9,,,,IF(Base!$B$1=1,{"jtb.opcconscontr=2"},{"jtb.opcconscontr=3"})),"-")</f>
        <v>852599000</v>
      </c>
      <c r="G43" s="28" t="str">
        <f>IFERROR(_xll.ECONOMATICA($C$5,"CapitalEmpl",,G$14,,,$C$7,$C$9,,,,IF(Base!$B$1=1,{"jtb.opcconscontr=2"},{"jtb.opcconscontr=3"})),"-")</f>
        <v>-</v>
      </c>
      <c r="H43" s="28">
        <f>IFERROR(_xll.ECONOMATICA($C$5,"CapitalEmpl",,H$14,,,$C$7,$C$9,,,,IF(Base!$B$1=1,{"jtb.opcconscontr=2"},{"jtb.opcconscontr=3"})),"-")</f>
        <v>993533000</v>
      </c>
      <c r="I43" s="28">
        <f>IFERROR(_xll.ECONOMATICA($C$5,"CapitalEmpl",,I$14,,,$C$7,$C$9,,,,IF(Base!$B$1=1,{"jtb.opcconscontr=2"},{"jtb.opcconscontr=3"})),"-")</f>
        <v>1271946000</v>
      </c>
      <c r="J43" s="28">
        <f>IFERROR(_xll.ECONOMATICA($C$5,"CapitalEmpl",,J$14,,,$C$7,$C$9,,,,IF(Base!$B$1=1,{"jtb.opcconscontr=2"},{"jtb.opcconscontr=3"})),"-")</f>
        <v>1347234000</v>
      </c>
      <c r="K43" s="28">
        <f>IFERROR(_xll.ECONOMATICA($C$5,"CapitalEmpl",,K$14,,,$C$7,$C$9,,,,IF(Base!$B$1=1,{"jtb.opcconscontr=2"},{"jtb.opcconscontr=3"})),"-")</f>
        <v>1446378000</v>
      </c>
      <c r="L43" s="28">
        <f>IFERROR(_xll.ECONOMATICA($C$5,"CapitalEmpl",,L$14,,,$C$7,$C$9,,,,IF(Base!$B$1=1,{"jtb.opcconscontr=2"},{"jtb.opcconscontr=3"})),"-")</f>
        <v>1480162000</v>
      </c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customFormat="1" ht="8.1" customHeight="1" x14ac:dyDescent="0.25">
      <c r="A44" s="1"/>
    </row>
    <row r="45" spans="1:25" s="5" customFormat="1" ht="15" customHeight="1" thickBot="1" x14ac:dyDescent="0.3">
      <c r="A45" s="1"/>
      <c r="B45" s="6" t="s">
        <v>7</v>
      </c>
      <c r="C45" s="15"/>
      <c r="D45" s="15"/>
      <c r="E45" s="15"/>
      <c r="F45" s="15"/>
      <c r="G45" s="15"/>
      <c r="H45" s="15"/>
      <c r="I45" s="15"/>
      <c r="J45" s="15"/>
      <c r="K45" s="15"/>
      <c r="L45" s="17" t="s">
        <v>15</v>
      </c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s="5" customFormat="1" ht="15" customHeight="1" thickTop="1" x14ac:dyDescent="0.25">
      <c r="A46" s="1"/>
      <c r="B46" s="7" t="s">
        <v>246</v>
      </c>
      <c r="C46" s="19">
        <f>IFERROR(_xll.ECONOMATICA($C$5,"InventTurn",$C$8,C$14,,,,,,,,IF(Base!$B$1=1,{"jtb.opcconscontr=2"},{"jtb.opcconscontr=3"})),"-")</f>
        <v>44.107222127378897</v>
      </c>
      <c r="D46" s="19">
        <f>IFERROR(_xll.ECONOMATICA($C$5,"InventTurn",$C$8,D$14,,,,,,,,IF(Base!$B$1=1,{"jtb.opcconscontr=2"},{"jtb.opcconscontr=3"})),"-")</f>
        <v>54.610137332987499</v>
      </c>
      <c r="E46" s="19">
        <f>IFERROR(_xll.ECONOMATICA($C$5,"InventTurn",$C$8,E$14,,,,,,,,IF(Base!$B$1=1,{"jtb.opcconscontr=2"},{"jtb.opcconscontr=3"})),"-")</f>
        <v>76.988217967562406</v>
      </c>
      <c r="F46" s="19">
        <f>IFERROR(_xll.ECONOMATICA($C$5,"InventTurn",$C$8,F$14,,,,,,,,IF(Base!$B$1=1,{"jtb.opcconscontr=2"},{"jtb.opcconscontr=3"})),"-")</f>
        <v>58.403173538914402</v>
      </c>
      <c r="G46" s="19">
        <f>IFERROR(_xll.ECONOMATICA($C$5,"InventTurn",$C$8,G$14,,,,,,,,IF(Base!$B$1=1,{"jtb.opcconscontr=2"},{"jtb.opcconscontr=3"})),"-")</f>
        <v>62.665605301095603</v>
      </c>
      <c r="H46" s="19">
        <f>IFERROR(_xll.ECONOMATICA($C$5,"InventTurn",$C$8,H$14,,,,,,,,IF(Base!$B$1=1,{"jtb.opcconscontr=2"},{"jtb.opcconscontr=3"})),"-")</f>
        <v>58.351540636154802</v>
      </c>
      <c r="I46" s="19">
        <f>IFERROR(_xll.ECONOMATICA($C$5,"InventTurn",$C$8,I$14,,,,,,,,IF(Base!$B$1=1,{"jtb.opcconscontr=2"},{"jtb.opcconscontr=3"})),"-")</f>
        <v>74.656085279188105</v>
      </c>
      <c r="J46" s="19">
        <f>IFERROR(_xll.ECONOMATICA($C$5,"InventTurn",$C$8,J$14,,,,,,,,IF(Base!$B$1=1,{"jtb.opcconscontr=2"},{"jtb.opcconscontr=3"})),"-")</f>
        <v>56.518803222570597</v>
      </c>
      <c r="K46" s="19">
        <f>IFERROR(_xll.ECONOMATICA($C$5,"InventTurn",$C$8,K$14,,,,,,,,IF(Base!$B$1=1,{"jtb.opcconscontr=2"},{"jtb.opcconscontr=3"})),"-")</f>
        <v>65.406520998221794</v>
      </c>
      <c r="L46" s="19">
        <f>IFERROR(_xll.ECONOMATICA($C$5,"InventTurn",$C$8,L$14,,,,,,,,IF(Base!$B$1=1,{"jtb.opcconscontr=2"},{"jtb.opcconscontr=3"})),"-")</f>
        <v>67.082764005288496</v>
      </c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s="5" customFormat="1" ht="15" customHeight="1" x14ac:dyDescent="0.25">
      <c r="A47" s="1"/>
      <c r="B47" s="7" t="s">
        <v>247</v>
      </c>
      <c r="C47" s="19">
        <f>IFERROR(_xll.ECONOMATICA($C$5,"SupplierTurn",$C$8,C$14,,,,,,,,IF(Base!$B$1=1,{"jtb.opcconscontr=2"},{"jtb.opcconscontr=3"})),"-")</f>
        <v>74.435547208413496</v>
      </c>
      <c r="D47" s="19">
        <f>IFERROR(_xll.ECONOMATICA($C$5,"SupplierTurn",$C$8,D$14,,,,,,,,IF(Base!$B$1=1,{"jtb.opcconscontr=2"},{"jtb.opcconscontr=3"})),"-")</f>
        <v>80.444073003251106</v>
      </c>
      <c r="E47" s="19">
        <f>IFERROR(_xll.ECONOMATICA($C$5,"SupplierTurn",$C$8,E$14,,,,,,,,IF(Base!$B$1=1,{"jtb.opcconscontr=2"},{"jtb.opcconscontr=3"})),"-")</f>
        <v>102.070446735364</v>
      </c>
      <c r="F47" s="19">
        <f>IFERROR(_xll.ECONOMATICA($C$5,"SupplierTurn",$C$8,F$14,,,,,,,,IF(Base!$B$1=1,{"jtb.opcconscontr=2"},{"jtb.opcconscontr=3"})),"-")</f>
        <v>86.655492233810904</v>
      </c>
      <c r="G47" s="19">
        <f>IFERROR(_xll.ECONOMATICA($C$5,"SupplierTurn",$C$8,G$14,,,,,,,,IF(Base!$B$1=1,{"jtb.opcconscontr=2"},{"jtb.opcconscontr=3"})),"-")</f>
        <v>80.280867451103404</v>
      </c>
      <c r="H47" s="19" t="str">
        <f>IFERROR(_xll.ECONOMATICA($C$5,"SupplierTurn",$C$8,H$14,,,,,,,,IF(Base!$B$1=1,{"jtb.opcconscontr=2"},{"jtb.opcconscontr=3"})),"-")</f>
        <v>-</v>
      </c>
      <c r="I47" s="19">
        <f>IFERROR(_xll.ECONOMATICA($C$5,"SupplierTurn",$C$8,I$14,,,,,,,,IF(Base!$B$1=1,{"jtb.opcconscontr=2"},{"jtb.opcconscontr=3"})),"-")</f>
        <v>90.412114608683595</v>
      </c>
      <c r="J47" s="19">
        <f>IFERROR(_xll.ECONOMATICA($C$5,"SupplierTurn",$C$8,J$14,,,,,,,,IF(Base!$B$1=1,{"jtb.opcconscontr=2"},{"jtb.opcconscontr=3"})),"-")</f>
        <v>91.755093891406403</v>
      </c>
      <c r="K47" s="19">
        <f>IFERROR(_xll.ECONOMATICA($C$5,"SupplierTurn",$C$8,K$14,,,,,,,,IF(Base!$B$1=1,{"jtb.opcconscontr=2"},{"jtb.opcconscontr=3"})),"-")</f>
        <v>85.539364562253496</v>
      </c>
      <c r="L47" s="19">
        <f>IFERROR(_xll.ECONOMATICA($C$5,"SupplierTurn",$C$8,L$14,,,,,,,,IF(Base!$B$1=1,{"jtb.opcconscontr=2"},{"jtb.opcconscontr=3"})),"-")</f>
        <v>72.599738734657905</v>
      </c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s="5" customFormat="1" ht="15" customHeight="1" x14ac:dyDescent="0.25">
      <c r="A48" s="1"/>
      <c r="B48" s="7" t="s">
        <v>248</v>
      </c>
      <c r="C48" s="19">
        <f>IFERROR(_xll.ECONOMATICA($C$5,"ReceivabTurn",$C$8,C$14,,,,,,,,IF(Base!$B$1=1,{"jtb.opcconscontr=2"},{"jtb.opcconscontr=3"})),"-")</f>
        <v>62.2095914232195</v>
      </c>
      <c r="D48" s="19">
        <f>IFERROR(_xll.ECONOMATICA($C$5,"ReceivabTurn",$C$8,D$14,,,,,,,,IF(Base!$B$1=1,{"jtb.opcconscontr=2"},{"jtb.opcconscontr=3"})),"-")</f>
        <v>73.013696839800104</v>
      </c>
      <c r="E48" s="19">
        <f>IFERROR(_xll.ECONOMATICA($C$5,"ReceivabTurn",$C$8,E$14,,,,,,,,IF(Base!$B$1=1,{"jtb.opcconscontr=2"},{"jtb.opcconscontr=3"})),"-")</f>
        <v>81.196472249925094</v>
      </c>
      <c r="F48" s="19">
        <f>IFERROR(_xll.ECONOMATICA($C$5,"ReceivabTurn",$C$8,F$14,,,,,,,,IF(Base!$B$1=1,{"jtb.opcconscontr=2"},{"jtb.opcconscontr=3"})),"-")</f>
        <v>60.550600968068501</v>
      </c>
      <c r="G48" s="19">
        <f>IFERROR(_xll.ECONOMATICA($C$5,"ReceivabTurn",$C$8,G$14,,,,,,,,IF(Base!$B$1=1,{"jtb.opcconscontr=2"},{"jtb.opcconscontr=3"})),"-")</f>
        <v>72.126263446058104</v>
      </c>
      <c r="H48" s="19">
        <f>IFERROR(_xll.ECONOMATICA($C$5,"ReceivabTurn",$C$8,H$14,,,,,,,,IF(Base!$B$1=1,{"jtb.opcconscontr=2"},{"jtb.opcconscontr=3"})),"-")</f>
        <v>55.025167785235702</v>
      </c>
      <c r="I48" s="19">
        <f>IFERROR(_xll.ECONOMATICA($C$5,"ReceivabTurn",$C$8,I$14,,,,,,,,IF(Base!$B$1=1,{"jtb.opcconscontr=2"},{"jtb.opcconscontr=3"})),"-")</f>
        <v>62.951538762601601</v>
      </c>
      <c r="J48" s="19">
        <f>IFERROR(_xll.ECONOMATICA($C$5,"ReceivabTurn",$C$8,J$14,,,,,,,,IF(Base!$B$1=1,{"jtb.opcconscontr=2"},{"jtb.opcconscontr=3"})),"-")</f>
        <v>81.268615778419203</v>
      </c>
      <c r="K48" s="19">
        <f>IFERROR(_xll.ECONOMATICA($C$5,"ReceivabTurn",$C$8,K$14,,,,,,,,IF(Base!$B$1=1,{"jtb.opcconscontr=2"},{"jtb.opcconscontr=3"})),"-")</f>
        <v>76.038448400213397</v>
      </c>
      <c r="L48" s="19">
        <f>IFERROR(_xll.ECONOMATICA($C$5,"ReceivabTurn",$C$8,L$14,,,,,,,,IF(Base!$B$1=1,{"jtb.opcconscontr=2"},{"jtb.opcconscontr=3"})),"-")</f>
        <v>79.905634333030306</v>
      </c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s="5" customFormat="1" ht="15" customHeight="1" x14ac:dyDescent="0.25">
      <c r="A49" s="1"/>
      <c r="B49" s="7" t="s">
        <v>249</v>
      </c>
      <c r="C49" s="19">
        <f>IFERROR(_xll.ECONOMATICA($C$5,"FinancTurn",$C$8,C$14,,,,,,,,IF(Base!$B$1=1,{"jtb.opcconscontr=2"},{"jtb.opcconscontr=3"})),"-")</f>
        <v>31.881266342243201</v>
      </c>
      <c r="D49" s="19">
        <f>IFERROR(_xll.ECONOMATICA($C$5,"FinancTurn",$C$8,D$14,,,,,,,,IF(Base!$B$1=1,{"jtb.opcconscontr=2"},{"jtb.opcconscontr=3"})),"-")</f>
        <v>47.179761169594698</v>
      </c>
      <c r="E49" s="19">
        <f>IFERROR(_xll.ECONOMATICA($C$5,"FinancTurn",$C$8,E$14,,,,,,,,IF(Base!$B$1=1,{"jtb.opcconscontr=2"},{"jtb.opcconscontr=3"})),"-")</f>
        <v>56.114243482123101</v>
      </c>
      <c r="F49" s="19" t="str">
        <f>IFERROR(_xll.ECONOMATICA($C$5,"FinancTurn",$C$8,F$14,,,,,,,,IF(Base!$B$1=1,{"jtb.opcconscontr=2"},{"jtb.opcconscontr=3"})),"-")</f>
        <v>-</v>
      </c>
      <c r="G49" s="19">
        <f>IFERROR(_xll.ECONOMATICA($C$5,"FinancTurn",$C$8,G$14,,,,,,,,IF(Base!$B$1=1,{"jtb.opcconscontr=2"},{"jtb.opcconscontr=3"})),"-")</f>
        <v>54.511001296108603</v>
      </c>
      <c r="H49" s="19">
        <f>IFERROR(_xll.ECONOMATICA($C$5,"FinancTurn",$C$8,H$14,,,,,,,,IF(Base!$B$1=1,{"jtb.opcconscontr=2"},{"jtb.opcconscontr=3"})),"-")</f>
        <v>37.028491979464903</v>
      </c>
      <c r="I49" s="19">
        <f>IFERROR(_xll.ECONOMATICA($C$5,"FinancTurn",$C$8,I$14,,,,,,,,IF(Base!$B$1=1,{"jtb.opcconscontr=2"},{"jtb.opcconscontr=3"})),"-")</f>
        <v>47.195509433164297</v>
      </c>
      <c r="J49" s="19" t="str">
        <f>IFERROR(_xll.ECONOMATICA($C$5,"FinancTurn",$C$8,J$14,,,,,,,,IF(Base!$B$1=1,{"jtb.opcconscontr=2"},{"jtb.opcconscontr=3"})),"-")</f>
        <v>-</v>
      </c>
      <c r="K49" s="19">
        <f>IFERROR(_xll.ECONOMATICA($C$5,"FinancTurn",$C$8,K$14,,,,,,,,IF(Base!$B$1=1,{"jtb.opcconscontr=2"},{"jtb.opcconscontr=3"})),"-")</f>
        <v>55.905604836181702</v>
      </c>
      <c r="L49" s="19">
        <f>IFERROR(_xll.ECONOMATICA($C$5,"FinancTurn",$C$8,L$14,,,,,,,,IF(Base!$B$1=1,{"jtb.opcconscontr=2"},{"jtb.opcconscontr=3"})),"-")</f>
        <v>74.388659603777299</v>
      </c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s="5" customFormat="1" ht="15" customHeight="1" x14ac:dyDescent="0.25">
      <c r="A50" s="1"/>
      <c r="B50" s="12" t="s">
        <v>250</v>
      </c>
      <c r="C50" s="23" t="str">
        <f>IFERROR(_xll.ECONOMATICA($C$5,"OperatTurn",$C$8,C$14,,,,,,,,IF(Base!$B$1=1,{"jtb.opcconscontr=2"},{"jtb.opcconscontr=3"})),"-")</f>
        <v>-</v>
      </c>
      <c r="D50" s="23">
        <f>IFERROR(_xll.ECONOMATICA($C$5,"OperatTurn",$C$8,D$14,,,,,,,,IF(Base!$B$1=1,{"jtb.opcconscontr=2"},{"jtb.opcconscontr=3"})),"-")</f>
        <v>127.623834172846</v>
      </c>
      <c r="E50" s="23">
        <f>IFERROR(_xll.ECONOMATICA($C$5,"OperatTurn",$C$8,E$14,,,,,,,,IF(Base!$B$1=1,{"jtb.opcconscontr=2"},{"jtb.opcconscontr=3"})),"-")</f>
        <v>158.184690217488</v>
      </c>
      <c r="F50" s="23">
        <f>IFERROR(_xll.ECONOMATICA($C$5,"OperatTurn",$C$8,F$14,,,,,,,,IF(Base!$B$1=1,{"jtb.opcconscontr=2"},{"jtb.opcconscontr=3"})),"-")</f>
        <v>118.953774507041</v>
      </c>
      <c r="G50" s="23" t="str">
        <f>IFERROR(_xll.ECONOMATICA($C$5,"OperatTurn",$C$8,G$14,,,,,,,,IF(Base!$B$1=1,{"jtb.opcconscontr=2"},{"jtb.opcconscontr=3"})),"-")</f>
        <v>-</v>
      </c>
      <c r="H50" s="23">
        <f>IFERROR(_xll.ECONOMATICA($C$5,"OperatTurn",$C$8,H$14,,,,,,,,IF(Base!$B$1=1,{"jtb.opcconscontr=2"},{"jtb.opcconscontr=3"})),"-")</f>
        <v>113.376708421391</v>
      </c>
      <c r="I50" s="23">
        <f>IFERROR(_xll.ECONOMATICA($C$5,"OperatTurn",$C$8,I$14,,,,,,,,IF(Base!$B$1=1,{"jtb.opcconscontr=2"},{"jtb.opcconscontr=3"})),"-")</f>
        <v>137.607624041848</v>
      </c>
      <c r="J50" s="23">
        <f>IFERROR(_xll.ECONOMATICA($C$5,"OperatTurn",$C$8,J$14,,,,,,,,IF(Base!$B$1=1,{"jtb.opcconscontr=2"},{"jtb.opcconscontr=3"})),"-")</f>
        <v>137.787419001106</v>
      </c>
      <c r="K50" s="23" t="str">
        <f>IFERROR(_xll.ECONOMATICA($C$5,"OperatTurn",$C$8,K$14,,,,,,,,IF(Base!$B$1=1,{"jtb.opcconscontr=2"},{"jtb.opcconscontr=3"})),"-")</f>
        <v>-</v>
      </c>
      <c r="L50" s="23">
        <f>IFERROR(_xll.ECONOMATICA($C$5,"OperatTurn",$C$8,L$14,,,,,,,,IF(Base!$B$1=1,{"jtb.opcconscontr=2"},{"jtb.opcconscontr=3"})),"-")</f>
        <v>146.98839833843499</v>
      </c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customFormat="1" ht="8.1" customHeight="1" x14ac:dyDescent="0.25">
      <c r="A51" s="1"/>
    </row>
    <row r="52" spans="1:25" s="5" customFormat="1" ht="15" customHeight="1" thickBot="1" x14ac:dyDescent="0.3">
      <c r="A52" s="1"/>
      <c r="B52" s="6" t="s">
        <v>251</v>
      </c>
      <c r="C52" s="15"/>
      <c r="D52" s="15"/>
      <c r="E52" s="15"/>
      <c r="F52" s="15"/>
      <c r="G52" s="15"/>
      <c r="H52" s="15"/>
      <c r="I52" s="15"/>
      <c r="J52" s="15"/>
      <c r="K52" s="15"/>
      <c r="L52" s="17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s="5" customFormat="1" ht="15" customHeight="1" thickTop="1" x14ac:dyDescent="0.25">
      <c r="A53" s="1"/>
      <c r="B53" s="7" t="s">
        <v>8</v>
      </c>
      <c r="C53" s="27">
        <f>IFERROR(_xll.ECONOMATICA($C$5,"EBITDA",$C$8,C$14,,,$C$7,$C$9,,,,IF(Base!$B$1=1,{"jtb.opcconscontr=2"},{"jtb.opcconscontr=3"})),"-")</f>
        <v>35656000</v>
      </c>
      <c r="D53" s="27">
        <f>IFERROR(_xll.ECONOMATICA($C$5,"EBITDA",$C$8,D$14,,,$C$7,$C$9,,,,IF(Base!$B$1=1,{"jtb.opcconscontr=2"},{"jtb.opcconscontr=3"})),"-")</f>
        <v>60050000</v>
      </c>
      <c r="E53" s="27">
        <f>IFERROR(_xll.ECONOMATICA($C$5,"EBITDA",$C$8,E$14,,,$C$7,$C$9,,,,IF(Base!$B$1=1,{"jtb.opcconscontr=2"},{"jtb.opcconscontr=3"})),"-")</f>
        <v>93443000</v>
      </c>
      <c r="F53" s="27">
        <f>IFERROR(_xll.ECONOMATICA($C$5,"EBITDA",$C$8,F$14,,,$C$7,$C$9,,,,IF(Base!$B$1=1,{"jtb.opcconscontr=2"},{"jtb.opcconscontr=3"})),"-")</f>
        <v>122969000</v>
      </c>
      <c r="G53" s="27">
        <f>IFERROR(_xll.ECONOMATICA($C$5,"EBITDA",$C$8,G$14,,,$C$7,$C$9,,,,IF(Base!$B$1=1,{"jtb.opcconscontr=2"},{"jtb.opcconscontr=3"})),"-")</f>
        <v>40115000.000062503</v>
      </c>
      <c r="H53" s="27">
        <f>IFERROR(_xll.ECONOMATICA($C$5,"EBITDA",$C$8,H$14,,,$C$7,$C$9,,,,IF(Base!$B$1=1,{"jtb.opcconscontr=2"},{"jtb.opcconscontr=3"})),"-")</f>
        <v>81587000</v>
      </c>
      <c r="I53" s="27">
        <f>IFERROR(_xll.ECONOMATICA($C$5,"EBITDA",$C$8,I$14,,,$C$7,$C$9,,,,IF(Base!$B$1=1,{"jtb.opcconscontr=2"},{"jtb.opcconscontr=3"})),"-")</f>
        <v>131566000.00025</v>
      </c>
      <c r="J53" s="27">
        <f>IFERROR(_xll.ECONOMATICA($C$5,"EBITDA",$C$8,J$14,,,$C$7,$C$9,,,,IF(Base!$B$1=1,{"jtb.opcconscontr=2"},{"jtb.opcconscontr=3"})),"-")</f>
        <v>172592000</v>
      </c>
      <c r="K53" s="27">
        <f>IFERROR(_xll.ECONOMATICA($C$5,"EBITDA",$C$8,K$14,,,$C$7,$C$9,,,,IF(Base!$B$1=1,{"jtb.opcconscontr=2"},{"jtb.opcconscontr=3"})),"-")</f>
        <v>63153000</v>
      </c>
      <c r="L53" s="27">
        <f>IFERROR(_xll.ECONOMATICA($C$5,"EBITDA",$C$8,L$14,,,$C$7,$C$9,,,,IF(Base!$B$1=1,{"jtb.opcconscontr=2"},{"jtb.opcconscontr=3"})),"-")</f>
        <v>76259000</v>
      </c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s="5" customFormat="1" ht="15" customHeight="1" x14ac:dyDescent="0.25">
      <c r="A54" s="1"/>
      <c r="B54" s="7" t="s">
        <v>252</v>
      </c>
      <c r="C54" s="27">
        <f>IFERROR(_xll.ECONOMATICA($C$5,"Pretax+NetFinExp",$C$8,C$14,,,$C$7,$C$9,,,,IF(Base!$B$1=1,{"jtb.opcconscontr=2"},{"jtb.opcconscontr=3"})),"-")</f>
        <v>17141000</v>
      </c>
      <c r="D54" s="27">
        <f>IFERROR(_xll.ECONOMATICA($C$5,"Pretax+NetFinExp",$C$8,D$14,,,$C$7,$C$9,,,,IF(Base!$B$1=1,{"jtb.opcconscontr=2"},{"jtb.opcconscontr=3"})),"-")</f>
        <v>16069000</v>
      </c>
      <c r="E54" s="27">
        <f>IFERROR(_xll.ECONOMATICA($C$5,"Pretax+NetFinExp",$C$8,E$14,,,$C$7,$C$9,,,,IF(Base!$B$1=1,{"jtb.opcconscontr=2"},{"jtb.opcconscontr=3"})),"-")</f>
        <v>24647000</v>
      </c>
      <c r="F54" s="27">
        <f>IFERROR(_xll.ECONOMATICA($C$5,"Pretax+NetFinExp",$C$8,F$14,,,$C$7,$C$9,,,,IF(Base!$B$1=1,{"jtb.opcconscontr=2"},{"jtb.opcconscontr=3"})),"-")</f>
        <v>43441000</v>
      </c>
      <c r="G54" s="27">
        <f>IFERROR(_xll.ECONOMATICA($C$5,"Pretax+NetFinExp",$C$8,G$14,,,$C$7,$C$9,,,,IF(Base!$B$1=1,{"jtb.opcconscontr=2"},{"jtb.opcconscontr=3"})),"-")</f>
        <v>11880000.000031199</v>
      </c>
      <c r="H54" s="27">
        <f>IFERROR(_xll.ECONOMATICA($C$5,"Pretax+NetFinExp",$C$8,H$14,,,$C$7,$C$9,,,,IF(Base!$B$1=1,{"jtb.opcconscontr=2"},{"jtb.opcconscontr=3"})),"-")</f>
        <v>19975000</v>
      </c>
      <c r="I54" s="27">
        <f>IFERROR(_xll.ECONOMATICA($C$5,"Pretax+NetFinExp",$C$8,I$14,,,$C$7,$C$9,,,,IF(Base!$B$1=1,{"jtb.opcconscontr=2"},{"jtb.opcconscontr=3"})),"-")</f>
        <v>-14421999.999968801</v>
      </c>
      <c r="J54" s="27">
        <f>IFERROR(_xll.ECONOMATICA($C$5,"Pretax+NetFinExp",$C$8,J$14,,,$C$7,$C$9,,,,IF(Base!$B$1=1,{"jtb.opcconscontr=2"},{"jtb.opcconscontr=3"})),"-")</f>
        <v>-19537000</v>
      </c>
      <c r="K54" s="27" t="str">
        <f>IFERROR(_xll.ECONOMATICA($C$5,"Pretax+NetFinExp",$C$8,K$14,,,$C$7,$C$9,,,,IF(Base!$B$1=1,{"jtb.opcconscontr=2"},{"jtb.opcconscontr=3"})),"-")</f>
        <v>-</v>
      </c>
      <c r="L54" s="27">
        <f>IFERROR(_xll.ECONOMATICA($C$5,"Pretax+NetFinExp",$C$8,L$14,,,$C$7,$C$9,,,,IF(Base!$B$1=1,{"jtb.opcconscontr=2"},{"jtb.opcconscontr=3"})),"-")</f>
        <v>-76290000</v>
      </c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s="5" customFormat="1" ht="15" customHeight="1" x14ac:dyDescent="0.25">
      <c r="A55" s="1"/>
      <c r="B55" s="7" t="s">
        <v>253</v>
      </c>
      <c r="C55" s="22">
        <f>IFERROR(_xll.ECONOMATICA($C$5,"AssetsTurn",$C$8,C$14,,,,,,,,IF(Base!$B$1=1,{"jtb.opcconscontr=2"},{"jtb.opcconscontr=3"})),"-")</f>
        <v>0.12844305961130001</v>
      </c>
      <c r="D55" s="22" t="str">
        <f>IFERROR(_xll.ECONOMATICA($C$5,"AssetsTurn",$C$8,D$14,,,,,,,,IF(Base!$B$1=1,{"jtb.opcconscontr=2"},{"jtb.opcconscontr=3"})),"-")</f>
        <v>-</v>
      </c>
      <c r="E55" s="22">
        <f>IFERROR(_xll.ECONOMATICA($C$5,"AssetsTurn",$C$8,E$14,,,,,,,,IF(Base!$B$1=1,{"jtb.opcconscontr=2"},{"jtb.opcconscontr=3"})),"-")</f>
        <v>0.24910249185450101</v>
      </c>
      <c r="F55" s="22">
        <f>IFERROR(_xll.ECONOMATICA($C$5,"AssetsTurn",$C$8,F$14,,,,,,,,IF(Base!$B$1=1,{"jtb.opcconscontr=2"},{"jtb.opcconscontr=3"})),"-")</f>
        <v>0.401892939747995</v>
      </c>
      <c r="G55" s="22">
        <f>IFERROR(_xll.ECONOMATICA($C$5,"AssetsTurn",$C$8,G$14,,,,,,,,IF(Base!$B$1=1,{"jtb.opcconscontr=2"},{"jtb.opcconscontr=3"})),"-")</f>
        <v>0.10359563351335099</v>
      </c>
      <c r="H55" s="22">
        <f>IFERROR(_xll.ECONOMATICA($C$5,"AssetsTurn",$C$8,H$14,,,,,,,,IF(Base!$B$1=1,{"jtb.opcconscontr=2"},{"jtb.opcconscontr=3"})),"-")</f>
        <v>0.22720149095675901</v>
      </c>
      <c r="I55" s="22">
        <f>IFERROR(_xll.ECONOMATICA($C$5,"AssetsTurn",$C$8,I$14,,,,,,,,IF(Base!$B$1=1,{"jtb.opcconscontr=2"},{"jtb.opcconscontr=3"})),"-")</f>
        <v>0.28610208775035101</v>
      </c>
      <c r="J55" s="22">
        <f>IFERROR(_xll.ECONOMATICA($C$5,"AssetsTurn",$C$8,J$14,,,,,,,,IF(Base!$B$1=1,{"jtb.opcconscontr=2"},{"jtb.opcconscontr=3"})),"-")</f>
        <v>0.389368232855759</v>
      </c>
      <c r="K55" s="22">
        <f>IFERROR(_xll.ECONOMATICA($C$5,"AssetsTurn",$C$8,K$14,,,,,,,,IF(Base!$B$1=1,{"jtb.opcconscontr=2"},{"jtb.opcconscontr=3"})),"-")</f>
        <v>9.8494930765355093E-2</v>
      </c>
      <c r="L55" s="22">
        <f>IFERROR(_xll.ECONOMATICA($C$5,"AssetsTurn",$C$8,L$14,,,,,,,,IF(Base!$B$1=1,{"jtb.opcconscontr=2"},{"jtb.opcconscontr=3"})),"-")</f>
        <v>0.17160430630428899</v>
      </c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s="5" customFormat="1" ht="15" customHeight="1" x14ac:dyDescent="0.25">
      <c r="A56" s="1"/>
      <c r="B56" s="7" t="s">
        <v>254</v>
      </c>
      <c r="C56" s="22" t="str">
        <f>IFERROR(_xll.ECONOMATICA($C$5,"EquityTurn",$C$8,C$14,,,,,,,,IF(Base!$B$1=1,{"jtb.opcconscontr=2"},{"jtb.opcconscontr=3"})),"-")</f>
        <v>-</v>
      </c>
      <c r="D56" s="22">
        <f>IFERROR(_xll.ECONOMATICA($C$5,"EquityTurn",$C$8,D$14,,,,,,,,IF(Base!$B$1=1,{"jtb.opcconscontr=2"},{"jtb.opcconscontr=3"})),"-")</f>
        <v>0.63008971988801898</v>
      </c>
      <c r="E56" s="22">
        <f>IFERROR(_xll.ECONOMATICA($C$5,"EquityTurn",$C$8,E$14,,,,,,,,IF(Base!$B$1=1,{"jtb.opcconscontr=2"},{"jtb.opcconscontr=3"})),"-")</f>
        <v>0.72031863062693402</v>
      </c>
      <c r="F56" s="22">
        <f>IFERROR(_xll.ECONOMATICA($C$5,"EquityTurn",$C$8,F$14,,,,,,,,IF(Base!$B$1=1,{"jtb.opcconscontr=2"},{"jtb.opcconscontr=3"})),"-")</f>
        <v>1.0772800668146401</v>
      </c>
      <c r="G56" s="22">
        <f>IFERROR(_xll.ECONOMATICA($C$5,"EquityTurn",$C$8,G$14,,,,,,,,IF(Base!$B$1=1,{"jtb.opcconscontr=2"},{"jtb.opcconscontr=3"})),"-")</f>
        <v>0.28758486310152898</v>
      </c>
      <c r="H56" s="22">
        <f>IFERROR(_xll.ECONOMATICA($C$5,"EquityTurn",$C$8,H$14,,,,,,,,IF(Base!$B$1=1,{"jtb.opcconscontr=2"},{"jtb.opcconscontr=3"})),"-")</f>
        <v>0.65012928248233903</v>
      </c>
      <c r="I56" s="22">
        <f>IFERROR(_xll.ECONOMATICA($C$5,"EquityTurn",$C$8,I$14,,,,,,,,IF(Base!$B$1=1,{"jtb.opcconscontr=2"},{"jtb.opcconscontr=3"})),"-")</f>
        <v>0.79088267900169695</v>
      </c>
      <c r="J56" s="22" t="str">
        <f>IFERROR(_xll.ECONOMATICA($C$5,"EquityTurn",$C$8,J$14,,,,,,,,IF(Base!$B$1=1,{"jtb.opcconscontr=2"},{"jtb.opcconscontr=3"})),"-")</f>
        <v>-</v>
      </c>
      <c r="K56" s="22">
        <f>IFERROR(_xll.ECONOMATICA($C$5,"EquityTurn",$C$8,K$14,,,,,,,,IF(Base!$B$1=1,{"jtb.opcconscontr=2"},{"jtb.opcconscontr=3"})),"-")</f>
        <v>0.267141864933365</v>
      </c>
      <c r="L56" s="22">
        <f>IFERROR(_xll.ECONOMATICA($C$5,"EquityTurn",$C$8,L$14,,,,,,,,IF(Base!$B$1=1,{"jtb.opcconscontr=2"},{"jtb.opcconscontr=3"})),"-")</f>
        <v>0.49567529238629499</v>
      </c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s="5" customFormat="1" ht="15" customHeight="1" x14ac:dyDescent="0.25">
      <c r="A57" s="1"/>
      <c r="B57" s="7" t="s">
        <v>255</v>
      </c>
      <c r="C57" s="21">
        <f>IFERROR(_xll.ECONOMATICA($C$5,"GrossMargin",$C$8,C$14,,,$C$7,"DECIMAL",,,,IF(Base!$B$1=1,{"jtb.opcconscontr=2"},{"jtb.opcconscontr=3"})),"-")</f>
        <v>0.15827141686924701</v>
      </c>
      <c r="D57" s="21">
        <f>IFERROR(_xll.ECONOMATICA($C$5,"GrossMargin",$C$8,D$14,,,$C$7,"DECIMAL",,,,IF(Base!$B$1=1,{"jtb.opcconscontr=2"},{"jtb.opcconscontr=3"})),"-")</f>
        <v>0.132080403586297</v>
      </c>
      <c r="E57" s="21" t="str">
        <f>IFERROR(_xll.ECONOMATICA($C$5,"GrossMargin",$C$8,E$14,,,$C$7,"DECIMAL",,,,IF(Base!$B$1=1,{"jtb.opcconscontr=2"},{"jtb.opcconscontr=3"})),"-")</f>
        <v>-</v>
      </c>
      <c r="F57" s="21" t="str">
        <f>IFERROR(_xll.ECONOMATICA($C$5,"GrossMargin",$C$8,F$14,,,$C$7,"DECIMAL",,,,IF(Base!$B$1=1,{"jtb.opcconscontr=2"},{"jtb.opcconscontr=3"})),"-")</f>
        <v>-</v>
      </c>
      <c r="G57" s="21">
        <f>IFERROR(_xll.ECONOMATICA($C$5,"GrossMargin",$C$8,G$14,,,$C$7,"DECIMAL",,,,IF(Base!$B$1=1,{"jtb.opcconscontr=2"},{"jtb.opcconscontr=3"})),"-")</f>
        <v>0.20573132492048901</v>
      </c>
      <c r="H57" s="21">
        <f>IFERROR(_xll.ECONOMATICA($C$5,"GrossMargin",$C$8,H$14,,,$C$7,"DECIMAL",,,,IF(Base!$B$1=1,{"jtb.opcconscontr=2"},{"jtb.opcconscontr=3"})),"-")</f>
        <v>0.17979819164786001</v>
      </c>
      <c r="I57" s="21" t="str">
        <f>IFERROR(_xll.ECONOMATICA($C$5,"GrossMargin",$C$8,I$14,,,$C$7,"DECIMAL",,,,IF(Base!$B$1=1,{"jtb.opcconscontr=2"},{"jtb.opcconscontr=3"})),"-")</f>
        <v>-</v>
      </c>
      <c r="J57" s="21">
        <f>IFERROR(_xll.ECONOMATICA($C$5,"GrossMargin",$C$8,J$14,,,$C$7,"DECIMAL",,,,IF(Base!$B$1=1,{"jtb.opcconscontr=2"},{"jtb.opcconscontr=3"})),"-")</f>
        <v>0.15201277284519199</v>
      </c>
      <c r="K57" s="21">
        <f>IFERROR(_xll.ECONOMATICA($C$5,"GrossMargin",$C$8,K$14,,,$C$7,"DECIMAL",,,,IF(Base!$B$1=1,{"jtb.opcconscontr=2"},{"jtb.opcconscontr=3"})),"-")</f>
        <v>0.16476891739730501</v>
      </c>
      <c r="L57" s="21">
        <f>IFERROR(_xll.ECONOMATICA($C$5,"GrossMargin",$C$8,L$14,,,$C$7,"DECIMAL",,,,IF(Base!$B$1=1,{"jtb.opcconscontr=2"},{"jtb.opcconscontr=3"})),"-")</f>
        <v>4.4884642274555499E-2</v>
      </c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s="5" customFormat="1" ht="15" customHeight="1" x14ac:dyDescent="0.25">
      <c r="A58" s="1"/>
      <c r="B58" s="7" t="s">
        <v>256</v>
      </c>
      <c r="C58" s="21">
        <f>IFERROR(_xll.ECONOMATICA($C$5,"EBITMargin",$C$8,C$14,,,,"DECIMAL",,,,IF(Base!$B$1=1,{"jtb.opcconscontr=2"},{"jtb.opcconscontr=3"})),"-")</f>
        <v>0.24119396979163901</v>
      </c>
      <c r="D58" s="21">
        <f>IFERROR(_xll.ECONOMATICA($C$5,"EBITMargin",$C$8,D$14,,,,"DECIMAL",,,,IF(Base!$B$1=1,{"jtb.opcconscontr=2"},{"jtb.opcconscontr=3"})),"-")</f>
        <v>0.119357241811958</v>
      </c>
      <c r="E58" s="21">
        <f>IFERROR(_xll.ECONOMATICA($C$5,"EBITMargin",$C$8,E$14,,,,"DECIMAL",,,,IF(Base!$B$1=1,{"jtb.opcconscontr=2"},{"jtb.opcconscontr=3"})),"-")</f>
        <v>0.1074631664771</v>
      </c>
      <c r="F58" s="21">
        <f>IFERROR(_xll.ECONOMATICA($C$5,"EBITMargin",$C$8,F$14,,,,"DECIMAL",,,,IF(Base!$B$1=1,{"jtb.opcconscontr=2"},{"jtb.opcconscontr=3"})),"-")</f>
        <v>9.9584193674236293E-2</v>
      </c>
      <c r="G58" s="21">
        <f>IFERROR(_xll.ECONOMATICA($C$5,"EBITMargin",$C$8,G$14,,,,"DECIMAL",,,,IF(Base!$B$1=1,{"jtb.opcconscontr=2"},{"jtb.opcconscontr=3"})),"-")</f>
        <v>8.7644500645110396E-2</v>
      </c>
      <c r="H58" s="21">
        <f>IFERROR(_xll.ECONOMATICA($C$5,"EBITMargin",$C$8,H$14,,,,"DECIMAL",,,,IF(Base!$B$1=1,{"jtb.opcconscontr=2"},{"jtb.opcconscontr=3"})),"-")</f>
        <v>6.1544556301232699E-2</v>
      </c>
      <c r="I58" s="21">
        <f>IFERROR(_xll.ECONOMATICA($C$5,"EBITMargin",$C$8,I$14,,,,"DECIMAL",,,,IF(Base!$B$1=1,{"jtb.opcconscontr=2"},{"jtb.opcconscontr=3"})),"-")</f>
        <v>-3.7520482195541299E-2</v>
      </c>
      <c r="J58" s="21">
        <f>IFERROR(_xll.ECONOMATICA($C$5,"EBITMargin",$C$8,J$14,,,,"DECIMAL",,,,IF(Base!$B$1=1,{"jtb.opcconscontr=2"},{"jtb.opcconscontr=3"})),"-")</f>
        <v>-4.1178203539311703E-2</v>
      </c>
      <c r="K58" s="21">
        <f>IFERROR(_xll.ECONOMATICA($C$5,"EBITMargin",$C$8,K$14,,,,"DECIMAL",,,,IF(Base!$B$1=1,{"jtb.opcconscontr=2"},{"jtb.opcconscontr=3"})),"-")</f>
        <v>9.2686074315861303E-2</v>
      </c>
      <c r="L58" s="21">
        <f>IFERROR(_xll.ECONOMATICA($C$5,"EBITMargin",$C$8,L$14,,,,"DECIMAL",,,,IF(Base!$B$1=1,{"jtb.opcconscontr=2"},{"jtb.opcconscontr=3"})),"-")</f>
        <v>-0.27458544717897898</v>
      </c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s="5" customFormat="1" ht="15" customHeight="1" x14ac:dyDescent="0.25">
      <c r="A59" s="1"/>
      <c r="B59" s="7" t="s">
        <v>257</v>
      </c>
      <c r="C59" s="21">
        <f>IFERROR(_xll.ECONOMATICA($C$5,"Net Margin",$C$8,C$14,,,,"DECIMAL",,,,IF(Base!$B$1=1,{"jtb.opcconscontr=2"},{"jtb.opcconscontr=3"})),"-")</f>
        <v>8.7190836842346506E-2</v>
      </c>
      <c r="D59" s="21">
        <f>IFERROR(_xll.ECONOMATICA($C$5,"Net Margin",$C$8,D$14,,,,"DECIMAL",,,,IF(Base!$B$1=1,{"jtb.opcconscontr=2"},{"jtb.opcconscontr=3"})),"-")</f>
        <v>5.2670099589595301E-2</v>
      </c>
      <c r="E59" s="21">
        <f>IFERROR(_xll.ECONOMATICA($C$5,"Net Margin",$C$8,E$14,,,,"DECIMAL",,,,IF(Base!$B$1=1,{"jtb.opcconscontr=2"},{"jtb.opcconscontr=3"})),"-")</f>
        <v>8.1391654513281494E-2</v>
      </c>
      <c r="F59" s="21">
        <f>IFERROR(_xll.ECONOMATICA($C$5,"Net Margin",$C$8,F$14,,,,"DECIMAL",,,,IF(Base!$B$1=1,{"jtb.opcconscontr=2"},{"jtb.opcconscontr=3"})),"-")</f>
        <v>9.9785765417036598E-2</v>
      </c>
      <c r="G59" s="21">
        <f>IFERROR(_xll.ECONOMATICA($C$5,"Net Margin",$C$8,G$14,,,,"DECIMAL",,,,IF(Base!$B$1=1,{"jtb.opcconscontr=2"},{"jtb.opcconscontr=3"})),"-")</f>
        <v>-6.9932758605864398E-2</v>
      </c>
      <c r="H59" s="21">
        <f>IFERROR(_xll.ECONOMATICA($C$5,"Net Margin",$C$8,H$14,,,,"DECIMAL",,,,IF(Base!$B$1=1,{"jtb.opcconscontr=2"},{"jtb.opcconscontr=3"})),"-")</f>
        <v>-4.2214299030529201E-2</v>
      </c>
      <c r="I59" s="21">
        <f>IFERROR(_xll.ECONOMATICA($C$5,"Net Margin",$C$8,I$14,,,,"DECIMAL",,,,IF(Base!$B$1=1,{"jtb.opcconscontr=2"},{"jtb.opcconscontr=3"})),"-")</f>
        <v>-5.7023882602516097E-2</v>
      </c>
      <c r="J59" s="21">
        <f>IFERROR(_xll.ECONOMATICA($C$5,"Net Margin",$C$8,J$14,,,,"DECIMAL",,,,IF(Base!$B$1=1,{"jtb.opcconscontr=2"},{"jtb.opcconscontr=3"})),"-")</f>
        <v>-5.7686056197853802E-2</v>
      </c>
      <c r="K59" s="21">
        <f>IFERROR(_xll.ECONOMATICA($C$5,"Net Margin",$C$8,K$14,,,,"DECIMAL",,,,IF(Base!$B$1=1,{"jtb.opcconscontr=2"},{"jtb.opcconscontr=3"})),"-")</f>
        <v>3.9296061537715997E-2</v>
      </c>
      <c r="L59" s="21" t="str">
        <f>IFERROR(_xll.ECONOMATICA($C$5,"Net Margin",$C$8,L$14,,,,"DECIMAL",,,,IF(Base!$B$1=1,{"jtb.opcconscontr=2"},{"jtb.opcconscontr=3"})),"-")</f>
        <v>-</v>
      </c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s="5" customFormat="1" ht="15" customHeight="1" x14ac:dyDescent="0.25">
      <c r="A60" s="1"/>
      <c r="B60" s="7" t="s">
        <v>258</v>
      </c>
      <c r="C60" s="21">
        <f>IFERROR(_xll.ECONOMATICA($C$5,"EbitdaMargin",$C$8,C$14,,,,"DECIMAL",,,,IF(Base!$B$1=1,{"jtb.opcconscontr=2"},{"jtb.opcconscontr=3"})),"-")</f>
        <v>0.51242401161172901</v>
      </c>
      <c r="D60" s="21" t="str">
        <f>IFERROR(_xll.ECONOMATICA($C$5,"EbitdaMargin",$C$8,D$14,,,,"DECIMAL",,,,IF(Base!$B$1=1,{"jtb.opcconscontr=2"},{"jtb.opcconscontr=3"})),"-")</f>
        <v>-</v>
      </c>
      <c r="E60" s="21">
        <f>IFERROR(_xll.ECONOMATICA($C$5,"EbitdaMargin",$C$8,E$14,,,,"DECIMAL",,,,IF(Base!$B$1=1,{"jtb.opcconscontr=2"},{"jtb.opcconscontr=3"})),"-")</f>
        <v>0.35768613895867002</v>
      </c>
      <c r="F60" s="21">
        <f>IFERROR(_xll.ECONOMATICA($C$5,"EbitdaMargin",$C$8,F$14,,,,"DECIMAL",,,,IF(Base!$B$1=1,{"jtb.opcconscontr=2"},{"jtb.opcconscontr=3"})),"-")</f>
        <v>0.31778302094026001</v>
      </c>
      <c r="G60" s="21" t="str">
        <f>IFERROR(_xll.ECONOMATICA($C$5,"EbitdaMargin",$C$8,G$14,,,,"DECIMAL",,,,IF(Base!$B$1=1,{"jtb.opcconscontr=2"},{"jtb.opcconscontr=3"})),"-")</f>
        <v>-</v>
      </c>
      <c r="H60" s="21">
        <f>IFERROR(_xll.ECONOMATICA($C$5,"EbitdaMargin",$C$8,H$14,,,,"DECIMAL",,,,IF(Base!$B$1=1,{"jtb.opcconscontr=2"},{"jtb.opcconscontr=3"})),"-")</f>
        <v>0.31687717499386098</v>
      </c>
      <c r="I60" s="21">
        <f>IFERROR(_xll.ECONOMATICA($C$5,"EbitdaMargin",$C$8,I$14,,,,"DECIMAL",,,,IF(Base!$B$1=1,{"jtb.opcconscontr=2"},{"jtb.opcconscontr=3"})),"-")</f>
        <v>0.317965846089937</v>
      </c>
      <c r="J60" s="21">
        <f>IFERROR(_xll.ECONOMATICA($C$5,"EbitdaMargin",$C$8,J$14,,,,"DECIMAL",,,,IF(Base!$B$1=1,{"jtb.opcconscontr=2"},{"jtb.opcconscontr=3"})),"-")</f>
        <v>0.29221777497819901</v>
      </c>
      <c r="K60" s="21">
        <f>IFERROR(_xll.ECONOMATICA($C$5,"EbitdaMargin",$C$8,K$14,,,,"DECIMAL",,,,IF(Base!$B$1=1,{"jtb.opcconscontr=2"},{"jtb.opcconscontr=3"})),"-")</f>
        <v>0.39949519869405797</v>
      </c>
      <c r="L60" s="21">
        <f>IFERROR(_xll.ECONOMATICA($C$5,"EbitdaMargin",$C$8,L$14,,,,"DECIMAL",,,,IF(Base!$B$1=1,{"jtb.opcconscontr=2"},{"jtb.opcconscontr=3"})),"-")</f>
        <v>0.27341304698580599</v>
      </c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s="5" customFormat="1" ht="15" customHeight="1" x14ac:dyDescent="0.25">
      <c r="A61" s="1"/>
      <c r="B61" s="7" t="s">
        <v>259</v>
      </c>
      <c r="C61" s="21">
        <f>IFERROR(_xll.ECONOMATICA($C$5,"ROA",$C$8,C$14,,,,"DECIMAL",,,,IF(Base!$B$1=1,{"jtb.opcconscontr=2"},{"jtb.opcconscontr=3"})),"-")</f>
        <v>1.1199057854119E-2</v>
      </c>
      <c r="D61" s="21">
        <f>IFERROR(_xll.ECONOMATICA($C$5,"ROA",$C$8,D$14,,,,"DECIMAL",,,,IF(Base!$B$1=1,{"jtb.opcconscontr=2"},{"jtb.opcconscontr=3"})),"-")</f>
        <v>1.07872843881523E-2</v>
      </c>
      <c r="E61" s="21">
        <f>IFERROR(_xll.ECONOMATICA($C$5,"ROA",$C$8,E$14,,,,"DECIMAL",,,,IF(Base!$B$1=1,{"jtb.opcconscontr=2"},{"jtb.opcconscontr=3"})),"-")</f>
        <v>2.0274863955382898E-2</v>
      </c>
      <c r="F61" s="21">
        <f>IFERROR(_xll.ECONOMATICA($C$5,"ROA",$C$8,F$14,,,,"DECIMAL",,,,IF(Base!$B$1=1,{"jtb.opcconscontr=2"},{"jtb.opcconscontr=3"})),"-")</f>
        <v>4.0103194608454899E-2</v>
      </c>
      <c r="G61" s="21">
        <f>IFERROR(_xll.ECONOMATICA($C$5,"ROA",$C$8,G$14,,,,"DECIMAL",,,,IF(Base!$B$1=1,{"jtb.opcconscontr=2"},{"jtb.opcconscontr=3"})),"-")</f>
        <v>-7.2447284311147097E-3</v>
      </c>
      <c r="H61" s="21">
        <f>IFERROR(_xll.ECONOMATICA($C$5,"ROA",$C$8,H$14,,,,"DECIMAL",,,,IF(Base!$B$1=1,{"jtb.opcconscontr=2"},{"jtb.opcconscontr=3"})),"-")</f>
        <v>-9.5911516794421892E-3</v>
      </c>
      <c r="I61" s="21" t="str">
        <f>IFERROR(_xll.ECONOMATICA($C$5,"ROA",$C$8,I$14,,,,"DECIMAL",,,,IF(Base!$B$1=1,{"jtb.opcconscontr=2"},{"jtb.opcconscontr=3"})),"-")</f>
        <v>-</v>
      </c>
      <c r="J61" s="21">
        <f>IFERROR(_xll.ECONOMATICA($C$5,"ROA",$C$8,J$14,,,,"DECIMAL",,,,IF(Base!$B$1=1,{"jtb.opcconscontr=2"},{"jtb.opcconscontr=3"})),"-")</f>
        <v>-2.24611177621773E-2</v>
      </c>
      <c r="K61" s="21">
        <f>IFERROR(_xll.ECONOMATICA($C$5,"ROA",$C$8,K$14,,,,"DECIMAL",,,,IF(Base!$B$1=1,{"jtb.opcconscontr=2"},{"jtb.opcconscontr=3"})),"-")</f>
        <v>3.8704628605046301E-3</v>
      </c>
      <c r="L61" s="21">
        <f>IFERROR(_xll.ECONOMATICA($C$5,"ROA",$C$8,L$14,,,,"DECIMAL",,,,IF(Base!$B$1=1,{"jtb.opcconscontr=2"},{"jtb.opcconscontr=3"})),"-")</f>
        <v>-4.82471953525965E-2</v>
      </c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s="5" customFormat="1" ht="15" customHeight="1" x14ac:dyDescent="0.25">
      <c r="A62" s="1"/>
      <c r="B62" s="7" t="s">
        <v>260</v>
      </c>
      <c r="C62" s="21">
        <f>IFERROR(_xll.ECONOMATICA($C$5,"ROE (end)",$C$8,C$14,,,,"DECIMAL",,,,IF(Base!$B$1=1,{"jtb.opcconscontr=2"},{"jtb.opcconscontr=3"})),"-")</f>
        <v>3.5349709837537401E-2</v>
      </c>
      <c r="D62" s="21">
        <f>IFERROR(_xll.ECONOMATICA($C$5,"ROE (end)",$C$8,D$14,,,,"DECIMAL",,,,IF(Base!$B$1=1,{"jtb.opcconscontr=2"},{"jtb.opcconscontr=3"})),"-")</f>
        <v>3.3186888296877402E-2</v>
      </c>
      <c r="E62" s="21">
        <f>IFERROR(_xll.ECONOMATICA($C$5,"ROE (end)",$C$8,E$14,,,,"DECIMAL",,,,IF(Base!$B$1=1,{"jtb.opcconscontr=2"},{"jtb.opcconscontr=3"})),"-")</f>
        <v>5.8627925123437299E-2</v>
      </c>
      <c r="F62" s="21">
        <f>IFERROR(_xll.ECONOMATICA($C$5,"ROE (end)",$C$8,F$14,,,,"DECIMAL",,,,IF(Base!$B$1=1,{"jtb.opcconscontr=2"},{"jtb.opcconscontr=3"})),"-")</f>
        <v>0.10749721603569901</v>
      </c>
      <c r="G62" s="21">
        <f>IFERROR(_xll.ECONOMATICA($C$5,"ROE (end)",$C$8,G$14,,,,"DECIMAL",,,,IF(Base!$B$1=1,{"jtb.opcconscontr=2"},{"jtb.opcconscontr=3"})),"-")</f>
        <v>-2.01116028099932E-2</v>
      </c>
      <c r="H62" s="21">
        <f>IFERROR(_xll.ECONOMATICA($C$5,"ROE (end)",$C$8,H$14,,,,"DECIMAL",,,,IF(Base!$B$1=1,{"jtb.opcconscontr=2"},{"jtb.opcconscontr=3"})),"-")</f>
        <v>-2.74447519392561E-2</v>
      </c>
      <c r="I62" s="21">
        <f>IFERROR(_xll.ECONOMATICA($C$5,"ROE (end)",$C$8,I$14,,,,"DECIMAL",,,,IF(Base!$B$1=1,{"jtb.opcconscontr=2"},{"jtb.opcconscontr=3"})),"-")</f>
        <v>-4.5099201039774897E-2</v>
      </c>
      <c r="J62" s="21">
        <f>IFERROR(_xll.ECONOMATICA($C$5,"ROE (end)",$C$8,J$14,,,,"DECIMAL",,,,IF(Base!$B$1=1,{"jtb.opcconscontr=2"},{"jtb.opcconscontr=3"})),"-")</f>
        <v>-6.2798014557192805E-2</v>
      </c>
      <c r="K62" s="21">
        <f>IFERROR(_xll.ECONOMATICA($C$5,"ROE (end)",$C$8,K$14,,,,"DECIMAL",,,,IF(Base!$B$1=1,{"jtb.opcconscontr=2"},{"jtb.opcconscontr=3"})),"-")</f>
        <v>1.04976231637193E-2</v>
      </c>
      <c r="L62" s="21">
        <f>IFERROR(_xll.ECONOMATICA($C$5,"ROE (end)",$C$8,L$14,,,,"DECIMAL",,,,IF(Base!$B$1=1,{"jtb.opcconscontr=2"},{"jtb.opcconscontr=3"})),"-")</f>
        <v>-0.13936097046898799</v>
      </c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s="5" customFormat="1" ht="15" customHeight="1" x14ac:dyDescent="0.25">
      <c r="A63" s="1"/>
      <c r="B63" s="7" t="s">
        <v>261</v>
      </c>
      <c r="C63" s="21">
        <f>IFERROR(_xll.ECONOMATICA($C$5,"ROE (avg)",$C$8,C$14,,,,"DECIMAL",,,,IF(Base!$B$1=1,{"jtb.opcconscontr=2"},{"jtb.opcconscontr=3"})),"-")</f>
        <v>3.7459519700678401E-2</v>
      </c>
      <c r="D63" s="21">
        <f>IFERROR(_xll.ECONOMATICA($C$5,"ROE (avg)",$C$8,D$14,,,,"DECIMAL",,,,IF(Base!$B$1=1,{"jtb.opcconscontr=2"},{"jtb.opcconscontr=3"})),"-")</f>
        <v>4.0793396126173297E-2</v>
      </c>
      <c r="E63" s="21" t="str">
        <f>IFERROR(_xll.ECONOMATICA($C$5,"ROE (avg)",$C$8,E$14,,,,"DECIMAL",,,,IF(Base!$B$1=1,{"jtb.opcconscontr=2"},{"jtb.opcconscontr=3"})),"-")</f>
        <v>-</v>
      </c>
      <c r="F63" s="21">
        <f>IFERROR(_xll.ECONOMATICA($C$5,"ROE (avg)",$C$8,F$14,,,,"DECIMAL",,,,IF(Base!$B$1=1,{"jtb.opcconscontr=2"},{"jtb.opcconscontr=3"})),"-")</f>
        <v>0.15098094800530801</v>
      </c>
      <c r="G63" s="21">
        <f>IFERROR(_xll.ECONOMATICA($C$5,"ROE (avg)",$C$8,G$14,,,,"DECIMAL",,,,IF(Base!$B$1=1,{"jtb.opcconscontr=2"},{"jtb.opcconscontr=3"})),"-")</f>
        <v>-2.1365764397087299E-2</v>
      </c>
      <c r="H63" s="21">
        <f>IFERROR(_xll.ECONOMATICA($C$5,"ROE (avg)",$C$8,H$14,,,,"DECIMAL",,,,IF(Base!$B$1=1,{"jtb.opcconscontr=2"},{"jtb.opcconscontr=3"})),"-")</f>
        <v>-2.8783208338645599E-2</v>
      </c>
      <c r="I63" s="21" t="str">
        <f>IFERROR(_xll.ECONOMATICA($C$5,"ROE (avg)",$C$8,I$14,,,,"DECIMAL",,,,IF(Base!$B$1=1,{"jtb.opcconscontr=2"},{"jtb.opcconscontr=3"})),"-")</f>
        <v>-</v>
      </c>
      <c r="J63" s="21">
        <f>IFERROR(_xll.ECONOMATICA($C$5,"ROE (avg)",$C$8,J$14,,,,"DECIMAL",,,,IF(Base!$B$1=1,{"jtb.opcconscontr=2"},{"jtb.opcconscontr=3"})),"-")</f>
        <v>-7.5566482469075699E-2</v>
      </c>
      <c r="K63" s="21">
        <f>IFERROR(_xll.ECONOMATICA($C$5,"ROE (avg)",$C$8,K$14,,,,"DECIMAL",,,,IF(Base!$B$1=1,{"jtb.opcconscontr=2"},{"jtb.opcconscontr=3"})),"-")</f>
        <v>1.09529913550432E-2</v>
      </c>
      <c r="L63" s="21">
        <f>IFERROR(_xll.ECONOMATICA($C$5,"ROE (avg)",$C$8,L$14,,,,"DECIMAL",,,,IF(Base!$B$1=1,{"jtb.opcconscontr=2"},{"jtb.opcconscontr=3"})),"-")</f>
        <v>-0.14190144094623999</v>
      </c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s="5" customFormat="1" ht="15" customHeight="1" x14ac:dyDescent="0.25">
      <c r="A64" s="1"/>
      <c r="B64" s="7" t="s">
        <v>9</v>
      </c>
      <c r="C64" s="21">
        <f>IFERROR(_xll.ECONOMATICA($C$5,"ROE (start)",$C$8,C$14,,,,"DECIMAL",,,,IF(Base!$B$1=1,{"jtb.opcconscontr=2"},{"jtb.opcconscontr=3"})),"-")</f>
        <v>3.9837158147020102E-2</v>
      </c>
      <c r="D64" s="21">
        <f>IFERROR(_xll.ECONOMATICA($C$5,"ROE (start)",$C$8,D$14,,,,"DECIMAL",,,,IF(Base!$B$1=1,{"jtb.opcconscontr=2"},{"jtb.opcconscontr=3"})),"-")</f>
        <v>5.292360221938E-2</v>
      </c>
      <c r="E64" s="21">
        <f>IFERROR(_xll.ECONOMATICA($C$5,"ROE (start)",$C$8,E$14,,,,"DECIMAL",,,,IF(Base!$B$1=1,{"jtb.opcconscontr=2"},{"jtb.opcconscontr=3"})),"-")</f>
        <v>0.13961719032129599</v>
      </c>
      <c r="F64" s="21">
        <f>IFERROR(_xll.ECONOMATICA($C$5,"ROE (start)",$C$8,F$14,,,,"DECIMAL",,,,IF(Base!$B$1=1,{"jtb.opcconscontr=2"},{"jtb.opcconscontr=3"})),"-")</f>
        <v>0.25354082537174699</v>
      </c>
      <c r="G64" s="21">
        <f>IFERROR(_xll.ECONOMATICA($C$5,"ROE (start)",$C$8,G$14,,,,"DECIMAL",,,,IF(Base!$B$1=1,{"jtb.opcconscontr=2"},{"jtb.opcconscontr=3"})),"-")</f>
        <v>-2.2786748329635901E-2</v>
      </c>
      <c r="H64" s="21">
        <f>IFERROR(_xll.ECONOMATICA($C$5,"ROE (start)",$C$8,H$14,,,,"DECIMAL",,,,IF(Base!$B$1=1,{"jtb.opcconscontr=2"},{"jtb.opcconscontr=3"})),"-")</f>
        <v>-3.0258908685973401E-2</v>
      </c>
      <c r="I64" s="21">
        <f>IFERROR(_xll.ECONOMATICA($C$5,"ROE (start)",$C$8,I$14,,,,"DECIMAL",,,,IF(Base!$B$1=1,{"jtb.opcconscontr=2"},{"jtb.opcconscontr=3"})),"-")</f>
        <v>-6.5687639198222306E-2</v>
      </c>
      <c r="J64" s="21">
        <f>IFERROR(_xll.ECONOMATICA($C$5,"ROE (start)",$C$8,J$14,,,,"DECIMAL",,,,IF(Base!$B$1=1,{"jtb.opcconscontr=2"},{"jtb.opcconscontr=3"})),"-")</f>
        <v>-9.4852449888712706E-2</v>
      </c>
      <c r="K64" s="21">
        <f>IFERROR(_xll.ECONOMATICA($C$5,"ROE (start)",$C$8,K$14,,,,"DECIMAL",,,,IF(Base!$B$1=1,{"jtb.opcconscontr=2"},{"jtb.opcconscontr=3"})),"-")</f>
        <v>1.1449657081648201E-2</v>
      </c>
      <c r="L64" s="21">
        <f>IFERROR(_xll.ECONOMATICA($C$5,"ROE (start)",$C$8,L$14,,,,"DECIMAL",,,,IF(Base!$B$1=1,{"jtb.opcconscontr=2"},{"jtb.opcconscontr=3"})),"-")</f>
        <v>-0.14453625386813701</v>
      </c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s="5" customFormat="1" ht="15" customHeight="1" x14ac:dyDescent="0.25">
      <c r="A65" s="1"/>
      <c r="B65" s="7" t="s">
        <v>262</v>
      </c>
      <c r="C65" s="21">
        <f>IFERROR(_xll.ECONOMATICA($C$5,"ROIC (IC end) %",$C$8,C$14,,,,"DECIMAL",,,,IF(Base!$B$1=1,{"jtb.opcconscontr=2"},{"jtb.opcconscontr=3"})),"-")</f>
        <v>2.44030628680048E-2</v>
      </c>
      <c r="D65" s="21">
        <f>IFERROR(_xll.ECONOMATICA($C$5,"ROIC (IC end) %",$C$8,D$14,,,,"DECIMAL",,,,IF(Base!$B$1=1,{"jtb.opcconscontr=2"},{"jtb.opcconscontr=3"})),"-")</f>
        <v>1.9051168448149799E-2</v>
      </c>
      <c r="E65" s="21">
        <f>IFERROR(_xll.ECONOMATICA($C$5,"ROIC (IC end) %",$C$8,E$14,,,,"DECIMAL",,,,IF(Base!$B$1=1,{"jtb.opcconscontr=2"},{"jtb.opcconscontr=3"})),"-")</f>
        <v>2.06286457155875E-2</v>
      </c>
      <c r="F65" s="21">
        <f>IFERROR(_xll.ECONOMATICA($C$5,"ROIC (IC end) %",$C$8,F$14,,,,"DECIMAL",,,,IF(Base!$B$1=1,{"jtb.opcconscontr=2"},{"jtb.opcconscontr=3"})),"-")</f>
        <v>3.0752113246744602E-2</v>
      </c>
      <c r="G65" s="21">
        <f>IFERROR(_xll.ECONOMATICA($C$5,"ROIC (IC end) %",$C$8,G$14,,,,"DECIMAL",,,,IF(Base!$B$1=1,{"jtb.opcconscontr=2"},{"jtb.opcconscontr=3"})),"-")</f>
        <v>7.0580676030021997E-3</v>
      </c>
      <c r="H65" s="21">
        <f>IFERROR(_xll.ECONOMATICA($C$5,"ROIC (IC end) %",$C$8,H$14,,,,"DECIMAL",,,,IF(Base!$B$1=1,{"jtb.opcconscontr=2"},{"jtb.opcconscontr=3"})),"-")</f>
        <v>1.09293890942718E-2</v>
      </c>
      <c r="I65" s="21">
        <f>IFERROR(_xll.ECONOMATICA($C$5,"ROIC (IC end) %",$C$8,I$14,,,,"DECIMAL",,,,IF(Base!$B$1=1,{"jtb.opcconscontr=2"},{"jtb.opcconscontr=3"})),"-")</f>
        <v>-8.2291497625828908E-3</v>
      </c>
      <c r="J65" s="21">
        <f>IFERROR(_xll.ECONOMATICA($C$5,"ROIC (IC end) %",$C$8,J$14,,,,"DECIMAL",,,,IF(Base!$B$1=1,{"jtb.opcconscontr=2"},{"jtb.opcconscontr=3"})),"-")</f>
        <v>-1.2270243167186E-2</v>
      </c>
      <c r="K65" s="21">
        <f>IFERROR(_xll.ECONOMATICA($C$5,"ROIC (IC end) %",$C$8,K$14,,,,"DECIMAL",,,,IF(Base!$B$1=1,{"jtb.opcconscontr=2"},{"jtb.opcconscontr=3"})),"-")</f>
        <v>6.8682868010000696E-3</v>
      </c>
      <c r="L65" s="21" t="str">
        <f>IFERROR(_xll.ECONOMATICA($C$5,"ROIC (IC end) %",$C$8,L$14,,,,"DECIMAL",,,,IF(Base!$B$1=1,{"jtb.opcconscontr=2"},{"jtb.opcconscontr=3"})),"-")</f>
        <v>-</v>
      </c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s="5" customFormat="1" ht="15" customHeight="1" x14ac:dyDescent="0.25">
      <c r="A66" s="1"/>
      <c r="B66" s="7" t="s">
        <v>263</v>
      </c>
      <c r="C66" s="21">
        <f>IFERROR(_xll.ECONOMATICA($C$5,"ROIC (avg IC) %",$C$8,C$14,,,,"DECIMAL",,,,IF(Base!$B$1=1,{"jtb.opcconscontr=2"},{"jtb.opcconscontr=3"})),"-")</f>
        <v>2.5648534236825098E-2</v>
      </c>
      <c r="D66" s="21">
        <f>IFERROR(_xll.ECONOMATICA($C$5,"ROIC (avg IC) %",$C$8,D$14,,,,"DECIMAL",,,,IF(Base!$B$1=1,{"jtb.opcconscontr=2"},{"jtb.opcconscontr=3"})),"-")</f>
        <v>2.31248916530967E-2</v>
      </c>
      <c r="E66" s="21">
        <f>IFERROR(_xll.ECONOMATICA($C$5,"ROIC (avg IC) %",$C$8,E$14,,,,"DECIMAL",,,,IF(Base!$B$1=1,{"jtb.opcconscontr=2"},{"jtb.opcconscontr=3"})),"-")</f>
        <v>2.8330785884645601E-2</v>
      </c>
      <c r="F66" s="21">
        <f>IFERROR(_xll.ECONOMATICA($C$5,"ROIC (avg IC) %",$C$8,F$14,,,,"DECIMAL",,,,IF(Base!$B$1=1,{"jtb.opcconscontr=2"},{"jtb.opcconscontr=3"})),"-")</f>
        <v>4.1125191072860598E-2</v>
      </c>
      <c r="G66" s="21">
        <f>IFERROR(_xll.ECONOMATICA($C$5,"ROIC (avg IC) %",$C$8,G$14,,,,"DECIMAL",,,,IF(Base!$B$1=1,{"jtb.opcconscontr=2"},{"jtb.opcconscontr=3"})),"-")</f>
        <v>7.5803903713131202E-3</v>
      </c>
      <c r="H66" s="21">
        <f>IFERROR(_xll.ECONOMATICA($C$5,"ROIC (avg IC) %",$C$8,H$14,,,,"DECIMAL",,,,IF(Base!$B$1=1,{"jtb.opcconscontr=2"},{"jtb.opcconscontr=3"})),"-")</f>
        <v>1.1725023891394799E-2</v>
      </c>
      <c r="I66" s="21">
        <f>IFERROR(_xll.ECONOMATICA($C$5,"ROIC (avg IC) %",$C$8,I$14,,,,"DECIMAL",,,,IF(Base!$B$1=1,{"jtb.opcconscontr=2"},{"jtb.opcconscontr=3"})),"-")</f>
        <v>-9.8895719590473205E-3</v>
      </c>
      <c r="J66" s="21">
        <f>IFERROR(_xll.ECONOMATICA($C$5,"ROIC (avg IC) %",$C$8,J$14,,,,"DECIMAL",,,,IF(Base!$B$1=1,{"jtb.opcconscontr=2"},{"jtb.opcconscontr=3"})),"-")</f>
        <v>-1.50352516884232E-2</v>
      </c>
      <c r="K66" s="21">
        <f>IFERROR(_xll.ECONOMATICA($C$5,"ROIC (avg IC) %",$C$8,K$14,,,,"DECIMAL",,,,IF(Base!$B$1=1,{"jtb.opcconscontr=2"},{"jtb.opcconscontr=3"})),"-")</f>
        <v>7.1205794975594504E-3</v>
      </c>
      <c r="L66" s="21">
        <f>IFERROR(_xll.ECONOMATICA($C$5,"ROIC (avg IC) %",$C$8,L$14,,,,"DECIMAL",,,,IF(Base!$B$1=1,{"jtb.opcconscontr=2"},{"jtb.opcconscontr=3"})),"-")</f>
        <v>-3.6967570417618799E-2</v>
      </c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s="5" customFormat="1" ht="15" customHeight="1" x14ac:dyDescent="0.25">
      <c r="A67" s="1"/>
      <c r="B67" s="7" t="s">
        <v>10</v>
      </c>
      <c r="C67" s="21">
        <f>IFERROR(_xll.ECONOMATICA($C$5,"ROIC (start IC)%",$C$8,C$14,,,,"DECIMAL",,,,IF(Base!$B$1=1,{"jtb.opcconscontr=2"},{"jtb.opcconscontr=3"})),"-")</f>
        <v>2.7027974540251298E-2</v>
      </c>
      <c r="D67" s="21">
        <f>IFERROR(_xll.ECONOMATICA($C$5,"ROIC (start IC)%",$C$8,D$14,,,,"DECIMAL",,,,IF(Base!$B$1=1,{"jtb.opcconscontr=2"},{"jtb.opcconscontr=3"})),"-")</f>
        <v>2.9414643089876302E-2</v>
      </c>
      <c r="E67" s="21">
        <f>IFERROR(_xll.ECONOMATICA($C$5,"ROIC (start IC)%",$C$8,E$14,,,,"DECIMAL",,,,IF(Base!$B$1=1,{"jtb.opcconscontr=2"},{"jtb.opcconscontr=3"})),"-")</f>
        <v>4.52114256832283E-2</v>
      </c>
      <c r="F67" s="21">
        <f>IFERROR(_xll.ECONOMATICA($C$5,"ROIC (start IC)%",$C$8,F$14,,,,"DECIMAL",,,,IF(Base!$B$1=1,{"jtb.opcconscontr=2"},{"jtb.opcconscontr=3"})),"-")</f>
        <v>6.2058213603595501E-2</v>
      </c>
      <c r="G67" s="21">
        <f>IFERROR(_xll.ECONOMATICA($C$5,"ROIC (start IC)%",$C$8,G$14,,,,"DECIMAL",,,,IF(Base!$B$1=1,{"jtb.opcconscontr=2"},{"jtb.opcconscontr=3"})),"-")</f>
        <v>8.18619897977442E-3</v>
      </c>
      <c r="H67" s="21">
        <f>IFERROR(_xll.ECONOMATICA($C$5,"ROIC (start IC)%",$C$8,H$14,,,,"DECIMAL",,,,IF(Base!$B$1=1,{"jtb.opcconscontr=2"},{"jtb.opcconscontr=3"})),"-")</f>
        <v>1.26455945635644E-2</v>
      </c>
      <c r="I67" s="21">
        <f>IFERROR(_xll.ECONOMATICA($C$5,"ROIC (start IC)%",$C$8,I$14,,,,"DECIMAL",,,,IF(Base!$B$1=1,{"jtb.opcconscontr=2"},{"jtb.opcconscontr=3"})),"-")</f>
        <v>-1.23894267070318E-2</v>
      </c>
      <c r="J67" s="21">
        <f>IFERROR(_xll.ECONOMATICA($C$5,"ROIC (start IC)%",$C$8,J$14,,,,"DECIMAL",,,,IF(Base!$B$1=1,{"jtb.opcconscontr=2"},{"jtb.opcconscontr=3"})),"-")</f>
        <v>-1.94089047949637E-2</v>
      </c>
      <c r="K67" s="21">
        <f>IFERROR(_xll.ECONOMATICA($C$5,"ROIC (start IC)%",$C$8,K$14,,,,"DECIMAL",,,,IF(Base!$B$1=1,{"jtb.opcconscontr=2"},{"jtb.opcconscontr=3"})),"-")</f>
        <v>7.39211392975449E-3</v>
      </c>
      <c r="L67" s="21" t="str">
        <f>IFERROR(_xll.ECONOMATICA($C$5,"ROIC (start IC)%",$C$8,L$14,,,,"DECIMAL",,,,IF(Base!$B$1=1,{"jtb.opcconscontr=2"},{"jtb.opcconscontr=3"})),"-")</f>
        <v>-</v>
      </c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s="5" customFormat="1" ht="15" customHeight="1" x14ac:dyDescent="0.25">
      <c r="A68" s="1"/>
      <c r="B68" s="7" t="s">
        <v>11</v>
      </c>
      <c r="C68" s="27">
        <f>IFERROR(_xll.ECONOMATICA($C$5,"Invest Cap $",,C$14,,,$C$7,$C$9,,,,IF(Base!$B$1=1,{"jtb.opcconscontr=2"},{"jtb.opcconscontr=3"})),"-")</f>
        <v>447032000</v>
      </c>
      <c r="D68" s="27">
        <f>IFERROR(_xll.ECONOMATICA($C$5,"Invest Cap $",,D$14,,,$C$7,$C$9,,,,IF(Base!$B$1=1,{"jtb.opcconscontr=2"},{"jtb.opcconscontr=3"})),"-")</f>
        <v>623177000</v>
      </c>
      <c r="E68" s="27">
        <f>IFERROR(_xll.ECONOMATICA($C$5,"Invest Cap $",,E$14,,,$C$7,$C$9,,,,IF(Base!$B$1=1,{"jtb.opcconscontr=2"},{"jtb.opcconscontr=3"})),"-")</f>
        <v>884600000</v>
      </c>
      <c r="F68" s="27">
        <f>IFERROR(_xll.ECONOMATICA($C$5,"Invest Cap $",,F$14,,,$C$7,$C$9,,,,IF(Base!$B$1=1,{"jtb.opcconscontr=2"},{"jtb.opcconscontr=3"})),"-")</f>
        <v>814505000</v>
      </c>
      <c r="G68" s="27">
        <f>IFERROR(_xll.ECONOMATICA($C$5,"Invest Cap $",,G$14,,,$C$7,$C$9,,,,IF(Base!$B$1=1,{"jtb.opcconscontr=2"},{"jtb.opcconscontr=3"})),"-")</f>
        <v>944692000</v>
      </c>
      <c r="H68" s="27">
        <f>IFERROR(_xll.ECONOMATICA($C$5,"Invest Cap $",,H$14,,,$C$7,$C$9,,,,IF(Base!$B$1=1,{"jtb.opcconscontr=2"},{"jtb.opcconscontr=3"})),"-")</f>
        <v>942404000</v>
      </c>
      <c r="I68" s="27">
        <f>IFERROR(_xll.ECONOMATICA($C$5,"Invest Cap $",,I$14,,,$C$7,$C$9,,,,IF(Base!$B$1=1,{"jtb.opcconscontr=2"},{"jtb.opcconscontr=3"})),"-")</f>
        <v>1226281000</v>
      </c>
      <c r="J68" s="27" t="str">
        <f>IFERROR(_xll.ECONOMATICA($C$5,"Invest Cap $",,J$14,,,$C$7,$C$9,,,,IF(Base!$B$1=1,{"jtb.opcconscontr=2"},{"jtb.opcconscontr=3"})),"-")</f>
        <v>-</v>
      </c>
      <c r="K68" s="27">
        <f>IFERROR(_xll.ECONOMATICA($C$5,"Invest Cap $",,K$14,,,$C$7,$C$9,,,,IF(Base!$B$1=1,{"jtb.opcconscontr=2"},{"jtb.opcconscontr=3"})),"-")</f>
        <v>1386634000</v>
      </c>
      <c r="L68" s="27">
        <f>IFERROR(_xll.ECONOMATICA($C$5,"Invest Cap $",,L$14,,,$C$7,$C$9,,,,IF(Base!$B$1=1,{"jtb.opcconscontr=2"},{"jtb.opcconscontr=3"})),"-")</f>
        <v>1404847000</v>
      </c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s="5" customFormat="1" ht="15" customHeight="1" x14ac:dyDescent="0.25">
      <c r="A69" s="1"/>
      <c r="B69" s="7" t="s">
        <v>264</v>
      </c>
      <c r="C69" s="22">
        <f>IFERROR(_xll.ECONOMATICA($C$5,"FinanLever",$C$8,C$14,,,,,,,,IF(Base!$B$1=1,{"jtb.opcconscontr=2"},{"jtb.opcconscontr=3"})),"-")</f>
        <v>3.5688450441302799</v>
      </c>
      <c r="D69" s="22">
        <f>IFERROR(_xll.ECONOMATICA($C$5,"FinanLever",$C$8,D$14,,,,,,,,IF(Base!$B$1=1,{"jtb.opcconscontr=2"},{"jtb.opcconscontr=3"})),"-")</f>
        <v>-1.35596032428111</v>
      </c>
      <c r="E69" s="22" t="str">
        <f>IFERROR(_xll.ECONOMATICA($C$5,"FinanLever",$C$8,E$14,,,,,,,,IF(Base!$B$1=1,{"jtb.opcconscontr=2"},{"jtb.opcconscontr=3"})),"-")</f>
        <v>-</v>
      </c>
      <c r="F69" s="22" t="str">
        <f>IFERROR(_xll.ECONOMATICA($C$5,"FinanLever",$C$8,F$14,,,,,,,,IF(Base!$B$1=1,{"jtb.opcconscontr=2"},{"jtb.opcconscontr=3"})),"-")</f>
        <v>-</v>
      </c>
      <c r="G69" s="22" t="str">
        <f>IFERROR(_xll.ECONOMATICA($C$5,"FinanLever",$C$8,G$14,,,,,,,,IF(Base!$B$1=1,{"jtb.opcconscontr=2"},{"jtb.opcconscontr=3"})),"-")</f>
        <v>-</v>
      </c>
      <c r="H69" s="22">
        <f>IFERROR(_xll.ECONOMATICA($C$5,"FinanLever",$C$8,H$14,,,,,,,,IF(Base!$B$1=1,{"jtb.opcconscontr=2"},{"jtb.opcconscontr=3"})),"-")</f>
        <v>7.9400743246369503</v>
      </c>
      <c r="I69" s="22">
        <f>IFERROR(_xll.ECONOMATICA($C$5,"FinanLever",$C$8,I$14,,,,,,,,IF(Base!$B$1=1,{"jtb.opcconscontr=2"},{"jtb.opcconscontr=3"})),"-")</f>
        <v>1.37184854573388</v>
      </c>
      <c r="J69" s="22">
        <f>IFERROR(_xll.ECONOMATICA($C$5,"FinanLever",$C$8,J$14,,,,,,,,IF(Base!$B$1=1,{"jtb.opcconscontr=2"},{"jtb.opcconscontr=3"})),"-")</f>
        <v>2.2104085092360002</v>
      </c>
      <c r="K69" s="22">
        <f>IFERROR(_xll.ECONOMATICA($C$5,"FinanLever",$C$8,K$14,,,,,,,,IF(Base!$B$1=1,{"jtb.opcconscontr=2"},{"jtb.opcconscontr=3"})),"-")</f>
        <v>1.0704214253364599</v>
      </c>
      <c r="L69" s="22">
        <f>IFERROR(_xll.ECONOMATICA($C$5,"FinanLever",$C$8,L$14,,,,,,,,IF(Base!$B$1=1,{"jtb.opcconscontr=2"},{"jtb.opcconscontr=3"})),"-")</f>
        <v>3.0001944557516298</v>
      </c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s="5" customFormat="1" ht="15" customHeight="1" x14ac:dyDescent="0.25">
      <c r="A70" s="1"/>
      <c r="B70" s="12" t="s">
        <v>265</v>
      </c>
      <c r="C70" s="24">
        <f>IFERROR(_xll.ECONOMATICA($C$5,"OperLever",$C$8,C$14,,,,,,,,IF(Base!$B$1=1,{"jtb.opcconscontr=2"},{"jtb.opcconscontr=3"})),"-")</f>
        <v>-1.30920114122637</v>
      </c>
      <c r="D70" s="24">
        <f>IFERROR(_xll.ECONOMATICA($C$5,"OperLever",$C$8,D$14,,,,,,,,IF(Base!$B$1=1,{"jtb.opcconscontr=2"},{"jtb.opcconscontr=3"})),"-")</f>
        <v>3.6457431457529301</v>
      </c>
      <c r="E70" s="24">
        <f>IFERROR(_xll.ECONOMATICA($C$5,"OperLever",$C$8,E$14,,,,,,,,IF(Base!$B$1=1,{"jtb.opcconscontr=2"},{"jtb.opcconscontr=3"})),"-")</f>
        <v>2.4390633315597401</v>
      </c>
      <c r="F70" s="24">
        <f>IFERROR(_xll.ECONOMATICA($C$5,"OperLever",$C$8,F$14,,,,,,,,IF(Base!$B$1=1,{"jtb.opcconscontr=2"},{"jtb.opcconscontr=3"})),"-")</f>
        <v>1.95101020746188</v>
      </c>
      <c r="G70" s="24">
        <f>IFERROR(_xll.ECONOMATICA($C$5,"OperLever",$C$8,G$14,,,,,,,,IF(Base!$B$1=1,{"jtb.opcconscontr=2"},{"jtb.opcconscontr=3"})),"-")</f>
        <v>1.9421680916275399</v>
      </c>
      <c r="H70" s="24">
        <f>IFERROR(_xll.ECONOMATICA($C$5,"OperLever",$C$8,H$14,,,,,,,,IF(Base!$B$1=1,{"jtb.opcconscontr=2"},{"jtb.opcconscontr=3"})),"-")</f>
        <v>2.2749520860961598</v>
      </c>
      <c r="I70" s="24">
        <f>IFERROR(_xll.ECONOMATICA($C$5,"OperLever",$C$8,I$14,,,,,,,,IF(Base!$B$1=1,{"jtb.opcconscontr=2"},{"jtb.opcconscontr=3"})),"-")</f>
        <v>0.98292104461233998</v>
      </c>
      <c r="J70" s="24">
        <f>IFERROR(_xll.ECONOMATICA($C$5,"OperLever",$C$8,J$14,,,,,,,,IF(Base!$B$1=1,{"jtb.opcconscontr=2"},{"jtb.opcconscontr=3"})),"-")</f>
        <v>3.0116396082194101</v>
      </c>
      <c r="K70" s="24">
        <f>IFERROR(_xll.ECONOMATICA($C$5,"OperLever",$C$8,K$14,,,,,,,,IF(Base!$B$1=1,{"jtb.opcconscontr=2"},{"jtb.opcconscontr=3"})),"-")</f>
        <v>30.934679334925001</v>
      </c>
      <c r="L70" s="24">
        <f>IFERROR(_xll.ECONOMATICA($C$5,"OperLever",$C$8,L$14,,,,,,,,IF(Base!$B$1=1,{"jtb.opcconscontr=2"},{"jtb.opcconscontr=3"})),"-")</f>
        <v>-0.25568808463731302</v>
      </c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customFormat="1" ht="8.1" customHeight="1" x14ac:dyDescent="0.25">
      <c r="A71" s="1"/>
    </row>
    <row r="72" spans="1:25" s="5" customFormat="1" ht="15" customHeight="1" thickBot="1" x14ac:dyDescent="0.3">
      <c r="A72" s="1"/>
      <c r="B72" s="6" t="s">
        <v>266</v>
      </c>
      <c r="C72" s="15"/>
      <c r="D72" s="15"/>
      <c r="E72" s="15"/>
      <c r="F72" s="15"/>
      <c r="G72" s="15"/>
      <c r="H72" s="15"/>
      <c r="I72" s="15"/>
      <c r="J72" s="15"/>
      <c r="K72" s="15"/>
      <c r="L72" s="17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s="5" customFormat="1" ht="15" customHeight="1" thickTop="1" x14ac:dyDescent="0.25">
      <c r="A73" s="1"/>
      <c r="B73" s="7" t="s">
        <v>267</v>
      </c>
      <c r="C73" s="27">
        <f>IFERROR(_xll.ECONOMATICA($C$5,"Capex",$C$8,C$14,,,$C$7,$C$9,,,,IF(Base!$B$1=1,{"jtb.opcconscontr=2"},{"jtb.opcconscontr=3"})),"-")</f>
        <v>15246000.0000156</v>
      </c>
      <c r="D73" s="27">
        <f>IFERROR(_xll.ECONOMATICA($C$5,"Capex",$C$8,D$14,,,$C$7,$C$9,,,,IF(Base!$B$1=1,{"jtb.opcconscontr=2"},{"jtb.opcconscontr=3"})),"-")</f>
        <v>32795000.0000313</v>
      </c>
      <c r="E73" s="27">
        <f>IFERROR(_xll.ECONOMATICA($C$5,"Capex",$C$8,E$14,,,$C$7,$C$9,,,,IF(Base!$B$1=1,{"jtb.opcconscontr=2"},{"jtb.opcconscontr=3"})),"-")</f>
        <v>55683999.999937497</v>
      </c>
      <c r="F73" s="27">
        <f>IFERROR(_xll.ECONOMATICA($C$5,"Capex",$C$8,F$14,,,$C$7,$C$9,,,,IF(Base!$B$1=1,{"jtb.opcconscontr=2"},{"jtb.opcconscontr=3"})),"-")</f>
        <v>87613000</v>
      </c>
      <c r="G73" s="27">
        <f>IFERROR(_xll.ECONOMATICA($C$5,"Capex",$C$8,G$14,,,$C$7,$C$9,,,,IF(Base!$B$1=1,{"jtb.opcconscontr=2"},{"jtb.opcconscontr=3"})),"-")</f>
        <v>29474000</v>
      </c>
      <c r="H73" s="27">
        <f>IFERROR(_xll.ECONOMATICA($C$5,"Capex",$C$8,H$14,,,$C$7,$C$9,,,,IF(Base!$B$1=1,{"jtb.opcconscontr=2"},{"jtb.opcconscontr=3"})),"-")</f>
        <v>72311000</v>
      </c>
      <c r="I73" s="27">
        <f>IFERROR(_xll.ECONOMATICA($C$5,"Capex",$C$8,I$14,,,$C$7,$C$9,,,,IF(Base!$B$1=1,{"jtb.opcconscontr=2"},{"jtb.opcconscontr=3"})),"-")</f>
        <v>111245000.00012501</v>
      </c>
      <c r="J73" s="27">
        <f>IFERROR(_xll.ECONOMATICA($C$5,"Capex",$C$8,J$14,,,$C$7,$C$9,,,,IF(Base!$B$1=1,{"jtb.opcconscontr=2"},{"jtb.opcconscontr=3"})),"-")</f>
        <v>155430000</v>
      </c>
      <c r="K73" s="27">
        <f>IFERROR(_xll.ECONOMATICA($C$5,"Capex",$C$8,K$14,,,$C$7,$C$9,,,,IF(Base!$B$1=1,{"jtb.opcconscontr=2"},{"jtb.opcconscontr=3"})),"-")</f>
        <v>47393000</v>
      </c>
      <c r="L73" s="27">
        <f>IFERROR(_xll.ECONOMATICA($C$5,"Capex",$C$8,L$14,,,$C$7,$C$9,,,,IF(Base!$B$1=1,{"jtb.opcconscontr=2"},{"jtb.opcconscontr=3"})),"-")</f>
        <v>65718999.999937497</v>
      </c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s="5" customFormat="1" ht="15" customHeight="1" x14ac:dyDescent="0.25">
      <c r="A74" s="1"/>
      <c r="B74" s="7" t="s">
        <v>268</v>
      </c>
      <c r="C74" s="27">
        <f>IFERROR(_xll.ECONOMATICA($C$5,"Depr &amp; Amor",$C$8,C$14,,,$C$7,$C$9,,,,IF(Base!$B$1=1,{"jtb.opcconscontr=2"},{"jtb.opcconscontr=3"})),"-")</f>
        <v>18873000</v>
      </c>
      <c r="D74" s="27">
        <f>IFERROR(_xll.ECONOMATICA($C$5,"Depr &amp; Amor",$C$8,D$14,,,$C$7,$C$9,,,,IF(Base!$B$1=1,{"jtb.opcconscontr=2"},{"jtb.opcconscontr=3"})),"-")</f>
        <v>41785000</v>
      </c>
      <c r="E74" s="27">
        <f>IFERROR(_xll.ECONOMATICA($C$5,"Depr &amp; Amor",$C$8,E$14,,,$C$7,$C$9,,,,IF(Base!$B$1=1,{"jtb.opcconscontr=2"},{"jtb.opcconscontr=3"})),"-")</f>
        <v>65368999.999937497</v>
      </c>
      <c r="F74" s="27">
        <f>IFERROR(_xll.ECONOMATICA($C$5,"Depr &amp; Amor",$C$8,F$14,,,$C$7,$C$9,,,,IF(Base!$B$1=1,{"jtb.opcconscontr=2"},{"jtb.opcconscontr=3"})),"-")</f>
        <v>84434000</v>
      </c>
      <c r="G74" s="27">
        <f>IFERROR(_xll.ECONOMATICA($C$5,"Depr &amp; Amor",$C$8,G$14,,,$C$7,$C$9,,,,IF(Base!$B$1=1,{"jtb.opcconscontr=2"},{"jtb.opcconscontr=3"})),"-")</f>
        <v>29857000.0000313</v>
      </c>
      <c r="H74" s="27">
        <f>IFERROR(_xll.ECONOMATICA($C$5,"Depr &amp; Amor",$C$8,H$14,,,$C$7,$C$9,,,,IF(Base!$B$1=1,{"jtb.opcconscontr=2"},{"jtb.opcconscontr=3"})),"-")</f>
        <v>65741000.000062503</v>
      </c>
      <c r="I74" s="27">
        <f>IFERROR(_xll.ECONOMATICA($C$5,"Depr &amp; Amor",$C$8,I$14,,,$C$7,$C$9,,,,IF(Base!$B$1=1,{"jtb.opcconscontr=2"},{"jtb.opcconscontr=3"})),"-")</f>
        <v>147091000.00025001</v>
      </c>
      <c r="J74" s="27">
        <f>IFERROR(_xll.ECONOMATICA($C$5,"Depr &amp; Amor",$C$8,J$14,,,$C$7,$C$9,,,,IF(Base!$B$1=1,{"jtb.opcconscontr=2"},{"jtb.opcconscontr=3"})),"-")</f>
        <v>196913000</v>
      </c>
      <c r="K74" s="27">
        <f>IFERROR(_xll.ECONOMATICA($C$5,"Depr &amp; Amor",$C$8,K$14,,,$C$7,$C$9,,,,IF(Base!$B$1=1,{"jtb.opcconscontr=2"},{"jtb.opcconscontr=3"})),"-")</f>
        <v>48501000</v>
      </c>
      <c r="L74" s="27">
        <f>IFERROR(_xll.ECONOMATICA($C$5,"Depr &amp; Amor",$C$8,L$14,,,$C$7,$C$9,,,,IF(Base!$B$1=1,{"jtb.opcconscontr=2"},{"jtb.opcconscontr=3"})),"-")</f>
        <v>152845000</v>
      </c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s="5" customFormat="1" ht="15" customHeight="1" x14ac:dyDescent="0.25">
      <c r="A75" s="1"/>
      <c r="B75" s="7" t="s">
        <v>12</v>
      </c>
      <c r="C75" s="21">
        <f>IFERROR(_xll.ECONOMATICA($C$5,"Capex(+inv)/Dep",$C$8,C$14,,,$C$7,"DECIMAL",,,,IF(Base!$B$1=1,{"jtb.opcconscontr=2"},{"jtb.opcconscontr=3"})),"-")</f>
        <v>0.80782069623353903</v>
      </c>
      <c r="D75" s="21">
        <f>IFERROR(_xll.ECONOMATICA($C$5,"Capex(+inv)/Dep",$C$8,D$14,,,$C$7,"DECIMAL",,,,IF(Base!$B$1=1,{"jtb.opcconscontr=2"},{"jtb.opcconscontr=3"})),"-")</f>
        <v>0.78485102309496102</v>
      </c>
      <c r="E75" s="21">
        <f>IFERROR(_xll.ECONOMATICA($C$5,"Capex(+inv)/Dep",$C$8,E$14,,,$C$7,"DECIMAL",,,,IF(Base!$B$1=1,{"jtb.opcconscontr=2"},{"jtb.opcconscontr=3"})),"-")</f>
        <v>0.85184108675341097</v>
      </c>
      <c r="F75" s="21">
        <f>IFERROR(_xll.ECONOMATICA($C$5,"Capex(+inv)/Dep",$C$8,F$14,,,$C$7,"DECIMAL",,,,IF(Base!$B$1=1,{"jtb.opcconscontr=2"},{"jtb.opcconscontr=3"})),"-")</f>
        <v>1.0376507094292899</v>
      </c>
      <c r="G75" s="21">
        <f>IFERROR(_xll.ECONOMATICA($C$5,"Capex(+inv)/Dep",$C$8,G$14,,,$C$7,"DECIMAL",,,,IF(Base!$B$1=1,{"jtb.opcconscontr=2"},{"jtb.opcconscontr=3"})),"-")</f>
        <v>0.98717218742589496</v>
      </c>
      <c r="H75" s="21">
        <f>IFERROR(_xll.ECONOMATICA($C$5,"Capex(+inv)/Dep",$C$8,H$14,,,$C$7,"DECIMAL",,,,IF(Base!$B$1=1,{"jtb.opcconscontr=2"},{"jtb.opcconscontr=3"})),"-")</f>
        <v>1.09993763404782</v>
      </c>
      <c r="I75" s="21">
        <f>IFERROR(_xll.ECONOMATICA($C$5,"Capex(+inv)/Dep",$C$8,I$14,,,$C$7,"DECIMAL",,,,IF(Base!$B$1=1,{"jtb.opcconscontr=2"},{"jtb.opcconscontr=3"})),"-")</f>
        <v>0.75630052144522797</v>
      </c>
      <c r="J75" s="21">
        <f>IFERROR(_xll.ECONOMATICA($C$5,"Capex(+inv)/Dep",$C$8,J$14,,,$C$7,"DECIMAL",,,,IF(Base!$B$1=1,{"jtb.opcconscontr=2"},{"jtb.opcconscontr=3"})),"-")</f>
        <v>0.78933336041751301</v>
      </c>
      <c r="K75" s="21" t="str">
        <f>IFERROR(_xll.ECONOMATICA($C$5,"Capex(+inv)/Dep",$C$8,K$14,,,$C$7,"DECIMAL",,,,IF(Base!$B$1=1,{"jtb.opcconscontr=2"},{"jtb.opcconscontr=3"})),"-")</f>
        <v>-</v>
      </c>
      <c r="L75" s="21">
        <f>IFERROR(_xll.ECONOMATICA($C$5,"Capex(+inv)/Dep",$C$8,L$14,,,$C$7,"DECIMAL",,,,IF(Base!$B$1=1,{"jtb.opcconscontr=2"},{"jtb.opcconscontr=3"})),"-")</f>
        <v>0.42997153979493302</v>
      </c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s="5" customFormat="1" ht="15" customHeight="1" x14ac:dyDescent="0.25">
      <c r="A76" s="1"/>
      <c r="B76" s="7" t="s">
        <v>269</v>
      </c>
      <c r="C76" s="22">
        <f>IFERROR(_xll.ECONOMATICA($C$5,"Dep/FixAst&amp;Int",$C$8,C$14,,,$C$7,"DECIMAL",,,,IF(Base!$B$1=1,{"jtb.opcconscontr=2"},{"jtb.opcconscontr=3"})),"-")</f>
        <v>5.2645085705444197E-2</v>
      </c>
      <c r="D76" s="22">
        <f>IFERROR(_xll.ECONOMATICA($C$5,"Dep/FixAst&amp;Int",$C$8,D$14,,,$C$7,"DECIMAL",,,,IF(Base!$B$1=1,{"jtb.opcconscontr=2"},{"jtb.opcconscontr=3"})),"-")</f>
        <v>0.116556716272025</v>
      </c>
      <c r="E76" s="22" t="str">
        <f>IFERROR(_xll.ECONOMATICA($C$5,"Dep/FixAst&amp;Int",$C$8,E$14,,,$C$7,"DECIMAL",,,,IF(Base!$B$1=1,{"jtb.opcconscontr=2"},{"jtb.opcconscontr=3"})),"-")</f>
        <v>-</v>
      </c>
      <c r="F76" s="22">
        <f>IFERROR(_xll.ECONOMATICA($C$5,"Dep/FixAst&amp;Int",$C$8,F$14,,,$C$7,"DECIMAL",,,,IF(Base!$B$1=1,{"jtb.opcconscontr=2"},{"jtb.opcconscontr=3"})),"-")</f>
        <v>0.23552350799844099</v>
      </c>
      <c r="G76" s="22">
        <f>IFERROR(_xll.ECONOMATICA($C$5,"Dep/FixAst&amp;Int",$C$8,G$14,,,$C$7,"DECIMAL",,,,IF(Base!$B$1=1,{"jtb.opcconscontr=2"},{"jtb.opcconscontr=3"})),"-")</f>
        <v>4.2944264653051498E-2</v>
      </c>
      <c r="H76" s="22">
        <f>IFERROR(_xll.ECONOMATICA($C$5,"Dep/FixAst&amp;Int",$C$8,H$14,,,$C$7,"DECIMAL",,,,IF(Base!$B$1=1,{"jtb.opcconscontr=2"},{"jtb.opcconscontr=3"})),"-")</f>
        <v>9.4557353470008806E-2</v>
      </c>
      <c r="I76" s="22">
        <f>IFERROR(_xll.ECONOMATICA($C$5,"Dep/FixAst&amp;Int",$C$8,I$14,,,$C$7,"DECIMAL",,,,IF(Base!$B$1=1,{"jtb.opcconscontr=2"},{"jtb.opcconscontr=3"})),"-")</f>
        <v>0.211565623876522</v>
      </c>
      <c r="J76" s="22" t="str">
        <f>IFERROR(_xll.ECONOMATICA($C$5,"Dep/FixAst&amp;Int",$C$8,J$14,,,$C$7,"DECIMAL",,,,IF(Base!$B$1=1,{"jtb.opcconscontr=2"},{"jtb.opcconscontr=3"})),"-")</f>
        <v>-</v>
      </c>
      <c r="K76" s="22">
        <f>IFERROR(_xll.ECONOMATICA($C$5,"Dep/FixAst&amp;Int",$C$8,K$14,,,$C$7,"DECIMAL",,,,IF(Base!$B$1=1,{"jtb.opcconscontr=2"},{"jtb.opcconscontr=3"})),"-")</f>
        <v>4.5513195270104903E-2</v>
      </c>
      <c r="L76" s="22" t="str">
        <f>IFERROR(_xll.ECONOMATICA($C$5,"Dep/FixAst&amp;Int",$C$8,L$14,,,$C$7,"DECIMAL",,,,IF(Base!$B$1=1,{"jtb.opcconscontr=2"},{"jtb.opcconscontr=3"})),"-")</f>
        <v>-</v>
      </c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s="5" customFormat="1" ht="15" customHeight="1" x14ac:dyDescent="0.25">
      <c r="A77" s="1"/>
      <c r="B77" s="12" t="s">
        <v>270</v>
      </c>
      <c r="C77" s="28">
        <f>IFERROR(_xll.ECONOMATICA($C$5,"FCF",$C$8,C$14,,,$C$7,$C$9,,,,IF(Base!$B$1=1,{"jtb.opcconscontr=2"},{"jtb.opcconscontr=3"})),"-")</f>
        <v>6135999.9999843799</v>
      </c>
      <c r="D77" s="28">
        <f>IFERROR(_xll.ECONOMATICA($C$5,"FCF",$C$8,D$14,,,$C$7,$C$9,,,,IF(Base!$B$1=1,{"jtb.opcconscontr=2"},{"jtb.opcconscontr=3"})),"-")</f>
        <v>15610999.999968801</v>
      </c>
      <c r="E77" s="28">
        <f>IFERROR(_xll.ECONOMATICA($C$5,"FCF",$C$8,E$14,,,$C$7,$C$9,,,,IF(Base!$B$1=1,{"jtb.opcconscontr=2"},{"jtb.opcconscontr=3"})),"-")</f>
        <v>21465000.000062499</v>
      </c>
      <c r="F77" s="28">
        <f>IFERROR(_xll.ECONOMATICA($C$5,"FCF",$C$8,F$14,,,$C$7,$C$9,,,,IF(Base!$B$1=1,{"jtb.opcconscontr=2"},{"jtb.opcconscontr=3"})),"-")</f>
        <v>28982000</v>
      </c>
      <c r="G77" s="28">
        <f>IFERROR(_xll.ECONOMATICA($C$5,"FCF",$C$8,G$14,,,$C$7,$C$9,,,,IF(Base!$B$1=1,{"jtb.opcconscontr=2"},{"jtb.opcconscontr=3"})),"-")</f>
        <v>12427000</v>
      </c>
      <c r="H77" s="28">
        <f>IFERROR(_xll.ECONOMATICA($C$5,"FCF",$C$8,H$14,,,$C$7,$C$9,,,,IF(Base!$B$1=1,{"jtb.opcconscontr=2"},{"jtb.opcconscontr=3"})),"-")</f>
        <v>8699000</v>
      </c>
      <c r="I77" s="28">
        <f>IFERROR(_xll.ECONOMATICA($C$5,"FCF",$C$8,I$14,,,$C$7,$C$9,,,,IF(Base!$B$1=1,{"jtb.opcconscontr=2"},{"jtb.opcconscontr=3"})),"-")</f>
        <v>28520000.000124998</v>
      </c>
      <c r="J77" s="28">
        <f>IFERROR(_xll.ECONOMATICA($C$5,"FCF",$C$8,J$14,,,$C$7,$C$9,,,,IF(Base!$B$1=1,{"jtb.opcconscontr=2"},{"jtb.opcconscontr=3"})),"-")</f>
        <v>53240000.000249997</v>
      </c>
      <c r="K77" s="28">
        <f>IFERROR(_xll.ECONOMATICA($C$5,"FCF",$C$8,K$14,,,$C$7,$C$9,,,,IF(Base!$B$1=1,{"jtb.opcconscontr=2"},{"jtb.opcconscontr=3"})),"-")</f>
        <v>11648000.000062499</v>
      </c>
      <c r="L77" s="28">
        <f>IFERROR(_xll.ECONOMATICA($C$5,"FCF",$C$8,L$14,,,$C$7,"DECIMAL",,,,IF(Base!$B$1=1,{"jtb.opcconscontr=2"},{"jtb.opcconscontr=3"})),"-")</f>
        <v>283959999.99937499</v>
      </c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s="5" customFormat="1" ht="14.1" customHeight="1" x14ac:dyDescent="0.25">
      <c r="A78" s="1"/>
      <c r="B78" s="7"/>
      <c r="C78" s="11"/>
      <c r="D78" s="1"/>
      <c r="E78" s="1"/>
      <c r="F78" s="1"/>
      <c r="G78" s="7"/>
      <c r="H78" s="7"/>
      <c r="I78" s="7"/>
      <c r="J78" s="7"/>
      <c r="K78" s="7"/>
      <c r="L78" s="7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s="5" customFormat="1" x14ac:dyDescent="0.25">
      <c r="A79" s="1"/>
      <c r="B79" s="8"/>
      <c r="C79" s="8"/>
      <c r="D79" s="8"/>
      <c r="E79" s="8"/>
      <c r="F79" s="8"/>
      <c r="G79" s="7"/>
      <c r="H79" s="7"/>
      <c r="I79" s="7"/>
      <c r="J79" s="7"/>
      <c r="K79" s="7"/>
      <c r="L79" s="7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s="5" customFormat="1" x14ac:dyDescent="0.25">
      <c r="A80" s="1"/>
      <c r="B80" s="8"/>
      <c r="C80" s="8"/>
      <c r="D80" s="8"/>
      <c r="E80" s="8"/>
      <c r="F80" s="8"/>
      <c r="G80" s="7"/>
      <c r="H80" s="7"/>
      <c r="I80" s="7"/>
      <c r="J80" s="7"/>
      <c r="K80" s="7"/>
      <c r="L80" s="7"/>
      <c r="M80"/>
      <c r="N80"/>
      <c r="O80"/>
      <c r="P80"/>
      <c r="Q80"/>
      <c r="R80"/>
      <c r="S80"/>
      <c r="T80"/>
      <c r="U80"/>
      <c r="V80"/>
      <c r="W80"/>
      <c r="X80"/>
      <c r="Y80"/>
    </row>
  </sheetData>
  <conditionalFormatting sqref="B15:L18 B40:L43 B53:L70">
    <cfRule type="expression" dxfId="6" priority="19">
      <formula>MOD(ROW(),2)</formula>
    </cfRule>
  </conditionalFormatting>
  <conditionalFormatting sqref="B21:L37">
    <cfRule type="expression" dxfId="5" priority="18">
      <formula>MOD(ROW(),2)</formula>
    </cfRule>
  </conditionalFormatting>
  <conditionalFormatting sqref="B46:L50">
    <cfRule type="expression" dxfId="4" priority="16">
      <formula>MOD(ROW(),2)</formula>
    </cfRule>
  </conditionalFormatting>
  <conditionalFormatting sqref="B73:L75">
    <cfRule type="expression" dxfId="3" priority="14">
      <formula>MOD(ROW(),2)</formula>
    </cfRule>
  </conditionalFormatting>
  <conditionalFormatting sqref="B76:L76 B77">
    <cfRule type="expression" dxfId="2" priority="5">
      <formula>MOD(ROW(),2)</formula>
    </cfRule>
  </conditionalFormatting>
  <conditionalFormatting sqref="C77:K77">
    <cfRule type="expression" dxfId="1" priority="2">
      <formula>MOD(ROW(),2)</formula>
    </cfRule>
  </conditionalFormatting>
  <conditionalFormatting sqref="L77">
    <cfRule type="expression" dxfId="0" priority="1">
      <formula>MOD(ROW(),2)</formula>
    </cfRule>
  </conditionalFormatting>
  <dataValidations disablePrompts="1" count="4">
    <dataValidation type="list" allowBlank="1" showInputMessage="1" sqref="C8" xr:uid="{AAFA1619-3D11-4940-933E-1CAF20716EE3}">
      <formula1>"3M,12M,In Fiscal Year"</formula1>
    </dataValidation>
    <dataValidation type="list" allowBlank="1" sqref="C7" xr:uid="{3AAFC4C3-C1F2-47D0-862C-9E41A5B66B5D}">
      <formula1>"ORIGINAL CURRENCY,USD,EUR,INFLATION ADJUSTED"</formula1>
    </dataValidation>
    <dataValidation type="list" allowBlank="1" showInputMessage="1" sqref="C9" xr:uid="{792C907A-DCE7-4191-81AD-0BA54F811BAA}">
      <formula1>"Units,Thousands,Millions,Billions"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G78:L80" xr:uid="{00000000-0002-0000-0100-000001000000}">
      <formula1>"FALSE"</formula1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8" orientation="portrait" horizontalDpi="4294967295" verticalDpi="4294967295" r:id="rId1"/>
  <ignoredErrors>
    <ignoredError sqref="C14:K14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Option Button 1">
              <controlPr defaultSize="0" autoFill="0" autoLine="0" autoPict="0">
                <anchor moveWithCells="1">
                  <from>
                    <xdr:col>1</xdr:col>
                    <xdr:colOff>1381125</xdr:colOff>
                    <xdr:row>9</xdr:row>
                    <xdr:rowOff>19050</xdr:rowOff>
                  </from>
                  <to>
                    <xdr:col>2</xdr:col>
                    <xdr:colOff>752475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2</xdr:col>
                    <xdr:colOff>790575</xdr:colOff>
                    <xdr:row>9</xdr:row>
                    <xdr:rowOff>19050</xdr:rowOff>
                  </from>
                  <to>
                    <xdr:col>3</xdr:col>
                    <xdr:colOff>409575</xdr:colOff>
                    <xdr:row>10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88E15AC-D7CD-444B-9FC2-26FF2281A240}">
          <x14:formula1>
            <xm:f>'Acciones Argentinas'!#REF!</xm:f>
          </x14:formula1>
          <xm:sqref>C5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262AC-4C7F-407A-91AA-5DA050127332}">
  <sheetPr codeName="Planilha1"/>
  <dimension ref="A1:B1"/>
  <sheetViews>
    <sheetView workbookViewId="0">
      <selection activeCell="A2" sqref="A2"/>
    </sheetView>
  </sheetViews>
  <sheetFormatPr baseColWidth="10" defaultColWidth="9.140625" defaultRowHeight="15" x14ac:dyDescent="0.25"/>
  <cols>
    <col min="1" max="1" width="8.42578125" customWidth="1"/>
  </cols>
  <sheetData>
    <row r="1" spans="1:2" x14ac:dyDescent="0.25">
      <c r="A1" s="9" t="s">
        <v>279</v>
      </c>
      <c r="B1" s="10">
        <v>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Acciones Argentinas</vt:lpstr>
      <vt:lpstr>Indicadores Financeiros</vt:lpstr>
      <vt:lpstr>Base</vt:lpstr>
      <vt:lpstr>'Indicadores Financeiros'!Área_de_impresión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Lucia Moya</cp:lastModifiedBy>
  <cp:lastPrinted>2019-02-18T17:03:29Z</cp:lastPrinted>
  <dcterms:created xsi:type="dcterms:W3CDTF">2018-09-21T17:16:45Z</dcterms:created>
  <dcterms:modified xsi:type="dcterms:W3CDTF">2020-09-07T15:28:44Z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1283958383</vt:lpwstr>
  </property>
  <property fmtid="{D5CDD505-2E9C-101B-9397-08002B2CF9AE}" pid="3" name="EcoUpdateMessage">
    <vt:lpwstr>2020/09/07-15:06:23</vt:lpwstr>
  </property>
  <property fmtid="{D5CDD505-2E9C-101B-9397-08002B2CF9AE}" pid="4" name="EcoUpdateStatus">
    <vt:lpwstr>2020-09-04=BRA:St,ME,Fd,TP;USA:St,ME;ARG:St,ME,TP;MEX:St,ME,Fd;CHL:St,ME;COL:St,ME;PER:St,ME,Fd|2000-07-28=USA:TP|2020-09-03=ARG:Fd;MEX:TP;CHL:Fd;COL:Fd|2020-08-21=CHL:TP|2014-02-26=VEN:St|2002-11-08=JPN:St|2020-09-02=GBR:St;PER:TP|2020-08-27=GBR:ME|2016-</vt:lpwstr>
  </property>
</Properties>
</file>