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:\Lucia\Planillas Add- In Acciones\Argentinizadas\"/>
    </mc:Choice>
  </mc:AlternateContent>
  <xr:revisionPtr revIDLastSave="0" documentId="13_ncr:1_{24359F7B-4B85-4495-B78A-172F4A756147}" xr6:coauthVersionLast="45" xr6:coauthVersionMax="45" xr10:uidLastSave="{00000000-0000-0000-0000-000000000000}"/>
  <bookViews>
    <workbookView xWindow="-120" yWindow="-120" windowWidth="20700" windowHeight="11160" activeTab="2" xr2:uid="{A98F0183-898C-4934-81BB-7BB6EC3255D9}"/>
  </bookViews>
  <sheets>
    <sheet name="Base" sheetId="9" r:id="rId1"/>
    <sheet name="Acciones" sheetId="11" r:id="rId2"/>
    <sheet name="Reportes financieros" sheetId="10" r:id="rId3"/>
  </sheets>
  <definedNames>
    <definedName name="_ECO_RANGE_ID0bb4a05c74da4fabbfc4fcb08bd43fa2" localSheetId="1" hidden="1">Acciones!$C$7:$C$64</definedName>
    <definedName name="_ECO_RANGE_ID6586038a40bf47478f4db9da5cfce407" localSheetId="1" hidden="1">Acciones!$I$7:$I$54</definedName>
    <definedName name="_ECO_RANGE_ID70405d5d40224e34b48d486a1ec74dd0" localSheetId="1" hidden="1">Acciones!$G$7:$G$54</definedName>
    <definedName name="_ECO_RANGE_ID73abcf084d884a7e9d6d6e5f03b92d11" localSheetId="1" hidden="1">Acciones!$D$7:$D$64</definedName>
    <definedName name="_ECO_RANGE_ID8134644d15e54993a5b16947d96c5570" localSheetId="1" hidden="1">Acciones!$H$7:$H$54</definedName>
    <definedName name="_ECO_RANGE_IDa20e468fe5e943088d27a8ae68b3aef8" localSheetId="1" hidden="1">Acciones!$B$7:$B$64</definedName>
    <definedName name="_xlnm._FilterDatabase" localSheetId="2" hidden="1">'Reportes financieros'!$B$5:$D$10</definedName>
    <definedName name="Lista">OFFSET(Base!#REF!,0,0,COUNTA(Base!#REF!)-1)</definedName>
    <definedName name="_xlnm.Print_Titles" localSheetId="2">'Reportes financieros'!$1:$11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5" i="10" l="1"/>
  <c r="I6" i="11" a="1"/>
  <c r="H6" i="11" a="1"/>
  <c r="G6" i="11" a="1"/>
  <c r="B6" i="11" a="1"/>
  <c r="D6" i="11" a="1"/>
  <c r="C6" i="11" a="1"/>
  <c r="I6" i="11" l="1"/>
  <c r="H6" i="11"/>
  <c r="G6" i="11"/>
  <c r="B6" i="11"/>
  <c r="D6" i="11"/>
  <c r="C6" i="11"/>
  <c r="E118" i="10"/>
  <c r="E79" i="10"/>
  <c r="E39" i="10"/>
  <c r="E17" i="10"/>
  <c r="C10" i="10"/>
  <c r="C6" i="10"/>
  <c r="E18" i="10"/>
  <c r="E19" i="10"/>
  <c r="E23" i="10"/>
  <c r="E27" i="10"/>
  <c r="E31" i="10"/>
  <c r="E36" i="10"/>
  <c r="E35" i="10"/>
  <c r="E30" i="10"/>
  <c r="E26" i="10"/>
  <c r="E22" i="10"/>
  <c r="E13" i="10"/>
  <c r="E14" i="10"/>
  <c r="E21" i="10"/>
  <c r="E24" i="10"/>
  <c r="E28" i="10"/>
  <c r="E32" i="10"/>
  <c r="E37" i="10"/>
  <c r="E34" i="10"/>
  <c r="E29" i="10"/>
  <c r="E25" i="10"/>
  <c r="E33" i="10"/>
  <c r="E20" i="10"/>
  <c r="E80" i="10" l="1"/>
  <c r="E40" i="10"/>
  <c r="D18" i="10"/>
  <c r="E111" i="10"/>
  <c r="E107" i="10"/>
  <c r="E109" i="10"/>
  <c r="E92" i="10"/>
  <c r="E94" i="10"/>
  <c r="E96" i="10"/>
  <c r="E98" i="10"/>
  <c r="E100" i="10"/>
  <c r="E102" i="10"/>
  <c r="E104" i="10"/>
  <c r="E106" i="10"/>
  <c r="E108" i="10"/>
  <c r="E91" i="10"/>
  <c r="E93" i="10"/>
  <c r="E95" i="10"/>
  <c r="E97" i="10"/>
  <c r="E99" i="10"/>
  <c r="E101" i="10"/>
  <c r="E103" i="10"/>
  <c r="E105" i="10"/>
  <c r="E110" i="10"/>
  <c r="E113" i="10"/>
  <c r="E112" i="10"/>
  <c r="E114" i="10"/>
  <c r="E176" i="10" l="1"/>
  <c r="E119" i="10"/>
  <c r="D80" i="10"/>
  <c r="D40" i="10"/>
  <c r="C18" i="10"/>
  <c r="E171" i="10"/>
  <c r="E177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E190" i="10"/>
  <c r="E191" i="10"/>
  <c r="E192" i="10"/>
  <c r="E193" i="10"/>
  <c r="E194" i="10"/>
  <c r="E195" i="10"/>
  <c r="E196" i="10"/>
  <c r="E197" i="10"/>
  <c r="E198" i="10"/>
  <c r="E199" i="10"/>
  <c r="E170" i="10"/>
  <c r="E157" i="10"/>
  <c r="E158" i="10"/>
  <c r="E159" i="10"/>
  <c r="E160" i="10"/>
  <c r="E161" i="10"/>
  <c r="E162" i="10"/>
  <c r="E163" i="10"/>
  <c r="E164" i="10"/>
  <c r="E165" i="10"/>
  <c r="E166" i="10"/>
  <c r="E167" i="10"/>
  <c r="E169" i="10"/>
  <c r="E147" i="10"/>
  <c r="E148" i="10"/>
  <c r="E149" i="10"/>
  <c r="E150" i="10"/>
  <c r="E151" i="10"/>
  <c r="E152" i="10"/>
  <c r="E153" i="10"/>
  <c r="E154" i="10"/>
  <c r="E155" i="10"/>
  <c r="E156" i="10"/>
  <c r="E123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7" i="10"/>
  <c r="E138" i="10"/>
  <c r="E139" i="10"/>
  <c r="E140" i="10"/>
  <c r="E141" i="10"/>
  <c r="E142" i="10"/>
  <c r="E143" i="10"/>
  <c r="E144" i="10"/>
  <c r="E145" i="10"/>
  <c r="E146" i="10"/>
  <c r="E120" i="10"/>
  <c r="E121" i="10"/>
  <c r="E122" i="10"/>
  <c r="D119" i="10" l="1"/>
  <c r="D176" i="10"/>
  <c r="C80" i="10"/>
  <c r="C40" i="10"/>
  <c r="D171" i="10"/>
  <c r="D177" i="10"/>
  <c r="D178" i="10"/>
  <c r="D179" i="10"/>
  <c r="D180" i="10"/>
  <c r="D181" i="10"/>
  <c r="D182" i="10"/>
  <c r="D183" i="10"/>
  <c r="D184" i="10"/>
  <c r="D185" i="10"/>
  <c r="D186" i="10"/>
  <c r="D187" i="10"/>
  <c r="D188" i="10"/>
  <c r="D189" i="10"/>
  <c r="D190" i="10"/>
  <c r="D191" i="10"/>
  <c r="D192" i="10"/>
  <c r="D193" i="10"/>
  <c r="D194" i="10"/>
  <c r="D195" i="10"/>
  <c r="D196" i="10"/>
  <c r="D197" i="10"/>
  <c r="D198" i="10"/>
  <c r="D199" i="10"/>
  <c r="D170" i="10"/>
  <c r="D157" i="10"/>
  <c r="D158" i="10"/>
  <c r="D159" i="10"/>
  <c r="D161" i="10"/>
  <c r="D162" i="10"/>
  <c r="D163" i="10"/>
  <c r="D164" i="10"/>
  <c r="D165" i="10"/>
  <c r="D160" i="10"/>
  <c r="D166" i="10"/>
  <c r="D167" i="10"/>
  <c r="D169" i="10"/>
  <c r="D147" i="10"/>
  <c r="D148" i="10"/>
  <c r="D149" i="10"/>
  <c r="D150" i="10"/>
  <c r="D151" i="10"/>
  <c r="D152" i="10"/>
  <c r="D153" i="10"/>
  <c r="D154" i="10"/>
  <c r="D155" i="10"/>
  <c r="D156" i="10"/>
  <c r="D123" i="10"/>
  <c r="D124" i="10"/>
  <c r="D125" i="10"/>
  <c r="D126" i="10"/>
  <c r="D127" i="10"/>
  <c r="D128" i="10"/>
  <c r="D129" i="10"/>
  <c r="D130" i="10"/>
  <c r="D131" i="10"/>
  <c r="D132" i="10"/>
  <c r="D133" i="10"/>
  <c r="D134" i="10"/>
  <c r="D135" i="10"/>
  <c r="D136" i="10"/>
  <c r="D137" i="10"/>
  <c r="D138" i="10"/>
  <c r="D139" i="10"/>
  <c r="D140" i="10"/>
  <c r="D141" i="10"/>
  <c r="D142" i="10"/>
  <c r="D143" i="10"/>
  <c r="D144" i="10"/>
  <c r="D145" i="10"/>
  <c r="D146" i="10"/>
  <c r="D120" i="10"/>
  <c r="D121" i="10"/>
  <c r="D122" i="10"/>
  <c r="D111" i="10"/>
  <c r="D107" i="10"/>
  <c r="D109" i="10"/>
  <c r="D92" i="10"/>
  <c r="D94" i="10"/>
  <c r="D96" i="10"/>
  <c r="D98" i="10"/>
  <c r="D100" i="10"/>
  <c r="D102" i="10"/>
  <c r="D104" i="10"/>
  <c r="E82" i="10"/>
  <c r="E86" i="10"/>
  <c r="E88" i="10"/>
  <c r="E90" i="10"/>
  <c r="E70" i="10"/>
  <c r="E74" i="10"/>
  <c r="E64" i="10"/>
  <c r="E52" i="10"/>
  <c r="E56" i="10"/>
  <c r="E60" i="10"/>
  <c r="E47" i="10"/>
  <c r="E41" i="10"/>
  <c r="D30" i="10"/>
  <c r="D35" i="10"/>
  <c r="D23" i="10"/>
  <c r="D27" i="10"/>
  <c r="E83" i="10"/>
  <c r="D19" i="10"/>
  <c r="E69" i="10"/>
  <c r="E73" i="10"/>
  <c r="E63" i="10"/>
  <c r="E51" i="10"/>
  <c r="E55" i="10"/>
  <c r="E59" i="10"/>
  <c r="E46" i="10"/>
  <c r="E50" i="10"/>
  <c r="D29" i="10"/>
  <c r="D34" i="10"/>
  <c r="D22" i="10"/>
  <c r="D26" i="10"/>
  <c r="E84" i="10"/>
  <c r="D33" i="10"/>
  <c r="E43" i="10"/>
  <c r="D85" i="10"/>
  <c r="D87" i="10"/>
  <c r="D89" i="10"/>
  <c r="D67" i="10"/>
  <c r="D71" i="10"/>
  <c r="D75" i="10"/>
  <c r="D65" i="10"/>
  <c r="D53" i="10"/>
  <c r="D57" i="10"/>
  <c r="D61" i="10"/>
  <c r="D48" i="10"/>
  <c r="D44" i="10"/>
  <c r="C32" i="10"/>
  <c r="C37" i="10"/>
  <c r="C25" i="10"/>
  <c r="D81" i="10" a="1"/>
  <c r="D43" i="10"/>
  <c r="D84" i="10"/>
  <c r="C19" i="10"/>
  <c r="D68" i="10"/>
  <c r="D72" i="10"/>
  <c r="D62" i="10"/>
  <c r="D66" i="10"/>
  <c r="D54" i="10"/>
  <c r="D58" i="10"/>
  <c r="D45" i="10"/>
  <c r="D49" i="10"/>
  <c r="C29" i="10"/>
  <c r="C34" i="10"/>
  <c r="C22" i="10"/>
  <c r="C26" i="10"/>
  <c r="D41" i="10"/>
  <c r="C21" i="10"/>
  <c r="D110" i="10"/>
  <c r="D112" i="10"/>
  <c r="D114" i="10"/>
  <c r="D113" i="10"/>
  <c r="D106" i="10"/>
  <c r="D108" i="10"/>
  <c r="D91" i="10"/>
  <c r="D93" i="10"/>
  <c r="D95" i="10"/>
  <c r="D97" i="10"/>
  <c r="D99" i="10"/>
  <c r="D101" i="10"/>
  <c r="D103" i="10"/>
  <c r="D105" i="10"/>
  <c r="E85" i="10"/>
  <c r="E87" i="10"/>
  <c r="E89" i="10"/>
  <c r="E68" i="10"/>
  <c r="E72" i="10"/>
  <c r="E62" i="10"/>
  <c r="E66" i="10"/>
  <c r="E54" i="10"/>
  <c r="E58" i="10"/>
  <c r="E45" i="10"/>
  <c r="E49" i="10"/>
  <c r="E44" i="10"/>
  <c r="D32" i="10"/>
  <c r="D37" i="10"/>
  <c r="D25" i="10"/>
  <c r="E81" i="10" a="1"/>
  <c r="D21" i="10"/>
  <c r="D20" i="10"/>
  <c r="E67" i="10"/>
  <c r="E71" i="10"/>
  <c r="E75" i="10"/>
  <c r="E65" i="10"/>
  <c r="E53" i="10"/>
  <c r="E57" i="10"/>
  <c r="E61" i="10"/>
  <c r="E48" i="10"/>
  <c r="E42" i="10"/>
  <c r="D31" i="10"/>
  <c r="D36" i="10"/>
  <c r="D24" i="10"/>
  <c r="D28" i="10"/>
  <c r="D13" i="10"/>
  <c r="D14" i="10"/>
  <c r="D86" i="10"/>
  <c r="D88" i="10"/>
  <c r="D90" i="10"/>
  <c r="D69" i="10"/>
  <c r="D73" i="10"/>
  <c r="D63" i="10"/>
  <c r="D51" i="10"/>
  <c r="D55" i="10"/>
  <c r="D59" i="10"/>
  <c r="D46" i="10"/>
  <c r="D50" i="10"/>
  <c r="C30" i="10"/>
  <c r="C35" i="10"/>
  <c r="C23" i="10"/>
  <c r="C27" i="10"/>
  <c r="D83" i="10"/>
  <c r="C14" i="10"/>
  <c r="C33" i="10"/>
  <c r="D70" i="10"/>
  <c r="D74" i="10"/>
  <c r="D64" i="10"/>
  <c r="D52" i="10"/>
  <c r="D56" i="10"/>
  <c r="D60" i="10"/>
  <c r="D47" i="10"/>
  <c r="D42" i="10"/>
  <c r="C31" i="10"/>
  <c r="C36" i="10"/>
  <c r="C24" i="10"/>
  <c r="C28" i="10"/>
  <c r="C20" i="10"/>
  <c r="D82" i="10"/>
  <c r="C13" i="10"/>
  <c r="C111" i="10"/>
  <c r="C107" i="10"/>
  <c r="C109" i="10"/>
  <c r="C92" i="10"/>
  <c r="C94" i="10"/>
  <c r="C96" i="10"/>
  <c r="C98" i="10"/>
  <c r="C100" i="10"/>
  <c r="C102" i="10"/>
  <c r="C104" i="10"/>
  <c r="C67" i="10"/>
  <c r="C71" i="10"/>
  <c r="C75" i="10"/>
  <c r="C65" i="10"/>
  <c r="C53" i="10"/>
  <c r="C57" i="10"/>
  <c r="C61" i="10"/>
  <c r="C48" i="10"/>
  <c r="C44" i="10"/>
  <c r="C82" i="10"/>
  <c r="C85" i="10"/>
  <c r="C87" i="10"/>
  <c r="C89" i="10"/>
  <c r="C68" i="10"/>
  <c r="C72" i="10"/>
  <c r="C62" i="10"/>
  <c r="C66" i="10"/>
  <c r="C54" i="10"/>
  <c r="C58" i="10"/>
  <c r="C45" i="10"/>
  <c r="C49" i="10"/>
  <c r="C81" i="10" a="1"/>
  <c r="C83" i="10"/>
  <c r="C41" i="10"/>
  <c r="C113" i="10"/>
  <c r="C110" i="10"/>
  <c r="C112" i="10"/>
  <c r="C114" i="10"/>
  <c r="C106" i="10"/>
  <c r="C108" i="10"/>
  <c r="C91" i="10"/>
  <c r="C93" i="10"/>
  <c r="C95" i="10"/>
  <c r="C97" i="10"/>
  <c r="C99" i="10"/>
  <c r="C101" i="10"/>
  <c r="C103" i="10"/>
  <c r="C105" i="10"/>
  <c r="C69" i="10"/>
  <c r="C73" i="10"/>
  <c r="C63" i="10"/>
  <c r="C51" i="10"/>
  <c r="C55" i="10"/>
  <c r="C59" i="10"/>
  <c r="C46" i="10"/>
  <c r="C50" i="10"/>
  <c r="C43" i="10"/>
  <c r="C86" i="10"/>
  <c r="C88" i="10"/>
  <c r="C90" i="10"/>
  <c r="C70" i="10"/>
  <c r="C74" i="10"/>
  <c r="C64" i="10"/>
  <c r="C52" i="10"/>
  <c r="C56" i="10"/>
  <c r="C60" i="10"/>
  <c r="C47" i="10"/>
  <c r="C42" i="10"/>
  <c r="C84" i="10"/>
  <c r="C176" i="10" l="1"/>
  <c r="C119" i="10"/>
  <c r="E81" i="10"/>
  <c r="D81" i="10"/>
  <c r="C81" i="10"/>
  <c r="C171" i="10"/>
  <c r="C177" i="10"/>
  <c r="C178" i="10"/>
  <c r="C179" i="10"/>
  <c r="C180" i="10"/>
  <c r="C181" i="10"/>
  <c r="C182" i="10"/>
  <c r="C183" i="10"/>
  <c r="C184" i="10"/>
  <c r="C185" i="10"/>
  <c r="C186" i="10"/>
  <c r="C187" i="10"/>
  <c r="C188" i="10"/>
  <c r="C189" i="10"/>
  <c r="C190" i="10"/>
  <c r="C191" i="10"/>
  <c r="C192" i="10"/>
  <c r="C193" i="10"/>
  <c r="C194" i="10"/>
  <c r="C195" i="10"/>
  <c r="C196" i="10"/>
  <c r="C197" i="10"/>
  <c r="C198" i="10"/>
  <c r="C199" i="10"/>
  <c r="C170" i="10"/>
  <c r="C157" i="10"/>
  <c r="C158" i="10"/>
  <c r="C159" i="10"/>
  <c r="C161" i="10"/>
  <c r="C162" i="10"/>
  <c r="C163" i="10"/>
  <c r="C164" i="10"/>
  <c r="C165" i="10"/>
  <c r="C160" i="10"/>
  <c r="C166" i="10"/>
  <c r="C167" i="10"/>
  <c r="C169" i="10"/>
  <c r="C147" i="10"/>
  <c r="C148" i="10"/>
  <c r="C149" i="10"/>
  <c r="C150" i="10"/>
  <c r="C151" i="10"/>
  <c r="C152" i="10"/>
  <c r="C153" i="10"/>
  <c r="C154" i="10"/>
  <c r="C155" i="10"/>
  <c r="C156" i="10"/>
  <c r="C123" i="10"/>
  <c r="C124" i="10"/>
  <c r="C125" i="10"/>
  <c r="C126" i="10"/>
  <c r="C127" i="10"/>
  <c r="C128" i="10"/>
  <c r="C129" i="10"/>
  <c r="C130" i="10"/>
  <c r="C131" i="10"/>
  <c r="C132" i="10"/>
  <c r="C133" i="10"/>
  <c r="C134" i="10"/>
  <c r="C135" i="10"/>
  <c r="C136" i="10"/>
  <c r="C137" i="10"/>
  <c r="C138" i="10"/>
  <c r="C139" i="10"/>
  <c r="C140" i="10"/>
  <c r="C141" i="10"/>
  <c r="C142" i="10"/>
  <c r="C143" i="10"/>
  <c r="C144" i="10"/>
  <c r="C145" i="10"/>
  <c r="C146" i="10"/>
  <c r="C120" i="10"/>
  <c r="C121" i="10"/>
  <c r="C122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<sst xmlns="http://schemas.openxmlformats.org/spreadsheetml/2006/main" count="511" uniqueCount="490">
  <si>
    <t>Código:</t>
  </si>
  <si>
    <t>Multiplicador:</t>
  </si>
  <si>
    <t>Empresa:</t>
  </si>
  <si>
    <t>Thousands</t>
  </si>
  <si>
    <t>ORIGINAL CURRENCY</t>
  </si>
  <si>
    <t>Acciones argentinas no financieras</t>
  </si>
  <si>
    <t>AGRO&lt;XBUE&gt;</t>
  </si>
  <si>
    <t>AGRO</t>
  </si>
  <si>
    <t>Agrometal</t>
  </si>
  <si>
    <t>ALUA&lt;XBUE&gt;</t>
  </si>
  <si>
    <t>ALUA</t>
  </si>
  <si>
    <t>Aluar</t>
  </si>
  <si>
    <t>AUSO&lt;XBUE&gt;</t>
  </si>
  <si>
    <t>AUSO</t>
  </si>
  <si>
    <t>Autopistas del Sol</t>
  </si>
  <si>
    <t>GAMI&lt;XBUE&gt;</t>
  </si>
  <si>
    <t>GAMI</t>
  </si>
  <si>
    <t>B-Gaming Sa</t>
  </si>
  <si>
    <t>ESME&lt;XBUE&gt;</t>
  </si>
  <si>
    <t>ESME</t>
  </si>
  <si>
    <t>Bodegas Esmeralda</t>
  </si>
  <si>
    <t>BOLT&lt;XBUE&gt;</t>
  </si>
  <si>
    <t>BOLT</t>
  </si>
  <si>
    <t>Boldt</t>
  </si>
  <si>
    <t>CGPA2&lt;XBUE&gt;</t>
  </si>
  <si>
    <t>CGPA2</t>
  </si>
  <si>
    <t>Camuzzi Gas Pamp.</t>
  </si>
  <si>
    <t>CAPX&lt;XBUE&gt;</t>
  </si>
  <si>
    <t>CAPX</t>
  </si>
  <si>
    <t>Capex</t>
  </si>
  <si>
    <t>CARC&lt;XBUE&gt;</t>
  </si>
  <si>
    <t>CARC</t>
  </si>
  <si>
    <t>Carboclor S.A.</t>
  </si>
  <si>
    <t>CADO&lt;XBUE&gt;</t>
  </si>
  <si>
    <t>CADO</t>
  </si>
  <si>
    <t>Carlos Casado</t>
  </si>
  <si>
    <t>CELU&lt;XBUE&gt;</t>
  </si>
  <si>
    <t>CELU</t>
  </si>
  <si>
    <t>Celulosa</t>
  </si>
  <si>
    <t>CEPU&lt;XBUE&gt;</t>
  </si>
  <si>
    <t>CEPU</t>
  </si>
  <si>
    <t>Central Puerto</t>
  </si>
  <si>
    <t>COME&lt;XBUE&gt;</t>
  </si>
  <si>
    <t>COME</t>
  </si>
  <si>
    <t>Comercial del Plata</t>
  </si>
  <si>
    <t>CTIO&lt;XBUE&gt;</t>
  </si>
  <si>
    <t>CTIO</t>
  </si>
  <si>
    <t>Consultatio</t>
  </si>
  <si>
    <t>CRES&lt;XBUE&gt;</t>
  </si>
  <si>
    <t>CRES</t>
  </si>
  <si>
    <t>Cresud</t>
  </si>
  <si>
    <t>DGCU2&lt;XBUE&gt;</t>
  </si>
  <si>
    <t>DGCU2</t>
  </si>
  <si>
    <t>Distr Gas Cuyana</t>
  </si>
  <si>
    <t>DOME&lt;XBUE&gt;</t>
  </si>
  <si>
    <t>DOME</t>
  </si>
  <si>
    <t>Domec</t>
  </si>
  <si>
    <t>DYCA&lt;XBUE&gt;</t>
  </si>
  <si>
    <t>DYCA</t>
  </si>
  <si>
    <t>Dycasa</t>
  </si>
  <si>
    <t>EDN&lt;XBUE&gt;</t>
  </si>
  <si>
    <t>EDN</t>
  </si>
  <si>
    <t>Edenor</t>
  </si>
  <si>
    <t>CECO2&lt;XBUE&gt;</t>
  </si>
  <si>
    <t>CECO2</t>
  </si>
  <si>
    <t>Enel Generacion Costanera S.A.</t>
  </si>
  <si>
    <t>FERR&lt;XBUE&gt;</t>
  </si>
  <si>
    <t>FERR</t>
  </si>
  <si>
    <t>Ferrum</t>
  </si>
  <si>
    <t>FIPL&lt;XBUE&gt;</t>
  </si>
  <si>
    <t>FIPL</t>
  </si>
  <si>
    <t>Fiplasto</t>
  </si>
  <si>
    <t>GARO&lt;XBUE&gt;</t>
  </si>
  <si>
    <t>GARO</t>
  </si>
  <si>
    <t>Garovaglio</t>
  </si>
  <si>
    <t>GBAN&lt;XBUE&gt;</t>
  </si>
  <si>
    <t>GBAN</t>
  </si>
  <si>
    <t>Gas Natural Ban</t>
  </si>
  <si>
    <t>GRIM&lt;XBUE&gt;</t>
  </si>
  <si>
    <t>GRIM</t>
  </si>
  <si>
    <t>Grimoldi</t>
  </si>
  <si>
    <t>GCLA&lt;XBUE&gt;</t>
  </si>
  <si>
    <t>GCLA</t>
  </si>
  <si>
    <t>Grupo Clarin</t>
  </si>
  <si>
    <t>OEST&lt;XBUE&gt;</t>
  </si>
  <si>
    <t>OEST</t>
  </si>
  <si>
    <t>Grupo Concesionario del Oeste S.A.</t>
  </si>
  <si>
    <t>HARG&lt;XBUE&gt;</t>
  </si>
  <si>
    <t>HARG</t>
  </si>
  <si>
    <t>Holcim Argentina</t>
  </si>
  <si>
    <t>PATA&lt;XBUE&gt;</t>
  </si>
  <si>
    <t>PATA</t>
  </si>
  <si>
    <t>Import. Y Export. de La Patagonia</t>
  </si>
  <si>
    <t>ROSE&lt;XBUE&gt;</t>
  </si>
  <si>
    <t>ROSE</t>
  </si>
  <si>
    <t>Instituto Rosenbusch</t>
  </si>
  <si>
    <t>INAG&lt;XBUE&gt;</t>
  </si>
  <si>
    <t>INAG</t>
  </si>
  <si>
    <t>Insumos Agroquímicos S.A.</t>
  </si>
  <si>
    <t>INTR&lt;XBUE&gt;</t>
  </si>
  <si>
    <t>INTR</t>
  </si>
  <si>
    <t>Introductora</t>
  </si>
  <si>
    <t>INVJ&lt;XBUE&gt;</t>
  </si>
  <si>
    <t>INVJ</t>
  </si>
  <si>
    <t>Inversora Juramento</t>
  </si>
  <si>
    <t>IRSA&lt;XBUE&gt;</t>
  </si>
  <si>
    <t>IRSA</t>
  </si>
  <si>
    <t>Irsa Inversiones Y Representaciones S.A.</t>
  </si>
  <si>
    <t>IRCP&lt;XBUE&gt;</t>
  </si>
  <si>
    <t>IRCP</t>
  </si>
  <si>
    <t>Irsa Propiedades Comerciales S.A Ex Alto Palermo</t>
  </si>
  <si>
    <t>RICH&lt;XBUE&gt;</t>
  </si>
  <si>
    <t>RICH</t>
  </si>
  <si>
    <t>Laboratorios Richmond S.A.C.I.F.</t>
  </si>
  <si>
    <t>LEDE&lt;XBUE&gt;</t>
  </si>
  <si>
    <t>LEDE</t>
  </si>
  <si>
    <t>Ledesma</t>
  </si>
  <si>
    <t>LOMA&lt;XBUE&gt;</t>
  </si>
  <si>
    <t>LOMA</t>
  </si>
  <si>
    <t>Loma Negra</t>
  </si>
  <si>
    <t>LONG&lt;XBUE&gt;</t>
  </si>
  <si>
    <t>LONG</t>
  </si>
  <si>
    <t>Longvie</t>
  </si>
  <si>
    <t>MERA&lt;XBUE&gt;</t>
  </si>
  <si>
    <t>MERA</t>
  </si>
  <si>
    <t>Meranol</t>
  </si>
  <si>
    <t>METR&lt;XBUE&gt;</t>
  </si>
  <si>
    <t>METR</t>
  </si>
  <si>
    <t>Metrogas</t>
  </si>
  <si>
    <t>MIRG&lt;XBUE&gt;</t>
  </si>
  <si>
    <t>MIRG</t>
  </si>
  <si>
    <t>Mirgor</t>
  </si>
  <si>
    <t>MOLA&lt;XBUE&gt;</t>
  </si>
  <si>
    <t>MOLA</t>
  </si>
  <si>
    <t>Molinos Agro S.A.</t>
  </si>
  <si>
    <t>MOLI&lt;XBUE&gt;</t>
  </si>
  <si>
    <t>MOLI</t>
  </si>
  <si>
    <t>Molinos Rio</t>
  </si>
  <si>
    <t>MORI&lt;XBUE&gt;</t>
  </si>
  <si>
    <t>MORI</t>
  </si>
  <si>
    <t>Morixe</t>
  </si>
  <si>
    <t>PAMP&lt;XBUE&gt;</t>
  </si>
  <si>
    <t>PAMP</t>
  </si>
  <si>
    <t>Pampa Energia S.A.</t>
  </si>
  <si>
    <t>PGR&lt;XBUE&gt;</t>
  </si>
  <si>
    <t>PGR</t>
  </si>
  <si>
    <t>Phoenix Global Resources Plc</t>
  </si>
  <si>
    <t>POLL&lt;XBUE&gt;</t>
  </si>
  <si>
    <t>POLL</t>
  </si>
  <si>
    <t>Polledo</t>
  </si>
  <si>
    <t>RIGO&lt;XBUE&gt;</t>
  </si>
  <si>
    <t>RIGO</t>
  </si>
  <si>
    <t>Rigolleau</t>
  </si>
  <si>
    <t>SAMI&lt;XBUE&gt;</t>
  </si>
  <si>
    <t>SAMI</t>
  </si>
  <si>
    <t>San Miguel</t>
  </si>
  <si>
    <t>SEMI&lt;XBUE&gt;</t>
  </si>
  <si>
    <t>SEMI</t>
  </si>
  <si>
    <t>Semino, Mol J</t>
  </si>
  <si>
    <t>TECO2&lt;XBUE&gt;</t>
  </si>
  <si>
    <t>TECO2</t>
  </si>
  <si>
    <t>Telecom Argentina S.A.</t>
  </si>
  <si>
    <t>TXAR&lt;XBUE&gt;</t>
  </si>
  <si>
    <t>TXAR</t>
  </si>
  <si>
    <t>Ternium Argentina</t>
  </si>
  <si>
    <t>TGLT&lt;XBUE&gt;</t>
  </si>
  <si>
    <t>TGLT</t>
  </si>
  <si>
    <t>Tglt S.A.</t>
  </si>
  <si>
    <t>TRAN&lt;XBUE&gt;</t>
  </si>
  <si>
    <t>TRAN</t>
  </si>
  <si>
    <t>Transener</t>
  </si>
  <si>
    <t>TGNO4&lt;XBUE&gt;</t>
  </si>
  <si>
    <t>TGNO4</t>
  </si>
  <si>
    <t>Transp Gas de Norte</t>
  </si>
  <si>
    <t>TGSU2&lt;XBUE&gt;</t>
  </si>
  <si>
    <t>TGSU2</t>
  </si>
  <si>
    <t>Transp Gas Sur</t>
  </si>
  <si>
    <t>YPFD&lt;XBUE&gt;</t>
  </si>
  <si>
    <t>YPFD</t>
  </si>
  <si>
    <t>Ypf S.A.</t>
  </si>
  <si>
    <r>
      <t xml:space="preserve">Reportes Financieros </t>
    </r>
    <r>
      <rPr>
        <sz val="14"/>
        <color theme="1" tint="0.249977111117893"/>
        <rFont val="Calibri"/>
        <family val="2"/>
        <scheme val="minor"/>
      </rPr>
      <t>(empresas no financieras)</t>
    </r>
  </si>
  <si>
    <t>← Seleccione la empresa deseada</t>
  </si>
  <si>
    <t>← No modificar</t>
  </si>
  <si>
    <t>← Seleccione la moneda deseada</t>
  </si>
  <si>
    <t>← Seleccione el multiplicador deseado</t>
  </si>
  <si>
    <t>Fecha:</t>
  </si>
  <si>
    <t>Moneda:</t>
  </si>
  <si>
    <t>Balance:</t>
  </si>
  <si>
    <t>Balance Consolidado o Individual</t>
  </si>
  <si>
    <t>Balance Consolidado:</t>
  </si>
  <si>
    <t>Método Contable:</t>
  </si>
  <si>
    <t>ACTIVO</t>
  </si>
  <si>
    <t>Botones:</t>
  </si>
  <si>
    <t>1- ESTADO DE SITUACIÓN FINANCIERA</t>
  </si>
  <si>
    <t>←Para obter datos del último reporte deje la celda C4 en blanco o ingrese una fecha de preferencia</t>
  </si>
  <si>
    <t>Meses</t>
  </si>
  <si>
    <t xml:space="preserve"> Activo corriente</t>
  </si>
  <si>
    <t xml:space="preserve"> Activo total</t>
  </si>
  <si>
    <t xml:space="preserve">Efectivo y equivalentes </t>
  </si>
  <si>
    <t>Otras inversiones</t>
  </si>
  <si>
    <t>Cuentas por cobrar corrientes</t>
  </si>
  <si>
    <t>Otros creditos</t>
  </si>
  <si>
    <t>Inventarios corrientes</t>
  </si>
  <si>
    <t>Otros activos</t>
  </si>
  <si>
    <t xml:space="preserve"> Activo no corriente</t>
  </si>
  <si>
    <t>Creditos por ventas</t>
  </si>
  <si>
    <t>Inventarios no corrientes</t>
  </si>
  <si>
    <t>Otros créditos</t>
  </si>
  <si>
    <t>Inversiones permanentes</t>
  </si>
  <si>
    <t>Activos intangibles</t>
  </si>
  <si>
    <t>Impuestos diferidos</t>
  </si>
  <si>
    <t>Propiedad, planta y equipo</t>
  </si>
  <si>
    <t>Activo en moneda extranjera</t>
  </si>
  <si>
    <t>PASIVO</t>
  </si>
  <si>
    <t>Pasivo y patrimonio neta</t>
  </si>
  <si>
    <t>Pasivo total</t>
  </si>
  <si>
    <t>Pasivo corriente</t>
  </si>
  <si>
    <t>Proveedores corrientes</t>
  </si>
  <si>
    <t>Deudas financieras</t>
  </si>
  <si>
    <t>Obligaciones negociables</t>
  </si>
  <si>
    <t>Ingresos diferidos</t>
  </si>
  <si>
    <t>Previsiones y provisiones</t>
  </si>
  <si>
    <t>Remuneraciones y cargas sociales</t>
  </si>
  <si>
    <t>Otros pasivos</t>
  </si>
  <si>
    <t>Cargas fiscales</t>
  </si>
  <si>
    <t>Pasivo no corriente</t>
  </si>
  <si>
    <t>Deudas comerciales</t>
  </si>
  <si>
    <t>Anticipo de clientes</t>
  </si>
  <si>
    <t>Pasivos por impuesto diferido</t>
  </si>
  <si>
    <t>Patrimonio neto consolidado</t>
  </si>
  <si>
    <t>Participación no controlada</t>
  </si>
  <si>
    <t>Patrimonio atribuible a los propietarios</t>
  </si>
  <si>
    <t>Capital social</t>
  </si>
  <si>
    <t>Ajuste de capital</t>
  </si>
  <si>
    <t>Prima de emisión</t>
  </si>
  <si>
    <t xml:space="preserve">Prima de fusión </t>
  </si>
  <si>
    <t>Acciones propias en cartera</t>
  </si>
  <si>
    <t>Reserva legal</t>
  </si>
  <si>
    <t>Otras reservas</t>
  </si>
  <si>
    <t>Resultados diferidos</t>
  </si>
  <si>
    <t>Resultados acumulados</t>
  </si>
  <si>
    <t>Pasivo en moneda extranjera</t>
  </si>
  <si>
    <t>Aportes no capitalizados</t>
  </si>
  <si>
    <t>2 - ESTADO DE RESULTADOS</t>
  </si>
  <si>
    <t>Ingresos netos</t>
  </si>
  <si>
    <t>Costo de ventas</t>
  </si>
  <si>
    <t>Gastos de administración y comercialización</t>
  </si>
  <si>
    <t>Gastos de administración</t>
  </si>
  <si>
    <t>Gastos de comercialización</t>
  </si>
  <si>
    <t>Otros ingresos y gastos operativos</t>
  </si>
  <si>
    <t>Otros resultados operativos</t>
  </si>
  <si>
    <t>Resultado bruto</t>
  </si>
  <si>
    <t>Resultado operativos</t>
  </si>
  <si>
    <t>Efecto de la financiación</t>
  </si>
  <si>
    <t>Ingresos financieros</t>
  </si>
  <si>
    <t>Diferencia de cambio</t>
  </si>
  <si>
    <t>Otros ingresos financieros</t>
  </si>
  <si>
    <t>Costos financieros</t>
  </si>
  <si>
    <t>Intereses ganados</t>
  </si>
  <si>
    <t>Intereses perdidos</t>
  </si>
  <si>
    <t>Otros costos financieros</t>
  </si>
  <si>
    <t>Otros resultados financieros (RECPAM)</t>
  </si>
  <si>
    <t>Otros ingresos y egresos netos</t>
  </si>
  <si>
    <t>Resultados por participación en asociadas</t>
  </si>
  <si>
    <t>Resultado antes de impuesto a las ganacias</t>
  </si>
  <si>
    <t>Impuesto a las ganancias</t>
  </si>
  <si>
    <t>Resultado neto del periodo</t>
  </si>
  <si>
    <t>Resultado de operaciones continuadas</t>
  </si>
  <si>
    <t>Resultado de operaciones discontinuadas</t>
  </si>
  <si>
    <t>Resultado neto del interés no controlante</t>
  </si>
  <si>
    <t>Resultado atribuible a los accionistas de la controlante</t>
  </si>
  <si>
    <t>Total de otros resultados integrales</t>
  </si>
  <si>
    <t>Resultado integral del periodo</t>
  </si>
  <si>
    <t>Resultado integral del interés no controlante</t>
  </si>
  <si>
    <t>Resultado integral atribuible a los accionistas de la controlante</t>
  </si>
  <si>
    <t>3 - FLUJO DE CAJA (EOAF)</t>
  </si>
  <si>
    <t>Bonos corporativos no financieros</t>
  </si>
  <si>
    <t>AGRO-NYSE&lt;ArgNa&gt;</t>
  </si>
  <si>
    <t>AERO&lt;ArgNa&gt;</t>
  </si>
  <si>
    <t>HALI&lt;ArgNa&gt;</t>
  </si>
  <si>
    <t>AGFI&lt;ArgNa&gt;</t>
  </si>
  <si>
    <t>ALGA&lt;ArgNa&gt;</t>
  </si>
  <si>
    <t>AS&lt;ArgNa&gt;</t>
  </si>
  <si>
    <t>ESTR&lt;ArgNa&gt;</t>
  </si>
  <si>
    <t>ARCOR&lt;ArgNa&gt;</t>
  </si>
  <si>
    <t>ARCO-NYSE&lt;ArgNa&gt;</t>
  </si>
  <si>
    <t>DONM&lt;ArgNa&gt;</t>
  </si>
  <si>
    <t>BIOX&lt;ArgNa&gt;</t>
  </si>
  <si>
    <t>CTRO&lt;ArgNa&gt;</t>
  </si>
  <si>
    <t>CLIS&lt;ArgNa&gt;</t>
  </si>
  <si>
    <t>COMB&lt;ArgNa&gt;</t>
  </si>
  <si>
    <t>COUR&lt;ArgNa&gt;</t>
  </si>
  <si>
    <t>DESP-NYSE&lt;ArgNa&gt;</t>
  </si>
  <si>
    <t>DISA&lt;ArgNa&gt;</t>
  </si>
  <si>
    <t>DULC&lt;ArgNa&gt;</t>
  </si>
  <si>
    <t>DSUR&lt;ArgNa&gt;</t>
  </si>
  <si>
    <t>EDEM&lt;ArgNa&gt;</t>
  </si>
  <si>
    <t>DESA&lt;ArgNa&gt;</t>
  </si>
  <si>
    <t>ELAP&lt;ArgNa&gt;</t>
  </si>
  <si>
    <t>REGE&lt;ArgNa&gt;</t>
  </si>
  <si>
    <t>GEME&lt;ArgNa&gt;</t>
  </si>
  <si>
    <t>EMGA&lt;ArgNa&gt;</t>
  </si>
  <si>
    <t>GLOB-NYSE&lt;ArgNa&gt;</t>
  </si>
  <si>
    <t>INPE&lt;ArgNa&gt;</t>
  </si>
  <si>
    <t>IEBA&lt;ArgNa&gt;</t>
  </si>
  <si>
    <t>LEID&lt;ArgNa&gt;</t>
  </si>
  <si>
    <t>LIAG&lt;ArgNa&gt;</t>
  </si>
  <si>
    <t>GROB&lt;ArgNa&gt;</t>
  </si>
  <si>
    <t>MTES&lt;ArgNa&gt;</t>
  </si>
  <si>
    <t>MELI-NASDAQ&lt;ArgNa&gt;</t>
  </si>
  <si>
    <t>MVIA&lt;ArgNa&gt;</t>
  </si>
  <si>
    <t>MILI&lt;ArgNa&gt;</t>
  </si>
  <si>
    <t>MSU&lt;ArgNa&gt;</t>
  </si>
  <si>
    <t>PAME&lt;ArgNa&gt;</t>
  </si>
  <si>
    <t>PREN72&lt;ArgNa&gt;</t>
  </si>
  <si>
    <t>RAGH&lt;ArgNa&gt;</t>
  </si>
  <si>
    <t>RIBE&lt;ArgNa&gt;</t>
  </si>
  <si>
    <t>RIZO&lt;ArgNa&gt;</t>
  </si>
  <si>
    <t>ROCH&lt;ArgNa&gt;</t>
  </si>
  <si>
    <t>STSA&lt;ArgNa&gt;</t>
  </si>
  <si>
    <t>SAVA&lt;ArgNa&gt;</t>
  </si>
  <si>
    <t>TECP&lt;ArgNa&gt;</t>
  </si>
  <si>
    <t>TX-NYSE&lt;ArgNa&gt;</t>
  </si>
  <si>
    <t>VETA&lt;ArgNa&gt;</t>
  </si>
  <si>
    <t>VISTA&lt;ArgNa&gt;</t>
  </si>
  <si>
    <t>AGRO-NYSE</t>
  </si>
  <si>
    <t>AERO</t>
  </si>
  <si>
    <t>HALI</t>
  </si>
  <si>
    <t>AGFI</t>
  </si>
  <si>
    <t>ALGA</t>
  </si>
  <si>
    <t>AS</t>
  </si>
  <si>
    <t>ESTR</t>
  </si>
  <si>
    <t>ARCOR</t>
  </si>
  <si>
    <t>ARCO-NYSE</t>
  </si>
  <si>
    <t>DONM</t>
  </si>
  <si>
    <t>BIOX</t>
  </si>
  <si>
    <t>CTRO</t>
  </si>
  <si>
    <t>CLIS</t>
  </si>
  <si>
    <t>COMB</t>
  </si>
  <si>
    <t>COUR</t>
  </si>
  <si>
    <t>DESP-NYSE</t>
  </si>
  <si>
    <t>DISA</t>
  </si>
  <si>
    <t>DULC</t>
  </si>
  <si>
    <t>DSUR</t>
  </si>
  <si>
    <t>EDEM</t>
  </si>
  <si>
    <t>DESA</t>
  </si>
  <si>
    <t>ELAP</t>
  </si>
  <si>
    <t>REGE</t>
  </si>
  <si>
    <t>GEME</t>
  </si>
  <si>
    <t>EMGA</t>
  </si>
  <si>
    <t>GLOB-NYSE</t>
  </si>
  <si>
    <t>INPE</t>
  </si>
  <si>
    <t>IEBA</t>
  </si>
  <si>
    <t>LEID</t>
  </si>
  <si>
    <t>LIAG</t>
  </si>
  <si>
    <t>GROB</t>
  </si>
  <si>
    <t>MTES</t>
  </si>
  <si>
    <t>MELI-NASDAQ</t>
  </si>
  <si>
    <t>MVIA</t>
  </si>
  <si>
    <t>MILI</t>
  </si>
  <si>
    <t>MSU</t>
  </si>
  <si>
    <t>PAME</t>
  </si>
  <si>
    <t>PREN72</t>
  </si>
  <si>
    <t>RAGH</t>
  </si>
  <si>
    <t>RIBE</t>
  </si>
  <si>
    <t>RIZO</t>
  </si>
  <si>
    <t>ROCH</t>
  </si>
  <si>
    <t>STSA</t>
  </si>
  <si>
    <t>SAVA</t>
  </si>
  <si>
    <t>TECP</t>
  </si>
  <si>
    <t>TX-NYSE</t>
  </si>
  <si>
    <t>VETA</t>
  </si>
  <si>
    <t>VISTA</t>
  </si>
  <si>
    <t>Adecoagro</t>
  </si>
  <si>
    <t>Aeropuertos Argentina 2000 S.A.</t>
  </si>
  <si>
    <t>Aes Argentina Generacion S.A</t>
  </si>
  <si>
    <t>Agrofina S. A.</t>
  </si>
  <si>
    <t>Algabo S.A.</t>
  </si>
  <si>
    <t>Alianza Semillas S.A.</t>
  </si>
  <si>
    <t>Angel Estrada Y Cia.</t>
  </si>
  <si>
    <t>Arcor S.A.</t>
  </si>
  <si>
    <t>Arcos Dorados</t>
  </si>
  <si>
    <t>Asociados Don Mario S.A</t>
  </si>
  <si>
    <t>Bioceres S. A.</t>
  </si>
  <si>
    <t>Central Termica Roca S.A.</t>
  </si>
  <si>
    <t>Clisa Compñia Latinoamericana de Infra. &amp; Serv.</t>
  </si>
  <si>
    <t>Compañia General de Combustible S A.</t>
  </si>
  <si>
    <t>Continental Urbana</t>
  </si>
  <si>
    <t>Despegar.Com, Corp.</t>
  </si>
  <si>
    <t>Disal S.A</t>
  </si>
  <si>
    <t>Dulcor S.A.</t>
  </si>
  <si>
    <t>Edesur</t>
  </si>
  <si>
    <t>Empresa Distribuidora de Electricidad de Mendoza</t>
  </si>
  <si>
    <t>Empresa Distribuidora de Electricidad Salta S.A</t>
  </si>
  <si>
    <t>Empresa Distribuidora La Plata S.A.</t>
  </si>
  <si>
    <t>Garcia Reguera</t>
  </si>
  <si>
    <t>Generacion Mediterranea S.A.</t>
  </si>
  <si>
    <t>Genneia S.A.</t>
  </si>
  <si>
    <t>Globant S.A.</t>
  </si>
  <si>
    <t>Industrias Metalurgica Pescarmona S.A.</t>
  </si>
  <si>
    <t>Inversora Electrica de Buenos Aires S.A</t>
  </si>
  <si>
    <t>Leyden Saic</t>
  </si>
  <si>
    <t>Liag Argentina S.A.</t>
  </si>
  <si>
    <t>Los Grobo Agropecuaria S.A.</t>
  </si>
  <si>
    <t>Mastellone Hnos S.A.</t>
  </si>
  <si>
    <t>Mercado Libre</t>
  </si>
  <si>
    <t>Metrovias S.A.</t>
  </si>
  <si>
    <t>Milicic S.A.</t>
  </si>
  <si>
    <t>Msu S.A.</t>
  </si>
  <si>
    <t>Pan American Energy Llc Sucursal Argentina S.A</t>
  </si>
  <si>
    <t>Prensa, Papel</t>
  </si>
  <si>
    <t>Raghsa S.A.</t>
  </si>
  <si>
    <t>Ribeiro S.A.C.I.F.A. E I.</t>
  </si>
  <si>
    <t>Rizobacters S.A.</t>
  </si>
  <si>
    <t>Roch S.A.</t>
  </si>
  <si>
    <t>Santiago Saenz S. A.</t>
  </si>
  <si>
    <t>Savant Pharm S.A.</t>
  </si>
  <si>
    <t>Tecpetrol S.A.</t>
  </si>
  <si>
    <t>Ternium</t>
  </si>
  <si>
    <t>Vetanco S.A.</t>
  </si>
  <si>
    <t>Vista Oil &amp; Gas</t>
  </si>
  <si>
    <t>Flujo neto de efectivo de las actividades operativas</t>
  </si>
  <si>
    <t>FLUJO DE CAJA</t>
  </si>
  <si>
    <t>Resultado neto</t>
  </si>
  <si>
    <t>Ajuste generado por las operaciones</t>
  </si>
  <si>
    <t>Intereses devengados</t>
  </si>
  <si>
    <t>Intereses pagados</t>
  </si>
  <si>
    <t>Depreciación y amortización</t>
  </si>
  <si>
    <t>Depreciaición de Prop. Planta y Equipo</t>
  </si>
  <si>
    <t>Amortización de Intangibles</t>
  </si>
  <si>
    <t>Amortización de inversiones</t>
  </si>
  <si>
    <t>Otras amortizaciones</t>
  </si>
  <si>
    <t>Bajas de bienes de uso</t>
  </si>
  <si>
    <t>Previsiones y provisiones netas</t>
  </si>
  <si>
    <t>Resultado por participación en negocios conjuntos y asociadas</t>
  </si>
  <si>
    <t>Imp. a las ganancias e imp. minimo presunto</t>
  </si>
  <si>
    <t>Resultado financiero y por tenencia</t>
  </si>
  <si>
    <t>Diversos</t>
  </si>
  <si>
    <t>Cambios en pasivos y activos operativos</t>
  </si>
  <si>
    <t>Créditos por ventas</t>
  </si>
  <si>
    <t>Inventarios</t>
  </si>
  <si>
    <t>Deudas comerciales y otras deudas</t>
  </si>
  <si>
    <t>Otras deudas</t>
  </si>
  <si>
    <t>Previsión y provisión</t>
  </si>
  <si>
    <t>Intereses cobrados</t>
  </si>
  <si>
    <t>Pago por impuesto a las ganancias</t>
  </si>
  <si>
    <t>Flujo neto de efectivo de las actividades de inversión</t>
  </si>
  <si>
    <t>Adquisición de propiedad, planta y equipo</t>
  </si>
  <si>
    <t>Aporte en subsidiarias</t>
  </si>
  <si>
    <t>Adquisición de activos intangibles</t>
  </si>
  <si>
    <t>Adquisición de Inversión en sociedades</t>
  </si>
  <si>
    <t>Disminución de otras inversiones</t>
  </si>
  <si>
    <t>Aporte de accionistas</t>
  </si>
  <si>
    <t>Otras actividades de inversión</t>
  </si>
  <si>
    <t>Préstamos otorgados</t>
  </si>
  <si>
    <t>Dividendos recibidos</t>
  </si>
  <si>
    <t>Flujo neto de efectivo procedente de las actividades de financiación</t>
  </si>
  <si>
    <t>Dividendos pagado</t>
  </si>
  <si>
    <t>Préstamos obtenidos</t>
  </si>
  <si>
    <t>Pago de préstamos</t>
  </si>
  <si>
    <t>Pago de intereses</t>
  </si>
  <si>
    <t>Otras actividades de financiación</t>
  </si>
  <si>
    <t>Variación neta del efectivo y equivalente de efectivo</t>
  </si>
  <si>
    <t>Efecto de la variación del tipo de cambio y otros ajustes</t>
  </si>
  <si>
    <t>Efectivo y equivalente de efectivo al inicio del periodo</t>
  </si>
  <si>
    <t>Ajustes sobre el efectivo al inicio</t>
  </si>
  <si>
    <t>Efectivo y equivalentes de efectivo al cierre del período..</t>
  </si>
  <si>
    <t>4 - GASTOS POR NATURALEZA</t>
  </si>
  <si>
    <t>ESTADO DE RESULTADOS</t>
  </si>
  <si>
    <t>Anexo H</t>
  </si>
  <si>
    <t>Total de gastos de producción, comercialización y administración</t>
  </si>
  <si>
    <t>Sueldos, jornales y cargas sociales</t>
  </si>
  <si>
    <t>Remuneración y beneficio al personal</t>
  </si>
  <si>
    <t>Remuneración a directores y síndicos</t>
  </si>
  <si>
    <t>Honotario y retribución por servicio</t>
  </si>
  <si>
    <t>Depreciación de propiedad, planta y equipo</t>
  </si>
  <si>
    <t>Amortización de activos intangibles</t>
  </si>
  <si>
    <t>Consumo de energía, gas y combustible</t>
  </si>
  <si>
    <t>Consumo de materiales</t>
  </si>
  <si>
    <t>Mantenimiento</t>
  </si>
  <si>
    <t>Alquileres y seguros</t>
  </si>
  <si>
    <t>Fletes y acarreos</t>
  </si>
  <si>
    <t>Viatico y movilidad</t>
  </si>
  <si>
    <t>Gastos de oficina</t>
  </si>
  <si>
    <t>Publicidad y promoción institucional</t>
  </si>
  <si>
    <t>Impuestos, tasas y contribuciones</t>
  </si>
  <si>
    <t>Comisiones bancarias</t>
  </si>
  <si>
    <t>Deudores incobrables</t>
  </si>
  <si>
    <t>Prestación de servicios por terceros</t>
  </si>
  <si>
    <t>Multas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</si>
</sst>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R$&quot;\ * #,##0.00_-;\-&quot;R$&quot;\ * #,##0.00_-;_-&quot;R$&quot;\ * &quot;-&quot;??_-;_-@_-"/>
    <numFmt numFmtId="165" formatCode="dd/mm/yy;@"/>
    <numFmt numFmtId="166" formatCode="#,##0_ ;[Red]\-#,##0\ "/>
    <numFmt numFmtId="167" formatCode="#,##0.00_ ;[Red]\-#,##0.00\ "/>
    <numFmt numFmtId="170" formatCode="dd/mm/yyyy"/>
  </numFmts>
  <fonts count="28" x14ac:knownFonts="1">
    <font>
      <sz val="11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000000"/>
      <name val="Segoe UI"/>
      <family val="2"/>
    </font>
    <font>
      <b/>
      <sz val="10"/>
      <color rgb="FF333333"/>
      <name val="Calibri"/>
      <family val="2"/>
      <scheme val="minor"/>
    </font>
    <font>
      <sz val="10"/>
      <color rgb="FF0015AA"/>
      <name val="Calibri"/>
      <family val="2"/>
      <scheme val="minor"/>
    </font>
    <font>
      <sz val="10"/>
      <color rgb="FF3297D3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20"/>
      <color rgb="FF006B66"/>
      <name val="Calibri"/>
      <family val="2"/>
      <scheme val="minor"/>
    </font>
    <font>
      <b/>
      <sz val="11"/>
      <color rgb="FF006B66"/>
      <name val="Calibri"/>
      <family val="2"/>
      <scheme val="minor"/>
    </font>
    <font>
      <b/>
      <sz val="10"/>
      <color rgb="FF006B66"/>
      <name val="Arial"/>
      <family val="2"/>
    </font>
    <font>
      <sz val="14"/>
      <color theme="1" tint="0.249977111117893"/>
      <name val="Calibri"/>
      <family val="2"/>
      <scheme val="minor"/>
    </font>
    <font>
      <b/>
      <sz val="10"/>
      <color rgb="FF006B66"/>
      <name val="Calibri"/>
      <family val="2"/>
      <scheme val="minor"/>
    </font>
    <font>
      <b/>
      <sz val="12"/>
      <color rgb="FF006B66"/>
      <name val="Calibri"/>
      <family val="2"/>
      <scheme val="minor"/>
    </font>
    <font>
      <sz val="10"/>
      <color rgb="FF006B66"/>
      <name val="Calibri"/>
      <family val="2"/>
      <scheme val="minor"/>
    </font>
    <font>
      <sz val="16"/>
      <color rgb="FF006B66"/>
      <name val="Calibri"/>
      <family val="2"/>
      <scheme val="minor"/>
    </font>
    <font>
      <b/>
      <sz val="11"/>
      <color rgb="FF009999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b/>
      <sz val="10"/>
      <color theme="4" tint="-0.249977111117893"/>
      <name val="Calibri"/>
      <family val="2"/>
      <scheme val="minor"/>
    </font>
    <font>
      <sz val="10"/>
      <color theme="4" tint="0.3999755851924192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auto="1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AE2D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rgb="FF006B66"/>
      </top>
      <bottom style="thin">
        <color rgb="FF006B66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6B66"/>
      </top>
      <bottom style="thin">
        <color indexed="64"/>
      </bottom>
      <diagonal/>
    </border>
    <border>
      <left/>
      <right/>
      <top style="thin">
        <color rgb="FF006B66"/>
      </top>
      <bottom/>
      <diagonal/>
    </border>
    <border>
      <left/>
      <right style="thin">
        <color indexed="64"/>
      </right>
      <top style="thin">
        <color rgb="FF006B66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rgb="FF006B66"/>
      </top>
      <bottom style="thin">
        <color rgb="FF006B66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6B66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 style="thin">
        <color rgb="FF006B66"/>
      </top>
      <bottom style="thin">
        <color rgb="FF006B6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rgb="FF006B66"/>
      </bottom>
      <diagonal/>
    </border>
    <border>
      <left style="thin">
        <color indexed="64"/>
      </left>
      <right/>
      <top style="thin">
        <color rgb="FF006B66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 style="thin">
        <color rgb="FF006B66"/>
      </top>
      <bottom style="thin">
        <color rgb="FF006B66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80">
    <xf numFmtId="0" fontId="0" fillId="0" borderId="0" xfId="0"/>
    <xf numFmtId="37" fontId="3" fillId="0" borderId="0" xfId="0" applyNumberFormat="1" applyFont="1"/>
    <xf numFmtId="0" fontId="3" fillId="0" borderId="0" xfId="0" applyFont="1"/>
    <xf numFmtId="0" fontId="1" fillId="0" borderId="0" xfId="0" applyFont="1"/>
    <xf numFmtId="0" fontId="6" fillId="0" borderId="0" xfId="0" applyFont="1"/>
    <xf numFmtId="37" fontId="5" fillId="0" borderId="0" xfId="0" applyNumberFormat="1" applyFont="1"/>
    <xf numFmtId="0" fontId="5" fillId="0" borderId="0" xfId="0" applyFont="1" applyAlignment="1">
      <alignment vertical="center"/>
    </xf>
    <xf numFmtId="37" fontId="6" fillId="0" borderId="0" xfId="0" applyNumberFormat="1" applyFont="1" applyAlignment="1">
      <alignment horizontal="left"/>
    </xf>
    <xf numFmtId="37" fontId="4" fillId="0" borderId="0" xfId="0" applyNumberFormat="1" applyFont="1"/>
    <xf numFmtId="37" fontId="12" fillId="0" borderId="0" xfId="0" applyNumberFormat="1" applyFont="1"/>
    <xf numFmtId="0" fontId="13" fillId="0" borderId="1" xfId="0" quotePrefix="1" applyFont="1" applyBorder="1" applyAlignment="1" applyProtection="1">
      <alignment horizontal="center"/>
      <protection locked="0"/>
    </xf>
    <xf numFmtId="37" fontId="3" fillId="0" borderId="0" xfId="0" applyNumberFormat="1" applyFont="1" applyAlignment="1">
      <alignment horizontal="left"/>
    </xf>
    <xf numFmtId="37" fontId="14" fillId="0" borderId="0" xfId="0" applyNumberFormat="1" applyFont="1"/>
    <xf numFmtId="0" fontId="3" fillId="0" borderId="0" xfId="0" applyFont="1" applyAlignment="1">
      <alignment horizontal="center"/>
    </xf>
    <xf numFmtId="0" fontId="15" fillId="5" borderId="0" xfId="0" applyFont="1" applyFill="1" applyAlignment="1">
      <alignment horizontal="left" vertical="center"/>
    </xf>
    <xf numFmtId="37" fontId="16" fillId="0" borderId="0" xfId="0" applyNumberFormat="1" applyFont="1" applyAlignment="1">
      <alignment horizontal="left"/>
    </xf>
    <xf numFmtId="37" fontId="17" fillId="0" borderId="0" xfId="0" applyNumberFormat="1" applyFont="1" applyAlignment="1">
      <alignment horizontal="left" vertical="center"/>
    </xf>
    <xf numFmtId="14" fontId="5" fillId="0" borderId="0" xfId="0" applyNumberFormat="1" applyFont="1" applyAlignment="1">
      <alignment horizontal="left"/>
    </xf>
    <xf numFmtId="0" fontId="5" fillId="0" borderId="0" xfId="0" applyFont="1"/>
    <xf numFmtId="37" fontId="17" fillId="0" borderId="0" xfId="0" applyNumberFormat="1" applyFont="1" applyAlignment="1">
      <alignment horizontal="left"/>
    </xf>
    <xf numFmtId="0" fontId="6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21" fillId="0" borderId="0" xfId="0" applyFont="1" applyAlignment="1">
      <alignment horizontal="right"/>
    </xf>
    <xf numFmtId="165" fontId="19" fillId="6" borderId="3" xfId="0" quotePrefix="1" applyNumberFormat="1" applyFont="1" applyFill="1" applyBorder="1" applyAlignment="1" applyProtection="1">
      <alignment horizontal="center"/>
      <protection locked="0"/>
    </xf>
    <xf numFmtId="166" fontId="6" fillId="0" borderId="0" xfId="1" applyNumberFormat="1" applyFont="1" applyAlignment="1">
      <alignment horizontal="center"/>
    </xf>
    <xf numFmtId="166" fontId="3" fillId="0" borderId="0" xfId="1" applyNumberFormat="1" applyFont="1" applyAlignment="1">
      <alignment horizontal="center"/>
    </xf>
    <xf numFmtId="14" fontId="5" fillId="4" borderId="2" xfId="0" applyNumberFormat="1" applyFont="1" applyFill="1" applyBorder="1" applyAlignment="1">
      <alignment horizontal="left"/>
    </xf>
    <xf numFmtId="14" fontId="0" fillId="0" borderId="0" xfId="0" applyNumberFormat="1"/>
    <xf numFmtId="0" fontId="22" fillId="7" borderId="0" xfId="0" applyFont="1" applyFill="1" applyAlignment="1">
      <alignment horizontal="left" vertical="center"/>
    </xf>
    <xf numFmtId="0" fontId="0" fillId="7" borderId="0" xfId="0" applyFill="1"/>
    <xf numFmtId="0" fontId="23" fillId="8" borderId="0" xfId="0" applyFont="1" applyFill="1" applyAlignment="1">
      <alignment horizontal="center" vertical="center"/>
    </xf>
    <xf numFmtId="14" fontId="24" fillId="0" borderId="0" xfId="0" applyNumberFormat="1" applyFont="1" applyAlignment="1">
      <alignment horizontal="center"/>
    </xf>
    <xf numFmtId="167" fontId="5" fillId="0" borderId="0" xfId="1" applyNumberFormat="1" applyFont="1" applyAlignment="1">
      <alignment horizontal="center"/>
    </xf>
    <xf numFmtId="166" fontId="5" fillId="0" borderId="0" xfId="1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6" fontId="3" fillId="0" borderId="0" xfId="0" applyNumberFormat="1" applyFont="1"/>
    <xf numFmtId="0" fontId="22" fillId="7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left" vertical="center" wrapText="1" indent="3" shrinkToFit="1"/>
    </xf>
    <xf numFmtId="166" fontId="3" fillId="0" borderId="1" xfId="1" applyNumberFormat="1" applyFont="1" applyBorder="1" applyAlignment="1">
      <alignment horizontal="center"/>
    </xf>
    <xf numFmtId="166" fontId="6" fillId="0" borderId="1" xfId="1" applyNumberFormat="1" applyFont="1" applyBorder="1" applyAlignment="1">
      <alignment horizontal="center"/>
    </xf>
    <xf numFmtId="166" fontId="3" fillId="0" borderId="4" xfId="1" applyNumberFormat="1" applyFont="1" applyBorder="1" applyAlignment="1">
      <alignment horizontal="center"/>
    </xf>
    <xf numFmtId="166" fontId="3" fillId="0" borderId="0" xfId="1" applyNumberFormat="1" applyFont="1" applyBorder="1" applyAlignment="1">
      <alignment horizontal="center"/>
    </xf>
    <xf numFmtId="166" fontId="6" fillId="0" borderId="6" xfId="1" applyNumberFormat="1" applyFont="1" applyBorder="1" applyAlignment="1">
      <alignment horizontal="center"/>
    </xf>
    <xf numFmtId="166" fontId="6" fillId="0" borderId="5" xfId="1" applyNumberFormat="1" applyFont="1" applyBorder="1" applyAlignment="1">
      <alignment horizontal="center"/>
    </xf>
    <xf numFmtId="14" fontId="19" fillId="6" borderId="8" xfId="0" quotePrefix="1" applyNumberFormat="1" applyFont="1" applyFill="1" applyBorder="1" applyAlignment="1" applyProtection="1">
      <alignment horizontal="center"/>
      <protection locked="0"/>
    </xf>
    <xf numFmtId="166" fontId="6" fillId="0" borderId="9" xfId="1" applyNumberFormat="1" applyFont="1" applyBorder="1" applyAlignment="1">
      <alignment horizontal="center"/>
    </xf>
    <xf numFmtId="166" fontId="3" fillId="0" borderId="9" xfId="1" applyNumberFormat="1" applyFont="1" applyBorder="1" applyAlignment="1">
      <alignment horizontal="center"/>
    </xf>
    <xf numFmtId="166" fontId="3" fillId="0" borderId="10" xfId="1" applyNumberFormat="1" applyFont="1" applyBorder="1" applyAlignment="1">
      <alignment horizontal="center"/>
    </xf>
    <xf numFmtId="166" fontId="6" fillId="0" borderId="10" xfId="1" applyNumberFormat="1" applyFont="1" applyBorder="1" applyAlignment="1">
      <alignment horizontal="center"/>
    </xf>
    <xf numFmtId="166" fontId="6" fillId="0" borderId="11" xfId="1" applyNumberFormat="1" applyFont="1" applyBorder="1" applyAlignment="1">
      <alignment horizontal="center"/>
    </xf>
    <xf numFmtId="166" fontId="3" fillId="0" borderId="12" xfId="1" applyNumberFormat="1" applyFont="1" applyBorder="1" applyAlignment="1">
      <alignment horizontal="center"/>
    </xf>
    <xf numFmtId="170" fontId="19" fillId="6" borderId="8" xfId="0" quotePrefix="1" applyNumberFormat="1" applyFont="1" applyFill="1" applyBorder="1" applyAlignment="1" applyProtection="1">
      <alignment horizontal="center"/>
      <protection locked="0"/>
    </xf>
    <xf numFmtId="166" fontId="6" fillId="0" borderId="7" xfId="1" applyNumberFormat="1" applyFont="1" applyBorder="1" applyAlignment="1">
      <alignment horizontal="center"/>
    </xf>
    <xf numFmtId="165" fontId="19" fillId="6" borderId="13" xfId="0" quotePrefix="1" applyNumberFormat="1" applyFont="1" applyFill="1" applyBorder="1" applyAlignment="1" applyProtection="1">
      <alignment horizontal="center"/>
      <protection locked="0"/>
    </xf>
    <xf numFmtId="0" fontId="20" fillId="6" borderId="14" xfId="0" quotePrefix="1" applyFont="1" applyFill="1" applyBorder="1" applyAlignment="1" applyProtection="1">
      <alignment horizontal="center"/>
      <protection locked="0"/>
    </xf>
    <xf numFmtId="0" fontId="9" fillId="3" borderId="14" xfId="0" applyFont="1" applyFill="1" applyBorder="1" applyAlignment="1">
      <alignment horizontal="left" vertical="center" shrinkToFit="1"/>
    </xf>
    <xf numFmtId="0" fontId="26" fillId="3" borderId="15" xfId="0" applyFont="1" applyFill="1" applyBorder="1" applyAlignment="1">
      <alignment horizontal="left" vertical="center" indent="1" shrinkToFit="1"/>
    </xf>
    <xf numFmtId="0" fontId="11" fillId="3" borderId="15" xfId="0" applyFont="1" applyFill="1" applyBorder="1" applyAlignment="1">
      <alignment horizontal="left" vertical="center" indent="2" shrinkToFit="1"/>
    </xf>
    <xf numFmtId="0" fontId="25" fillId="3" borderId="16" xfId="0" applyFont="1" applyFill="1" applyBorder="1" applyAlignment="1">
      <alignment horizontal="left" vertical="center" indent="1" shrinkToFit="1"/>
    </xf>
    <xf numFmtId="0" fontId="20" fillId="6" borderId="17" xfId="0" quotePrefix="1" applyFont="1" applyFill="1" applyBorder="1" applyAlignment="1" applyProtection="1">
      <alignment horizontal="center"/>
      <protection locked="0"/>
    </xf>
    <xf numFmtId="0" fontId="9" fillId="3" borderId="18" xfId="0" applyFont="1" applyFill="1" applyBorder="1" applyAlignment="1">
      <alignment horizontal="left" vertical="center" shrinkToFit="1"/>
    </xf>
    <xf numFmtId="0" fontId="9" fillId="3" borderId="16" xfId="0" applyFont="1" applyFill="1" applyBorder="1" applyAlignment="1">
      <alignment horizontal="left" vertical="center" shrinkToFit="1"/>
    </xf>
    <xf numFmtId="0" fontId="10" fillId="3" borderId="15" xfId="0" applyFont="1" applyFill="1" applyBorder="1" applyAlignment="1">
      <alignment horizontal="left" vertical="center" indent="3" shrinkToFit="1"/>
    </xf>
    <xf numFmtId="0" fontId="11" fillId="3" borderId="16" xfId="0" applyFont="1" applyFill="1" applyBorder="1" applyAlignment="1">
      <alignment horizontal="left" vertical="center" indent="2" shrinkToFit="1"/>
    </xf>
    <xf numFmtId="0" fontId="26" fillId="3" borderId="19" xfId="0" applyFont="1" applyFill="1" applyBorder="1" applyAlignment="1">
      <alignment horizontal="left" vertical="center" indent="1" shrinkToFit="1"/>
    </xf>
    <xf numFmtId="0" fontId="20" fillId="6" borderId="20" xfId="0" quotePrefix="1" applyFont="1" applyFill="1" applyBorder="1" applyAlignment="1" applyProtection="1">
      <alignment horizontal="center"/>
      <protection locked="0"/>
    </xf>
    <xf numFmtId="0" fontId="6" fillId="0" borderId="15" xfId="0" quotePrefix="1" applyFont="1" applyBorder="1"/>
    <xf numFmtId="0" fontId="11" fillId="3" borderId="15" xfId="0" applyFont="1" applyFill="1" applyBorder="1" applyAlignment="1">
      <alignment horizontal="left" vertical="center" wrapText="1" indent="2" shrinkToFit="1"/>
    </xf>
    <xf numFmtId="0" fontId="11" fillId="3" borderId="15" xfId="0" applyFont="1" applyFill="1" applyBorder="1" applyAlignment="1">
      <alignment horizontal="left" vertical="center" indent="1" shrinkToFit="1"/>
    </xf>
    <xf numFmtId="0" fontId="10" fillId="3" borderId="15" xfId="0" applyFont="1" applyFill="1" applyBorder="1" applyAlignment="1">
      <alignment horizontal="left" vertical="center" indent="2" shrinkToFit="1"/>
    </xf>
    <xf numFmtId="0" fontId="11" fillId="3" borderId="15" xfId="0" applyFont="1" applyFill="1" applyBorder="1" applyAlignment="1">
      <alignment horizontal="left" vertical="center" wrapText="1" indent="1" shrinkToFit="1"/>
    </xf>
    <xf numFmtId="0" fontId="6" fillId="0" borderId="16" xfId="0" quotePrefix="1" applyFont="1" applyBorder="1"/>
    <xf numFmtId="0" fontId="11" fillId="3" borderId="16" xfId="0" applyFont="1" applyFill="1" applyBorder="1" applyAlignment="1">
      <alignment horizontal="left" vertical="center" wrapText="1" indent="1" shrinkToFit="1"/>
    </xf>
    <xf numFmtId="0" fontId="6" fillId="0" borderId="15" xfId="0" quotePrefix="1" applyFont="1" applyBorder="1" applyAlignment="1">
      <alignment wrapText="1"/>
    </xf>
    <xf numFmtId="0" fontId="10" fillId="3" borderId="15" xfId="0" applyFont="1" applyFill="1" applyBorder="1" applyAlignment="1">
      <alignment horizontal="left" vertical="center" wrapText="1" indent="3" shrinkToFit="1"/>
    </xf>
    <xf numFmtId="0" fontId="27" fillId="3" borderId="15" xfId="0" applyFont="1" applyFill="1" applyBorder="1" applyAlignment="1">
      <alignment horizontal="left" vertical="center" indent="2" shrinkToFit="1"/>
    </xf>
    <xf numFmtId="0" fontId="6" fillId="0" borderId="16" xfId="0" quotePrefix="1" applyFont="1" applyBorder="1" applyAlignment="1">
      <alignment wrapText="1"/>
    </xf>
    <xf numFmtId="0" fontId="6" fillId="0" borderId="19" xfId="0" quotePrefix="1" applyFont="1" applyBorder="1" applyAlignment="1">
      <alignment wrapText="1"/>
    </xf>
    <xf numFmtId="0" fontId="11" fillId="3" borderId="16" xfId="0" applyFont="1" applyFill="1" applyBorder="1" applyAlignment="1">
      <alignment horizontal="left" vertical="center" wrapText="1" indent="2" shrinkToFit="1"/>
    </xf>
  </cellXfs>
  <cellStyles count="2">
    <cellStyle name="Moneda" xfId="1" builtinId="4"/>
    <cellStyle name="Normal" xfId="0" builtinId="0"/>
  </cellStyles>
  <dxfs count="19">
    <dxf>
      <numFmt numFmtId="168" formatCode="[$$-409]#,##0_ ;[Red]\-[$$-409]#,##0\ "/>
    </dxf>
    <dxf>
      <numFmt numFmtId="169" formatCode="[$€-2]\ #,##0;[Red]\-[$€-2]\ #,##0"/>
    </dxf>
    <dxf>
      <fill>
        <patternFill>
          <bgColor theme="6" tint="0.79998168889431442"/>
        </patternFill>
      </fill>
    </dxf>
    <dxf>
      <numFmt numFmtId="168" formatCode="[$$-409]#,##0_ ;[Red]\-[$$-409]#,##0\ "/>
    </dxf>
    <dxf>
      <numFmt numFmtId="169" formatCode="[$€-2]\ #,##0;[Red]\-[$€-2]\ #,##0"/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rgb="FFFF0000"/>
      </font>
    </dxf>
    <dxf>
      <numFmt numFmtId="168" formatCode="[$$-409]#,##0_ ;[Red]\-[$$-409]#,##0\ "/>
    </dxf>
    <dxf>
      <numFmt numFmtId="169" formatCode="[$€-2]\ #,##0;[Red]\-[$€-2]\ #,##0"/>
    </dxf>
    <dxf>
      <fill>
        <patternFill>
          <bgColor theme="6" tint="0.79998168889431442"/>
        </patternFill>
      </fill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colors>
    <mruColors>
      <color rgb="FF006B66"/>
      <color rgb="FFDAE2DD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7564e7ab0b144a428c49de700e46e81c">
      <tp t="e">
        <v>#N/A</v>
        <stp/>
        <stp>6e3a7d39-4d58-4309-8f39-e5a43f91ca10</stp>
        <stp>1</stp>
        <tr r="C84" s="10"/>
      </tp>
    </main>
    <main first="rtdsrv.7564e7ab0b144a428c49de700e46e81c">
      <tp t="e">
        <v>#N/A</v>
        <stp/>
        <stp>976257a8-cdfa-4057-94cf-bb980648e4d6</stp>
        <stp>1</stp>
        <tr r="E197" s="10"/>
      </tp>
    </main>
    <main first="rtdsrv.7564e7ab0b144a428c49de700e46e81c">
      <tp t="e">
        <v>#N/A</v>
        <stp/>
        <stp>26a0f126-1bde-4645-bec7-875323ba1f37</stp>
        <stp>1</stp>
        <tr r="D124" s="10"/>
      </tp>
      <tp t="e">
        <v>#N/A</v>
        <stp/>
        <stp>fd7e8039-162a-4664-9933-9b497529fff2</stp>
        <stp>1</stp>
        <tr r="E111" s="10"/>
      </tp>
      <tp t="e">
        <v>#N/A</v>
        <stp/>
        <stp>440d80db-5c9a-4965-837a-65380014780a</stp>
        <stp>1</stp>
        <tr r="C192" s="10"/>
      </tp>
      <tp t="e">
        <v>#N/A</v>
        <stp/>
        <stp>3fbeb203-fa49-4759-b622-a32f29d2a670</stp>
        <stp>1</stp>
        <tr r="D63" s="10"/>
      </tp>
      <tp t="e">
        <v>#N/A</v>
        <stp/>
        <stp>2d35c6a7-0b19-4523-bf60-fc7a542c1b45</stp>
        <stp>1</stp>
        <tr r="C64" s="10"/>
      </tp>
    </main>
    <main first="rtdsrv.7564e7ab0b144a428c49de700e46e81c">
      <tp t="e">
        <v>#N/A</v>
        <stp/>
        <stp>bc7a310f-3579-4d0c-b4c3-e40f24ded0df</stp>
        <stp>1</stp>
        <tr r="D82" s="10"/>
      </tp>
    </main>
    <main first="rtdsrv.7564e7ab0b144a428c49de700e46e81c">
      <tp t="e">
        <v>#N/A</v>
        <stp/>
        <stp>9d20616d-2b2b-4055-aae9-bbe20400978f</stp>
        <stp>1</stp>
        <tr r="D104" s="10"/>
      </tp>
    </main>
    <main first="rtdsrv.7564e7ab0b144a428c49de700e46e81c">
      <tp t="e">
        <v>#N/A</v>
        <stp/>
        <stp>deabfe11-c1bb-4ff8-a7cb-445757dcb5b1</stp>
        <stp>1</stp>
        <tr r="E167" s="10"/>
      </tp>
    </main>
    <main first="rtdsrv.7564e7ab0b144a428c49de700e46e81c">
      <tp t="e">
        <v>#N/A</v>
        <stp/>
        <stp>cc0db61b-3d2f-4a97-a86f-bc0cb3715825</stp>
        <stp>1</stp>
        <tr r="E156" s="10"/>
      </tp>
    </main>
    <main first="rtdsrv.7564e7ab0b144a428c49de700e46e81c">
      <tp t="e">
        <v>#N/A</v>
        <stp/>
        <stp>3a8722e2-0ae1-4295-b24a-bf3494ec4df4</stp>
        <stp>1</stp>
        <tr r="E199" s="10"/>
      </tp>
    </main>
    <main first="rtdsrv.7564e7ab0b144a428c49de700e46e81c">
      <tp t="e">
        <v>#N/A</v>
        <stp/>
        <stp>5f212a30-e943-4d74-828e-6b5357289021</stp>
        <stp>1</stp>
        <tr r="D199" s="10"/>
      </tp>
    </main>
    <main first="rtdsrv.7564e7ab0b144a428c49de700e46e81c">
      <tp t="e">
        <v>#N/A</v>
        <stp/>
        <stp>c6c0321f-e6d9-4929-bb07-a2d95365c026</stp>
        <stp>1</stp>
        <tr r="C46" s="10"/>
      </tp>
    </main>
    <main first="rtdsrv.7564e7ab0b144a428c49de700e46e81c">
      <tp t="e">
        <v>#N/A</v>
        <stp/>
        <stp>bb181b84-5a2e-466e-8187-6d444b24030c</stp>
        <stp>1</stp>
        <tr r="C48" s="10"/>
      </tp>
    </main>
    <main first="rtdsrv.7564e7ab0b144a428c49de700e46e81c">
      <tp t="e">
        <v>#N/A</v>
        <stp/>
        <stp>d77ac507-91ad-4b4a-b340-a2c4fe6ac9a1</stp>
        <stp>1</stp>
        <tr r="E27" s="10"/>
      </tp>
    </main>
    <main first="rtdsrv.7564e7ab0b144a428c49de700e46e81c">
      <tp t="e">
        <v>#N/A</v>
        <stp/>
        <stp>bef6265d-6bdf-463c-a4f6-af047c9ca8ae</stp>
        <stp>1</stp>
        <tr r="E158" s="10"/>
      </tp>
      <tp t="e">
        <v>#N/A</v>
        <stp/>
        <stp>b5482ed3-271d-4fe2-9fdb-438fab9ef705</stp>
        <stp>1</stp>
        <tr r="E179" s="10"/>
      </tp>
    </main>
    <main first="rtdsrv.7564e7ab0b144a428c49de700e46e81c">
      <tp t="e">
        <v>#N/A</v>
        <stp/>
        <stp>ecf88f3d-8d13-41ab-8cc3-02338384aef0</stp>
        <stp>1</stp>
        <tr r="C104" s="10"/>
      </tp>
    </main>
    <main first="rtdsrv.7564e7ab0b144a428c49de700e46e81c">
      <tp t="e">
        <v>#N/A</v>
        <stp/>
        <stp>8dc1cbad-bff6-42ae-b099-5de45f14fde1</stp>
        <stp>1</stp>
        <tr r="E13" s="10"/>
      </tp>
    </main>
    <main first="rtdsrv.7564e7ab0b144a428c49de700e46e81c">
      <tp t="e">
        <v>#N/A</v>
        <stp/>
        <stp>93af742b-5ae8-4270-a95d-673e2e60d485</stp>
        <stp>1</stp>
        <tr r="D100" s="10"/>
      </tp>
      <tp t="e">
        <v>#N/A</v>
        <stp/>
        <stp>0e0c1597-a9ca-4622-b457-1a7d793b91f7</stp>
        <stp>1</stp>
        <tr r="E62" s="10"/>
      </tp>
    </main>
    <main first="rtdsrv.7564e7ab0b144a428c49de700e46e81c">
      <tp t="e">
        <v>#N/A</v>
        <stp/>
        <stp>23666dd2-4494-47a0-a861-1a848c499c14</stp>
        <stp>1</stp>
        <tr r="D189" s="10"/>
      </tp>
    </main>
    <main first="rtdsrv.7564e7ab0b144a428c49de700e46e81c">
      <tp t="e">
        <v>#N/A</v>
        <stp/>
        <stp>74a75b04-5ab5-4e40-a87c-fc5062614a86</stp>
        <stp>1</stp>
        <tr r="C72" s="10"/>
      </tp>
      <tp t="e">
        <v>#N/A</v>
        <stp/>
        <stp>aef5050b-e35d-4916-951b-7b378bcabeaf</stp>
        <stp>1</stp>
        <tr r="D186" s="10"/>
      </tp>
    </main>
    <main first="rtdsrv.7564e7ab0b144a428c49de700e46e81c">
      <tp t="e">
        <v>#N/A</v>
        <stp/>
        <stp>d6f53018-5a64-4d3f-9fe4-d3ce61ad4ea5</stp>
        <stp>1</stp>
        <tr r="D146" s="10"/>
      </tp>
      <tp t="e">
        <v>#N/A</v>
        <stp/>
        <stp>d4b0f274-b43b-4246-9642-0c92ff98b9cd</stp>
        <stp>1</stp>
        <tr r="E57" s="10"/>
      </tp>
    </main>
    <main first="rtdsrv.7564e7ab0b144a428c49de700e46e81c">
      <tp t="e">
        <v>#N/A</v>
        <stp/>
        <stp>379fd646-801d-42d1-b4a8-51cad6dc85ca</stp>
        <stp>1</stp>
        <tr r="D123" s="10"/>
      </tp>
    </main>
    <main first="rtdsrv.7564e7ab0b144a428c49de700e46e81c">
      <tp t="e">
        <v>#N/A</v>
        <stp/>
        <stp>daca58e3-cc1d-41d2-bd93-8d065f6c3527</stp>
        <stp>1</stp>
        <tr r="C109" s="10"/>
      </tp>
      <tp t="e">
        <v>#N/A</v>
        <stp/>
        <stp>c579c988-7e5b-4a05-b1a2-e26a48c79a33</stp>
        <stp>1</stp>
        <tr r="D46" s="10"/>
      </tp>
    </main>
    <main first="rtdsrv.7564e7ab0b144a428c49de700e46e81c">
      <tp t="e">
        <v>#N/A</v>
        <stp/>
        <stp>ba7ebc9d-3f6b-496e-9d9d-062085ef06e3</stp>
        <stp>1</stp>
        <tr r="C51" s="10"/>
      </tp>
      <tp t="e">
        <v>#N/A</v>
        <stp/>
        <stp>2ca3d4d4-9be9-4ad4-a754-338c672514df</stp>
        <stp>1</stp>
        <tr r="D127" s="10"/>
      </tp>
    </main>
    <main first="rtdsrv.7564e7ab0b144a428c49de700e46e81c">
      <tp t="e">
        <v>#N/A</v>
        <stp/>
        <stp>512b9889-7bf9-44d5-b971-6f986597a006</stp>
        <stp>1</stp>
        <tr r="D177" s="10"/>
      </tp>
    </main>
    <main first="rtdsrv.7564e7ab0b144a428c49de700e46e81c">
      <tp t="e">
        <v>#N/A</v>
        <stp/>
        <stp>284568c6-fa2b-4caf-9727-295496a56248</stp>
        <stp>1</stp>
        <tr r="C22" s="10"/>
      </tp>
      <tp t="e">
        <v>#N/A</v>
        <stp/>
        <stp>3498c5ae-8b82-4c81-a710-65820911f146</stp>
        <stp>1</stp>
        <tr r="E52" s="10"/>
      </tp>
    </main>
    <main first="rtdsrv.7564e7ab0b144a428c49de700e46e81c">
      <tp t="e">
        <v>#N/A</v>
        <stp/>
        <stp>24cea132-843f-45be-b92b-fceb2f509313</stp>
        <stp>1</stp>
        <tr r="E70" s="10"/>
      </tp>
      <tp t="e">
        <v>#N/A</v>
        <stp/>
        <stp>c109638d-a1ab-4ce0-8972-801158e7e843</stp>
        <stp>1</stp>
        <tr r="D129" s="10"/>
      </tp>
    </main>
    <main first="rtdsrv.7564e7ab0b144a428c49de700e46e81c">
      <tp t="e">
        <v>#N/A</v>
        <stp/>
        <stp>8a1d127b-1430-4e66-beb1-7d4e843fc24c</stp>
        <stp>1</stp>
        <tr r="C185" s="10"/>
      </tp>
    </main>
    <main first="rtdsrv.7564e7ab0b144a428c49de700e46e81c">
      <tp t="e">
        <v>#N/A</v>
        <stp/>
        <stp>1d528d40-49bd-4b10-9ab2-9fe971bd7424</stp>
        <stp>1</stp>
        <tr r="E109" s="10"/>
      </tp>
    </main>
    <main first="rtdsrv.7564e7ab0b144a428c49de700e46e81c">
      <tp t="e">
        <v>#N/A</v>
        <stp/>
        <stp>1badb953-deec-4f87-b03b-f04dfae7c654</stp>
        <stp>1</stp>
        <tr r="C37" s="10"/>
      </tp>
    </main>
    <main first="rtdsrv.7564e7ab0b144a428c49de700e46e81c">
      <tp t="e">
        <v>#N/A</v>
        <stp/>
        <stp>8f8a6323-8183-4638-9193-40d444cadb2a</stp>
        <stp>1</stp>
        <tr r="D133" s="10"/>
      </tp>
      <tp t="e">
        <v>#N/A</v>
        <stp/>
        <stp>9d9a66ff-e390-4e09-bdfd-d3b8f66e16c5</stp>
        <stp>1</stp>
        <tr r="C65" s="10"/>
      </tp>
      <tp t="e">
        <v>#N/A</v>
        <stp/>
        <stp>fdbdb65e-db5d-4965-a228-68882e108365</stp>
        <stp>1</stp>
        <tr r="D108" s="10"/>
      </tp>
    </main>
    <main first="rtdsrv.7564e7ab0b144a428c49de700e46e81c">
      <tp t="e">
        <v>#N/A</v>
        <stp/>
        <stp>14089093-eef2-4636-8af4-c9e3d47b1e3c</stp>
        <stp>1</stp>
        <tr r="D112" s="10"/>
      </tp>
      <tp t="e">
        <v>#N/A</v>
        <stp/>
        <stp>338de7dd-0f6e-4b3a-a0af-4700bacb8c06</stp>
        <stp>1</stp>
        <tr r="E66" s="10"/>
      </tp>
    </main>
    <main first="rtdsrv.7564e7ab0b144a428c49de700e46e81c">
      <tp t="e">
        <v>#N/A</v>
        <stp/>
        <stp>e4149849-9fba-4a67-94ac-3defd81f794f</stp>
        <stp>1</stp>
        <tr r="D49" s="10"/>
      </tp>
    </main>
    <main first="rtdsrv.7564e7ab0b144a428c49de700e46e81c">
      <tp t="e">
        <v>#N/A</v>
        <stp/>
        <stp>5951b737-4660-4a3d-a556-09964cca9316</stp>
        <stp>1</stp>
        <tr r="G6" s="11"/>
      </tp>
      <tp t="e">
        <v>#N/A</v>
        <stp/>
        <stp>5bf7922d-f88e-4946-9ce9-d9682ebc508a</stp>
        <stp>1</stp>
        <tr r="D113" s="10"/>
      </tp>
    </main>
    <main first="rtdsrv.7564e7ab0b144a428c49de700e46e81c">
      <tp t="e">
        <v>#N/A</v>
        <stp/>
        <stp>3d91ba13-8feb-4efa-b40e-e9a4b8705a65</stp>
        <stp>1</stp>
        <tr r="D99" s="10"/>
      </tp>
    </main>
    <main first="rtdsrv.7564e7ab0b144a428c49de700e46e81c">
      <tp t="e">
        <v>#N/A</v>
        <stp/>
        <stp>4bb05059-e1cc-40d6-8cc5-9d2b40af81d7</stp>
        <stp>1</stp>
        <tr r="C44" s="10"/>
      </tp>
    </main>
    <main first="rtdsrv.7564e7ab0b144a428c49de700e46e81c">
      <tp t="e">
        <v>#N/A</v>
        <stp/>
        <stp>696ecf8f-d89a-45b9-ad62-a6c3f758dee4</stp>
        <stp>1</stp>
        <tr r="E55" s="10"/>
      </tp>
    </main>
    <main first="rtdsrv.7564e7ab0b144a428c49de700e46e81c">
      <tp t="e">
        <v>#N/A</v>
        <stp/>
        <stp>d8934df7-4358-49fa-ae75-3f290fe49245</stp>
        <stp>1</stp>
        <tr r="C58" s="10"/>
      </tp>
      <tp t="e">
        <v>#N/A</v>
        <stp/>
        <stp>4c5f72fd-332a-442b-ad19-99dfb23b8cf0</stp>
        <stp>1</stp>
        <tr r="E32" s="10"/>
      </tp>
    </main>
    <main first="rtdsrv.7564e7ab0b144a428c49de700e46e81c">
      <tp t="e">
        <v>#N/A</v>
        <stp/>
        <stp>86991aa9-0331-4473-a5b3-929e758dc196</stp>
        <stp>1</stp>
        <tr r="E165" s="10"/>
      </tp>
    </main>
    <main first="rtdsrv.7564e7ab0b144a428c49de700e46e81c">
      <tp t="e">
        <v>#N/A</v>
        <stp/>
        <stp>06849a47-7d7a-44ad-b520-c5fee5a30f9e</stp>
        <stp>1</stp>
        <tr r="C141" s="10"/>
      </tp>
    </main>
    <main first="rtdsrv.7564e7ab0b144a428c49de700e46e81c">
      <tp t="e">
        <v>#N/A</v>
        <stp/>
        <stp>cb270764-3985-4101-9506-96fab72602f5</stp>
        <stp>1</stp>
        <tr r="C63" s="10"/>
      </tp>
    </main>
    <main first="rtdsrv.7564e7ab0b144a428c49de700e46e81c">
      <tp t="e">
        <v>#N/A</v>
        <stp/>
        <stp>ff05ad73-a622-42e9-a4af-d07bd851ffae</stp>
        <stp>1</stp>
        <tr r="C25" s="10"/>
      </tp>
    </main>
    <main first="rtdsrv.7564e7ab0b144a428c49de700e46e81c">
      <tp t="e">
        <v>#N/A</v>
        <stp/>
        <stp>6613aa88-3255-4955-bc09-50e0cfbebf8a</stp>
        <stp>1</stp>
        <tr r="C191" s="10"/>
      </tp>
    </main>
    <main first="rtdsrv.7564e7ab0b144a428c49de700e46e81c">
      <tp t="e">
        <v>#N/A</v>
        <stp/>
        <stp>a3eff19b-1874-4324-af39-2d0dea2c0807</stp>
        <stp>1</stp>
        <tr r="D170" s="10"/>
      </tp>
    </main>
    <main first="rtdsrv.7564e7ab0b144a428c49de700e46e81c">
      <tp t="e">
        <v>#N/A</v>
        <stp/>
        <stp>905deb71-3b2d-4a88-b216-cb513123d257</stp>
        <stp>1</stp>
        <tr r="C106" s="10"/>
      </tp>
    </main>
    <main first="rtdsrv.7564e7ab0b144a428c49de700e46e81c">
      <tp t="e">
        <v>#N/A</v>
        <stp/>
        <stp>b9e57e27-337f-4c24-9311-761124480e27</stp>
        <stp>1</stp>
        <tr r="D27" s="10"/>
      </tp>
    </main>
    <main first="rtdsrv.7564e7ab0b144a428c49de700e46e81c">
      <tp t="e">
        <v>#N/A</v>
        <stp/>
        <stp>b430f1c4-5a07-4346-a990-4d860ff1a371</stp>
        <stp>1</stp>
        <tr r="D101" s="10"/>
      </tp>
    </main>
    <main first="rtdsrv.7564e7ab0b144a428c49de700e46e81c">
      <tp t="e">
        <v>#N/A</v>
        <stp/>
        <stp>1ec5aac4-ac53-42f2-b5b6-becb3f758c5c</stp>
        <stp>1</stp>
        <tr r="C188" s="10"/>
      </tp>
    </main>
    <main first="rtdsrv.7564e7ab0b144a428c49de700e46e81c">
      <tp t="e">
        <v>#N/A</v>
        <stp/>
        <stp>fa5110df-e94e-448b-bd5e-7eded5f2c182</stp>
        <stp>1</stp>
        <tr r="C96" s="10"/>
      </tp>
    </main>
    <main first="rtdsrv.7564e7ab0b144a428c49de700e46e81c">
      <tp t="e">
        <v>#N/A</v>
        <stp/>
        <stp>1a26df39-dacd-435f-9d99-b385d9160a15</stp>
        <stp>1</stp>
        <tr r="E143" s="10"/>
      </tp>
    </main>
    <main first="rtdsrv.7564e7ab0b144a428c49de700e46e81c">
      <tp t="e">
        <v>#N/A</v>
        <stp/>
        <stp>84a6d14e-60ce-4113-8853-facbeee3d198</stp>
        <stp>1</stp>
        <tr r="D51" s="10"/>
      </tp>
      <tp t="e">
        <v>#N/A</v>
        <stp/>
        <stp>8de9ad85-85c2-4dc9-ad19-6be93806c0a5</stp>
        <stp>1</stp>
        <tr r="E149" s="10"/>
      </tp>
    </main>
    <main first="rtdsrv.7564e7ab0b144a428c49de700e46e81c">
      <tp t="e">
        <v>#N/A</v>
        <stp/>
        <stp>b70f9845-5833-4410-a084-1bdadcc172d5</stp>
        <stp>1</stp>
        <tr r="C144" s="10"/>
      </tp>
    </main>
    <main first="rtdsrv.7564e7ab0b144a428c49de700e46e81c">
      <tp t="e">
        <v>#N/A</v>
        <stp/>
        <stp>b9c2f887-1c77-437f-932b-2e2e806553b8</stp>
        <stp>1</stp>
        <tr r="E54" s="10"/>
      </tp>
    </main>
    <main first="rtdsrv.7564e7ab0b144a428c49de700e46e81c">
      <tp t="e">
        <v>#N/A</v>
        <stp/>
        <stp>da6d4720-f109-41c5-aa41-c017bda5c21f</stp>
        <stp>1</stp>
        <tr r="C132" s="10"/>
      </tp>
    </main>
    <main first="rtdsrv.7564e7ab0b144a428c49de700e46e81c">
      <tp t="e">
        <v>#N/A</v>
        <stp/>
        <stp>ea267e44-048a-48b9-8f66-4ccb9af94d61</stp>
        <stp>1</stp>
        <tr r="E141" s="10"/>
      </tp>
    </main>
    <main first="rtdsrv.7564e7ab0b144a428c49de700e46e81c">
      <tp t="e">
        <v>#N/A</v>
        <stp/>
        <stp>8653e10b-00fd-4e7e-8a9b-1de3e0019388</stp>
        <stp>1</stp>
        <tr r="C47" s="10"/>
      </tp>
    </main>
    <main first="rtdsrv.7564e7ab0b144a428c49de700e46e81c">
      <tp t="e">
        <v>#N/A</v>
        <stp/>
        <stp>9c0c983f-f874-4e10-b6e5-f37b48efaa6a</stp>
        <stp>1</stp>
        <tr r="E192" s="10"/>
      </tp>
    </main>
    <main first="rtdsrv.7564e7ab0b144a428c49de700e46e81c">
      <tp t="e">
        <v>#N/A</v>
        <stp/>
        <stp>20756e31-f1d5-4a35-a69d-570c3866485e</stp>
        <stp>1</stp>
        <tr r="C61" s="10"/>
      </tp>
    </main>
    <main first="rtdsrv.7564e7ab0b144a428c49de700e46e81c">
      <tp t="e">
        <v>#N/A</v>
        <stp/>
        <stp>ed3af1de-955f-429a-80a7-970fd08443c9</stp>
        <stp>1</stp>
        <tr r="C32" s="10"/>
      </tp>
      <tp t="e">
        <v>#N/A</v>
        <stp/>
        <stp>5599d8fe-ca34-4d5f-9d75-b6c4f37f5ec0</stp>
        <stp>1</stp>
        <tr r="E138" s="10"/>
      </tp>
    </main>
    <main first="rtdsrv.7564e7ab0b144a428c49de700e46e81c">
      <tp t="e">
        <v>#N/A</v>
        <stp/>
        <stp>9cfeaa98-f1d9-4149-9a37-8394c44d5c76</stp>
        <stp>1</stp>
        <tr r="C83" s="10"/>
      </tp>
    </main>
    <main first="rtdsrv.7564e7ab0b144a428c49de700e46e81c">
      <tp t="e">
        <v>#N/A</v>
        <stp/>
        <stp>68805bfc-ad33-4831-9ab4-8760a4c1cd97</stp>
        <stp>1</stp>
        <tr r="D50" s="10"/>
      </tp>
      <tp t="e">
        <v>#N/A</v>
        <stp/>
        <stp>583ae122-231c-4f80-bf07-b797ced05706</stp>
        <stp>1</stp>
        <tr r="C93" s="10"/>
      </tp>
      <tp t="e">
        <v>#N/A</v>
        <stp/>
        <stp>3515f1ba-ceaf-4a8c-88b3-76d3e6b98921</stp>
        <stp>1</stp>
        <tr r="C161" s="10"/>
      </tp>
    </main>
    <main first="rtdsrv.7564e7ab0b144a428c49de700e46e81c">
      <tp t="e">
        <v>#N/A</v>
        <stp/>
        <stp>2d8aa029-4146-4926-8bd7-7742d9180dc0</stp>
        <stp>1</stp>
        <tr r="E48" s="10"/>
      </tp>
    </main>
    <main first="rtdsrv.7564e7ab0b144a428c49de700e46e81c">
      <tp t="e">
        <v>#N/A</v>
        <stp/>
        <stp>7bad3b3b-d414-4e3c-872a-e1718ee4a2d8</stp>
        <stp>1</stp>
        <tr r="E89" s="10"/>
      </tp>
    </main>
    <main first="rtdsrv.7564e7ab0b144a428c49de700e46e81c">
      <tp t="e">
        <v>#N/A</v>
        <stp/>
        <stp>82511261-56e2-4cbd-a2bc-fa6eaaece576</stp>
        <stp>1</stp>
        <tr r="D191" s="10"/>
      </tp>
    </main>
    <main first="rtdsrv.7564e7ab0b144a428c49de700e46e81c">
      <tp t="e">
        <v>#N/A</v>
        <stp/>
        <stp>be9690bc-2f7b-430a-beae-c484363f2d76</stp>
        <stp>1</stp>
        <tr r="E56" s="10"/>
      </tp>
    </main>
    <main first="rtdsrv.7564e7ab0b144a428c49de700e46e81c">
      <tp t="e">
        <v>#N/A</v>
        <stp/>
        <stp>d1399289-bf71-46b0-bd3f-9745a3830672</stp>
        <stp>1</stp>
        <tr r="D30" s="10"/>
      </tp>
      <tp t="e">
        <v>#N/A</v>
        <stp/>
        <stp>e4f0cf26-d521-415d-bfb0-7ada5523effb</stp>
        <stp>1</stp>
        <tr r="E131" s="10"/>
      </tp>
      <tp t="e">
        <v>#N/A</v>
        <stp/>
        <stp>3dc8a76e-2a4d-40e6-9772-c967513322b3</stp>
        <stp>1</stp>
        <tr r="E145" s="10"/>
      </tp>
      <tp t="e">
        <v>#N/A</v>
        <stp/>
        <stp>d3f30d96-7cce-436f-bcc4-7961e86a6780</stp>
        <stp>1</stp>
        <tr r="D23" s="10"/>
      </tp>
      <tp t="e">
        <v>#N/A</v>
        <stp/>
        <stp>f1216419-422a-46b5-bc1e-29e5fa74b098</stp>
        <stp>1</stp>
        <tr r="C73" s="10"/>
      </tp>
    </main>
    <main first="rtdsrv.7564e7ab0b144a428c49de700e46e81c">
      <tp t="e">
        <v>#N/A</v>
        <stp/>
        <stp>3bbf89e6-9dc6-467f-ba6c-f9cf2b6a8e97</stp>
        <stp>1</stp>
        <tr r="E42" s="10"/>
      </tp>
      <tp t="e">
        <v>#N/A</v>
        <stp/>
        <stp>573a1363-2df2-408f-bb56-f4dd50338b4f</stp>
        <stp>1</stp>
        <tr r="E44" s="10"/>
      </tp>
    </main>
    <main first="rtdsrv.7564e7ab0b144a428c49de700e46e81c">
      <tp t="e">
        <v>#N/A</v>
        <stp/>
        <stp>445356cc-93ed-4700-af1c-a7b73ce6e8a5</stp>
        <stp>1</stp>
        <tr r="D105" s="10"/>
      </tp>
      <tp t="e">
        <v>#N/A</v>
        <stp/>
        <stp>ca5ac4ff-2097-4651-8522-583541d0298b</stp>
        <stp>1</stp>
        <tr r="D163" s="10"/>
      </tp>
      <tp t="e">
        <v>#N/A</v>
        <stp/>
        <stp>05741209-8022-4678-a137-2bf77cb94421</stp>
        <stp>1</stp>
        <tr r="D36" s="10"/>
      </tp>
      <tp t="e">
        <v>#N/A</v>
        <stp/>
        <stp>36904107-af49-45a2-aae3-06c039fb985b</stp>
        <stp>1</stp>
        <tr r="E122" s="10"/>
      </tp>
      <tp t="e">
        <v>#N/A</v>
        <stp/>
        <stp>d99e1092-9db3-4ccc-806d-070837883479</stp>
        <stp>1</stp>
        <tr r="C151" s="10"/>
      </tp>
    </main>
    <main first="rtdsrv.7564e7ab0b144a428c49de700e46e81c">
      <tp t="e">
        <v>#N/A</v>
        <stp/>
        <stp>266d255d-c377-4af5-8af7-84e8b36e0e4e</stp>
        <stp>1</stp>
        <tr r="C57" s="10"/>
      </tp>
      <tp t="e">
        <v>#N/A</v>
        <stp/>
        <stp>aa86c9ce-9b31-47bf-ac4f-78b38b72f75a</stp>
        <stp>1</stp>
        <tr r="D188" s="10"/>
      </tp>
    </main>
    <main first="rtdsrv.7564e7ab0b144a428c49de700e46e81c">
      <tp t="e">
        <v>#N/A</v>
        <stp/>
        <stp>e1dcf5c4-dcbf-4ef5-aab7-284295b1261d</stp>
        <stp>1</stp>
        <tr r="C113" s="10"/>
      </tp>
    </main>
    <main first="rtdsrv.7564e7ab0b144a428c49de700e46e81c">
      <tp t="e">
        <v>#N/A</v>
        <stp/>
        <stp>dd3f1db1-bc22-46f9-a932-62d3b376311a</stp>
        <stp>1</stp>
        <tr r="E87" s="10"/>
      </tp>
    </main>
    <main first="rtdsrv.7564e7ab0b144a428c49de700e46e81c">
      <tp t="e">
        <v>#N/A</v>
        <stp/>
        <stp>3b5aadd4-ee3a-495a-9d68-9270ec62ba02</stp>
        <stp>1</stp>
        <tr r="E91" s="10"/>
      </tp>
    </main>
    <main first="rtdsrv.7564e7ab0b144a428c49de700e46e81c">
      <tp t="e">
        <v>#N/A</v>
        <stp/>
        <stp>283538fa-1552-450b-9b43-b4edf649256f</stp>
        <stp>1</stp>
        <tr r="C36" s="10"/>
      </tp>
    </main>
    <main first="rtdsrv.7564e7ab0b144a428c49de700e46e81c">
      <tp t="e">
        <v>#N/A</v>
        <stp/>
        <stp>c8227bd6-7b32-4c38-bef4-d6fa020014c1</stp>
        <stp>1</stp>
        <tr r="C164" s="10"/>
      </tp>
      <tp t="e">
        <v>#N/A</v>
        <stp/>
        <stp>efd232f7-da24-4f4a-80e2-91f8639abe2f</stp>
        <stp>1</stp>
        <tr r="E178" s="10"/>
      </tp>
    </main>
    <main first="rtdsrv.7564e7ab0b144a428c49de700e46e81c">
      <tp t="e">
        <v>#N/A</v>
        <stp/>
        <stp>a1b26658-8a4f-4fc0-9d6e-794f08e2957c</stp>
        <stp>1</stp>
        <tr r="E152" s="10"/>
      </tp>
      <tp t="e">
        <v>#N/A</v>
        <stp/>
        <stp>be36cf33-79c3-4a62-a726-f58ad63b90d3</stp>
        <stp>1</stp>
        <tr r="E157" s="10"/>
      </tp>
    </main>
    <main first="rtdsrv.7564e7ab0b144a428c49de700e46e81c">
      <tp t="e">
        <v>#N/A</v>
        <stp/>
        <stp>f1edd388-91bd-434e-827c-c6ec37c41294</stp>
        <stp>1</stp>
        <tr r="E100" s="10"/>
      </tp>
      <tp t="e">
        <v>#N/A</v>
        <stp/>
        <stp>418a20f1-3550-4ff9-b0f0-0b374b47e8d7</stp>
        <stp>1</stp>
        <tr r="D144" s="10"/>
      </tp>
    </main>
    <main first="rtdsrv.7564e7ab0b144a428c49de700e46e81c">
      <tp t="e">
        <v>#N/A</v>
        <stp/>
        <stp>e9edd3d4-11c4-49f7-b4b5-f30da13bf698</stp>
        <stp>1</stp>
        <tr r="C71" s="10"/>
      </tp>
      <tp t="e">
        <v>#N/A</v>
        <stp/>
        <stp>f817ab1b-6327-4851-918d-d94b7697a36e</stp>
        <stp>1</stp>
        <tr r="E60" s="10"/>
      </tp>
      <tp t="e">
        <v>#N/A</v>
        <stp/>
        <stp>7456b21e-41aa-4372-a0b1-7fcae0a2fe8e</stp>
        <stp>1</stp>
        <tr r="I6" s="11"/>
      </tp>
    </main>
    <main first="rtdsrv.7564e7ab0b144a428c49de700e46e81c">
      <tp t="e">
        <v>#N/A</v>
        <stp/>
        <stp>8f19bcbd-6c92-4627-b8d9-6bebcbae3aba</stp>
        <stp>1</stp>
        <tr r="D107" s="10"/>
      </tp>
    </main>
    <main first="rtdsrv.7564e7ab0b144a428c49de700e46e81c">
      <tp t="e">
        <v>#N/A</v>
        <stp/>
        <stp>afc26ae0-52c6-49a9-9be8-f75a836e9bd3</stp>
        <stp>1</stp>
        <tr r="C59" s="10"/>
      </tp>
      <tp t="e">
        <v>#N/A</v>
        <stp/>
        <stp>94a2bcc8-9d1e-4206-897f-257d92d2feb2</stp>
        <stp>1</stp>
        <tr r="D160" s="10"/>
      </tp>
    </main>
    <main first="rtdsrv.7564e7ab0b144a428c49de700e46e81c">
      <tp t="e">
        <v>#N/A</v>
        <stp/>
        <stp>502e9fff-4eb9-4f4c-a512-f52722f48430</stp>
        <stp>1</stp>
        <tr r="C6" s="10"/>
      </tp>
      <tp t="e">
        <v>#N/A</v>
        <stp/>
        <stp>3ffcb02c-6046-4c8b-83b1-5ac909e01963</stp>
        <stp>1</stp>
        <tr r="D61" s="10"/>
      </tp>
    </main>
    <main first="rtdsrv.7564e7ab0b144a428c49de700e46e81c">
      <tp t="e">
        <v>#N/A</v>
        <stp/>
        <stp>465a952f-cbfe-4bda-bf87-c8288185c939</stp>
        <stp>1</stp>
        <tr r="D128" s="10"/>
      </tp>
    </main>
    <main first="rtdsrv.7564e7ab0b144a428c49de700e46e81c">
      <tp t="e">
        <v>#N/A</v>
        <stp/>
        <stp>6af4fa33-053b-49d8-966e-aad3a2fe3a67</stp>
        <stp>1</stp>
        <tr r="D131" s="10"/>
      </tp>
    </main>
    <main first="rtdsrv.7564e7ab0b144a428c49de700e46e81c">
      <tp t="e">
        <v>#N/A</v>
        <stp/>
        <stp>86ea60be-6d99-4ea2-808b-ad12ed8f6f9a</stp>
        <stp>1</stp>
        <tr r="E128" s="10"/>
      </tp>
      <tp t="e">
        <v>#N/A</v>
        <stp/>
        <stp>b88a61b9-9bf9-4bb3-aaad-a9a0976abdd9</stp>
        <stp>1</stp>
        <tr r="C28" s="10"/>
      </tp>
    </main>
    <main first="rtdsrv.7564e7ab0b144a428c49de700e46e81c">
      <tp t="e">
        <v>#N/A</v>
        <stp/>
        <stp>07a5572b-85d5-409a-ba5f-f6a448fd0bed</stp>
        <stp>1</stp>
        <tr r="C134" s="10"/>
      </tp>
      <tp t="e">
        <v>#N/A</v>
        <stp/>
        <stp>fc4d046e-f7e4-4956-8a17-1caf6c44976b</stp>
        <stp>1</stp>
        <tr r="C186" s="10"/>
      </tp>
    </main>
    <main first="rtdsrv.7564e7ab0b144a428c49de700e46e81c">
      <tp t="e">
        <v>#N/A</v>
        <stp/>
        <stp>b12cb600-9294-4b11-a532-48d82a4592e1</stp>
        <stp>1</stp>
        <tr r="E182" s="10"/>
      </tp>
      <tp t="e">
        <v>#N/A</v>
        <stp/>
        <stp>d0239e55-a614-4bed-abca-509acc297409</stp>
        <stp>1</stp>
        <tr r="D147" s="10"/>
      </tp>
      <tp t="e">
        <v>#N/A</v>
        <stp/>
        <stp>2d249f1b-b8a0-44fa-bab3-597aeecdc9f1</stp>
        <stp>1</stp>
        <tr r="E74" s="10"/>
      </tp>
    </main>
    <main first="rtdsrv.7564e7ab0b144a428c49de700e46e81c">
      <tp t="e">
        <v>#N/A</v>
        <stp/>
        <stp>b4051936-434f-4305-bbeb-67c3c92d412d</stp>
        <stp>1</stp>
        <tr r="D70" s="10"/>
      </tp>
    </main>
    <main first="rtdsrv.7564e7ab0b144a428c49de700e46e81c">
      <tp t="e">
        <v>#N/A</v>
        <stp/>
        <stp>5c024565-5700-4b23-a602-7da22107796d</stp>
        <stp>1</stp>
        <tr r="C183" s="10"/>
      </tp>
      <tp t="e">
        <v>#N/A</v>
        <stp/>
        <stp>3072cd95-4e7d-48e1-929d-4a706135ee7a</stp>
        <stp>1</stp>
        <tr r="C34" s="10"/>
      </tp>
    </main>
    <main first="rtdsrv.7564e7ab0b144a428c49de700e46e81c">
      <tp t="e">
        <v>#N/A</v>
        <stp/>
        <stp>9e059f75-99e7-4da3-8a1d-ef22195f8399</stp>
        <stp>1</stp>
        <tr r="C149" s="10"/>
      </tp>
    </main>
    <main first="rtdsrv.7564e7ab0b144a428c49de700e46e81c">
      <tp t="e">
        <v>#N/A</v>
        <stp/>
        <stp>828d2fe1-2f62-47cf-9d23-573b6f7ce278</stp>
        <stp>1</stp>
        <tr r="C171" s="10"/>
      </tp>
    </main>
    <main first="rtdsrv.7564e7ab0b144a428c49de700e46e81c">
      <tp t="e">
        <v>#N/A</v>
        <stp/>
        <stp>523eb69c-2383-45db-9e85-93523b62305f</stp>
        <stp>1</stp>
        <tr r="E187" s="10"/>
      </tp>
    </main>
    <main first="rtdsrv.7564e7ab0b144a428c49de700e46e81c">
      <tp t="e">
        <v>#N/A</v>
        <stp/>
        <stp>afc615d8-c246-40c9-8905-8dd0ef303f5f</stp>
        <stp>1</stp>
        <tr r="E101" s="10"/>
      </tp>
    </main>
    <main first="rtdsrv.7564e7ab0b144a428c49de700e46e81c">
      <tp t="e">
        <v>#N/A</v>
        <stp/>
        <stp>dd03d24a-cf1c-4979-8f55-97aec60e85b6</stp>
        <stp>1</stp>
        <tr r="D165" s="10"/>
      </tp>
    </main>
    <main first="rtdsrv.7564e7ab0b144a428c49de700e46e81c">
      <tp t="e">
        <v>#N/A</v>
        <stp/>
        <stp>f3aa7b29-7b8f-4349-90da-5e5a2e09ce3f</stp>
        <stp>1</stp>
        <tr r="E90" s="10"/>
      </tp>
    </main>
    <main first="rtdsrv.7564e7ab0b144a428c49de700e46e81c">
      <tp t="e">
        <v>#N/A</v>
        <stp/>
        <stp>2334b3bf-9384-43ee-8a8e-9d644844f525</stp>
        <stp>1</stp>
        <tr r="E28" s="10"/>
      </tp>
    </main>
    <main first="rtdsrv.7564e7ab0b144a428c49de700e46e81c">
      <tp t="e">
        <v>#N/A</v>
        <stp/>
        <stp>f8c7075e-cc49-44d3-bbaa-56cf68c5d807</stp>
        <stp>1</stp>
        <tr r="C111" s="10"/>
      </tp>
    </main>
    <main first="rtdsrv.7564e7ab0b144a428c49de700e46e81c">
      <tp t="e">
        <v>#N/A</v>
        <stp/>
        <stp>bb50e2c9-a8f4-4251-94f1-62e4ff30a8c4</stp>
        <stp>1</stp>
        <tr r="D37" s="10"/>
      </tp>
      <tp t="e">
        <v>#N/A</v>
        <stp/>
        <stp>b01ca7a3-90b8-4298-bd86-3241d2d70c70</stp>
        <stp>1</stp>
        <tr r="C69" s="10"/>
      </tp>
      <tp t="e">
        <v>#N/A</v>
        <stp/>
        <stp>d31cb679-19a8-4edf-945a-8d2643bfce8c</stp>
        <stp>1</stp>
        <tr r="D167" s="10"/>
      </tp>
      <tp t="e">
        <v>#N/A</v>
        <stp/>
        <stp>7464a18c-c210-44b2-9419-715ee0fcf639</stp>
        <stp>1</stp>
        <tr r="C99" s="10"/>
      </tp>
    </main>
    <main first="rtdsrv.7564e7ab0b144a428c49de700e46e81c">
      <tp t="e">
        <v>#N/A</v>
        <stp/>
        <stp>43fd394d-07ee-4760-9972-78a16d667d87</stp>
        <stp>1</stp>
        <tr r="E58" s="10"/>
      </tp>
      <tp t="e">
        <v>#N/A</v>
        <stp/>
        <stp>5676ae07-027b-4ede-82ba-8b1aaca3ad5b</stp>
        <stp>1</stp>
        <tr r="C124" s="10"/>
      </tp>
      <tp t="e">
        <v>#N/A</v>
        <stp/>
        <stp>3032c548-74b6-4f4e-a458-3a8e853e42f4</stp>
        <stp>1</stp>
        <tr r="C178" s="10"/>
      </tp>
    </main>
    <main first="rtdsrv.7564e7ab0b144a428c49de700e46e81c">
      <tp t="e">
        <v>#N/A</v>
        <stp/>
        <stp>043ef19d-c161-4e8b-962d-ccfff29d19c2</stp>
        <stp>1</stp>
        <tr r="C108" s="10"/>
      </tp>
    </main>
    <main first="rtdsrv.7564e7ab0b144a428c49de700e46e81c">
      <tp t="e">
        <v>#N/A</v>
        <stp/>
        <stp>90fd35ba-b213-4887-b714-258ddd9428fe</stp>
        <stp>1</stp>
        <tr r="C45" s="10"/>
      </tp>
    </main>
    <main first="rtdsrv.7564e7ab0b144a428c49de700e46e81c">
      <tp t="e">
        <v>#N/A</v>
        <stp/>
        <stp>b0eb61e2-5341-4f65-856a-d640e26072da</stp>
        <stp>1</stp>
        <tr r="C148" s="10"/>
      </tp>
    </main>
    <main first="rtdsrv.7564e7ab0b144a428c49de700e46e81c">
      <tp t="e">
        <v>#N/A</v>
        <stp/>
        <stp>a31c76b2-f158-465b-9e8b-96505217faa7</stp>
        <stp>1</stp>
        <tr r="C145" s="10"/>
      </tp>
    </main>
    <main first="rtdsrv.7564e7ab0b144a428c49de700e46e81c">
      <tp t="e">
        <v>#N/A</v>
        <stp/>
        <stp>8d18afa3-dc1a-49e0-91a7-184727b0d2bf</stp>
        <stp>1</stp>
        <tr r="D33" s="10"/>
      </tp>
    </main>
    <main first="rtdsrv.7564e7ab0b144a428c49de700e46e81c">
      <tp t="e">
        <v>#N/A</v>
        <stp/>
        <stp>d6d3bda4-fa43-4e4b-8e71-96b5ab875d57</stp>
        <stp>1</stp>
        <tr r="C35" s="10"/>
      </tp>
    </main>
    <main first="rtdsrv.7564e7ab0b144a428c49de700e46e81c">
      <tp t="e">
        <v>#N/A</v>
        <stp/>
        <stp>27c7db96-981e-4a9c-a067-4b0a27430fe9</stp>
        <stp>1</stp>
        <tr r="C33" s="10"/>
      </tp>
    </main>
    <main first="rtdsrv.7564e7ab0b144a428c49de700e46e81c">
      <tp t="e">
        <v>#N/A</v>
        <stp/>
        <stp>cf737308-d299-4c27-91a0-a1925cfc830b</stp>
        <stp>1</stp>
        <tr r="C97" s="10"/>
      </tp>
    </main>
    <main first="rtdsrv.7564e7ab0b144a428c49de700e46e81c">
      <tp t="e">
        <v>#N/A</v>
        <stp/>
        <stp>5340be37-d5f5-44d0-8765-c2b126aaa8ef</stp>
        <stp>1</stp>
        <tr r="E36" s="10"/>
      </tp>
    </main>
    <main first="rtdsrv.7564e7ab0b144a428c49de700e46e81c">
      <tp t="e">
        <v>#N/A</v>
        <stp/>
        <stp>b45b82b6-e545-417f-8049-9cb67132b126</stp>
        <stp>1</stp>
        <tr r="D98" s="10"/>
      </tp>
    </main>
    <main first="rtdsrv.7564e7ab0b144a428c49de700e46e81c">
      <tp t="e">
        <v>#N/A</v>
        <stp/>
        <stp>066738b3-49d2-480e-ae85-c9b19770d00b</stp>
        <stp>1</stp>
        <tr r="C89" s="10"/>
      </tp>
    </main>
    <main first="rtdsrv.7564e7ab0b144a428c49de700e46e81c">
      <tp t="e">
        <v>#N/A</v>
        <stp/>
        <stp>3e82e828-3cbe-4b6a-b7c0-786ec76e8572</stp>
        <stp>1</stp>
        <tr r="C23" s="10"/>
      </tp>
    </main>
    <main first="rtdsrv.7564e7ab0b144a428c49de700e46e81c">
      <tp t="e">
        <v>#N/A</v>
        <stp/>
        <stp>9899a680-337a-4118-a308-67421a6dcd6b</stp>
        <stp>1</stp>
        <tr r="C130" s="10"/>
      </tp>
    </main>
    <main first="rtdsrv.7564e7ab0b144a428c49de700e46e81c">
      <tp t="e">
        <v>#N/A</v>
        <stp/>
        <stp>15d6262c-7c48-4353-995d-2a3759abf3dd</stp>
        <stp>1</stp>
        <tr r="C24" s="10"/>
      </tp>
    </main>
    <main first="rtdsrv.7564e7ab0b144a428c49de700e46e81c">
      <tp t="e">
        <v>#N/A</v>
        <stp/>
        <stp>6cb3f4fe-7675-4241-a4ae-1e79619a4130</stp>
        <stp>1</stp>
        <tr r="E97" s="10"/>
      </tp>
      <tp t="e">
        <v>#N/A</v>
        <stp/>
        <stp>dc4dce2f-13d0-46b5-ba6b-7b156b2eba58</stp>
        <stp>1</stp>
        <tr r="E96" s="10"/>
      </tp>
      <tp t="e">
        <v>#N/A</v>
        <stp/>
        <stp>80fa4070-63c9-4cc3-9e2f-f69444de5edc</stp>
        <stp>1</stp>
        <tr r="E51" s="10"/>
      </tp>
      <tp t="e">
        <v>#N/A</v>
        <stp/>
        <stp>f8a9ab14-54b2-41f5-8fc2-39d871f6e072</stp>
        <stp>1</stp>
        <tr r="D53" s="10"/>
      </tp>
      <tp t="e">
        <v>#N/A</v>
        <stp/>
        <stp>9e566818-2a3b-49f4-aa83-9c7a155f7618</stp>
        <stp>1</stp>
        <tr r="D121" s="10"/>
      </tp>
    </main>
    <main first="rtdsrv.7564e7ab0b144a428c49de700e46e81c">
      <tp t="e">
        <v>#N/A</v>
        <stp/>
        <stp>81d8e59f-e1b9-450c-9c74-5313c668bfaa</stp>
        <stp>1</stp>
        <tr r="E92" s="10"/>
      </tp>
      <tp t="e">
        <v>#N/A</v>
        <stp/>
        <stp>5cfb4dec-dab5-444d-bca1-77c1b74851bf</stp>
        <stp>1</stp>
        <tr r="E31" s="10"/>
      </tp>
      <tp t="e">
        <v>#N/A</v>
        <stp/>
        <stp>ecabd3f1-13b5-4ce6-ab6f-501327cc72d9</stp>
        <stp>1</stp>
        <tr r="E120" s="10"/>
      </tp>
    </main>
    <main first="rtdsrv.7564e7ab0b144a428c49de700e46e81c">
      <tp t="e">
        <v>#N/A</v>
        <stp/>
        <stp>b580f092-926a-4318-8253-3f7cb53619b0</stp>
        <stp>1</stp>
        <tr r="E150" s="10"/>
      </tp>
      <tp t="e">
        <v>#N/A</v>
        <stp/>
        <stp>c68bb26c-eb54-474b-81f7-eee1bd311efa</stp>
        <stp>1</stp>
        <tr r="C139" s="10"/>
      </tp>
      <tp t="e">
        <v>#N/A</v>
        <stp/>
        <stp>3d1bc933-3f86-4ff1-be0d-1874be570664</stp>
        <stp>1</stp>
        <tr r="C42" s="10"/>
      </tp>
    </main>
    <main first="rtdsrv.7564e7ab0b144a428c49de700e46e81c">
      <tp t="e">
        <v>#N/A</v>
        <stp/>
        <stp>18a13d40-81dc-4fdc-9b24-6e3dfa400704</stp>
        <stp>1</stp>
        <tr r="D162" s="10"/>
      </tp>
    </main>
    <main first="rtdsrv.7564e7ab0b144a428c49de700e46e81c">
      <tp t="e">
        <v>#N/A</v>
        <stp/>
        <stp>fb99d424-8e2a-42ed-b60b-f24ddbf277bc</stp>
        <stp>1</stp>
        <tr r="C52" s="10"/>
      </tp>
    </main>
    <main first="rtdsrv.7564e7ab0b144a428c49de700e46e81c">
      <tp t="e">
        <v>#N/A</v>
        <stp/>
        <stp>bdad4c7f-56e8-44c1-a492-b4391f2c18b1</stp>
        <stp>1</stp>
        <tr r="E198" s="10"/>
      </tp>
      <tp t="e">
        <v>#N/A</v>
        <stp/>
        <stp>a2e3eef9-3559-4369-b43a-3fa7250df54d</stp>
        <stp>1</stp>
        <tr r="E134" s="10"/>
      </tp>
    </main>
    <main first="rtdsrv.7564e7ab0b144a428c49de700e46e81c">
      <tp t="e">
        <v>#N/A</v>
        <stp/>
        <stp>24691fbb-8f4b-4770-b690-119c62519421</stp>
        <stp>1</stp>
        <tr r="C13" s="10"/>
      </tp>
    </main>
    <main first="rtdsrv.7564e7ab0b144a428c49de700e46e81c">
      <tp t="e">
        <v>#N/A</v>
        <stp/>
        <stp>6101e2e0-e653-4ae1-9c46-0fa90ce99565</stp>
        <stp>1</stp>
        <tr r="E184" s="10"/>
      </tp>
    </main>
    <main first="rtdsrv.7564e7ab0b144a428c49de700e46e81c">
      <tp t="e">
        <v>#N/A</v>
        <stp/>
        <stp>064a88dd-368c-4bab-b16e-35c4ec1d17b4</stp>
        <stp>1</stp>
        <tr r="E142" s="10"/>
      </tp>
    </main>
    <main first="rtdsrv.7564e7ab0b144a428c49de700e46e81c">
      <tp t="e">
        <v>#N/A</v>
        <stp/>
        <stp>3e08172f-449e-49d3-b471-55aafdae968a</stp>
        <stp>1</stp>
        <tr r="E35" s="10"/>
      </tp>
    </main>
    <main first="rtdsrv.7564e7ab0b144a428c49de700e46e81c">
      <tp t="e">
        <v>#N/A</v>
        <stp/>
        <stp>664c5d5e-eb37-45a3-82c0-eabcdc5251c0</stp>
        <stp>1</stp>
        <tr r="D192" s="10"/>
      </tp>
      <tp t="e">
        <v>#N/A</v>
        <stp/>
        <stp>52e98d72-dc0a-4de8-bc3f-e20d8f5cde1c</stp>
        <stp>1</stp>
        <tr r="C43" s="10"/>
      </tp>
      <tp t="e">
        <v>#N/A</v>
        <stp/>
        <stp>67f5d6fd-b234-4d45-92c6-37e5898b8221</stp>
        <stp>1</stp>
        <tr r="H6" s="11"/>
      </tp>
      <tp t="e">
        <v>#N/A</v>
        <stp/>
        <stp>d1c94f64-4656-4843-9ea9-a07bd617bb45</stp>
        <stp>1</stp>
        <tr r="E20" s="10"/>
      </tp>
    </main>
    <main first="rtdsrv.7564e7ab0b144a428c49de700e46e81c">
      <tp t="e">
        <v>#N/A</v>
        <stp/>
        <stp>e52749c6-9569-4c9c-9ab2-c70f10b079cb</stp>
        <stp>1</stp>
        <tr r="C166" s="10"/>
      </tp>
      <tp t="e">
        <v>#N/A</v>
        <stp/>
        <stp>4700a259-0066-4945-9373-02a6846e9555</stp>
        <stp>1</stp>
        <tr r="E81" s="10"/>
      </tp>
      <tp t="e">
        <v>#N/A</v>
        <stp/>
        <stp>3ed369bc-31f1-4d1f-9a5e-23c6e41b92af</stp>
        <stp>1</stp>
        <tr r="E124" s="10"/>
      </tp>
    </main>
    <main first="rtdsrv.7564e7ab0b144a428c49de700e46e81c">
      <tp t="e">
        <v>#N/A</v>
        <stp/>
        <stp>70a8e5b3-4078-4cff-aac9-66665ac0f31a</stp>
        <stp>1</stp>
        <tr r="C62" s="10"/>
      </tp>
      <tp t="e">
        <v>#N/A</v>
        <stp/>
        <stp>2ae088ab-7b2a-4b75-8c73-c377265ffb52</stp>
        <stp>1</stp>
        <tr r="D87" s="10"/>
      </tp>
    </main>
    <main first="rtdsrv.7564e7ab0b144a428c49de700e46e81c">
      <tp t="e">
        <v>#N/A</v>
        <stp/>
        <stp>0fe6d647-0d08-4b3e-82a8-c1f12ade5b8f</stp>
        <stp>1</stp>
        <tr r="E126" s="10"/>
      </tp>
      <tp t="e">
        <v>#N/A</v>
        <stp/>
        <stp>0f3c8e94-953c-48d9-bbb5-33f13072c57d</stp>
        <stp>1</stp>
        <tr r="C6" s="11"/>
      </tp>
    </main>
    <main first="rtdsrv.7564e7ab0b144a428c49de700e46e81c">
      <tp t="e">
        <v>#N/A</v>
        <stp/>
        <stp>886a33f3-71af-4f15-8df2-53774b835010</stp>
        <stp>1</stp>
        <tr r="E50" s="10"/>
      </tp>
    </main>
    <main first="rtdsrv.7564e7ab0b144a428c49de700e46e81c">
      <tp t="e">
        <v>#N/A</v>
        <stp/>
        <stp>5c3c1217-24e9-4045-81e3-abb0b631895a</stp>
        <stp>1</stp>
        <tr r="D154" s="10"/>
      </tp>
    </main>
    <main first="rtdsrv.7564e7ab0b144a428c49de700e46e81c">
      <tp t="e">
        <v>#N/A</v>
        <stp/>
        <stp>7be7ea00-caba-445f-8c9c-a311344649a7</stp>
        <stp>1</stp>
        <tr r="D183" s="10"/>
      </tp>
      <tp t="e">
        <v>#N/A</v>
        <stp/>
        <stp>a2590dd6-9ff4-4d73-bf31-76e463dd492f</stp>
        <stp>1</stp>
        <tr r="D62" s="10"/>
      </tp>
    </main>
    <main first="rtdsrv.7564e7ab0b144a428c49de700e46e81c">
      <tp t="e">
        <v>#N/A</v>
        <stp/>
        <stp>85653757-b4ff-4a48-9e31-7cbe965346f3</stp>
        <stp>1</stp>
        <tr r="E132" s="10"/>
      </tp>
    </main>
    <main first="rtdsrv.7564e7ab0b144a428c49de700e46e81c">
      <tp t="e">
        <v>#N/A</v>
        <stp/>
        <stp>af200922-52b5-4abf-9ddb-46bcae722bb0</stp>
        <stp>1</stp>
        <tr r="D141" s="10"/>
      </tp>
    </main>
    <main first="rtdsrv.7564e7ab0b144a428c49de700e46e81c">
      <tp t="e">
        <v>#N/A</v>
        <stp/>
        <stp>4726953c-21dc-40a6-90b9-75d238dfa6b4</stp>
        <stp>1</stp>
        <tr r="D47" s="10"/>
      </tp>
    </main>
    <main first="rtdsrv.7564e7ab0b144a428c49de700e46e81c">
      <tp t="e">
        <v>#N/A</v>
        <stp/>
        <stp>e00908c1-5cf8-4e56-abba-69bf2796d26b</stp>
        <stp>1</stp>
        <tr r="D150" s="10"/>
      </tp>
    </main>
    <main first="rtdsrv.7564e7ab0b144a428c49de700e46e81c">
      <tp t="e">
        <v>#N/A</v>
        <stp/>
        <stp>b8af7e00-59aa-4ab9-b9e8-3d4cf7b9bfb6</stp>
        <stp>1</stp>
        <tr r="E107" s="10"/>
      </tp>
      <tp t="e">
        <v>#N/A</v>
        <stp/>
        <stp>c6877e64-a2a7-4aad-9311-91754b7ae756</stp>
        <stp>1</stp>
        <tr r="E148" s="10"/>
      </tp>
      <tp t="e">
        <v>#N/A</v>
        <stp/>
        <stp>9d8d5231-23ae-411b-95c1-005c7e5a5caf</stp>
        <stp>1</stp>
        <tr r="D130" s="10"/>
      </tp>
    </main>
    <main first="rtdsrv.7564e7ab0b144a428c49de700e46e81c">
      <tp t="e">
        <v>#N/A</v>
        <stp/>
        <stp>cd94a35c-ceff-49c1-8957-9827b569757f</stp>
        <stp>1</stp>
        <tr r="E193" s="10"/>
      </tp>
    </main>
    <main first="rtdsrv.7564e7ab0b144a428c49de700e46e81c">
      <tp t="e">
        <v>#N/A</v>
        <stp/>
        <stp>58a81e1f-6a98-44aa-9b87-ed073c068203</stp>
        <stp>1</stp>
        <tr r="E29" s="10"/>
      </tp>
    </main>
    <main first="rtdsrv.7564e7ab0b144a428c49de700e46e81c">
      <tp t="e">
        <v>#N/A</v>
        <stp/>
        <stp>33c25542-f74e-4a07-888f-a0d128f50de1</stp>
        <stp>1</stp>
        <tr r="D75" s="10"/>
      </tp>
      <tp t="e">
        <v>#N/A</v>
        <stp/>
        <stp>e3869307-6746-4146-9cf9-230cac3bf70d</stp>
        <stp>1</stp>
        <tr r="D152" s="10"/>
      </tp>
    </main>
    <main first="rtdsrv.7564e7ab0b144a428c49de700e46e81c">
      <tp t="e">
        <v>#N/A</v>
        <stp/>
        <stp>72fa2d25-9a66-4b44-833d-968c29f72dd4</stp>
        <stp>1</stp>
        <tr r="C41" s="10"/>
      </tp>
    </main>
    <main first="rtdsrv.7564e7ab0b144a428c49de700e46e81c">
      <tp t="e">
        <v>#N/A</v>
        <stp/>
        <stp>bba90a81-f9f0-40cf-b945-13be2dab9d9c</stp>
        <stp>1</stp>
        <tr r="D84" s="10"/>
      </tp>
    </main>
    <main first="rtdsrv.7564e7ab0b144a428c49de700e46e81c">
      <tp t="e">
        <v>#N/A</v>
        <stp/>
        <stp>50196c44-1dd7-4591-9dcb-59449048f351</stp>
        <stp>1</stp>
        <tr r="E14" s="10"/>
      </tp>
    </main>
    <main first="rtdsrv.7564e7ab0b144a428c49de700e46e81c">
      <tp t="e">
        <v>#N/A</v>
        <stp/>
        <stp>c5d610e1-95a0-4af6-880d-eacd494b7bef</stp>
        <stp>1</stp>
        <tr r="D93" s="10"/>
      </tp>
    </main>
    <main first="rtdsrv.7564e7ab0b144a428c49de700e46e81c">
      <tp t="e">
        <v>#N/A</v>
        <stp/>
        <stp>7f6aec77-797e-48b3-b950-13c7cfd5fdef</stp>
        <stp>1</stp>
        <tr r="D86" s="10"/>
      </tp>
      <tp t="e">
        <v>#N/A</v>
        <stp/>
        <stp>a2b45e07-c19c-44be-aeac-9fcbdc203beb</stp>
        <stp>1</stp>
        <tr r="D134" s="10"/>
      </tp>
    </main>
    <main first="rtdsrv.7564e7ab0b144a428c49de700e46e81c">
      <tp t="e">
        <v>#N/A</v>
        <stp/>
        <stp>b68d8781-4f12-4916-aaeb-71e7cde001bd</stp>
        <stp>1</stp>
        <tr r="E46" s="10"/>
      </tp>
    </main>
    <main first="rtdsrv.7564e7ab0b144a428c49de700e46e81c">
      <tp t="e">
        <v>#N/A</v>
        <stp/>
        <stp>bdec5b3f-9273-4fd7-9c72-0eb1521a694b</stp>
        <stp>1</stp>
        <tr r="C190" s="10"/>
      </tp>
      <tp t="e">
        <v>#N/A</v>
        <stp/>
        <stp>2307370c-56b5-4a3b-8a60-0a60027066d0</stp>
        <stp>1</stp>
        <tr r="C187" s="10"/>
      </tp>
    </main>
    <main first="rtdsrv.7564e7ab0b144a428c49de700e46e81c">
      <tp t="e">
        <v>#N/A</v>
        <stp/>
        <stp>98bb7201-68da-45bc-8fb5-f1b46db0299a</stp>
        <stp>1</stp>
        <tr r="E169" s="10"/>
      </tp>
      <tp t="e">
        <v>#N/A</v>
        <stp/>
        <stp>8360a329-1550-4220-b551-9c22aef98eb8</stp>
        <stp>1</stp>
        <tr r="C54" s="10"/>
      </tp>
    </main>
    <main first="rtdsrv.7564e7ab0b144a428c49de700e46e81c">
      <tp t="e">
        <v>#N/A</v>
        <stp/>
        <stp>91761e31-ae79-488b-9912-094250fd8348</stp>
        <stp>1</stp>
        <tr r="D136" s="10"/>
      </tp>
    </main>
    <main first="rtdsrv.7564e7ab0b144a428c49de700e46e81c">
      <tp t="e">
        <v>#N/A</v>
        <stp/>
        <stp>10c4ea4d-655a-4739-9027-b04760c0d363</stp>
        <stp>1</stp>
        <tr r="E26" s="10"/>
      </tp>
    </main>
    <main first="rtdsrv.7564e7ab0b144a428c49de700e46e81c">
      <tp t="e">
        <v>#N/A</v>
        <stp/>
        <stp>06e84ca6-1e71-46b3-8b84-70100d2a5289</stp>
        <stp>1</stp>
        <tr r="D52" s="10"/>
      </tp>
      <tp t="e">
        <v>#N/A</v>
        <stp/>
        <stp>4a054554-b6f5-47f5-91d3-6565becb143a</stp>
        <stp>1</stp>
        <tr r="D140" s="10"/>
      </tp>
      <tp t="e">
        <v>#N/A</v>
        <stp/>
        <stp>9c8c96e1-d0bf-4898-a0d7-0906928eabde</stp>
        <stp>1</stp>
        <tr r="E186" s="10"/>
      </tp>
      <tp t="e">
        <v>#N/A</v>
        <stp/>
        <stp>d50e8e6f-e7e6-4c21-ab4d-db75b9599437</stp>
        <stp>1</stp>
        <tr r="C156" s="10"/>
      </tp>
      <tp t="e">
        <v>#N/A</v>
        <stp/>
        <stp>58441d42-fc73-4c65-9e2d-686a350dd821</stp>
        <stp>1</stp>
        <tr r="D155" s="10"/>
      </tp>
      <tp t="e">
        <v>#N/A</v>
        <stp/>
        <stp>062ed835-0ebe-432a-aba9-e902fa9883b4</stp>
        <stp>1</stp>
        <tr r="D28" s="10"/>
      </tp>
    </main>
    <main first="rtdsrv.7564e7ab0b144a428c49de700e46e81c">
      <tp t="e">
        <v>#N/A</v>
        <stp/>
        <stp>cab494ee-f75a-48e0-aaad-ee5734222d5f</stp>
        <stp>1</stp>
        <tr r="D13" s="10"/>
      </tp>
    </main>
    <main first="rtdsrv.7564e7ab0b144a428c49de700e46e81c">
      <tp t="e">
        <v>#N/A</v>
        <stp/>
        <stp>5d4c9e75-88b7-4c15-9642-29807f6ee25e</stp>
        <stp>1</stp>
        <tr r="D193" s="10"/>
      </tp>
    </main>
    <main first="rtdsrv.7564e7ab0b144a428c49de700e46e81c">
      <tp t="e">
        <v>#N/A</v>
        <stp/>
        <stp>3e4d220f-3979-4ee1-8309-2d75b504cef7</stp>
        <stp>1</stp>
        <tr r="C177" s="10"/>
      </tp>
    </main>
    <main first="rtdsrv.7564e7ab0b144a428c49de700e46e81c">
      <tp t="e">
        <v>#N/A</v>
        <stp/>
        <stp>e74714f9-a403-4119-a599-e90b52e4af8f</stp>
        <stp>1</stp>
        <tr r="D89" s="10"/>
      </tp>
    </main>
    <main first="rtdsrv.7564e7ab0b144a428c49de700e46e81c">
      <tp t="e">
        <v>#N/A</v>
        <stp/>
        <stp>7ddd4c2f-ee2b-46be-83c7-5b09f4ba48f8</stp>
        <stp>1</stp>
        <tr r="C92" s="10"/>
      </tp>
    </main>
    <main first="rtdsrv.7564e7ab0b144a428c49de700e46e81c">
      <tp t="e">
        <v>#N/A</v>
        <stp/>
        <stp>aa804f45-b81f-4667-85a9-43ea7e50da55</stp>
        <stp>1</stp>
        <tr r="E37" s="10"/>
      </tp>
      <tp t="e">
        <v>#N/A</v>
        <stp/>
        <stp>db25d4bd-b5b5-4cb3-adce-62680314a30c</stp>
        <stp>1</stp>
        <tr r="E98" s="10"/>
      </tp>
    </main>
    <main first="rtdsrv.7564e7ab0b144a428c49de700e46e81c">
      <tp t="e">
        <v>#N/A</v>
        <stp/>
        <stp>c1d774c2-781f-4933-a5d5-4822a6704b00</stp>
        <stp>1</stp>
        <tr r="E82" s="10"/>
      </tp>
    </main>
    <main first="rtdsrv.7564e7ab0b144a428c49de700e46e81c">
      <tp t="e">
        <v>#N/A</v>
        <stp/>
        <stp>2225df04-d249-467f-95d8-3bd2f7852a3c</stp>
        <stp>1</stp>
        <tr r="E154" s="10"/>
      </tp>
      <tp t="e">
        <v>#N/A</v>
        <stp/>
        <stp>db6f7334-d8e7-40b4-92c8-13e39b2a7962</stp>
        <stp>1</stp>
        <tr r="D120" s="10"/>
      </tp>
    </main>
    <main first="rtdsrv.7564e7ab0b144a428c49de700e46e81c">
      <tp t="e">
        <v>#N/A</v>
        <stp/>
        <stp>8b566a70-06d1-45a6-ada4-d918b6451c0e</stp>
        <stp>1</stp>
        <tr r="D44" s="10"/>
      </tp>
      <tp t="e">
        <v>#N/A</v>
        <stp/>
        <stp>0b115010-4c94-4275-8add-88b9d17363df</stp>
        <stp>1</stp>
        <tr r="D71" s="10"/>
      </tp>
      <tp t="e">
        <v>#N/A</v>
        <stp/>
        <stp>f09f79d5-b919-47be-956d-787213a443c4</stp>
        <stp>1</stp>
        <tr r="D72" s="10"/>
      </tp>
    </main>
    <main first="rtdsrv.7564e7ab0b144a428c49de700e46e81c">
      <tp t="e">
        <v>#N/A</v>
        <stp/>
        <stp>f368e6b4-d73c-4037-b26d-00020724c6c5</stp>
        <stp>1</stp>
        <tr r="D96" s="10"/>
      </tp>
    </main>
    <main first="rtdsrv.7564e7ab0b144a428c49de700e46e81c">
      <tp t="e">
        <v>#N/A</v>
        <stp/>
        <stp>7584dd91-333e-460f-9174-cef7abd368ec</stp>
        <stp>1</stp>
        <tr r="C30" s="10"/>
      </tp>
    </main>
    <main first="rtdsrv.7564e7ab0b144a428c49de700e46e81c">
      <tp t="e">
        <v>#N/A</v>
        <stp/>
        <stp>42df7f6a-6d5f-457e-9fae-2f8fec13b005</stp>
        <stp>1</stp>
        <tr r="E21" s="10"/>
      </tp>
    </main>
    <main first="rtdsrv.7564e7ab0b144a428c49de700e46e81c">
      <tp t="e">
        <v>#N/A</v>
        <stp/>
        <stp>51698366-bd7a-428d-bf93-3702bf06e872</stp>
        <stp>1</stp>
        <tr r="E188" s="10"/>
      </tp>
    </main>
    <main first="rtdsrv.7564e7ab0b144a428c49de700e46e81c">
      <tp t="e">
        <v>#N/A</v>
        <stp/>
        <stp>37ccd24c-e4ab-487d-a2ca-2ef48934af0e</stp>
        <stp>1</stp>
        <tr r="E159" s="10"/>
      </tp>
    </main>
    <main first="rtdsrv.7564e7ab0b144a428c49de700e46e81c">
      <tp t="e">
        <v>#N/A</v>
        <stp/>
        <stp>af8ccd65-a349-4359-8d8c-c9d06403c3a7</stp>
        <stp>1</stp>
        <tr r="C165" s="10"/>
      </tp>
    </main>
    <main first="rtdsrv.7564e7ab0b144a428c49de700e46e81c">
      <tp t="e">
        <v>#N/A</v>
        <stp/>
        <stp>d486708c-52bf-42c5-84d8-1b7381d1649b</stp>
        <stp>1</stp>
        <tr r="E127" s="10"/>
      </tp>
    </main>
    <main first="rtdsrv.7564e7ab0b144a428c49de700e46e81c">
      <tp t="e">
        <v>#N/A</v>
        <stp/>
        <stp>767ab7ff-3a4b-4fbe-b34b-442ff429ff35</stp>
        <stp>1</stp>
        <tr r="D69" s="10"/>
      </tp>
    </main>
    <main first="rtdsrv.7564e7ab0b144a428c49de700e46e81c">
      <tp t="e">
        <v>#N/A</v>
        <stp/>
        <stp>7287b6e1-297f-4396-b139-850f47ccc868</stp>
        <stp>1</stp>
        <tr r="D6" s="11"/>
      </tp>
    </main>
    <main first="rtdsrv.7564e7ab0b144a428c49de700e46e81c">
      <tp t="e">
        <v>#N/A</v>
        <stp/>
        <stp>6122f5f8-1cd0-4604-b99a-32ff939467a5</stp>
        <stp>1</stp>
        <tr r="D68" s="10"/>
      </tp>
    </main>
    <main first="rtdsrv.7564e7ab0b144a428c49de700e46e81c">
      <tp t="e">
        <v>#N/A</v>
        <stp/>
        <stp>94975f1b-8ac7-44c2-8c7a-fd46c3245d7e</stp>
        <stp>1</stp>
        <tr r="D91" s="10"/>
      </tp>
    </main>
    <main first="rtdsrv.7564e7ab0b144a428c49de700e46e81c">
      <tp t="e">
        <v>#N/A</v>
        <stp/>
        <stp>2951447a-a636-4b7b-92e2-956e5ddc12fc</stp>
        <stp>1</stp>
        <tr r="E41" s="10"/>
      </tp>
      <tp t="e">
        <v>#N/A</v>
        <stp/>
        <stp>1984c1b3-4b43-42f4-9228-993560f4232d</stp>
        <stp>1</stp>
        <tr r="E99" s="10"/>
      </tp>
    </main>
    <main first="rtdsrv.7564e7ab0b144a428c49de700e46e81c">
      <tp t="e">
        <v>#N/A</v>
        <stp/>
        <stp>ddd70ff9-877e-4c4c-88b8-e4785c52c1c5</stp>
        <stp>1</stp>
        <tr r="C121" s="10"/>
      </tp>
    </main>
    <main first="rtdsrv.7564e7ab0b144a428c49de700e46e81c">
      <tp t="e">
        <v>#N/A</v>
        <stp/>
        <stp>32b3de63-bc32-4894-b4b0-1d66bbe34151</stp>
        <stp>1</stp>
        <tr r="D88" s="10"/>
      </tp>
    </main>
    <main first="rtdsrv.7564e7ab0b144a428c49de700e46e81c">
      <tp t="e">
        <v>#N/A</v>
        <stp/>
        <stp>33547553-424c-4217-ab1b-371104898b55</stp>
        <stp>1</stp>
        <tr r="E144" s="10"/>
      </tp>
      <tp t="e">
        <v>#N/A</v>
        <stp/>
        <stp>5bdc3638-74fe-4794-bdbc-14d159ca519e</stp>
        <stp>1</stp>
        <tr r="E183" s="10"/>
      </tp>
    </main>
    <main first="rtdsrv.7564e7ab0b144a428c49de700e46e81c">
      <tp t="e">
        <v>#N/A</v>
        <stp/>
        <stp>cd8944be-77b7-451d-aa3d-b53da39616ce</stp>
        <stp>1</stp>
        <tr r="C87" s="10"/>
      </tp>
    </main>
    <main first="rtdsrv.7564e7ab0b144a428c49de700e46e81c">
      <tp t="e">
        <v>#N/A</v>
        <stp/>
        <stp>ab6f57fb-f646-4e32-9387-2430e9bb565c</stp>
        <stp>1</stp>
        <tr r="E130" s="10"/>
      </tp>
      <tp t="e">
        <v>#N/A</v>
        <stp/>
        <stp>61da0823-cf9d-4e5f-9bef-b8951b99f16f</stp>
        <stp>1</stp>
        <tr r="C169" s="10"/>
      </tp>
    </main>
    <main first="rtdsrv.7564e7ab0b144a428c49de700e46e81c">
      <tp t="e">
        <v>#N/A</v>
        <stp/>
        <stp>6f0b78c5-0189-42d8-bb3c-ed55b9b58c7b</stp>
        <stp>1</stp>
        <tr r="E93" s="10"/>
      </tp>
    </main>
    <main first="rtdsrv.7564e7ab0b144a428c49de700e46e81c">
      <tp t="e">
        <v>#N/A</v>
        <stp/>
        <stp>18c6336b-a4e5-43cd-93b3-6c8dee752617</stp>
        <stp>1</stp>
        <tr r="D198" s="10"/>
      </tp>
    </main>
    <main first="rtdsrv.7564e7ab0b144a428c49de700e46e81c">
      <tp t="e">
        <v>#N/A</v>
        <stp/>
        <stp>5a32e52e-033c-4768-8477-185f1fe24b7b</stp>
        <stp>1</stp>
        <tr r="D102" s="10"/>
      </tp>
      <tp t="e">
        <v>#N/A</v>
        <stp/>
        <stp>701b6d98-19a2-4b28-bb8d-4c2c46f19cc5</stp>
        <stp>1</stp>
        <tr r="D181" s="10"/>
      </tp>
    </main>
    <main first="rtdsrv.7564e7ab0b144a428c49de700e46e81c">
      <tp t="e">
        <v>#N/A</v>
        <stp/>
        <stp>d886db68-f8d6-4c13-8e83-12082f6c8946</stp>
        <stp>1</stp>
        <tr r="D184" s="10"/>
      </tp>
      <tp t="e">
        <v>#N/A</v>
        <stp/>
        <stp>3a86a924-8f89-46a4-a485-e4b633231684</stp>
        <stp>1</stp>
        <tr r="D54" s="10"/>
      </tp>
      <tp t="e">
        <v>#N/A</v>
        <stp/>
        <stp>4bdaf324-070a-4df8-89f2-f4d719eab2d3</stp>
        <stp>1</stp>
        <tr r="E19" s="10"/>
      </tp>
    </main>
    <main first="rtdsrv.7564e7ab0b144a428c49de700e46e81c">
      <tp t="e">
        <v>#N/A</v>
        <stp/>
        <stp>b538f4df-dae6-4f89-a4e7-7705092fe8d3</stp>
        <stp>1</stp>
        <tr r="C143" s="10"/>
      </tp>
      <tp t="e">
        <v>#N/A</v>
        <stp/>
        <stp>97ae216f-faa0-42be-80f9-6f92386d008b</stp>
        <stp>1</stp>
        <tr r="C82" s="10"/>
      </tp>
    </main>
    <main first="rtdsrv.7564e7ab0b144a428c49de700e46e81c">
      <tp t="e">
        <v>#N/A</v>
        <stp/>
        <stp>dedbfcdb-af71-49ac-bb22-ef3ceb1cbcd0</stp>
        <stp>1</stp>
        <tr r="C67" s="10"/>
      </tp>
      <tp t="e">
        <v>#N/A</v>
        <stp/>
        <stp>a1a2c1b5-3202-48ea-ae54-07ec4a4cf7e2</stp>
        <stp>1</stp>
        <tr r="D94" s="10"/>
      </tp>
    </main>
    <main first="rtdsrv.7564e7ab0b144a428c49de700e46e81c">
      <tp t="e">
        <v>#N/A</v>
        <stp/>
        <stp>2774e77a-3853-41d1-973d-44d2f4b03d26</stp>
        <stp>1</stp>
        <tr r="D59" s="10"/>
      </tp>
    </main>
    <main first="rtdsrv.7564e7ab0b144a428c49de700e46e81c">
      <tp t="e">
        <v>#N/A</v>
        <stp/>
        <stp>18b3df1d-5dc3-4259-be20-6be4f1b43648</stp>
        <stp>1</stp>
        <tr r="D169" s="10"/>
      </tp>
    </main>
    <main first="rtdsrv.7564e7ab0b144a428c49de700e46e81c">
      <tp t="e">
        <v>#N/A</v>
        <stp/>
        <stp>ea80fb15-723f-4c35-9bcb-9c077d261281</stp>
        <stp>1</stp>
        <tr r="C125" s="10"/>
      </tp>
      <tp t="e">
        <v>#N/A</v>
        <stp/>
        <stp>5287a845-0104-4904-b707-3575e8d29332</stp>
        <stp>1</stp>
        <tr r="D34" s="10"/>
      </tp>
    </main>
    <main first="rtdsrv.7564e7ab0b144a428c49de700e46e81c">
      <tp t="e">
        <v>#N/A</v>
        <stp/>
        <stp>809d0243-bfe3-4ae7-8c60-ad45f8433751</stp>
        <stp>1</stp>
        <tr r="E59" s="10"/>
      </tp>
    </main>
    <main first="rtdsrv.7564e7ab0b144a428c49de700e46e81c">
      <tp t="e">
        <v>#N/A</v>
        <stp/>
        <stp>1a92a045-ba16-4fb3-9099-f3b48459d298</stp>
        <stp>1</stp>
        <tr r="E160" s="10"/>
      </tp>
      <tp t="e">
        <v>#N/A</v>
        <stp/>
        <stp>5910862f-8563-4dce-a8d5-e56971bf97df</stp>
        <stp>1</stp>
        <tr r="C21" s="10"/>
      </tp>
      <tp t="e">
        <v>#N/A</v>
        <stp/>
        <stp>326a6dab-55b5-4efd-8c31-458c67ce934f</stp>
        <stp>1</stp>
        <tr r="E104" s="10"/>
      </tp>
      <tp t="e">
        <v>#N/A</v>
        <stp/>
        <stp>56c5087a-ec11-42da-89f1-c76a63df3504</stp>
        <stp>1</stp>
        <tr r="C163" s="10"/>
      </tp>
    </main>
    <main first="rtdsrv.7564e7ab0b144a428c49de700e46e81c">
      <tp t="e">
        <v>#N/A</v>
        <stp/>
        <stp>fa658601-9c68-47dd-8804-2514bbfcfe26</stp>
        <stp>1</stp>
        <tr r="D187" s="10"/>
      </tp>
    </main>
    <main first="rtdsrv.7564e7ab0b144a428c49de700e46e81c">
      <tp t="e">
        <v>#N/A</v>
        <stp/>
        <stp>9116e0c7-e2fa-4793-b8b6-5b7d20099a53</stp>
        <stp>1</stp>
        <tr r="D182" s="10"/>
      </tp>
      <tp t="e">
        <v>#N/A</v>
        <stp/>
        <stp>f444c382-8662-48fd-a336-1a11f8e07704</stp>
        <stp>1</stp>
        <tr r="C55" s="10"/>
      </tp>
    </main>
    <main first="rtdsrv.7564e7ab0b144a428c49de700e46e81c">
      <tp t="e">
        <v>#N/A</v>
        <stp/>
        <stp>9227ce97-1e82-48ab-9f53-8635ed9e30b5</stp>
        <stp>1</stp>
        <tr r="C147" s="10"/>
      </tp>
    </main>
    <main first="rtdsrv.7564e7ab0b144a428c49de700e46e81c">
      <tp t="e">
        <v>#N/A</v>
        <stp/>
        <stp>6f6061e3-1696-409f-b7e2-1425613886a9</stp>
        <stp>1</stp>
        <tr r="D125" s="10"/>
      </tp>
    </main>
    <main first="rtdsrv.7564e7ab0b144a428c49de700e46e81c">
      <tp t="e">
        <v>#N/A</v>
        <stp/>
        <stp>c812cb93-aced-4a87-8659-5c8e4838600c</stp>
        <stp>1</stp>
        <tr r="E151" s="10"/>
      </tp>
    </main>
    <main first="rtdsrv.7564e7ab0b144a428c49de700e46e81c">
      <tp t="e">
        <v>#N/A</v>
        <stp/>
        <stp>48f4b7e7-c473-4b9b-a84f-bf0a0f86e33c</stp>
        <stp>1</stp>
        <tr r="D153" s="10"/>
      </tp>
    </main>
    <main first="rtdsrv.7564e7ab0b144a428c49de700e46e81c">
      <tp t="e">
        <v>#N/A</v>
        <stp/>
        <stp>a1ce30b8-9b47-4899-890d-166e138654d9</stp>
        <stp>1</stp>
        <tr r="D92" s="10"/>
      </tp>
      <tp t="e">
        <v>#N/A</v>
        <stp/>
        <stp>cf51ec93-dd30-481d-be0c-2b494c1d43e5</stp>
        <stp>1</stp>
        <tr r="E189" s="10"/>
      </tp>
    </main>
    <main first="rtdsrv.7564e7ab0b144a428c49de700e46e81c">
      <tp t="e">
        <v>#N/A</v>
        <stp/>
        <stp>ae9dd907-a047-4b4d-8eef-dbd37408e5a5</stp>
        <stp>1</stp>
        <tr r="D31" s="10"/>
      </tp>
    </main>
    <main first="rtdsrv.7564e7ab0b144a428c49de700e46e81c">
      <tp t="e">
        <v>#N/A</v>
        <stp/>
        <stp>e5fdad99-8ea6-45b2-a6b2-a620dd2cb7c8</stp>
        <stp>1</stp>
        <tr r="E114" s="10"/>
      </tp>
    </main>
    <main first="rtdsrv.7564e7ab0b144a428c49de700e46e81c">
      <tp t="e">
        <v>#N/A</v>
        <stp/>
        <stp>a0e29acb-ef37-4887-82d3-66ca4a07c786</stp>
        <stp>1</stp>
        <tr r="E18" s="10"/>
      </tp>
      <tp t="e">
        <v>#N/A</v>
        <stp/>
        <stp>dbef9ea8-5b06-418e-82c0-d8f11f1d1011</stp>
        <stp>1</stp>
        <tr r="E196" s="10"/>
      </tp>
    </main>
    <main first="rtdsrv.7564e7ab0b144a428c49de700e46e81c">
      <tp t="e">
        <v>#N/A</v>
        <stp/>
        <stp>c6fd60fe-6946-4f91-b99a-6136075387e6</stp>
        <stp>1</stp>
        <tr r="C199" s="10"/>
      </tp>
    </main>
    <main first="rtdsrv.7564e7ab0b144a428c49de700e46e81c">
      <tp t="e">
        <v>#N/A</v>
        <stp/>
        <stp>54ab308b-a84d-4123-bcf4-682ee89a2e4a</stp>
        <stp>1</stp>
        <tr r="E121" s="10"/>
      </tp>
      <tp t="e">
        <v>#N/A</v>
        <stp/>
        <stp>358cce2a-931d-40a2-aad3-037162d0ab7a</stp>
        <stp>1</stp>
        <tr r="D29" s="10"/>
      </tp>
      <tp t="e">
        <v>#N/A</v>
        <stp/>
        <stp>41ecc634-11f7-4e0c-b89a-94b547b65ca7</stp>
        <stp>1</stp>
        <tr r="D41" s="10"/>
      </tp>
      <tp t="e">
        <v>#N/A</v>
        <stp/>
        <stp>ecb32dee-84cb-4e83-a852-05ae04d4dcfb</stp>
        <stp>1</stp>
        <tr r="C135" s="10"/>
      </tp>
    </main>
    <main first="rtdsrv.7564e7ab0b144a428c49de700e46e81c">
      <tp t="e">
        <v>#N/A</v>
        <stp/>
        <stp>e059db0b-b266-4c88-948a-c250836d6fca</stp>
        <stp>1</stp>
        <tr r="D138" s="10"/>
      </tp>
    </main>
    <main first="rtdsrv.7564e7ab0b144a428c49de700e46e81c">
      <tp t="e">
        <v>#N/A</v>
        <stp/>
        <stp>6c67d6f0-5ab6-4d6e-bd5a-cccda0eaaf1d</stp>
        <stp>1</stp>
        <tr r="C60" s="10"/>
      </tp>
    </main>
    <main first="rtdsrv.7564e7ab0b144a428c49de700e46e81c">
      <tp t="e">
        <v>#N/A</v>
        <stp/>
        <stp>34afc905-240d-4287-8a83-8a618eb8f67b</stp>
        <stp>1</stp>
        <tr r="D151" s="10"/>
      </tp>
    </main>
    <main first="rtdsrv.7564e7ab0b144a428c49de700e46e81c">
      <tp t="e">
        <v>#N/A</v>
        <stp/>
        <stp>2f5a1a37-904c-4c0c-b5cf-eaf70eba9877</stp>
        <stp>1</stp>
        <tr r="C157" s="10"/>
      </tp>
    </main>
    <main first="rtdsrv.7564e7ab0b144a428c49de700e46e81c">
      <tp t="e">
        <v>#N/A</v>
        <stp/>
        <stp>6f4ae1c7-248c-4f56-863f-9d5cd9d5ab1d</stp>
        <stp>1</stp>
        <tr r="D196" s="10"/>
      </tp>
    </main>
    <main first="rtdsrv.7564e7ab0b144a428c49de700e46e81c">
      <tp t="e">
        <v>#N/A</v>
        <stp/>
        <stp>63c61357-ff4c-4674-a303-d9d0e376c22f</stp>
        <stp>1</stp>
        <tr r="D166" s="10"/>
      </tp>
    </main>
    <main first="rtdsrv.7564e7ab0b144a428c49de700e46e81c">
      <tp t="e">
        <v>#N/A</v>
        <stp/>
        <stp>2e53e7f4-f2da-42a6-a939-6c3e98e5cd6b</stp>
        <stp>1</stp>
        <tr r="E30" s="10"/>
      </tp>
    </main>
    <main first="rtdsrv.7564e7ab0b144a428c49de700e46e81c">
      <tp t="e">
        <v>#N/A</v>
        <stp/>
        <stp>65cdcfce-bd06-46df-8069-5b1609f81163</stp>
        <stp>1</stp>
        <tr r="C189" s="10"/>
      </tp>
    </main>
    <main first="rtdsrv.7564e7ab0b144a428c49de700e46e81c">
      <tp t="e">
        <v>#N/A</v>
        <stp/>
        <stp>a4138af1-005a-4571-a8ea-35655e5f0482</stp>
        <stp>1</stp>
        <tr r="E125" s="10"/>
      </tp>
    </main>
    <main first="rtdsrv.7564e7ab0b144a428c49de700e46e81c">
      <tp t="e">
        <v>#N/A</v>
        <stp/>
        <stp>ba692922-02e3-41ca-8b76-c312111660aa</stp>
        <stp>1</stp>
        <tr r="D95" s="10"/>
      </tp>
    </main>
    <main first="rtdsrv.7564e7ab0b144a428c49de700e46e81c">
      <tp t="e">
        <v>#N/A</v>
        <stp/>
        <stp>338ef28c-038d-4001-b2e7-cdcba4a55049</stp>
        <stp>1</stp>
        <tr r="C85" s="10"/>
      </tp>
    </main>
    <main first="rtdsrv.7564e7ab0b144a428c49de700e46e81c">
      <tp t="e">
        <v>#N/A</v>
        <stp/>
        <stp>fe155b5d-fe7a-484e-8b8b-e161a94d9f52</stp>
        <stp>1</stp>
        <tr r="D97" s="10"/>
      </tp>
    </main>
    <main first="rtdsrv.7564e7ab0b144a428c49de700e46e81c">
      <tp t="e">
        <v>#N/A</v>
        <stp/>
        <stp>bc59332a-0e14-4efc-871f-98f2e02357b4</stp>
        <stp>1</stp>
        <tr r="D43" s="10"/>
      </tp>
      <tp t="e">
        <v>#N/A</v>
        <stp/>
        <stp>9488553a-6c43-4a4b-9ab5-8ac6bdffbded</stp>
        <stp>1</stp>
        <tr r="E133" s="10"/>
      </tp>
    </main>
    <main first="rtdsrv.7564e7ab0b144a428c49de700e46e81c">
      <tp t="e">
        <v>#N/A</v>
        <stp/>
        <stp>1a177d77-2fa0-453a-b6d2-3f34f2f363f0</stp>
        <stp>1</stp>
        <tr r="C102" s="10"/>
      </tp>
    </main>
    <main first="rtdsrv.7564e7ab0b144a428c49de700e46e81c">
      <tp t="e">
        <v>#N/A</v>
        <stp/>
        <stp>7b47165b-b920-4952-aace-e4283e63e8f5</stp>
        <stp>1</stp>
        <tr r="D171" s="10"/>
      </tp>
    </main>
    <main first="rtdsrv.7564e7ab0b144a428c49de700e46e81c">
      <tp t="e">
        <v>#N/A</v>
        <stp/>
        <stp>ee61dd8e-edf5-41bb-9947-50c8a9951626</stp>
        <stp>1</stp>
        <tr r="D60" s="10"/>
      </tp>
    </main>
    <main first="rtdsrv.7564e7ab0b144a428c49de700e46e81c">
      <tp t="e">
        <v>#N/A</v>
        <stp/>
        <stp>dce339bc-8905-4c98-bbc3-58dac1d2ff03</stp>
        <stp>1</stp>
        <tr r="E123" s="10"/>
      </tp>
    </main>
    <main first="rtdsrv.7564e7ab0b144a428c49de700e46e81c">
      <tp t="e">
        <v>#N/A</v>
        <stp/>
        <stp>de999d42-fc86-4143-be68-2d873e2b55f4</stp>
        <stp>1</stp>
        <tr r="C26" s="10"/>
      </tp>
    </main>
    <main first="rtdsrv.7564e7ab0b144a428c49de700e46e81c">
      <tp t="e">
        <v>#N/A</v>
        <stp/>
        <stp>010c56b4-44ed-4087-8dfa-d194b9a76c48</stp>
        <stp>1</stp>
        <tr r="D21" s="10"/>
      </tp>
    </main>
    <main first="rtdsrv.7564e7ab0b144a428c49de700e46e81c">
      <tp t="e">
        <v>#N/A</v>
        <stp/>
        <stp>91b61b8e-487f-43a0-af6d-25db87c1b73d</stp>
        <stp>1</stp>
        <tr r="C133" s="10"/>
      </tp>
    </main>
    <main first="rtdsrv.7564e7ab0b144a428c49de700e46e81c">
      <tp t="e">
        <v>#N/A</v>
        <stp/>
        <stp>6cf6df88-2cb7-4500-86e4-a46edfd3ad56</stp>
        <stp>1</stp>
        <tr r="D180" s="10"/>
      </tp>
    </main>
    <main first="rtdsrv.7564e7ab0b144a428c49de700e46e81c">
      <tp t="e">
        <v>#N/A</v>
        <stp/>
        <stp>d364ccd8-8a3d-4ccb-bc99-2a96a4a95820</stp>
        <stp>1</stp>
        <tr r="E147" s="10"/>
      </tp>
      <tp t="e">
        <v>#N/A</v>
        <stp/>
        <stp>17bc10d5-f26a-45b2-973a-71f943ba2085</stp>
        <stp>1</stp>
        <tr r="D20" s="10"/>
      </tp>
    </main>
    <main first="rtdsrv.7564e7ab0b144a428c49de700e46e81c">
      <tp t="e">
        <v>#N/A</v>
        <stp/>
        <stp>2aaf2692-6522-4e9b-a74e-a8a8392b5a78</stp>
        <stp>1</stp>
        <tr r="C31" s="10"/>
      </tp>
      <tp t="e">
        <v>#N/A</v>
        <stp/>
        <stp>849e9d59-1574-46f1-931d-164f32919e33</stp>
        <stp>1</stp>
        <tr r="C138" s="10"/>
      </tp>
    </main>
    <main first="rtdsrv.7564e7ab0b144a428c49de700e46e81c">
      <tp t="e">
        <v>#N/A</v>
        <stp/>
        <stp>eb2cb25b-8d09-41b1-80dd-11198d071e06</stp>
        <stp>1</stp>
        <tr r="D109" s="10"/>
      </tp>
      <tp t="e">
        <v>#N/A</v>
        <stp/>
        <stp>54c29583-0dbe-4070-82ae-b0f856971d7d</stp>
        <stp>1</stp>
        <tr r="C70" s="10"/>
      </tp>
    </main>
    <main first="rtdsrv.7564e7ab0b144a428c49de700e46e81c">
      <tp t="e">
        <v>#N/A</v>
        <stp/>
        <stp>37d63649-ff61-44fb-9e87-9b3aa484b7aa</stp>
        <stp>1</stp>
        <tr r="C158" s="10"/>
      </tp>
      <tp t="e">
        <v>#N/A</v>
        <stp/>
        <stp>cb378b18-d137-4956-91b1-5c85ea680d81</stp>
        <stp>1</stp>
        <tr r="D142" s="10"/>
      </tp>
      <tp t="e">
        <v>#N/A</v>
        <stp/>
        <stp>3a30b08a-fbfd-4a1c-babf-b6a767708dc3</stp>
        <stp>1</stp>
        <tr r="D164" s="10"/>
      </tp>
    </main>
    <main first="rtdsrv.7564e7ab0b144a428c49de700e46e81c">
      <tp t="e">
        <v>#N/A</v>
        <stp/>
        <stp>c3257934-8963-4b02-b34a-9a66250ef59d</stp>
        <stp>1</stp>
        <tr r="E162" s="10"/>
      </tp>
    </main>
    <main first="rtdsrv.7564e7ab0b144a428c49de700e46e81c">
      <tp t="e">
        <v>#N/A</v>
        <stp/>
        <stp>510f8028-f856-4979-a3c3-cc1fc9706bae</stp>
        <stp>1</stp>
        <tr r="E85" s="10"/>
      </tp>
      <tp t="e">
        <v>#N/A</v>
        <stp/>
        <stp>e0e5751c-e639-4348-bb12-22d35f644213</stp>
        <stp>1</stp>
        <tr r="D122" s="10"/>
      </tp>
      <tp t="e">
        <v>#N/A</v>
        <stp/>
        <stp>892c9233-e878-4898-b2d2-6b602bd59a88</stp>
        <stp>1</stp>
        <tr r="D114" s="10"/>
      </tp>
      <tp t="e">
        <v>#N/A</v>
        <stp/>
        <stp>76147723-1bbb-45fa-bcfc-d5a95eb29d49</stp>
        <stp>1</stp>
        <tr r="C56" s="10"/>
      </tp>
      <tp t="e">
        <v>#N/A</v>
        <stp/>
        <stp>970c6fad-6d40-4207-ade4-02ba7164c695</stp>
        <stp>1</stp>
        <tr r="B6" s="11"/>
      </tp>
    </main>
    <main first="rtdsrv.7564e7ab0b144a428c49de700e46e81c">
      <tp t="e">
        <v>#N/A</v>
        <stp/>
        <stp>8ba5a73d-3b08-47f8-aecc-bdc995885a86</stp>
        <stp>1</stp>
        <tr r="C142" s="10"/>
      </tp>
    </main>
    <main first="rtdsrv.7564e7ab0b144a428c49de700e46e81c">
      <tp t="e">
        <v>#N/A</v>
        <stp/>
        <stp>a56cf1b0-d8c8-4649-aad5-6e9de5449267</stp>
        <stp>1</stp>
        <tr r="D14" s="10"/>
      </tp>
    </main>
    <main first="rtdsrv.7564e7ab0b144a428c49de700e46e81c">
      <tp t="e">
        <v>#N/A</v>
        <stp/>
        <stp>f7d5debf-b53e-42ad-b148-6611ca69c648</stp>
        <stp>1</stp>
        <tr r="E102" s="10"/>
      </tp>
    </main>
    <main first="rtdsrv.7564e7ab0b144a428c49de700e46e81c">
      <tp t="e">
        <v>#N/A</v>
        <stp/>
        <stp>64330200-4414-4df7-abf8-b6f61d56c217</stp>
        <stp>1</stp>
        <tr r="D45" s="10"/>
      </tp>
      <tp t="e">
        <v>#N/A</v>
        <stp/>
        <stp>76eac99a-701e-41d9-abd8-3c5a7a8f49bf</stp>
        <stp>1</stp>
        <tr r="C74" s="10"/>
      </tp>
    </main>
    <main first="rtdsrv.7564e7ab0b144a428c49de700e46e81c">
      <tp t="e">
        <v>#N/A</v>
        <stp/>
        <stp>3a9619c7-51eb-4241-b941-6b2db68db613</stp>
        <stp>1</stp>
        <tr r="C167" s="10"/>
      </tp>
    </main>
    <main first="rtdsrv.7564e7ab0b144a428c49de700e46e81c">
      <tp t="e">
        <v>#N/A</v>
        <stp/>
        <stp>67faf809-670b-4cd0-901a-906136a32a37</stp>
        <stp>1</stp>
        <tr r="D25" s="10"/>
      </tp>
    </main>
    <main first="rtdsrv.7564e7ab0b144a428c49de700e46e81c">
      <tp t="e">
        <v>#N/A</v>
        <stp/>
        <stp>2bd8c576-f3c2-4247-9dd8-d0c22e8a9092</stp>
        <stp>1</stp>
        <tr r="E185" s="10"/>
      </tp>
    </main>
    <main first="rtdsrv.7564e7ab0b144a428c49de700e46e81c">
      <tp t="e">
        <v>#N/A</v>
        <stp/>
        <stp>5197988b-7a68-40b4-8c48-9b51f959867d</stp>
        <stp>1</stp>
        <tr r="C126" s="10"/>
      </tp>
    </main>
    <main first="rtdsrv.7564e7ab0b144a428c49de700e46e81c">
      <tp t="e">
        <v>#N/A</v>
        <stp/>
        <stp>52ac6cc9-0733-4882-b417-94243f65fb85</stp>
        <stp>1</stp>
        <tr r="C88" s="10"/>
      </tp>
      <tp t="e">
        <v>#N/A</v>
        <stp/>
        <stp>38c5f28d-d780-421a-b28a-458936931ff4</stp>
        <stp>1</stp>
        <tr r="E94" s="10"/>
      </tp>
      <tp t="e">
        <v>#N/A</v>
        <stp/>
        <stp>d9de0fbc-5b92-4758-b1cd-644162dd2b38</stp>
        <stp>1</stp>
        <tr r="E68" s="10"/>
      </tp>
    </main>
    <main first="rtdsrv.7564e7ab0b144a428c49de700e46e81c">
      <tp t="e">
        <v>#N/A</v>
        <stp/>
        <stp>b1555224-1866-4950-b5b5-bcf83eded0d6</stp>
        <stp>1</stp>
        <tr r="C49" s="10"/>
      </tp>
      <tp t="e">
        <v>#N/A</v>
        <stp/>
        <stp>eeff4f36-fafa-4fe8-ad35-97b29782e9d6</stp>
        <stp>1</stp>
        <tr r="C128" s="10"/>
      </tp>
      <tp t="e">
        <v>#N/A</v>
        <stp/>
        <stp>375eba3f-b546-4a1c-afae-e5d3925f80de</stp>
        <stp>1</stp>
        <tr r="D90" s="10"/>
      </tp>
    </main>
    <main first="rtdsrv.7564e7ab0b144a428c49de700e46e81c">
      <tp t="e">
        <v>#N/A</v>
        <stp/>
        <stp>15dda7de-84d6-41b9-b09e-d3fdcc968eec</stp>
        <stp>1</stp>
        <tr r="D81" s="10"/>
      </tp>
    </main>
    <main first="rtdsrv.7564e7ab0b144a428c49de700e46e81c">
      <tp t="e">
        <v>#N/A</v>
        <stp/>
        <stp>2d43a877-8e6a-4604-82bf-9a733df07ba8</stp>
        <stp>1</stp>
        <tr r="C86" s="10"/>
      </tp>
    </main>
    <main first="rtdsrv.7564e7ab0b144a428c49de700e46e81c">
      <tp t="e">
        <v>#N/A</v>
        <stp/>
        <stp>9b935675-0a35-454c-b47e-1d2282f1014f</stp>
        <stp>1</stp>
        <tr r="C153" s="10"/>
      </tp>
    </main>
    <main first="rtdsrv.7564e7ab0b144a428c49de700e46e81c">
      <tp t="e">
        <v>#N/A</v>
        <stp/>
        <stp>564cf19e-0319-4906-b3dd-74c58768a1ef</stp>
        <stp>1</stp>
        <tr r="E33" s="10"/>
      </tp>
    </main>
    <main first="rtdsrv.7564e7ab0b144a428c49de700e46e81c">
      <tp t="e">
        <v>#N/A</v>
        <stp/>
        <stp>b4bc3fcd-8b0d-40b8-b69b-d421df76f43e</stp>
        <stp>1</stp>
        <tr r="D42" s="10"/>
      </tp>
    </main>
    <main first="rtdsrv.7564e7ab0b144a428c49de700e46e81c">
      <tp t="e">
        <v>#N/A</v>
        <stp/>
        <stp>bd914169-28d4-4d51-824a-29c6b45918b8</stp>
        <stp>1</stp>
        <tr r="C181" s="10"/>
      </tp>
    </main>
    <main first="rtdsrv.7564e7ab0b144a428c49de700e46e81c">
      <tp t="e">
        <v>#N/A</v>
        <stp/>
        <stp>322c1aa4-22ac-4fc6-abb1-8afe0cf6316d</stp>
        <stp>1</stp>
        <tr r="D132" s="10"/>
      </tp>
    </main>
    <main first="rtdsrv.7564e7ab0b144a428c49de700e46e81c">
      <tp t="e">
        <v>#N/A</v>
        <stp/>
        <stp>0dd22483-61fb-4cdb-bc64-277e46169db3</stp>
        <stp>1</stp>
        <tr r="D149" s="10"/>
      </tp>
      <tp t="e">
        <v>#N/A</v>
        <stp/>
        <stp>caa6fb60-f301-4ed0-b842-579e164458bf</stp>
        <stp>1</stp>
        <tr r="C194" s="10"/>
      </tp>
    </main>
    <main first="rtdsrv.7564e7ab0b144a428c49de700e46e81c">
      <tp t="e">
        <v>#N/A</v>
        <stp/>
        <stp>e9399bd8-f9e1-4857-8e2b-27ba463bf5ea</stp>
        <stp>1</stp>
        <tr r="C152" s="10"/>
      </tp>
    </main>
    <main first="rtdsrv.7564e7ab0b144a428c49de700e46e81c">
      <tp t="e">
        <v>#N/A</v>
        <stp/>
        <stp>66edd910-4c72-45ba-bc2b-37ed4c974a1a</stp>
        <stp>1</stp>
        <tr r="E83" s="10"/>
      </tp>
    </main>
    <main first="rtdsrv.7564e7ab0b144a428c49de700e46e81c">
      <tp t="e">
        <v>#N/A</v>
        <stp/>
        <stp>f12b4d02-250e-4107-9c99-a656dd0a35d9</stp>
        <stp>1</stp>
        <tr r="C179" s="10"/>
      </tp>
    </main>
    <main first="rtdsrv.7564e7ab0b144a428c49de700e46e81c">
      <tp t="e">
        <v>#N/A</v>
        <stp/>
        <stp>3461661f-010e-4ec8-9673-6ed75939fcd3</stp>
        <stp>1</stp>
        <tr r="E71" s="10"/>
      </tp>
    </main>
    <main first="rtdsrv.7564e7ab0b144a428c49de700e46e81c">
      <tp t="e">
        <v>#N/A</v>
        <stp/>
        <stp>809cf120-c959-43d8-9b96-fa3c4b608cd9</stp>
        <stp>1</stp>
        <tr r="D67" s="10"/>
      </tp>
    </main>
    <main first="rtdsrv.7564e7ab0b144a428c49de700e46e81c">
      <tp t="e">
        <v>#N/A</v>
        <stp/>
        <stp>6798f185-4aff-4b6f-8873-e5ce79ecdf31</stp>
        <stp>1</stp>
        <tr r="E155" s="10"/>
      </tp>
    </main>
    <main first="rtdsrv.7564e7ab0b144a428c49de700e46e81c">
      <tp t="e">
        <v>#N/A</v>
        <stp/>
        <stp>93189714-a44b-43c3-a035-9f21e8cda5c9</stp>
        <stp>1</stp>
        <tr r="E72" s="10"/>
      </tp>
    </main>
    <main first="rtdsrv.7564e7ab0b144a428c49de700e46e81c">
      <tp t="e">
        <v>#N/A</v>
        <stp/>
        <stp>3d0df0a4-d2ec-47f5-b22a-2f1c7205e320</stp>
        <stp>1</stp>
        <tr r="E194" s="10"/>
      </tp>
    </main>
    <main first="rtdsrv.7564e7ab0b144a428c49de700e46e81c">
      <tp t="e">
        <v>#N/A</v>
        <stp/>
        <stp>2d8b16e6-9372-4930-81a7-416dfc24b0b4</stp>
        <stp>1</stp>
        <tr r="D106" s="10"/>
      </tp>
    </main>
    <main first="rtdsrv.7564e7ab0b144a428c49de700e46e81c">
      <tp t="e">
        <v>#N/A</v>
        <stp/>
        <stp>e1f889ef-3a4d-45ec-8b63-920b4d203023</stp>
        <stp>1</stp>
        <tr r="C140" s="10"/>
      </tp>
    </main>
    <main first="rtdsrv.7564e7ab0b144a428c49de700e46e81c">
      <tp t="e">
        <v>#N/A</v>
        <stp/>
        <stp>f2358e63-70eb-431b-b8b5-645009515a75</stp>
        <stp>1</stp>
        <tr r="D35" s="10"/>
      </tp>
      <tp t="e">
        <v>#N/A</v>
        <stp/>
        <stp>57e7bce5-c7e0-4f76-bc8b-c834f4372eaf</stp>
        <stp>1</stp>
        <tr r="C91" s="10"/>
      </tp>
    </main>
    <main first="rtdsrv.7564e7ab0b144a428c49de700e46e81c">
      <tp t="e">
        <v>#N/A</v>
        <stp/>
        <stp>b51759a0-9aa3-49e0-88e6-cc77219c6926</stp>
        <stp>1</stp>
        <tr r="C95" s="10"/>
      </tp>
      <tp t="e">
        <v>#N/A</v>
        <stp/>
        <stp>5158726b-6b94-4c51-afee-e441e661946d</stp>
        <stp>1</stp>
        <tr r="D66" s="10"/>
      </tp>
    </main>
    <main first="rtdsrv.7564e7ab0b144a428c49de700e46e81c">
      <tp t="e">
        <v>#N/A</v>
        <stp/>
        <stp>84905caf-0376-44a6-aacc-83eeb15a4215</stp>
        <stp>1</stp>
        <tr r="E137" s="10"/>
      </tp>
    </main>
    <main first="rtdsrv.7564e7ab0b144a428c49de700e46e81c">
      <tp t="e">
        <v>#N/A</v>
        <stp/>
        <stp>57a09c27-0ccd-430e-bfc7-02e624ae46dc</stp>
        <stp>1</stp>
        <tr r="C197" s="10"/>
      </tp>
      <tp t="e">
        <v>#N/A</v>
        <stp/>
        <stp>3b8cc8e2-1432-4638-a243-8dda6f0be693</stp>
        <stp>1</stp>
        <tr r="C182" s="10"/>
      </tp>
    </main>
    <main first="rtdsrv.7564e7ab0b144a428c49de700e46e81c">
      <tp t="e">
        <v>#N/A</v>
        <stp/>
        <stp>8176d13a-c5bd-489b-8aac-9f094fe0e6f9</stp>
        <stp>1</stp>
        <tr r="E88" s="10"/>
      </tp>
      <tp t="e">
        <v>#N/A</v>
        <stp/>
        <stp>d65efc7b-ee79-4e4d-a884-27c550838c17</stp>
        <stp>1</stp>
        <tr r="D159" s="10"/>
      </tp>
    </main>
    <main first="rtdsrv.7564e7ab0b144a428c49de700e46e81c">
      <tp t="e">
        <v>#N/A</v>
        <stp/>
        <stp>6e011cbf-4d15-43ab-aade-8d724d5b213a</stp>
        <stp>1</stp>
        <tr r="C27" s="10"/>
      </tp>
    </main>
    <main first="rtdsrv.7564e7ab0b144a428c49de700e46e81c">
      <tp t="e">
        <v>#N/A</v>
        <stp/>
        <stp>ba5ed1e1-49cf-4866-b4df-f6b300b9488b</stp>
        <stp>1</stp>
        <tr r="D73" s="10"/>
      </tp>
    </main>
    <main first="rtdsrv.7564e7ab0b144a428c49de700e46e81c">
      <tp t="e">
        <v>#N/A</v>
        <stp/>
        <stp>4f7c0f96-e8b0-44a4-a781-5f857a7ad083</stp>
        <stp>1</stp>
        <tr r="D143" s="10"/>
      </tp>
      <tp t="e">
        <v>#N/A</v>
        <stp/>
        <stp>8c7c571e-0b3a-4c3a-a9e8-8f7bb72a8331</stp>
        <stp>1</stp>
        <tr r="D126" s="10"/>
      </tp>
    </main>
    <main first="rtdsrv.7564e7ab0b144a428c49de700e46e81c">
      <tp t="e">
        <v>#N/A</v>
        <stp/>
        <stp>63de97af-d593-4929-a42b-f6cad512c045</stp>
        <stp>1</stp>
        <tr r="D22" s="10"/>
      </tp>
      <tp t="e">
        <v>#N/A</v>
        <stp/>
        <stp>21f6458c-052a-46de-b834-f34527714323</stp>
        <stp>1</stp>
        <tr r="E108" s="10"/>
      </tp>
    </main>
    <main first="rtdsrv.7564e7ab0b144a428c49de700e46e81c">
      <tp t="e">
        <v>#N/A</v>
        <stp/>
        <stp>5d06e219-66af-42ae-b211-12a70c484345</stp>
        <stp>1</stp>
        <tr r="C159" s="10"/>
      </tp>
    </main>
    <main first="rtdsrv.7564e7ab0b144a428c49de700e46e81c">
      <tp t="e">
        <v>#N/A</v>
        <stp/>
        <stp>0f5a4dcb-b3a0-4ce7-b511-e6238d6a75f5</stp>
        <stp>1</stp>
        <tr r="C14" s="10"/>
      </tp>
      <tp t="e">
        <v>#N/A</v>
        <stp/>
        <stp>82293bfd-1ca1-4f1e-9526-4782df3fa633</stp>
        <stp>1</stp>
        <tr r="D65" s="10"/>
      </tp>
      <tp t="e">
        <v>#N/A</v>
        <stp/>
        <stp>28f78d25-2be3-4e94-ae0d-0ede84eab54c</stp>
        <stp>1</stp>
        <tr r="C193" s="10"/>
      </tp>
    </main>
    <main first="rtdsrv.7564e7ab0b144a428c49de700e46e81c">
      <tp t="e">
        <v>#N/A</v>
        <stp/>
        <stp>c32be64f-873a-411f-907a-9a241c216141</stp>
        <stp>1</stp>
        <tr r="E164" s="10"/>
      </tp>
      <tp t="e">
        <v>#N/A</v>
        <stp/>
        <stp>50009af4-bf41-4011-8e92-4f4374c12c81</stp>
        <stp>1</stp>
        <tr r="D111" s="10"/>
      </tp>
      <tp t="e">
        <v>#N/A</v>
        <stp/>
        <stp>b6b4fe66-54ed-4c8d-abed-f54957aa01c6</stp>
        <stp>1</stp>
        <tr r="C100" s="10"/>
      </tp>
    </main>
    <main first="rtdsrv.7564e7ab0b144a428c49de700e46e81c">
      <tp t="e">
        <v>#N/A</v>
        <stp/>
        <stp>5a59b84d-24d0-4614-90e7-6bf394d865f6</stp>
        <stp>1</stp>
        <tr r="C68" s="10"/>
      </tp>
      <tp t="e">
        <v>#N/A</v>
        <stp/>
        <stp>10484fb2-f0d3-4ff6-b629-042f9e070850</stp>
        <stp>1</stp>
        <tr r="D64" s="10"/>
      </tp>
      <tp t="e">
        <v>#N/A</v>
        <stp/>
        <stp>d98893ba-c412-4b17-b48d-27dd383e702b</stp>
        <stp>1</stp>
        <tr r="C129" s="10"/>
      </tp>
    </main>
    <main first="rtdsrv.7564e7ab0b144a428c49de700e46e81c">
      <tp t="e">
        <v>#N/A</v>
        <stp/>
        <stp>d9d74ef2-ba4d-47c7-ac44-c88f9489ad83</stp>
        <stp>1</stp>
        <tr r="C131" s="10"/>
      </tp>
      <tp t="e">
        <v>#N/A</v>
        <stp/>
        <stp>229c90ef-ba54-4898-a0bc-8db37c30550a</stp>
        <stp>1</stp>
        <tr r="C66" s="10"/>
      </tp>
    </main>
    <main first="rtdsrv.7564e7ab0b144a428c49de700e46e81c">
      <tp t="e">
        <v>#N/A</v>
        <stp/>
        <stp>f20f1900-5963-4aae-8502-b474eda648a0</stp>
        <stp>1</stp>
        <tr r="E139" s="10"/>
      </tp>
    </main>
    <main first="rtdsrv.7564e7ab0b144a428c49de700e46e81c">
      <tp t="e">
        <v>#N/A</v>
        <stp/>
        <stp>b300d939-ede2-4451-af32-e99d0a72380d</stp>
        <stp>1</stp>
        <tr r="D197" s="10"/>
      </tp>
      <tp t="e">
        <v>#N/A</v>
        <stp/>
        <stp>6d6bc799-e206-4c5c-afb5-eb30cc60718b</stp>
        <stp>1</stp>
        <tr r="D55" s="10"/>
      </tp>
    </main>
    <main first="rtdsrv.7564e7ab0b144a428c49de700e46e81c">
      <tp t="e">
        <v>#N/A</v>
        <stp/>
        <stp>6ae4556e-c775-4f9c-8eec-9cb0723590f7</stp>
        <stp>1</stp>
        <tr r="C94" s="10"/>
      </tp>
    </main>
    <main first="rtdsrv.7564e7ab0b144a428c49de700e46e81c">
      <tp t="e">
        <v>#N/A</v>
        <stp/>
        <stp>189fae3a-1585-47ee-a938-8f05d8af5900</stp>
        <stp>1</stp>
        <tr r="E177" s="10"/>
      </tp>
    </main>
    <main first="rtdsrv.7564e7ab0b144a428c49de700e46e81c">
      <tp t="e">
        <v>#N/A</v>
        <stp/>
        <stp>eef6b278-ecff-4d00-b0e7-ad16a3b6023d</stp>
        <stp>1</stp>
        <tr r="C150" s="10"/>
      </tp>
    </main>
    <main first="rtdsrv.7564e7ab0b144a428c49de700e46e81c">
      <tp t="e">
        <v>#N/A</v>
        <stp/>
        <stp>99dc8675-804a-4d0b-bd3f-6589c32d7fb3</stp>
        <stp>1</stp>
        <tr r="D137" s="10"/>
      </tp>
      <tp t="e">
        <v>#N/A</v>
        <stp/>
        <stp>6f04c74c-d5e6-40d0-9446-0a63db121610</stp>
        <stp>1</stp>
        <tr r="E45" s="10"/>
      </tp>
    </main>
    <main first="rtdsrv.7564e7ab0b144a428c49de700e46e81c">
      <tp t="e">
        <v>#N/A</v>
        <stp/>
        <stp>825f1350-6358-45ca-81ec-bdb96dbecbb8</stp>
        <stp>1</stp>
        <tr r="E191" s="10"/>
      </tp>
    </main>
    <main first="rtdsrv.7564e7ab0b144a428c49de700e46e81c">
      <tp t="e">
        <v>#N/A</v>
        <stp/>
        <stp>02619af6-ec56-4895-bc30-b397a547395b</stp>
        <stp>1</stp>
        <tr r="C112" s="10"/>
      </tp>
    </main>
    <main first="rtdsrv.7564e7ab0b144a428c49de700e46e81c">
      <tp t="e">
        <v>#N/A</v>
        <stp/>
        <stp>a8844885-4963-447e-8a70-f0c3d0748b66</stp>
        <stp>1</stp>
        <tr r="C196" s="10"/>
      </tp>
    </main>
    <main first="rtdsrv.7564e7ab0b144a428c49de700e46e81c">
      <tp t="e">
        <v>#N/A</v>
        <stp/>
        <stp>d485f33c-b114-4d8b-9f7f-0a2fe8d56b1c</stp>
        <stp>1</stp>
        <tr r="D148" s="10"/>
      </tp>
    </main>
    <main first="rtdsrv.7564e7ab0b144a428c49de700e46e81c">
      <tp t="e">
        <v>#N/A</v>
        <stp/>
        <stp>5e8e6452-3d6a-49fa-ac32-956af2b705ce</stp>
        <stp>1</stp>
        <tr r="D24" s="10"/>
      </tp>
    </main>
    <main first="rtdsrv.7564e7ab0b144a428c49de700e46e81c">
      <tp t="e">
        <v>#N/A</v>
        <stp/>
        <stp>16f9041b-f16b-44e6-8ce7-71779848bc7d</stp>
        <stp>1</stp>
        <tr r="C155" s="10"/>
      </tp>
    </main>
    <main first="rtdsrv.7564e7ab0b144a428c49de700e46e81c">
      <tp t="e">
        <v>#N/A</v>
        <stp/>
        <stp>3ef2fba8-3da8-461f-bf93-1485b630e780</stp>
        <stp>1</stp>
        <tr r="D195" s="10"/>
      </tp>
    </main>
    <main first="rtdsrv.7564e7ab0b144a428c49de700e46e81c">
      <tp t="e">
        <v>#N/A</v>
        <stp/>
        <stp>e2bbe3a0-a8a1-4626-bdaf-eafe46d17119</stp>
        <stp>1</stp>
        <tr r="D74" s="10"/>
      </tp>
    </main>
    <main first="rtdsrv.7564e7ab0b144a428c49de700e46e81c">
      <tp t="e">
        <v>#N/A</v>
        <stp/>
        <stp>f83c0d07-f0b4-4e03-8e2f-3e63966ae170</stp>
        <stp>1</stp>
        <tr r="E135" s="10"/>
      </tp>
    </main>
    <main first="rtdsrv.7564e7ab0b144a428c49de700e46e81c">
      <tp t="e">
        <v>#N/A</v>
        <stp/>
        <stp>e674f2cd-472e-488b-af58-9d43931df99e</stp>
        <stp>1</stp>
        <tr r="D194" s="10"/>
      </tp>
      <tp t="e">
        <v>#N/A</v>
        <stp/>
        <stp>05261d41-6755-441e-89b8-b4091c681746</stp>
        <stp>1</stp>
        <tr r="E153" s="10"/>
      </tp>
      <tp t="e">
        <v>#N/A</v>
        <stp/>
        <stp>1d3bae0e-ff8e-4edc-8ed9-8f3a2683ae69</stp>
        <stp>1</stp>
        <tr r="D83" s="10"/>
      </tp>
      <tp t="e">
        <v>#N/A</v>
        <stp/>
        <stp>83f47cf3-b723-4413-9e93-210e23d7751c</stp>
        <stp>1</stp>
        <tr r="E129" s="10"/>
      </tp>
    </main>
    <main first="rtdsrv.7564e7ab0b144a428c49de700e46e81c">
      <tp t="e">
        <v>#N/A</v>
        <stp/>
        <stp>3b4798d9-7d24-4371-8422-2e9fa18a2729</stp>
        <stp>1</stp>
        <tr r="E146" s="10"/>
      </tp>
    </main>
    <main first="rtdsrv.7564e7ab0b144a428c49de700e46e81c">
      <tp t="e">
        <v>#N/A</v>
        <stp/>
        <stp>79a9fb4a-1aa6-400b-b6cb-cef65ccbd716</stp>
        <stp>1</stp>
        <tr r="E61" s="10"/>
      </tp>
    </main>
    <main first="rtdsrv.7564e7ab0b144a428c49de700e46e81c">
      <tp t="e">
        <v>#N/A</v>
        <stp/>
        <stp>503d0193-f53f-4a17-8217-1aadbebbc642</stp>
        <stp>1</stp>
        <tr r="C198" s="10"/>
      </tp>
    </main>
    <main first="rtdsrv.7564e7ab0b144a428c49de700e46e81c">
      <tp t="e">
        <v>#N/A</v>
        <stp/>
        <stp>d541fdcc-348d-41fd-8f1c-bbf3d578704a</stp>
        <stp>1</stp>
        <tr r="E195" s="10"/>
      </tp>
      <tp t="e">
        <v>#N/A</v>
        <stp/>
        <stp>ba4bb80b-90d6-4148-8622-6a6ad4d417c1</stp>
        <stp>1</stp>
        <tr r="C120" s="10"/>
      </tp>
    </main>
    <main first="rtdsrv.7564e7ab0b144a428c49de700e46e81c">
      <tp t="e">
        <v>#N/A</v>
        <stp/>
        <stp>f8e75027-5b9e-4953-96b3-a8522eed3a0f</stp>
        <stp>1</stp>
        <tr r="E47" s="10"/>
      </tp>
      <tp t="e">
        <v>#N/A</v>
        <stp/>
        <stp>d758c12f-fa15-4d21-b967-e0da8b6c15db</stp>
        <stp>1</stp>
        <tr r="D110" s="10"/>
      </tp>
    </main>
    <main first="rtdsrv.7564e7ab0b144a428c49de700e46e81c">
      <tp t="e">
        <v>#N/A</v>
        <stp/>
        <stp>4e8f4e94-5626-4199-9aa1-4561a403094c</stp>
        <stp>1</stp>
        <tr r="E34" s="10"/>
      </tp>
    </main>
    <main first="rtdsrv.7564e7ab0b144a428c49de700e46e81c">
      <tp t="e">
        <v>#N/A</v>
        <stp/>
        <stp>3acfc7d9-7eb2-4175-811f-2219a0429356</stp>
        <stp>1</stp>
        <tr r="C146" s="10"/>
      </tp>
      <tp t="e">
        <v>#N/A</v>
        <stp/>
        <stp>7c331ba2-34d3-4f86-98af-5433908664f6</stp>
        <stp>1</stp>
        <tr r="E22" s="10"/>
      </tp>
    </main>
    <main first="rtdsrv.7564e7ab0b144a428c49de700e46e81c">
      <tp t="e">
        <v>#N/A</v>
        <stp/>
        <stp>16cb7836-d636-4543-9d86-6b4bbc1a97fa</stp>
        <stp>1</stp>
        <tr r="C20" s="10"/>
      </tp>
    </main>
    <main first="rtdsrv.7564e7ab0b144a428c49de700e46e81c">
      <tp t="e">
        <v>#N/A</v>
        <stp/>
        <stp>889470c8-0545-4e3b-a42a-0fb7967c6cfa</stp>
        <stp>1</stp>
        <tr r="C184" s="10"/>
      </tp>
      <tp t="e">
        <v>#N/A</v>
        <stp/>
        <stp>7b100734-8fdc-4935-af01-be7740ddee6b</stp>
        <stp>1</stp>
        <tr r="E24" s="10"/>
      </tp>
      <tp t="e">
        <v>#N/A</v>
        <stp/>
        <stp>ad068af4-d37c-423a-827b-881e0e9d0d27</stp>
        <stp>1</stp>
        <tr r="D135" s="10"/>
      </tp>
      <tp t="e">
        <v>#N/A</v>
        <stp/>
        <stp>596ca531-661d-42a0-8873-19de9e1abf6d</stp>
        <stp>1</stp>
        <tr r="E181" s="10"/>
      </tp>
    </main>
    <main first="rtdsrv.7564e7ab0b144a428c49de700e46e81c">
      <tp t="e">
        <v>#N/A</v>
        <stp/>
        <stp>558298c2-497b-45b7-b8af-4b8a48f05bf8</stp>
        <stp>1</stp>
        <tr r="E69" s="10"/>
      </tp>
    </main>
    <main first="rtdsrv.7564e7ab0b144a428c49de700e46e81c">
      <tp t="e">
        <v>#N/A</v>
        <stp/>
        <stp>2149a64e-7222-4da3-94c4-2e0722682a85</stp>
        <stp>1</stp>
        <tr r="C114" s="10"/>
      </tp>
    </main>
    <main first="rtdsrv.7564e7ab0b144a428c49de700e46e81c">
      <tp t="e">
        <v>#N/A</v>
        <stp/>
        <stp>be90146d-47f8-4ee8-890b-512be9fec10a</stp>
        <stp>1</stp>
        <tr r="D190" s="10"/>
      </tp>
      <tp t="e">
        <v>#N/A</v>
        <stp/>
        <stp>9e744f05-38b0-4b08-8990-4e6fbe8af6a7</stp>
        <stp>1</stp>
        <tr r="E49" s="10"/>
      </tp>
      <tp t="e">
        <v>#N/A</v>
        <stp/>
        <stp>d0a5d389-e74f-41d9-96d0-5e23710334d9</stp>
        <stp>1</stp>
        <tr r="D103" s="10"/>
      </tp>
    </main>
    <main first="rtdsrv.7564e7ab0b144a428c49de700e46e81c">
      <tp t="e">
        <v>#N/A</v>
        <stp/>
        <stp>f95e4758-eaef-41bf-bc03-9f8b5c70cfc1</stp>
        <stp>1</stp>
        <tr r="C110" s="10"/>
      </tp>
    </main>
    <main first="rtdsrv.7564e7ab0b144a428c49de700e46e81c">
      <tp t="e">
        <v>#N/A</v>
        <stp/>
        <stp>d075c4a9-e402-4ab0-a97f-b3460935d6c7</stp>
        <stp>1</stp>
        <tr r="C103" s="10"/>
      </tp>
      <tp t="e">
        <v>#N/A</v>
        <stp/>
        <stp>cd246691-2779-4253-94a1-fae4f2c45861</stp>
        <stp>1</stp>
        <tr r="C90" s="10"/>
      </tp>
      <tp t="e">
        <v>#N/A</v>
        <stp/>
        <stp>aec6827c-d642-496a-94fd-b95354d9f20c</stp>
        <stp>1</stp>
        <tr r="C180" s="10"/>
      </tp>
    </main>
    <main first="rtdsrv.7564e7ab0b144a428c49de700e46e81c">
      <tp t="e">
        <v>#N/A</v>
        <stp/>
        <stp>f62c48df-dcd7-4555-8ed6-879547aaa9a0</stp>
        <stp>1</stp>
        <tr r="C127" s="10"/>
      </tp>
    </main>
    <main first="rtdsrv.7564e7ab0b144a428c49de700e46e81c">
      <tp t="e">
        <v>#N/A</v>
        <stp/>
        <stp>25130f0a-fa0c-446e-8ef3-9bd2680edcd1</stp>
        <stp>1</stp>
        <tr r="E163" s="10"/>
      </tp>
    </main>
    <main first="rtdsrv.7564e7ab0b144a428c49de700e46e81c">
      <tp t="e">
        <v>#N/A</v>
        <stp/>
        <stp>09dcb5d3-7259-429e-9230-f562ca1d9730</stp>
        <stp>1</stp>
        <tr r="E25" s="10"/>
      </tp>
    </main>
    <main first="rtdsrv.7564e7ab0b144a428c49de700e46e81c">
      <tp t="e">
        <v>#N/A</v>
        <stp/>
        <stp>0813f91e-02a2-4330-9af0-e5b19a5b9e2f</stp>
        <stp>1</stp>
        <tr r="C29" s="10"/>
      </tp>
      <tp t="e">
        <v>#N/A</v>
        <stp/>
        <stp>9919b966-80cf-4829-8828-46744702dffb</stp>
        <stp>1</stp>
        <tr r="C50" s="10"/>
      </tp>
      <tp t="e">
        <v>#N/A</v>
        <stp/>
        <stp>dbe32f68-99c7-412f-a434-2a7f709d2012</stp>
        <stp>1</stp>
        <tr r="E161" s="10"/>
      </tp>
    </main>
    <main first="rtdsrv.7564e7ab0b144a428c49de700e46e81c">
      <tp t="e">
        <v>#N/A</v>
        <stp/>
        <stp>b03c7a9c-5027-4850-a15a-776413ef6951</stp>
        <stp>1</stp>
        <tr r="E67" s="10"/>
      </tp>
      <tp t="e">
        <v>#N/A</v>
        <stp/>
        <stp>b8482f56-2483-49e9-ab79-46b4ded3bc0a</stp>
        <stp>1</stp>
        <tr r="D56" s="10"/>
      </tp>
      <tp t="e">
        <v>#N/A</v>
        <stp/>
        <stp>713d1b7c-10fb-4fe5-8554-e2ba7e4a0117</stp>
        <stp>1</stp>
        <tr r="C53" s="10"/>
      </tp>
    </main>
    <main first="rtdsrv.7564e7ab0b144a428c49de700e46e81c">
      <tp t="e">
        <v>#N/A</v>
        <stp/>
        <stp>1551c29a-529c-4971-9287-17c4d87c5c56</stp>
        <stp>1</stp>
        <tr r="E73" s="10"/>
      </tp>
    </main>
    <main first="rtdsrv.7564e7ab0b144a428c49de700e46e81c">
      <tp t="e">
        <v>#N/A</v>
        <stp/>
        <stp>bb2e9c5c-c808-4393-97a3-0e1be4ba2437</stp>
        <stp>1</stp>
        <tr r="E105" s="10"/>
      </tp>
      <tp t="e">
        <v>#N/A</v>
        <stp/>
        <stp>3c85189c-f3e1-408c-959a-5ae570ac70dd</stp>
        <stp>1</stp>
        <tr r="D157" s="10"/>
      </tp>
      <tp t="e">
        <v>#N/A</v>
        <stp/>
        <stp>1bc440ae-65e0-4687-92c3-661f201302af</stp>
        <stp>1</stp>
        <tr r="C195" s="10"/>
      </tp>
    </main>
    <main first="rtdsrv.7564e7ab0b144a428c49de700e46e81c">
      <tp t="e">
        <v>#N/A</v>
        <stp/>
        <stp>cd82e167-86ed-415c-804f-99c4342fe043</stp>
        <stp>1</stp>
        <tr r="C160" s="10"/>
      </tp>
      <tp t="e">
        <v>#N/A</v>
        <stp/>
        <stp>9b29dc02-10fd-456b-be1a-4450e03f2d2d</stp>
        <stp>1</stp>
        <tr r="D85" s="10"/>
      </tp>
      <tp t="e">
        <v>#N/A</v>
        <stp/>
        <stp>27e143bf-fe3c-498e-9f4b-d62f48e9e643</stp>
        <stp>1</stp>
        <tr r="D58" s="10"/>
      </tp>
      <tp t="e">
        <v>#N/A</v>
        <stp/>
        <stp>be6b5ae4-5824-451e-85ae-85d943eae789</stp>
        <stp>1</stp>
        <tr r="E86" s="10"/>
      </tp>
    </main>
    <main first="rtdsrv.7564e7ab0b144a428c49de700e46e81c">
      <tp t="e">
        <v>#N/A</v>
        <stp/>
        <stp>6bc10faf-7715-4ec7-9671-f8ad9f53847e</stp>
        <stp>1</stp>
        <tr r="E112" s="10"/>
      </tp>
      <tp t="e">
        <v>#N/A</v>
        <stp/>
        <stp>32493bbd-e1ad-4342-95fa-3a344cb2ce68</stp>
        <stp>1</stp>
        <tr r="D158" s="10"/>
      </tp>
      <tp t="e">
        <v>#N/A</v>
        <stp/>
        <stp>23b953ee-eff5-47cc-b61f-37817500eecf</stp>
        <stp>1</stp>
        <tr r="E180" s="10"/>
      </tp>
      <tp t="e">
        <v>#N/A</v>
        <stp/>
        <stp>d780b50c-03f7-4d61-8505-ea0ad5724942</stp>
        <stp>1</stp>
        <tr r="C98" s="10"/>
      </tp>
    </main>
    <main first="rtdsrv.7564e7ab0b144a428c49de700e46e81c">
      <tp t="e">
        <v>#N/A</v>
        <stp/>
        <stp>d8bf7217-ae26-4d11-9aa3-0fab41fc4317</stp>
        <stp>1</stp>
        <tr r="E110" s="10"/>
      </tp>
      <tp t="e">
        <v>#N/A</v>
        <stp/>
        <stp>8ef35cc4-fc7d-4507-986a-7221cbca026d</stp>
        <stp>1</stp>
        <tr r="C137" s="10"/>
      </tp>
    </main>
    <main first="rtdsrv.7564e7ab0b144a428c49de700e46e81c">
      <tp t="e">
        <v>#N/A</v>
        <stp/>
        <stp>124f5c37-d764-478c-9358-a745450e0096</stp>
        <stp>1</stp>
        <tr r="E113" s="10"/>
      </tp>
    </main>
    <main first="rtdsrv.7564e7ab0b144a428c49de700e46e81c">
      <tp t="e">
        <v>#N/A</v>
        <stp/>
        <stp>6653ad77-6400-48ac-b990-6786a27c4b94</stp>
        <stp>1</stp>
        <tr r="D19" s="10"/>
      </tp>
      <tp t="e">
        <v>#N/A</v>
        <stp/>
        <stp>25569500-cc8b-4034-867d-fcfcdecc2369</stp>
        <stp>1</stp>
        <tr r="E63" s="10"/>
      </tp>
    </main>
    <main first="rtdsrv.7564e7ab0b144a428c49de700e46e81c">
      <tp t="e">
        <v>#N/A</v>
        <stp/>
        <stp>cf9f3a66-04d4-4d41-93db-e06b4382b226</stp>
        <stp>1</stp>
        <tr r="E75" s="10"/>
      </tp>
      <tp t="e">
        <v>#N/A</v>
        <stp/>
        <stp>7fd4896d-eb5c-4697-9d6c-6f6b549abfdf</stp>
        <stp>1</stp>
        <tr r="C19" s="10"/>
      </tp>
    </main>
    <main first="rtdsrv.7564e7ab0b144a428c49de700e46e81c">
      <tp t="e">
        <v>#N/A</v>
        <stp/>
        <stp>ddc6b5d4-b23a-4535-9a25-a8d42bc71441</stp>
        <stp>1</stp>
        <tr r="D57" s="10"/>
      </tp>
    </main>
    <main first="rtdsrv.7564e7ab0b144a428c49de700e46e81c">
      <tp t="e">
        <v>#N/A</v>
        <stp/>
        <stp>ca2d47fe-fba5-4b3e-88bf-715f2847d7fd</stp>
        <stp>1</stp>
        <tr r="D156" s="10"/>
      </tp>
      <tp t="e">
        <v>#N/A</v>
        <stp/>
        <stp>bf75f6ca-32c8-40aa-9400-d5be5d8c67e7</stp>
        <stp>1</stp>
        <tr r="C162" s="10"/>
      </tp>
    </main>
    <main first="rtdsrv.7564e7ab0b144a428c49de700e46e81c">
      <tp t="e">
        <v>#N/A</v>
        <stp/>
        <stp>5636265f-cb56-4ec9-bbd3-dab2ab5f6499</stp>
        <stp>1</stp>
        <tr r="C154" s="10"/>
      </tp>
    </main>
    <main first="rtdsrv.7564e7ab0b144a428c49de700e46e81c">
      <tp t="e">
        <v>#N/A</v>
        <stp/>
        <stp>8fbfb0a3-f906-4f67-8a1b-68ecc37762ba</stp>
        <stp>1</stp>
        <tr r="E166" s="10"/>
      </tp>
    </main>
    <main first="rtdsrv.7564e7ab0b144a428c49de700e46e81c">
      <tp t="e">
        <v>#N/A</v>
        <stp/>
        <stp>f47c0433-a8ed-4d37-8d6b-180c86942af0</stp>
        <stp>1</stp>
        <tr r="E23" s="10"/>
      </tp>
    </main>
    <main first="rtdsrv.7564e7ab0b144a428c49de700e46e81c">
      <tp t="e">
        <v>#N/A</v>
        <stp/>
        <stp>b7a54c8e-2b82-4067-a24a-f5f4926aacdb</stp>
        <stp>1</stp>
        <tr r="E95" s="10"/>
      </tp>
    </main>
    <main first="rtdsrv.7564e7ab0b144a428c49de700e46e81c">
      <tp t="e">
        <v>#N/A</v>
        <stp/>
        <stp>008e8bbe-b257-4cc6-8da7-c797634315bd</stp>
        <stp>1</stp>
        <tr r="C136" s="10"/>
      </tp>
    </main>
    <main first="rtdsrv.7564e7ab0b144a428c49de700e46e81c">
      <tp t="e">
        <v>#N/A</v>
        <stp/>
        <stp>fb4dc464-d562-4d47-980c-34db751ab086</stp>
        <stp>1</stp>
        <tr r="E103" s="10"/>
      </tp>
    </main>
    <main first="rtdsrv.7564e7ab0b144a428c49de700e46e81c">
      <tp t="e">
        <v>#N/A</v>
        <stp/>
        <stp>390ab466-8bff-4202-907d-15d7d56015d3</stp>
        <stp>1</stp>
        <tr r="D179" s="10"/>
      </tp>
    </main>
    <main first="rtdsrv.7564e7ab0b144a428c49de700e46e81c">
      <tp t="e">
        <v>#N/A</v>
        <stp/>
        <stp>e9502371-93cd-4ae7-83c6-d64a6a16a67b</stp>
        <stp>1</stp>
        <tr r="E84" s="10"/>
      </tp>
    </main>
    <main first="rtdsrv.7564e7ab0b144a428c49de700e46e81c">
      <tp t="e">
        <v>#N/A</v>
        <stp/>
        <stp>6bb152d2-071b-4243-8af5-e8715f8f0b4a</stp>
        <stp>1</stp>
        <tr r="D26" s="10"/>
      </tp>
    </main>
    <main first="rtdsrv.7564e7ab0b144a428c49de700e46e81c">
      <tp t="e">
        <v>#N/A</v>
        <stp/>
        <stp>a7862e5a-07cd-462d-86a8-f05b8133f67e</stp>
        <stp>1</stp>
        <tr r="D178" s="10"/>
      </tp>
    </main>
    <main first="rtdsrv.7564e7ab0b144a428c49de700e46e81c">
      <tp t="e">
        <v>#N/A</v>
        <stp/>
        <stp>26329e21-9c65-4575-950c-f5b5d4253cf7</stp>
        <stp>1</stp>
        <tr r="D161" s="10"/>
      </tp>
    </main>
    <main first="rtdsrv.7564e7ab0b144a428c49de700e46e81c">
      <tp t="e">
        <v>#N/A</v>
        <stp/>
        <stp>763fe520-c5ab-46fe-968a-0d023f20b994</stp>
        <stp>1</stp>
        <tr r="C101" s="10"/>
      </tp>
    </main>
    <main first="rtdsrv.7564e7ab0b144a428c49de700e46e81c">
      <tp t="e">
        <v>#N/A</v>
        <stp/>
        <stp>c6a0c858-0eee-463b-ae2a-742518f11220</stp>
        <stp>1</stp>
        <tr r="D139" s="10"/>
      </tp>
    </main>
    <main first="rtdsrv.7564e7ab0b144a428c49de700e46e81c">
      <tp t="e">
        <v>#N/A</v>
        <stp/>
        <stp>8de6fe93-de1c-4b98-895f-e9bf8d373762</stp>
        <stp>1</stp>
        <tr r="D32" s="10"/>
      </tp>
      <tp t="e">
        <v>#N/A</v>
        <stp/>
        <stp>4a21da0f-1644-4e68-9c2b-156bc30e3d15</stp>
        <stp>1</stp>
        <tr r="E106" s="10"/>
      </tp>
    </main>
    <main first="rtdsrv.7564e7ab0b144a428c49de700e46e81c">
      <tp t="e">
        <v>#N/A</v>
        <stp/>
        <stp>f81ee7ca-19ba-470b-80de-0bc5cf7ef484</stp>
        <stp>1</stp>
        <tr r="E65" s="10"/>
      </tp>
    </main>
    <main first="rtdsrv.7564e7ab0b144a428c49de700e46e81c">
      <tp t="e">
        <v>#N/A</v>
        <stp/>
        <stp>7432319b-446a-4249-84ab-4580759c38b2</stp>
        <stp>1</stp>
        <tr r="C123" s="10"/>
      </tp>
    </main>
    <main first="rtdsrv.7564e7ab0b144a428c49de700e46e81c">
      <tp t="e">
        <v>#N/A</v>
        <stp/>
        <stp>900a634a-61bd-4d84-8911-83af8e4ca0a6</stp>
        <stp>1</stp>
        <tr r="E64" s="10"/>
      </tp>
      <tp t="e">
        <v>#N/A</v>
        <stp/>
        <stp>7084c80b-693c-484b-a96d-031d7b0461fa</stp>
        <stp>1</stp>
        <tr r="E170" s="10"/>
      </tp>
    </main>
    <main first="rtdsrv.7564e7ab0b144a428c49de700e46e81c">
      <tp t="e">
        <v>#N/A</v>
        <stp/>
        <stp>4bb8f709-11b5-4821-a4b3-d432da45b930</stp>
        <stp>1</stp>
        <tr r="E171" s="10"/>
      </tp>
    </main>
    <main first="rtdsrv.7564e7ab0b144a428c49de700e46e81c">
      <tp t="e">
        <v>#N/A</v>
        <stp/>
        <stp>c97f9b38-bf6e-4d92-ba06-507a619cb11a</stp>
        <stp>1</stp>
        <tr r="C107" s="10"/>
      </tp>
    </main>
    <main first="rtdsrv.7564e7ab0b144a428c49de700e46e81c">
      <tp t="e">
        <v>#N/A</v>
        <stp/>
        <stp>a8a96d54-c1de-4193-b85b-044a5dc424eb</stp>
        <stp>1</stp>
        <tr r="C81" s="10"/>
      </tp>
    </main>
    <main first="rtdsrv.7564e7ab0b144a428c49de700e46e81c">
      <tp t="e">
        <v>#N/A</v>
        <stp/>
        <stp>4794ae12-23cf-496f-82d1-b9de5f09e095</stp>
        <stp>1</stp>
        <tr r="C75" s="10"/>
      </tp>
    </main>
    <main first="rtdsrv.7564e7ab0b144a428c49de700e46e81c">
      <tp t="e">
        <v>#N/A</v>
        <stp/>
        <stp>8bb2905b-e213-42fb-9d97-e30cbc50ee45</stp>
        <stp>1</stp>
        <tr r="E43" s="10"/>
      </tp>
    </main>
    <main first="rtdsrv.7564e7ab0b144a428c49de700e46e81c">
      <tp t="e">
        <v>#N/A</v>
        <stp/>
        <stp>b942cdbd-00dc-4fc3-b0a1-b0df459956ce</stp>
        <stp>1</stp>
        <tr r="D185" s="10"/>
      </tp>
    </main>
    <main first="rtdsrv.7564e7ab0b144a428c49de700e46e81c">
      <tp t="e">
        <v>#N/A</v>
        <stp/>
        <stp>e9710ec6-2d12-4aac-8636-4772774dc0a5</stp>
        <stp>1</stp>
        <tr r="E140" s="10"/>
      </tp>
    </main>
    <main first="rtdsrv.7564e7ab0b144a428c49de700e46e81c">
      <tp t="e">
        <v>#N/A</v>
        <stp/>
        <stp>5297473b-1904-4941-b926-80113af7e144</stp>
        <stp>1</stp>
        <tr r="C105" s="10"/>
      </tp>
      <tp t="e">
        <v>#N/A</v>
        <stp/>
        <stp>bb50b043-a4a5-435d-80a6-d321ad9fae92</stp>
        <stp>1</stp>
        <tr r="C170" s="10"/>
      </tp>
    </main>
    <main first="rtdsrv.7564e7ab0b144a428c49de700e46e81c">
      <tp t="e">
        <v>#N/A</v>
        <stp/>
        <stp>4e306875-5041-4f40-8d43-0b052a8b4ee4</stp>
        <stp>1</stp>
        <tr r="C122" s="10"/>
      </tp>
    </main>
    <main first="rtdsrv.7564e7ab0b144a428c49de700e46e81c">
      <tp t="e">
        <v>#N/A</v>
        <stp/>
        <stp>ca0d5c82-01a9-4993-a28b-13117907b87e</stp>
        <stp>1</stp>
        <tr r="E190" s="10"/>
      </tp>
    </main>
    <main first="rtdsrv.7564e7ab0b144a428c49de700e46e81c">
      <tp t="e">
        <v>#N/A</v>
        <stp/>
        <stp>eb303a7f-6042-40ba-9021-b970306dc993</stp>
        <stp>1</stp>
        <tr r="D48" s="10"/>
      </tp>
    </main>
    <main first="rtdsrv.7564e7ab0b144a428c49de700e46e81c">
      <tp t="e">
        <v>#N/A</v>
        <stp/>
        <stp>6b16b61d-0f3a-4212-b5be-54cf6419694b</stp>
        <stp>1</stp>
        <tr r="E53" s="10"/>
      </tp>
    </main>
    <main first="rtdsrv.7564e7ab0b144a428c49de700e46e81c">
      <tp t="e">
        <v>#N/A</v>
        <stp/>
        <stp>4bb24f6b-24bb-4a14-9839-a4146a0a93e3</stp>
        <stp>1</stp>
        <tr r="E136" s="10"/>
      </tp>
      <tp t="e">
        <v>#N/A</v>
        <stp/>
        <stp>44d8c977-b192-4e50-84c2-b332f376e2ec</stp>
        <stp>1</stp>
        <tr r="D145" s="10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ctrlProps/ctrlProp1.xml><?xml version="1.0" encoding="utf-8"?>
<formControlPr xmlns="http://schemas.microsoft.com/office/spreadsheetml/2009/9/main" objectType="Radio" checked="Checked" firstButton="1" fmlaLink="Base!$C$2" lockText="1"/>
</file>

<file path=xl/ctrlProps/ctrlProp2.xml><?xml version="1.0" encoding="utf-8"?>
<formControlPr xmlns="http://schemas.microsoft.com/office/spreadsheetml/2009/9/main" objectType="Radio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2</xdr:col>
      <xdr:colOff>548216</xdr:colOff>
      <xdr:row>1</xdr:row>
      <xdr:rowOff>129322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19050"/>
          <a:ext cx="1719791" cy="3769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2486025</xdr:colOff>
          <xdr:row>8</xdr:row>
          <xdr:rowOff>38100</xdr:rowOff>
        </xdr:from>
        <xdr:to>
          <xdr:col>2</xdr:col>
          <xdr:colOff>809625</xdr:colOff>
          <xdr:row>9</xdr:row>
          <xdr:rowOff>76200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3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A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Consolidado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847725</xdr:colOff>
          <xdr:row>8</xdr:row>
          <xdr:rowOff>38100</xdr:rowOff>
        </xdr:from>
        <xdr:to>
          <xdr:col>3</xdr:col>
          <xdr:colOff>523875</xdr:colOff>
          <xdr:row>9</xdr:row>
          <xdr:rowOff>76200</xdr:rowOff>
        </xdr:to>
        <xdr:sp macro="" textlink="">
          <xdr:nvSpPr>
            <xdr:cNvPr id="3075" name="Option 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3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A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Individual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57150</xdr:colOff>
      <xdr:row>0</xdr:row>
      <xdr:rowOff>38100</xdr:rowOff>
    </xdr:from>
    <xdr:to>
      <xdr:col>1</xdr:col>
      <xdr:colOff>1848400</xdr:colOff>
      <xdr:row>1</xdr:row>
      <xdr:rowOff>78124</xdr:rowOff>
    </xdr:to>
    <xdr:pic>
      <xdr:nvPicPr>
        <xdr:cNvPr id="5" name="Imagem 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38100"/>
          <a:ext cx="1791250" cy="392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014E6-FCED-4955-A8EA-60F6715A230E}">
  <sheetPr codeName="Planilha6"/>
  <dimension ref="A1:I19"/>
  <sheetViews>
    <sheetView zoomScaleNormal="100" workbookViewId="0">
      <selection activeCell="C2" sqref="C2"/>
    </sheetView>
  </sheetViews>
  <sheetFormatPr baseColWidth="10" defaultColWidth="9.140625" defaultRowHeight="15" x14ac:dyDescent="0.25"/>
  <cols>
    <col min="1" max="1" width="1.7109375" style="2" customWidth="1"/>
    <col min="2" max="2" width="7.7109375" customWidth="1"/>
    <col min="3" max="3" width="9.5703125" bestFit="1" customWidth="1"/>
    <col min="8" max="8" width="9.140625" customWidth="1"/>
  </cols>
  <sheetData>
    <row r="1" spans="2:3" ht="32.1" customHeight="1" x14ac:dyDescent="0.25">
      <c r="B1" s="20" t="s">
        <v>192</v>
      </c>
      <c r="C1" s="21" t="b">
        <v>1</v>
      </c>
    </row>
    <row r="2" spans="2:3" ht="15.95" customHeight="1" x14ac:dyDescent="0.25">
      <c r="B2" s="20" t="s">
        <v>192</v>
      </c>
      <c r="C2" s="21">
        <v>1</v>
      </c>
    </row>
    <row r="3" spans="2:3" ht="14.1" customHeight="1" x14ac:dyDescent="0.25"/>
    <row r="17" spans="9:9" x14ac:dyDescent="0.25">
      <c r="I17" s="27"/>
    </row>
    <row r="19" spans="9:9" x14ac:dyDescent="0.25">
      <c r="I19" s="27"/>
    </row>
  </sheetData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64AAB-1BC6-400E-A21D-48016B5C98A6}">
  <dimension ref="B1:I103"/>
  <sheetViews>
    <sheetView workbookViewId="0">
      <selection activeCell="K11" sqref="K11"/>
    </sheetView>
  </sheetViews>
  <sheetFormatPr baseColWidth="10" defaultRowHeight="15" x14ac:dyDescent="0.25"/>
  <cols>
    <col min="1" max="1" width="4.140625" style="29" customWidth="1"/>
    <col min="2" max="2" width="18.140625" style="29" bestFit="1" customWidth="1"/>
    <col min="3" max="3" width="9.42578125" style="29" bestFit="1" customWidth="1"/>
    <col min="4" max="4" width="40.7109375" style="29" bestFit="1" customWidth="1"/>
    <col min="5" max="6" width="11.42578125" style="29"/>
    <col min="7" max="7" width="28.140625" style="29" hidden="1" customWidth="1"/>
    <col min="8" max="8" width="13.5703125" style="29" hidden="1" customWidth="1"/>
    <col min="9" max="9" width="46.140625" style="29" hidden="1" customWidth="1"/>
    <col min="10" max="16384" width="11.42578125" style="29"/>
  </cols>
  <sheetData>
    <row r="1" spans="2:9" ht="21" x14ac:dyDescent="0.25">
      <c r="B1" s="28"/>
    </row>
    <row r="2" spans="2:9" ht="21" x14ac:dyDescent="0.25">
      <c r="B2" s="28"/>
    </row>
    <row r="3" spans="2:9" ht="21" customHeight="1" x14ac:dyDescent="0.25">
      <c r="B3" s="37" t="s">
        <v>5</v>
      </c>
      <c r="C3" s="37"/>
      <c r="D3" s="37"/>
      <c r="G3" s="37" t="s">
        <v>276</v>
      </c>
      <c r="H3" s="37"/>
      <c r="I3" s="37"/>
    </row>
    <row r="4" spans="2:9" x14ac:dyDescent="0.25">
      <c r="B4" s="37"/>
      <c r="C4" s="37"/>
      <c r="D4" s="37"/>
      <c r="G4" s="37"/>
      <c r="H4" s="37"/>
      <c r="I4" s="37"/>
    </row>
    <row r="6" spans="2:9" x14ac:dyDescent="0.25">
      <c r="B6" s="30" t="str" cm="1">
        <f t="array" ref="B6">_xll.ECOSECURITIES("STOCK","Active","True","ARG","XBUE","TRUE","Acciones Argentina","Sector Economatica&lt;&gt;Finanzas y Seguros")</f>
        <v>Acciones Argentina</v>
      </c>
      <c r="C6" s="30" t="str" cm="1">
        <f t="array" ref="C6">_xll.ECONOMATICA($B$7:$B$83,"Ticker",,,,,,,,"TRUE","Código")</f>
        <v>Código</v>
      </c>
      <c r="D6" s="30" t="str" cm="1">
        <f t="array" ref="D6">_xll.ECONOMATICA($B$7:$B$83,"Name",,,,,,,,"TRUE","Nombre")</f>
        <v>Nombre</v>
      </c>
      <c r="G6" s="30" t="str" cm="1">
        <f t="array" ref="G6">_xll.ECOSECURITIES("CORPORATEBOND","Active","True","ARG",,"TRUE","Bonos corporativos argentinos","Sector Economatica&lt;&gt;Finanzas y Seguros")</f>
        <v>Bonos corporativos argentinos</v>
      </c>
      <c r="H6" s="30" t="str" cm="1">
        <f t="array" ref="H6">_xll.ECONOMATICA($G$7:$G$54,"Ticker",,,,,,,,"TRUE","Código")</f>
        <v>Código</v>
      </c>
      <c r="I6" s="30" t="str" cm="1">
        <f t="array" ref="I6">_xll.ECONOMATICA($G$7:$G$54,"name",,,,,,,,"TRUE","Nombre")</f>
        <v>Nombre</v>
      </c>
    </row>
    <row r="7" spans="2:9" x14ac:dyDescent="0.25">
      <c r="B7" s="31" t="s">
        <v>6</v>
      </c>
      <c r="C7" s="32" t="s">
        <v>7</v>
      </c>
      <c r="D7" s="33" t="s">
        <v>8</v>
      </c>
      <c r="G7" s="31" t="s">
        <v>277</v>
      </c>
      <c r="H7" s="32" t="s">
        <v>325</v>
      </c>
      <c r="I7" s="33" t="s">
        <v>373</v>
      </c>
    </row>
    <row r="8" spans="2:9" x14ac:dyDescent="0.25">
      <c r="B8" s="34" t="s">
        <v>9</v>
      </c>
      <c r="C8" s="35" t="s">
        <v>10</v>
      </c>
      <c r="D8" s="35" t="s">
        <v>11</v>
      </c>
      <c r="G8" s="34" t="s">
        <v>278</v>
      </c>
      <c r="H8" s="35" t="s">
        <v>326</v>
      </c>
      <c r="I8" s="35" t="s">
        <v>374</v>
      </c>
    </row>
    <row r="9" spans="2:9" x14ac:dyDescent="0.25">
      <c r="B9" s="31" t="s">
        <v>12</v>
      </c>
      <c r="C9" s="32" t="s">
        <v>13</v>
      </c>
      <c r="D9" s="33" t="s">
        <v>14</v>
      </c>
      <c r="G9" s="31" t="s">
        <v>279</v>
      </c>
      <c r="H9" s="32" t="s">
        <v>327</v>
      </c>
      <c r="I9" s="33" t="s">
        <v>375</v>
      </c>
    </row>
    <row r="10" spans="2:9" x14ac:dyDescent="0.25">
      <c r="B10" s="34" t="s">
        <v>15</v>
      </c>
      <c r="C10" s="35" t="s">
        <v>16</v>
      </c>
      <c r="D10" s="35" t="s">
        <v>17</v>
      </c>
      <c r="G10" s="34" t="s">
        <v>280</v>
      </c>
      <c r="H10" s="35" t="s">
        <v>328</v>
      </c>
      <c r="I10" s="35" t="s">
        <v>376</v>
      </c>
    </row>
    <row r="11" spans="2:9" x14ac:dyDescent="0.25">
      <c r="B11" s="31" t="s">
        <v>18</v>
      </c>
      <c r="C11" s="32" t="s">
        <v>19</v>
      </c>
      <c r="D11" s="33" t="s">
        <v>20</v>
      </c>
      <c r="G11" s="31" t="s">
        <v>281</v>
      </c>
      <c r="H11" s="32" t="s">
        <v>329</v>
      </c>
      <c r="I11" s="33" t="s">
        <v>377</v>
      </c>
    </row>
    <row r="12" spans="2:9" x14ac:dyDescent="0.25">
      <c r="B12" s="34" t="s">
        <v>21</v>
      </c>
      <c r="C12" s="35" t="s">
        <v>22</v>
      </c>
      <c r="D12" s="35" t="s">
        <v>23</v>
      </c>
      <c r="G12" s="34" t="s">
        <v>282</v>
      </c>
      <c r="H12" s="35" t="s">
        <v>330</v>
      </c>
      <c r="I12" s="35" t="s">
        <v>378</v>
      </c>
    </row>
    <row r="13" spans="2:9" x14ac:dyDescent="0.25">
      <c r="B13" s="31" t="s">
        <v>24</v>
      </c>
      <c r="C13" s="32" t="s">
        <v>25</v>
      </c>
      <c r="D13" s="33" t="s">
        <v>26</v>
      </c>
      <c r="G13" s="31" t="s">
        <v>283</v>
      </c>
      <c r="H13" s="32" t="s">
        <v>331</v>
      </c>
      <c r="I13" s="33" t="s">
        <v>379</v>
      </c>
    </row>
    <row r="14" spans="2:9" x14ac:dyDescent="0.25">
      <c r="B14" s="34" t="s">
        <v>27</v>
      </c>
      <c r="C14" s="35" t="s">
        <v>28</v>
      </c>
      <c r="D14" s="35" t="s">
        <v>29</v>
      </c>
      <c r="G14" s="34" t="s">
        <v>284</v>
      </c>
      <c r="H14" s="35" t="s">
        <v>332</v>
      </c>
      <c r="I14" s="35" t="s">
        <v>380</v>
      </c>
    </row>
    <row r="15" spans="2:9" x14ac:dyDescent="0.25">
      <c r="B15" s="31" t="s">
        <v>30</v>
      </c>
      <c r="C15" s="32" t="s">
        <v>31</v>
      </c>
      <c r="D15" s="33" t="s">
        <v>32</v>
      </c>
      <c r="G15" s="31" t="s">
        <v>285</v>
      </c>
      <c r="H15" s="32" t="s">
        <v>333</v>
      </c>
      <c r="I15" s="33" t="s">
        <v>381</v>
      </c>
    </row>
    <row r="16" spans="2:9" x14ac:dyDescent="0.25">
      <c r="B16" s="34" t="s">
        <v>33</v>
      </c>
      <c r="C16" s="35" t="s">
        <v>34</v>
      </c>
      <c r="D16" s="35" t="s">
        <v>35</v>
      </c>
      <c r="G16" s="34" t="s">
        <v>286</v>
      </c>
      <c r="H16" s="35" t="s">
        <v>334</v>
      </c>
      <c r="I16" s="35" t="s">
        <v>382</v>
      </c>
    </row>
    <row r="17" spans="2:9" x14ac:dyDescent="0.25">
      <c r="B17" s="31" t="s">
        <v>36</v>
      </c>
      <c r="C17" s="32" t="s">
        <v>37</v>
      </c>
      <c r="D17" s="33" t="s">
        <v>38</v>
      </c>
      <c r="G17" s="31" t="s">
        <v>287</v>
      </c>
      <c r="H17" s="32" t="s">
        <v>335</v>
      </c>
      <c r="I17" s="33" t="s">
        <v>383</v>
      </c>
    </row>
    <row r="18" spans="2:9" x14ac:dyDescent="0.25">
      <c r="B18" s="34" t="s">
        <v>39</v>
      </c>
      <c r="C18" s="35" t="s">
        <v>40</v>
      </c>
      <c r="D18" s="35" t="s">
        <v>41</v>
      </c>
      <c r="G18" s="31" t="s">
        <v>288</v>
      </c>
      <c r="H18" s="32" t="s">
        <v>336</v>
      </c>
      <c r="I18" s="35" t="s">
        <v>384</v>
      </c>
    </row>
    <row r="19" spans="2:9" x14ac:dyDescent="0.25">
      <c r="B19" s="31" t="s">
        <v>42</v>
      </c>
      <c r="C19" s="32" t="s">
        <v>43</v>
      </c>
      <c r="D19" s="33" t="s">
        <v>44</v>
      </c>
      <c r="G19" s="31" t="s">
        <v>289</v>
      </c>
      <c r="H19" s="35" t="s">
        <v>337</v>
      </c>
      <c r="I19" s="35" t="s">
        <v>385</v>
      </c>
    </row>
    <row r="20" spans="2:9" x14ac:dyDescent="0.25">
      <c r="B20" s="34" t="s">
        <v>45</v>
      </c>
      <c r="C20" s="35" t="s">
        <v>46</v>
      </c>
      <c r="D20" s="35" t="s">
        <v>47</v>
      </c>
      <c r="G20" s="31" t="s">
        <v>290</v>
      </c>
      <c r="H20" s="32" t="s">
        <v>338</v>
      </c>
      <c r="I20" s="35" t="s">
        <v>386</v>
      </c>
    </row>
    <row r="21" spans="2:9" x14ac:dyDescent="0.25">
      <c r="B21" s="31" t="s">
        <v>48</v>
      </c>
      <c r="C21" s="32" t="s">
        <v>49</v>
      </c>
      <c r="D21" s="33" t="s">
        <v>50</v>
      </c>
      <c r="G21" s="31" t="s">
        <v>291</v>
      </c>
      <c r="H21" s="32" t="s">
        <v>339</v>
      </c>
      <c r="I21" s="35" t="s">
        <v>387</v>
      </c>
    </row>
    <row r="22" spans="2:9" x14ac:dyDescent="0.25">
      <c r="B22" s="34" t="s">
        <v>51</v>
      </c>
      <c r="C22" s="35" t="s">
        <v>52</v>
      </c>
      <c r="D22" s="35" t="s">
        <v>53</v>
      </c>
      <c r="G22" s="31" t="s">
        <v>292</v>
      </c>
      <c r="H22" s="35" t="s">
        <v>340</v>
      </c>
      <c r="I22" s="35" t="s">
        <v>388</v>
      </c>
    </row>
    <row r="23" spans="2:9" x14ac:dyDescent="0.25">
      <c r="B23" s="31" t="s">
        <v>54</v>
      </c>
      <c r="C23" s="32" t="s">
        <v>55</v>
      </c>
      <c r="D23" s="33" t="s">
        <v>56</v>
      </c>
      <c r="G23" s="31" t="s">
        <v>293</v>
      </c>
      <c r="H23" s="32" t="s">
        <v>341</v>
      </c>
      <c r="I23" s="35" t="s">
        <v>389</v>
      </c>
    </row>
    <row r="24" spans="2:9" x14ac:dyDescent="0.25">
      <c r="B24" s="34" t="s">
        <v>57</v>
      </c>
      <c r="C24" s="35" t="s">
        <v>58</v>
      </c>
      <c r="D24" s="35" t="s">
        <v>59</v>
      </c>
      <c r="G24" s="31" t="s">
        <v>294</v>
      </c>
      <c r="H24" s="32" t="s">
        <v>342</v>
      </c>
      <c r="I24" s="35" t="s">
        <v>390</v>
      </c>
    </row>
    <row r="25" spans="2:9" x14ac:dyDescent="0.25">
      <c r="B25" s="31" t="s">
        <v>60</v>
      </c>
      <c r="C25" s="32" t="s">
        <v>61</v>
      </c>
      <c r="D25" s="33" t="s">
        <v>62</v>
      </c>
      <c r="G25" s="31" t="s">
        <v>295</v>
      </c>
      <c r="H25" s="35" t="s">
        <v>343</v>
      </c>
      <c r="I25" s="35" t="s">
        <v>391</v>
      </c>
    </row>
    <row r="26" spans="2:9" x14ac:dyDescent="0.25">
      <c r="B26" s="34" t="s">
        <v>63</v>
      </c>
      <c r="C26" s="35" t="s">
        <v>64</v>
      </c>
      <c r="D26" s="35" t="s">
        <v>65</v>
      </c>
      <c r="G26" s="31" t="s">
        <v>296</v>
      </c>
      <c r="H26" s="32" t="s">
        <v>344</v>
      </c>
      <c r="I26" s="35" t="s">
        <v>392</v>
      </c>
    </row>
    <row r="27" spans="2:9" x14ac:dyDescent="0.25">
      <c r="B27" s="31" t="s">
        <v>66</v>
      </c>
      <c r="C27" s="32" t="s">
        <v>67</v>
      </c>
      <c r="D27" s="33" t="s">
        <v>68</v>
      </c>
      <c r="G27" s="31" t="s">
        <v>297</v>
      </c>
      <c r="H27" s="32" t="s">
        <v>345</v>
      </c>
      <c r="I27" s="35" t="s">
        <v>393</v>
      </c>
    </row>
    <row r="28" spans="2:9" x14ac:dyDescent="0.25">
      <c r="B28" s="34" t="s">
        <v>69</v>
      </c>
      <c r="C28" s="35" t="s">
        <v>70</v>
      </c>
      <c r="D28" s="35" t="s">
        <v>71</v>
      </c>
      <c r="G28" s="31" t="s">
        <v>298</v>
      </c>
      <c r="H28" s="35" t="s">
        <v>346</v>
      </c>
      <c r="I28" s="35" t="s">
        <v>394</v>
      </c>
    </row>
    <row r="29" spans="2:9" x14ac:dyDescent="0.25">
      <c r="B29" s="31" t="s">
        <v>72</v>
      </c>
      <c r="C29" s="32" t="s">
        <v>73</v>
      </c>
      <c r="D29" s="33" t="s">
        <v>74</v>
      </c>
      <c r="G29" s="31" t="s">
        <v>299</v>
      </c>
      <c r="H29" s="32" t="s">
        <v>347</v>
      </c>
      <c r="I29" s="35" t="s">
        <v>395</v>
      </c>
    </row>
    <row r="30" spans="2:9" x14ac:dyDescent="0.25">
      <c r="B30" s="34" t="s">
        <v>75</v>
      </c>
      <c r="C30" s="35" t="s">
        <v>76</v>
      </c>
      <c r="D30" s="35" t="s">
        <v>77</v>
      </c>
      <c r="G30" s="31" t="s">
        <v>300</v>
      </c>
      <c r="H30" s="32" t="s">
        <v>348</v>
      </c>
      <c r="I30" s="35" t="s">
        <v>396</v>
      </c>
    </row>
    <row r="31" spans="2:9" x14ac:dyDescent="0.25">
      <c r="B31" s="31" t="s">
        <v>78</v>
      </c>
      <c r="C31" s="32" t="s">
        <v>79</v>
      </c>
      <c r="D31" s="33" t="s">
        <v>80</v>
      </c>
      <c r="G31" s="31" t="s">
        <v>301</v>
      </c>
      <c r="H31" s="35" t="s">
        <v>349</v>
      </c>
      <c r="I31" s="35" t="s">
        <v>397</v>
      </c>
    </row>
    <row r="32" spans="2:9" x14ac:dyDescent="0.25">
      <c r="B32" s="34" t="s">
        <v>81</v>
      </c>
      <c r="C32" s="35" t="s">
        <v>82</v>
      </c>
      <c r="D32" s="35" t="s">
        <v>83</v>
      </c>
      <c r="G32" s="31" t="s">
        <v>302</v>
      </c>
      <c r="H32" s="32" t="s">
        <v>350</v>
      </c>
      <c r="I32" s="35" t="s">
        <v>398</v>
      </c>
    </row>
    <row r="33" spans="2:9" x14ac:dyDescent="0.25">
      <c r="B33" s="31" t="s">
        <v>84</v>
      </c>
      <c r="C33" s="32" t="s">
        <v>85</v>
      </c>
      <c r="D33" s="33" t="s">
        <v>86</v>
      </c>
      <c r="G33" s="31" t="s">
        <v>303</v>
      </c>
      <c r="H33" s="32" t="s">
        <v>351</v>
      </c>
      <c r="I33" s="35" t="s">
        <v>399</v>
      </c>
    </row>
    <row r="34" spans="2:9" x14ac:dyDescent="0.25">
      <c r="B34" s="34" t="s">
        <v>87</v>
      </c>
      <c r="C34" s="35" t="s">
        <v>88</v>
      </c>
      <c r="D34" s="35" t="s">
        <v>89</v>
      </c>
      <c r="G34" s="31" t="s">
        <v>304</v>
      </c>
      <c r="H34" s="35" t="s">
        <v>352</v>
      </c>
      <c r="I34" s="35" t="s">
        <v>400</v>
      </c>
    </row>
    <row r="35" spans="2:9" x14ac:dyDescent="0.25">
      <c r="B35" s="31" t="s">
        <v>90</v>
      </c>
      <c r="C35" s="32" t="s">
        <v>91</v>
      </c>
      <c r="D35" s="33" t="s">
        <v>92</v>
      </c>
      <c r="G35" s="31" t="s">
        <v>305</v>
      </c>
      <c r="H35" s="32" t="s">
        <v>353</v>
      </c>
      <c r="I35" s="35" t="s">
        <v>401</v>
      </c>
    </row>
    <row r="36" spans="2:9" x14ac:dyDescent="0.25">
      <c r="B36" s="34" t="s">
        <v>93</v>
      </c>
      <c r="C36" s="35" t="s">
        <v>94</v>
      </c>
      <c r="D36" s="35" t="s">
        <v>95</v>
      </c>
      <c r="G36" s="31" t="s">
        <v>306</v>
      </c>
      <c r="H36" s="32" t="s">
        <v>354</v>
      </c>
      <c r="I36" s="35" t="s">
        <v>402</v>
      </c>
    </row>
    <row r="37" spans="2:9" x14ac:dyDescent="0.25">
      <c r="B37" s="31" t="s">
        <v>96</v>
      </c>
      <c r="C37" s="32" t="s">
        <v>97</v>
      </c>
      <c r="D37" s="33" t="s">
        <v>98</v>
      </c>
      <c r="G37" s="31" t="s">
        <v>307</v>
      </c>
      <c r="H37" s="35" t="s">
        <v>355</v>
      </c>
      <c r="I37" s="35" t="s">
        <v>403</v>
      </c>
    </row>
    <row r="38" spans="2:9" x14ac:dyDescent="0.25">
      <c r="B38" s="34" t="s">
        <v>99</v>
      </c>
      <c r="C38" s="35" t="s">
        <v>100</v>
      </c>
      <c r="D38" s="35" t="s">
        <v>101</v>
      </c>
      <c r="G38" s="31" t="s">
        <v>308</v>
      </c>
      <c r="H38" s="32" t="s">
        <v>356</v>
      </c>
      <c r="I38" s="35" t="s">
        <v>404</v>
      </c>
    </row>
    <row r="39" spans="2:9" x14ac:dyDescent="0.25">
      <c r="B39" s="31" t="s">
        <v>102</v>
      </c>
      <c r="C39" s="32" t="s">
        <v>103</v>
      </c>
      <c r="D39" s="33" t="s">
        <v>104</v>
      </c>
      <c r="G39" s="31" t="s">
        <v>309</v>
      </c>
      <c r="H39" s="32" t="s">
        <v>357</v>
      </c>
      <c r="I39" s="35" t="s">
        <v>405</v>
      </c>
    </row>
    <row r="40" spans="2:9" x14ac:dyDescent="0.25">
      <c r="B40" s="34" t="s">
        <v>105</v>
      </c>
      <c r="C40" s="35" t="s">
        <v>106</v>
      </c>
      <c r="D40" s="35" t="s">
        <v>107</v>
      </c>
      <c r="G40" s="31" t="s">
        <v>310</v>
      </c>
      <c r="H40" s="35" t="s">
        <v>358</v>
      </c>
      <c r="I40" s="35" t="s">
        <v>406</v>
      </c>
    </row>
    <row r="41" spans="2:9" x14ac:dyDescent="0.25">
      <c r="B41" s="31" t="s">
        <v>108</v>
      </c>
      <c r="C41" s="32" t="s">
        <v>109</v>
      </c>
      <c r="D41" s="33" t="s">
        <v>110</v>
      </c>
      <c r="G41" s="31" t="s">
        <v>311</v>
      </c>
      <c r="H41" s="32" t="s">
        <v>359</v>
      </c>
      <c r="I41" s="35" t="s">
        <v>407</v>
      </c>
    </row>
    <row r="42" spans="2:9" x14ac:dyDescent="0.25">
      <c r="B42" s="34" t="s">
        <v>111</v>
      </c>
      <c r="C42" s="35" t="s">
        <v>112</v>
      </c>
      <c r="D42" s="35" t="s">
        <v>113</v>
      </c>
      <c r="G42" s="31" t="s">
        <v>312</v>
      </c>
      <c r="H42" s="32" t="s">
        <v>360</v>
      </c>
      <c r="I42" s="35" t="s">
        <v>408</v>
      </c>
    </row>
    <row r="43" spans="2:9" x14ac:dyDescent="0.25">
      <c r="B43" s="31" t="s">
        <v>114</v>
      </c>
      <c r="C43" s="32" t="s">
        <v>115</v>
      </c>
      <c r="D43" s="33" t="s">
        <v>116</v>
      </c>
      <c r="G43" s="31" t="s">
        <v>313</v>
      </c>
      <c r="H43" s="35" t="s">
        <v>361</v>
      </c>
      <c r="I43" s="35" t="s">
        <v>409</v>
      </c>
    </row>
    <row r="44" spans="2:9" x14ac:dyDescent="0.25">
      <c r="B44" s="34" t="s">
        <v>117</v>
      </c>
      <c r="C44" s="35" t="s">
        <v>118</v>
      </c>
      <c r="D44" s="35" t="s">
        <v>119</v>
      </c>
      <c r="G44" s="31" t="s">
        <v>314</v>
      </c>
      <c r="H44" s="32" t="s">
        <v>362</v>
      </c>
      <c r="I44" s="35" t="s">
        <v>410</v>
      </c>
    </row>
    <row r="45" spans="2:9" x14ac:dyDescent="0.25">
      <c r="B45" s="31" t="s">
        <v>120</v>
      </c>
      <c r="C45" s="32" t="s">
        <v>121</v>
      </c>
      <c r="D45" s="33" t="s">
        <v>122</v>
      </c>
      <c r="G45" s="31" t="s">
        <v>315</v>
      </c>
      <c r="H45" s="32" t="s">
        <v>363</v>
      </c>
      <c r="I45" s="35" t="s">
        <v>411</v>
      </c>
    </row>
    <row r="46" spans="2:9" x14ac:dyDescent="0.25">
      <c r="B46" s="34" t="s">
        <v>123</v>
      </c>
      <c r="C46" s="35" t="s">
        <v>124</v>
      </c>
      <c r="D46" s="35" t="s">
        <v>125</v>
      </c>
      <c r="G46" s="31" t="s">
        <v>316</v>
      </c>
      <c r="H46" s="35" t="s">
        <v>364</v>
      </c>
      <c r="I46" s="35" t="s">
        <v>412</v>
      </c>
    </row>
    <row r="47" spans="2:9" x14ac:dyDescent="0.25">
      <c r="B47" s="31" t="s">
        <v>126</v>
      </c>
      <c r="C47" s="32" t="s">
        <v>127</v>
      </c>
      <c r="D47" s="33" t="s">
        <v>128</v>
      </c>
      <c r="G47" s="31" t="s">
        <v>317</v>
      </c>
      <c r="H47" s="32" t="s">
        <v>365</v>
      </c>
      <c r="I47" s="35" t="s">
        <v>413</v>
      </c>
    </row>
    <row r="48" spans="2:9" x14ac:dyDescent="0.25">
      <c r="B48" s="34" t="s">
        <v>129</v>
      </c>
      <c r="C48" s="35" t="s">
        <v>130</v>
      </c>
      <c r="D48" s="35" t="s">
        <v>131</v>
      </c>
      <c r="G48" s="31" t="s">
        <v>318</v>
      </c>
      <c r="H48" s="32" t="s">
        <v>366</v>
      </c>
      <c r="I48" s="35" t="s">
        <v>414</v>
      </c>
    </row>
    <row r="49" spans="2:9" x14ac:dyDescent="0.25">
      <c r="B49" s="31" t="s">
        <v>132</v>
      </c>
      <c r="C49" s="32" t="s">
        <v>133</v>
      </c>
      <c r="D49" s="33" t="s">
        <v>134</v>
      </c>
      <c r="G49" s="31" t="s">
        <v>319</v>
      </c>
      <c r="H49" s="35" t="s">
        <v>367</v>
      </c>
      <c r="I49" s="35" t="s">
        <v>415</v>
      </c>
    </row>
    <row r="50" spans="2:9" x14ac:dyDescent="0.25">
      <c r="B50" s="34" t="s">
        <v>135</v>
      </c>
      <c r="C50" s="35" t="s">
        <v>136</v>
      </c>
      <c r="D50" s="35" t="s">
        <v>137</v>
      </c>
      <c r="G50" s="31" t="s">
        <v>320</v>
      </c>
      <c r="H50" s="32" t="s">
        <v>368</v>
      </c>
      <c r="I50" s="35" t="s">
        <v>416</v>
      </c>
    </row>
    <row r="51" spans="2:9" x14ac:dyDescent="0.25">
      <c r="B51" s="31" t="s">
        <v>138</v>
      </c>
      <c r="C51" s="32" t="s">
        <v>139</v>
      </c>
      <c r="D51" s="33" t="s">
        <v>140</v>
      </c>
      <c r="G51" s="31" t="s">
        <v>321</v>
      </c>
      <c r="H51" s="32" t="s">
        <v>369</v>
      </c>
      <c r="I51" s="35" t="s">
        <v>417</v>
      </c>
    </row>
    <row r="52" spans="2:9" x14ac:dyDescent="0.25">
      <c r="B52" s="34" t="s">
        <v>141</v>
      </c>
      <c r="C52" s="35" t="s">
        <v>142</v>
      </c>
      <c r="D52" s="35" t="s">
        <v>143</v>
      </c>
      <c r="G52" s="31" t="s">
        <v>322</v>
      </c>
      <c r="H52" s="35" t="s">
        <v>370</v>
      </c>
      <c r="I52" s="35" t="s">
        <v>418</v>
      </c>
    </row>
    <row r="53" spans="2:9" x14ac:dyDescent="0.25">
      <c r="B53" s="31" t="s">
        <v>144</v>
      </c>
      <c r="C53" s="32" t="s">
        <v>145</v>
      </c>
      <c r="D53" s="33" t="s">
        <v>146</v>
      </c>
      <c r="G53" s="31" t="s">
        <v>323</v>
      </c>
      <c r="H53" s="32" t="s">
        <v>371</v>
      </c>
      <c r="I53" s="35" t="s">
        <v>419</v>
      </c>
    </row>
    <row r="54" spans="2:9" x14ac:dyDescent="0.25">
      <c r="B54" s="34" t="s">
        <v>147</v>
      </c>
      <c r="C54" s="35" t="s">
        <v>148</v>
      </c>
      <c r="D54" s="35" t="s">
        <v>149</v>
      </c>
      <c r="G54" s="31" t="s">
        <v>324</v>
      </c>
      <c r="H54" s="32" t="s">
        <v>372</v>
      </c>
      <c r="I54" s="35" t="s">
        <v>420</v>
      </c>
    </row>
    <row r="55" spans="2:9" x14ac:dyDescent="0.25">
      <c r="B55" s="31" t="s">
        <v>150</v>
      </c>
      <c r="C55" s="32" t="s">
        <v>151</v>
      </c>
      <c r="D55" s="33" t="s">
        <v>152</v>
      </c>
      <c r="G55" s="31"/>
      <c r="H55" s="32"/>
      <c r="I55" s="35"/>
    </row>
    <row r="56" spans="2:9" x14ac:dyDescent="0.25">
      <c r="B56" s="34" t="s">
        <v>153</v>
      </c>
      <c r="C56" s="35" t="s">
        <v>154</v>
      </c>
      <c r="D56" s="35" t="s">
        <v>155</v>
      </c>
      <c r="G56" s="31"/>
      <c r="H56" s="32"/>
      <c r="I56" s="35"/>
    </row>
    <row r="57" spans="2:9" x14ac:dyDescent="0.25">
      <c r="B57" s="31" t="s">
        <v>156</v>
      </c>
      <c r="C57" s="32" t="s">
        <v>157</v>
      </c>
      <c r="D57" s="33" t="s">
        <v>158</v>
      </c>
      <c r="G57" s="31"/>
      <c r="H57" s="32"/>
      <c r="I57" s="35"/>
    </row>
    <row r="58" spans="2:9" x14ac:dyDescent="0.25">
      <c r="B58" s="34" t="s">
        <v>159</v>
      </c>
      <c r="C58" s="35" t="s">
        <v>160</v>
      </c>
      <c r="D58" s="35" t="s">
        <v>161</v>
      </c>
      <c r="G58" s="31"/>
      <c r="H58" s="32"/>
      <c r="I58" s="35"/>
    </row>
    <row r="59" spans="2:9" x14ac:dyDescent="0.25">
      <c r="B59" s="31" t="s">
        <v>162</v>
      </c>
      <c r="C59" s="32" t="s">
        <v>163</v>
      </c>
      <c r="D59" s="33" t="s">
        <v>164</v>
      </c>
      <c r="G59" s="31"/>
      <c r="H59" s="32"/>
      <c r="I59" s="35"/>
    </row>
    <row r="60" spans="2:9" x14ac:dyDescent="0.25">
      <c r="B60" s="34" t="s">
        <v>165</v>
      </c>
      <c r="C60" s="35" t="s">
        <v>166</v>
      </c>
      <c r="D60" s="35" t="s">
        <v>167</v>
      </c>
      <c r="G60" s="31"/>
      <c r="H60" s="32"/>
      <c r="I60" s="35"/>
    </row>
    <row r="61" spans="2:9" x14ac:dyDescent="0.25">
      <c r="B61" s="31" t="s">
        <v>168</v>
      </c>
      <c r="C61" s="32" t="s">
        <v>169</v>
      </c>
      <c r="D61" s="33" t="s">
        <v>170</v>
      </c>
      <c r="G61" s="31"/>
      <c r="H61" s="32"/>
      <c r="I61" s="35"/>
    </row>
    <row r="62" spans="2:9" x14ac:dyDescent="0.25">
      <c r="B62" s="34" t="s">
        <v>171</v>
      </c>
      <c r="C62" s="35" t="s">
        <v>172</v>
      </c>
      <c r="D62" s="35" t="s">
        <v>173</v>
      </c>
      <c r="G62" s="31"/>
      <c r="H62" s="32"/>
      <c r="I62" s="35"/>
    </row>
    <row r="63" spans="2:9" x14ac:dyDescent="0.25">
      <c r="B63" s="31" t="s">
        <v>174</v>
      </c>
      <c r="C63" s="32" t="s">
        <v>175</v>
      </c>
      <c r="D63" s="33" t="s">
        <v>176</v>
      </c>
      <c r="G63" s="31"/>
      <c r="H63" s="32"/>
      <c r="I63" s="35"/>
    </row>
    <row r="64" spans="2:9" x14ac:dyDescent="0.25">
      <c r="B64" s="34" t="s">
        <v>177</v>
      </c>
      <c r="C64" s="35" t="s">
        <v>178</v>
      </c>
      <c r="D64" s="35" t="s">
        <v>179</v>
      </c>
      <c r="G64" s="31"/>
      <c r="H64" s="32"/>
      <c r="I64" s="35"/>
    </row>
    <row r="65" spans="2:9" x14ac:dyDescent="0.25">
      <c r="B65" s="31"/>
      <c r="C65" s="32"/>
      <c r="D65" s="33"/>
      <c r="G65" s="31"/>
      <c r="H65" s="32"/>
      <c r="I65" s="35"/>
    </row>
    <row r="66" spans="2:9" x14ac:dyDescent="0.25">
      <c r="B66" s="34"/>
      <c r="C66" s="35"/>
      <c r="D66" s="35"/>
      <c r="G66" s="31"/>
      <c r="H66" s="32"/>
      <c r="I66" s="35"/>
    </row>
    <row r="67" spans="2:9" x14ac:dyDescent="0.25">
      <c r="B67" s="31"/>
      <c r="C67" s="32"/>
      <c r="D67" s="33"/>
      <c r="G67" s="31"/>
      <c r="H67" s="32"/>
      <c r="I67" s="35"/>
    </row>
    <row r="68" spans="2:9" x14ac:dyDescent="0.25">
      <c r="B68" s="34"/>
      <c r="C68" s="35"/>
      <c r="D68" s="35"/>
      <c r="G68" s="31"/>
      <c r="H68" s="32"/>
      <c r="I68" s="35"/>
    </row>
    <row r="69" spans="2:9" x14ac:dyDescent="0.25">
      <c r="B69" s="31"/>
      <c r="C69" s="32"/>
      <c r="D69" s="33"/>
      <c r="G69" s="31"/>
      <c r="H69" s="32"/>
      <c r="I69" s="35"/>
    </row>
    <row r="70" spans="2:9" x14ac:dyDescent="0.25">
      <c r="B70" s="34"/>
      <c r="C70" s="35"/>
      <c r="D70" s="35"/>
      <c r="G70" s="31"/>
      <c r="H70" s="32"/>
      <c r="I70" s="35"/>
    </row>
    <row r="71" spans="2:9" x14ac:dyDescent="0.25">
      <c r="B71" s="31"/>
      <c r="C71" s="32"/>
      <c r="D71" s="33"/>
      <c r="G71" s="31"/>
      <c r="H71" s="32"/>
      <c r="I71" s="35"/>
    </row>
    <row r="72" spans="2:9" x14ac:dyDescent="0.25">
      <c r="B72" s="34"/>
      <c r="C72" s="35"/>
      <c r="D72" s="35"/>
      <c r="G72" s="31"/>
      <c r="H72" s="32"/>
      <c r="I72" s="35"/>
    </row>
    <row r="73" spans="2:9" x14ac:dyDescent="0.25">
      <c r="B73" s="31"/>
      <c r="C73" s="32"/>
      <c r="D73" s="33"/>
      <c r="G73" s="31"/>
      <c r="H73" s="32"/>
      <c r="I73" s="35"/>
    </row>
    <row r="74" spans="2:9" x14ac:dyDescent="0.25">
      <c r="B74" s="34"/>
      <c r="C74" s="35"/>
      <c r="D74" s="35"/>
      <c r="G74" s="31"/>
      <c r="H74" s="32"/>
      <c r="I74" s="35"/>
    </row>
    <row r="75" spans="2:9" x14ac:dyDescent="0.25">
      <c r="B75" s="31"/>
      <c r="C75" s="32"/>
      <c r="D75" s="33"/>
      <c r="G75" s="31"/>
      <c r="H75" s="32"/>
      <c r="I75" s="35"/>
    </row>
    <row r="76" spans="2:9" x14ac:dyDescent="0.25">
      <c r="B76" s="34"/>
      <c r="C76" s="35"/>
      <c r="D76" s="35"/>
      <c r="G76" s="31"/>
      <c r="H76" s="32"/>
      <c r="I76" s="35"/>
    </row>
    <row r="77" spans="2:9" x14ac:dyDescent="0.25">
      <c r="B77" s="31"/>
      <c r="C77" s="32"/>
      <c r="D77" s="33"/>
      <c r="G77" s="31"/>
      <c r="H77" s="32"/>
      <c r="I77" s="35"/>
    </row>
    <row r="78" spans="2:9" x14ac:dyDescent="0.25">
      <c r="B78" s="34"/>
      <c r="C78" s="35"/>
      <c r="D78" s="35"/>
      <c r="G78" s="31"/>
      <c r="H78" s="32"/>
      <c r="I78" s="35"/>
    </row>
    <row r="79" spans="2:9" x14ac:dyDescent="0.25">
      <c r="B79" s="31"/>
      <c r="C79" s="32"/>
      <c r="D79" s="33"/>
      <c r="G79" s="31"/>
      <c r="H79" s="32"/>
      <c r="I79" s="35"/>
    </row>
    <row r="80" spans="2:9" x14ac:dyDescent="0.25">
      <c r="B80" s="34"/>
      <c r="C80" s="34"/>
      <c r="D80" s="34"/>
      <c r="G80" s="31"/>
      <c r="H80" s="32"/>
      <c r="I80" s="35"/>
    </row>
    <row r="81" spans="2:9" x14ac:dyDescent="0.25">
      <c r="B81" s="31"/>
      <c r="C81" s="32"/>
      <c r="D81" s="33"/>
      <c r="G81" s="31"/>
      <c r="H81" s="32"/>
      <c r="I81" s="35"/>
    </row>
    <row r="82" spans="2:9" x14ac:dyDescent="0.25">
      <c r="B82" s="34"/>
      <c r="C82" s="34"/>
      <c r="D82" s="34"/>
      <c r="G82" s="31"/>
      <c r="H82" s="32"/>
      <c r="I82" s="35"/>
    </row>
    <row r="83" spans="2:9" x14ac:dyDescent="0.25">
      <c r="B83" s="31"/>
      <c r="C83" s="32"/>
      <c r="D83" s="33"/>
      <c r="G83" s="31"/>
      <c r="H83" s="32"/>
      <c r="I83" s="35"/>
    </row>
    <row r="84" spans="2:9" x14ac:dyDescent="0.25">
      <c r="B84" s="34"/>
      <c r="C84" s="34"/>
      <c r="D84" s="34"/>
      <c r="G84" s="31"/>
      <c r="H84" s="32"/>
      <c r="I84" s="35"/>
    </row>
    <row r="85" spans="2:9" x14ac:dyDescent="0.25">
      <c r="B85" s="31"/>
      <c r="C85" s="32"/>
      <c r="D85" s="33"/>
      <c r="G85" s="31"/>
      <c r="H85" s="32"/>
      <c r="I85" s="35"/>
    </row>
    <row r="86" spans="2:9" x14ac:dyDescent="0.25">
      <c r="B86" s="34"/>
      <c r="C86" s="34"/>
      <c r="D86" s="34"/>
      <c r="G86" s="31"/>
      <c r="H86" s="32"/>
      <c r="I86" s="35"/>
    </row>
    <row r="87" spans="2:9" x14ac:dyDescent="0.25">
      <c r="B87" s="31"/>
      <c r="C87" s="32"/>
      <c r="D87" s="33"/>
      <c r="G87" s="31"/>
      <c r="H87" s="32"/>
      <c r="I87" s="35"/>
    </row>
    <row r="88" spans="2:9" x14ac:dyDescent="0.25">
      <c r="B88" s="34"/>
      <c r="C88" s="34"/>
      <c r="D88" s="34"/>
      <c r="G88" s="31"/>
      <c r="H88" s="32"/>
      <c r="I88" s="35"/>
    </row>
    <row r="89" spans="2:9" x14ac:dyDescent="0.25">
      <c r="B89" s="31"/>
      <c r="C89" s="32"/>
      <c r="D89" s="33"/>
      <c r="G89" s="31"/>
      <c r="H89" s="32"/>
      <c r="I89" s="35"/>
    </row>
    <row r="90" spans="2:9" x14ac:dyDescent="0.25">
      <c r="B90" s="34"/>
      <c r="C90" s="34"/>
      <c r="D90" s="34"/>
      <c r="G90" s="31"/>
      <c r="H90" s="32"/>
      <c r="I90" s="35"/>
    </row>
    <row r="91" spans="2:9" x14ac:dyDescent="0.25">
      <c r="B91" s="31"/>
      <c r="C91" s="32"/>
      <c r="D91" s="33"/>
      <c r="G91" s="31"/>
      <c r="H91" s="32"/>
      <c r="I91" s="35"/>
    </row>
    <row r="92" spans="2:9" x14ac:dyDescent="0.25">
      <c r="B92" s="34"/>
      <c r="C92" s="34"/>
      <c r="D92" s="34"/>
      <c r="G92" s="31"/>
      <c r="H92" s="32"/>
      <c r="I92" s="35"/>
    </row>
    <row r="93" spans="2:9" x14ac:dyDescent="0.25">
      <c r="B93" s="31"/>
      <c r="C93" s="32"/>
      <c r="D93" s="33"/>
      <c r="G93" s="31"/>
      <c r="H93" s="32"/>
      <c r="I93" s="35"/>
    </row>
    <row r="94" spans="2:9" x14ac:dyDescent="0.25">
      <c r="B94" s="34"/>
      <c r="C94" s="34"/>
      <c r="D94" s="34"/>
      <c r="G94" s="31"/>
      <c r="H94" s="32"/>
      <c r="I94" s="35"/>
    </row>
    <row r="95" spans="2:9" x14ac:dyDescent="0.25">
      <c r="B95" s="31"/>
      <c r="C95" s="32"/>
      <c r="D95" s="33"/>
      <c r="G95" s="31"/>
      <c r="H95" s="32"/>
      <c r="I95" s="35"/>
    </row>
    <row r="96" spans="2:9" x14ac:dyDescent="0.25">
      <c r="B96" s="34"/>
      <c r="C96" s="34"/>
      <c r="D96" s="34"/>
      <c r="G96" s="31"/>
      <c r="H96" s="32"/>
      <c r="I96" s="35"/>
    </row>
    <row r="97" spans="2:9" x14ac:dyDescent="0.25">
      <c r="B97" s="31"/>
      <c r="C97" s="32"/>
      <c r="D97" s="33"/>
      <c r="G97" s="31"/>
      <c r="H97" s="32"/>
      <c r="I97" s="35"/>
    </row>
    <row r="98" spans="2:9" x14ac:dyDescent="0.25">
      <c r="B98" s="34"/>
      <c r="C98" s="34"/>
      <c r="D98" s="34"/>
      <c r="G98" s="31"/>
      <c r="H98" s="32"/>
      <c r="I98" s="35"/>
    </row>
    <row r="99" spans="2:9" x14ac:dyDescent="0.25">
      <c r="B99" s="31"/>
      <c r="C99" s="32"/>
      <c r="D99" s="33"/>
      <c r="G99" s="31"/>
      <c r="H99" s="32"/>
      <c r="I99" s="35"/>
    </row>
    <row r="100" spans="2:9" x14ac:dyDescent="0.25">
      <c r="B100" s="34"/>
      <c r="C100" s="34"/>
      <c r="D100" s="34"/>
      <c r="G100" s="31"/>
      <c r="H100" s="32"/>
      <c r="I100" s="35"/>
    </row>
    <row r="101" spans="2:9" x14ac:dyDescent="0.25">
      <c r="B101" s="31"/>
      <c r="C101" s="32"/>
      <c r="D101" s="33"/>
      <c r="G101" s="31"/>
      <c r="H101" s="32"/>
      <c r="I101" s="35"/>
    </row>
    <row r="102" spans="2:9" x14ac:dyDescent="0.25">
      <c r="B102" s="34"/>
      <c r="C102" s="34"/>
      <c r="D102" s="34"/>
      <c r="G102" s="31"/>
      <c r="H102" s="32"/>
      <c r="I102" s="35"/>
    </row>
    <row r="103" spans="2:9" x14ac:dyDescent="0.25">
      <c r="B103" s="31"/>
      <c r="C103" s="32"/>
      <c r="D103" s="33"/>
      <c r="G103" s="31"/>
      <c r="H103" s="32"/>
      <c r="I103" s="35"/>
    </row>
  </sheetData>
  <mergeCells count="2">
    <mergeCell ref="B3:D4"/>
    <mergeCell ref="G3:I4"/>
  </mergeCells>
  <conditionalFormatting sqref="B6:D103">
    <cfRule type="expression" dxfId="18" priority="8">
      <formula>MOD(ROW(),2)</formula>
    </cfRule>
  </conditionalFormatting>
  <conditionalFormatting sqref="G6:I17">
    <cfRule type="expression" dxfId="17" priority="7">
      <formula>MOD(ROW(),2)</formula>
    </cfRule>
  </conditionalFormatting>
  <conditionalFormatting sqref="G18:G54">
    <cfRule type="expression" dxfId="16" priority="6">
      <formula>MOD(ROW(),2)</formula>
    </cfRule>
  </conditionalFormatting>
  <conditionalFormatting sqref="H18:H54">
    <cfRule type="expression" dxfId="15" priority="5">
      <formula>MOD(ROW(),2)</formula>
    </cfRule>
  </conditionalFormatting>
  <conditionalFormatting sqref="I18:I54">
    <cfRule type="expression" dxfId="14" priority="4">
      <formula>MOD(ROW(),2)</formula>
    </cfRule>
  </conditionalFormatting>
  <conditionalFormatting sqref="G55:G103">
    <cfRule type="expression" dxfId="13" priority="3">
      <formula>MOD(ROW(),2)</formula>
    </cfRule>
  </conditionalFormatting>
  <conditionalFormatting sqref="H55:H103">
    <cfRule type="expression" dxfId="12" priority="2">
      <formula>MOD(ROW(),2)</formula>
    </cfRule>
  </conditionalFormatting>
  <conditionalFormatting sqref="I55:I103">
    <cfRule type="expression" dxfId="11" priority="1">
      <formula>MOD(ROW(),2)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C838E-06B4-4869-8347-B4EABCB9236C}">
  <sheetPr>
    <tabColor rgb="FF006B66"/>
    <outlinePr showOutlineSymbols="0"/>
  </sheetPr>
  <dimension ref="A1:K199"/>
  <sheetViews>
    <sheetView showGridLines="0" tabSelected="1" showOutlineSymbols="0" zoomScaleNormal="100" workbookViewId="0"/>
  </sheetViews>
  <sheetFormatPr baseColWidth="10" defaultColWidth="9.140625" defaultRowHeight="15" outlineLevelRow="2" x14ac:dyDescent="0.25"/>
  <cols>
    <col min="1" max="1" width="1.7109375" style="2" customWidth="1"/>
    <col min="2" max="2" width="35.85546875" style="2" customWidth="1"/>
    <col min="3" max="3" width="17" style="2" bestFit="1" customWidth="1"/>
    <col min="4" max="4" width="17.85546875" style="2" customWidth="1"/>
    <col min="5" max="5" width="17.5703125" style="2" bestFit="1" customWidth="1"/>
    <col min="6" max="6" width="1.7109375" customWidth="1"/>
    <col min="7" max="7" width="12.7109375" style="2" bestFit="1" customWidth="1"/>
    <col min="8" max="16384" width="9.140625" style="2"/>
  </cols>
  <sheetData>
    <row r="1" spans="2:11" ht="27.75" customHeight="1" x14ac:dyDescent="0.25"/>
    <row r="2" spans="2:11" customFormat="1" ht="26.25" x14ac:dyDescent="0.25">
      <c r="B2" s="14" t="s">
        <v>180</v>
      </c>
    </row>
    <row r="3" spans="2:11" x14ac:dyDescent="0.25">
      <c r="B3" s="7"/>
      <c r="C3" s="1"/>
    </row>
    <row r="4" spans="2:11" x14ac:dyDescent="0.25">
      <c r="B4" s="15" t="s">
        <v>185</v>
      </c>
      <c r="C4" s="26"/>
      <c r="D4" s="3" t="s">
        <v>194</v>
      </c>
    </row>
    <row r="5" spans="2:11" x14ac:dyDescent="0.25">
      <c r="B5" s="15" t="s">
        <v>0</v>
      </c>
      <c r="C5" s="17" t="s">
        <v>178</v>
      </c>
      <c r="D5" s="3" t="s">
        <v>181</v>
      </c>
    </row>
    <row r="6" spans="2:11" x14ac:dyDescent="0.25">
      <c r="B6" s="15" t="s">
        <v>2</v>
      </c>
      <c r="C6" s="17" t="str">
        <f>_xll.ECONOMATICA($C$5,"NAME")</f>
        <v>Ypf S.A.</v>
      </c>
      <c r="D6" s="2" t="s">
        <v>182</v>
      </c>
    </row>
    <row r="7" spans="2:11" x14ac:dyDescent="0.25">
      <c r="B7" s="15" t="s">
        <v>186</v>
      </c>
      <c r="C7" s="5" t="s">
        <v>4</v>
      </c>
      <c r="D7" s="3" t="s">
        <v>183</v>
      </c>
      <c r="K7"/>
    </row>
    <row r="8" spans="2:11" x14ac:dyDescent="0.25">
      <c r="B8" s="15" t="s">
        <v>1</v>
      </c>
      <c r="C8" s="6" t="s">
        <v>3</v>
      </c>
      <c r="D8" s="3" t="s">
        <v>184</v>
      </c>
    </row>
    <row r="9" spans="2:11" x14ac:dyDescent="0.25">
      <c r="B9" s="16" t="s">
        <v>187</v>
      </c>
      <c r="C9" s="17"/>
    </row>
    <row r="10" spans="2:11" x14ac:dyDescent="0.25">
      <c r="B10" s="15" t="s">
        <v>188</v>
      </c>
      <c r="C10" s="18" t="str">
        <f>IF(Base!C2=1,"Consolidado","Individual")</f>
        <v>Consolidado</v>
      </c>
    </row>
    <row r="11" spans="2:11" ht="12.75" x14ac:dyDescent="0.2">
      <c r="B11" s="19"/>
      <c r="C11" s="13"/>
      <c r="D11" s="13"/>
      <c r="E11" s="13"/>
      <c r="F11" s="11"/>
    </row>
    <row r="12" spans="2:11" x14ac:dyDescent="0.25">
      <c r="C12" s="1"/>
    </row>
    <row r="13" spans="2:11" x14ac:dyDescent="0.25">
      <c r="B13" s="19" t="s">
        <v>189</v>
      </c>
      <c r="C13" s="13" t="str">
        <f>_xll.ECONOMATICA($C$5,"Consol",,C18)</f>
        <v>Si</v>
      </c>
      <c r="D13" s="13" t="str">
        <f>_xll.ECONOMATICA($C$5,"Consol",,D18)</f>
        <v>Si</v>
      </c>
      <c r="E13" s="13" t="str">
        <f>_xll.ECONOMATICA($C$5,"Consol",,E18)</f>
        <v>Si</v>
      </c>
    </row>
    <row r="14" spans="2:11" ht="12.75" x14ac:dyDescent="0.2">
      <c r="B14" s="19" t="s">
        <v>190</v>
      </c>
      <c r="C14" s="13" t="str">
        <f>_xll.ECONOMATICA($C$5,"AccMet",,C18)</f>
        <v>IFRS</v>
      </c>
      <c r="D14" s="13" t="str">
        <f>_xll.ECONOMATICA($C$5,"AccMet",,D18)</f>
        <v>IFRS</v>
      </c>
      <c r="E14" s="13" t="str">
        <f>_xll.ECONOMATICA($C$5,"AccMet",,E18)</f>
        <v>IFRS</v>
      </c>
      <c r="F14" s="11"/>
    </row>
    <row r="15" spans="2:11" ht="12.75" x14ac:dyDescent="0.2">
      <c r="F15" s="11"/>
    </row>
    <row r="16" spans="2:11" ht="17.25" x14ac:dyDescent="0.3">
      <c r="B16" s="12" t="s">
        <v>193</v>
      </c>
      <c r="C16" s="13"/>
      <c r="D16" s="13"/>
      <c r="E16" s="13"/>
      <c r="F16" s="11"/>
    </row>
    <row r="17" spans="1:11" x14ac:dyDescent="0.25">
      <c r="C17" s="1"/>
      <c r="E17" s="22" t="str">
        <f>C8</f>
        <v>Thousands</v>
      </c>
    </row>
    <row r="18" spans="1:11" s="4" customFormat="1" ht="15.75" x14ac:dyDescent="0.25">
      <c r="B18" s="55" t="s">
        <v>191</v>
      </c>
      <c r="C18" s="54">
        <f>IF(Base!$C$1=TRUE,EOMONTH(D18,-12),DATE(YEAR(E18)-2,12,31))</f>
        <v>43281</v>
      </c>
      <c r="D18" s="23">
        <f>IF(Base!$C$1=TRUE,EOMONTH(E18,-12),DATE(YEAR(E18)-1,12,31))</f>
        <v>43646</v>
      </c>
      <c r="E18" s="52">
        <f>_xll.ECONOMATICA($C$5,"Fin Statm Date",,IF(C4="","latest",C4))</f>
        <v>44012</v>
      </c>
      <c r="F18"/>
    </row>
    <row r="19" spans="1:11" x14ac:dyDescent="0.25">
      <c r="B19" s="56" t="s">
        <v>197</v>
      </c>
      <c r="C19" s="44">
        <f>IFERROR(_xll.ECONOMATICA($C$5,"Total Assets",,C$18,,,$C$7,$C$8,,,,IF(Base!$C$2=1,{"jtb.opcconscontr=2"},{"jtb.opcconscontr=3"})),"-")</f>
        <v>761752000</v>
      </c>
      <c r="D19" s="44">
        <f>IFERROR(_xll.ECONOMATICA($C$5,"Total Assets",,D$18,,,$C$7,$C$8,,,,IF(Base!$C$2=1,{"jtb.opcconscontr=2"},{"jtb.opcconscontr=3"})),"-")</f>
        <v>1173765000.0020001</v>
      </c>
      <c r="E19" s="53">
        <f>IFERROR(_xll.ECONOMATICA($C$5,"Total Assets",,E$18,,,$C$7,$C$8,,,,IF(Base!$C$2=1,{"jtb.opcconscontr=2"},{"jtb.opcconscontr=3"})),"-")</f>
        <v>1677091000.0020001</v>
      </c>
    </row>
    <row r="20" spans="1:11" x14ac:dyDescent="0.25">
      <c r="B20" s="57" t="s">
        <v>196</v>
      </c>
      <c r="C20" s="25">
        <f>IFERROR(_xll.ECONOMATICA($C$5,"Curr Assets",,C$18,,,$C$7,$C$8,,,,IF(Base!$C$2=1,{"jtb.opcconscontr=2"},{"jtb.opcconscontr=3"})),"-")</f>
        <v>168228000</v>
      </c>
      <c r="D20" s="25">
        <f>IFERROR(_xll.ECONOMATICA($C$5,"Curr Assets",,D$18,,,$C$7,$C$8,,,,IF(Base!$C$2=1,{"jtb.opcconscontr=2"},{"jtb.opcconscontr=3"})),"-")</f>
        <v>255654000.00025001</v>
      </c>
      <c r="E20" s="47">
        <f>IFERROR(_xll.ECONOMATICA($C$5,"Curr Assets",,E$18,,,$C$7,$C$8,,,,IF(Base!$C$2=1,{"jtb.opcconscontr=2"},{"jtb.opcconscontr=3"})),"-")</f>
        <v>326907000</v>
      </c>
    </row>
    <row r="21" spans="1:11" x14ac:dyDescent="0.25">
      <c r="B21" s="58" t="s">
        <v>198</v>
      </c>
      <c r="C21" s="25">
        <f>IFERROR(_xll.ECONOMATICA($C$5,"Cash&amp;EqCa",,C$18,,,$C$7,$C$8,,,,IF(Base!$C$2=1,{"jtb.opcconscontr=2"},{"jtb.opcconscontr=3"})),"-")</f>
        <v>46251000</v>
      </c>
      <c r="D21" s="25">
        <f>IFERROR(_xll.ECONOMATICA($C$5,"Cash&amp;EqCa",,D$18,,,$C$7,$C$8,,,,IF(Base!$C$2=1,{"jtb.opcconscontr=2"},{"jtb.opcconscontr=3"})),"-")</f>
        <v>56375000</v>
      </c>
      <c r="E21" s="47">
        <f>IFERROR(_xll.ECONOMATICA($C$5,"Cash&amp;EqCa",,E$18,,,$C$7,$C$8,,,,IF(Base!$C$2=1,{"jtb.opcconscontr=2"},{"jtb.opcconscontr=3"})),"-")</f>
        <v>83541000</v>
      </c>
    </row>
    <row r="22" spans="1:11" ht="12.75" x14ac:dyDescent="0.2">
      <c r="B22" s="58" t="s">
        <v>199</v>
      </c>
      <c r="C22" s="25">
        <f>IFERROR(_xll.ECONOMATICA($C$5,"OthInvST",,C$18,,,$C$7,$C$8,,,,IF(Base!$C$2=1,{"jtb.opcconscontr=2"},{"jtb.opcconscontr=3"})),"-")</f>
        <v>11346000</v>
      </c>
      <c r="D22" s="25">
        <f>IFERROR(_xll.ECONOMATICA($C$5,"OthInvST",,D$18,,,$C$7,$C$8,,,,IF(Base!$C$2=1,{"jtb.opcconscontr=2"},{"jtb.opcconscontr=3"})),"-")</f>
        <v>11107000.0000156</v>
      </c>
      <c r="E22" s="47">
        <f>IFERROR(_xll.ECONOMATICA($C$5,"OthInvST",,E$18,,,$C$7,$C$8,,,,IF(Base!$C$2=1,{"jtb.opcconscontr=2"},{"jtb.opcconscontr=3"})),"-")</f>
        <v>8119000.0000078101</v>
      </c>
      <c r="F22" s="25"/>
    </row>
    <row r="23" spans="1:11" x14ac:dyDescent="0.25">
      <c r="B23" s="58" t="s">
        <v>200</v>
      </c>
      <c r="C23" s="25">
        <f>IFERROR(_xll.ECONOMATICA($C$5,"Acc Receiv Net",,C$18,,,$C$7,$C$8,,,,IF(Base!$C$2=1,{"jtb.opcconscontr=2"},{"jtb.opcconscontr=3"})),"-")</f>
        <v>69432000</v>
      </c>
      <c r="D23" s="25">
        <f>IFERROR(_xll.ECONOMATICA($C$5,"Acc Receiv Net",,D$18,,,$C$7,$C$8,,,,IF(Base!$C$2=1,{"jtb.opcconscontr=2"},{"jtb.opcconscontr=3"})),"-")</f>
        <v>92554000</v>
      </c>
      <c r="E23" s="47">
        <f>IFERROR(_xll.ECONOMATICA($C$5,"Acc Receiv Net",,E$18,,,$C$7,$C$8,,,,IF(Base!$C$2=1,{"jtb.opcconscontr=2"},{"jtb.opcconscontr=3"})),"-")</f>
        <v>133521000.00012501</v>
      </c>
    </row>
    <row r="24" spans="1:11" x14ac:dyDescent="0.25">
      <c r="B24" s="58" t="s">
        <v>201</v>
      </c>
      <c r="C24" s="25">
        <f>IFERROR(_xll.ECONOMATICA($C$5,"OtCrST",,C$18,,,$C$7,$C$8,,,,IF(Base!$C$2=1,{"jtb.opcconscontr=2"},{"jtb.opcconscontr=3"})),"-")</f>
        <v>0</v>
      </c>
      <c r="D24" s="25">
        <f>IFERROR(_xll.ECONOMATICA($C$5,"OtCrST",,D$18,,,$C$7,$C$8,,,,IF(Base!$C$2=1,{"jtb.opcconscontr=2"},{"jtb.opcconscontr=3"})),"-")</f>
        <v>0</v>
      </c>
      <c r="E24" s="47">
        <f>IFERROR(_xll.ECONOMATICA($C$5,"OtCrST",,E$18,,,$C$7,$C$8,,,,IF(Base!$C$2=1,{"jtb.opcconscontr=2"},{"jtb.opcconscontr=3"})),"-")</f>
        <v>0</v>
      </c>
    </row>
    <row r="25" spans="1:11" x14ac:dyDescent="0.25">
      <c r="B25" s="58" t="s">
        <v>202</v>
      </c>
      <c r="C25" s="25">
        <f>IFERROR(_xll.ECONOMATICA($C$5,"Inventories",,C$18,,,$C$7,$C$8,,,,IF(Base!$C$2=1,{"jtb.opcconscontr=2"},{"jtb.opcconscontr=3"})),"-")</f>
        <v>41198999.999937497</v>
      </c>
      <c r="D25" s="25">
        <f>IFERROR(_xll.ECONOMATICA($C$5,"Inventories",,D$18,,,$C$7,$C$8,,,,IF(Base!$C$2=1,{"jtb.opcconscontr=2"},{"jtb.opcconscontr=3"})),"-")</f>
        <v>69555000</v>
      </c>
      <c r="E25" s="47">
        <f>IFERROR(_xll.ECONOMATICA($C$5,"Inventories",,E$18,,,$C$7,$C$8,,,,IF(Base!$C$2=1,{"jtb.opcconscontr=2"},{"jtb.opcconscontr=3"})),"-")</f>
        <v>101284000.00012501</v>
      </c>
    </row>
    <row r="26" spans="1:11" x14ac:dyDescent="0.25">
      <c r="B26" s="58" t="s">
        <v>203</v>
      </c>
      <c r="C26" s="25">
        <f>IFERROR(_xll.ECONOMATICA($C$5,"ST Other Assets",,C$18,,,$C$7,$C$8,,,,IF(Base!$C$2=1,{"jtb.opcconscontr=2"},{"jtb.opcconscontr=3"})),"-")</f>
        <v>0</v>
      </c>
      <c r="D26" s="25">
        <f>IFERROR(_xll.ECONOMATICA($C$5,"ST Other Assets",,D$18,,,$C$7,$C$8,,,,IF(Base!$C$2=1,{"jtb.opcconscontr=2"},{"jtb.opcconscontr=3"})),"-")</f>
        <v>26063000.0000313</v>
      </c>
      <c r="E26" s="47">
        <f>IFERROR(_xll.ECONOMATICA($C$5,"ST Other Assets",,E$18,,,$C$7,$C$8,,,,IF(Base!$C$2=1,{"jtb.opcconscontr=2"},{"jtb.opcconscontr=3"})),"-")</f>
        <v>442000.00000048801</v>
      </c>
    </row>
    <row r="27" spans="1:11" x14ac:dyDescent="0.25">
      <c r="B27" s="57" t="s">
        <v>204</v>
      </c>
      <c r="C27" s="25">
        <f>IFERROR(_xll.ECONOMATICA($C$5,"Non Curr Assets",,C$18,,,$C$7,$C$8,,,,IF(Base!$C$2=1,{"jtb.opcconscontr=2"},{"jtb.opcconscontr=3"})),"-")</f>
        <v>593524000</v>
      </c>
      <c r="D27" s="25">
        <f>IFERROR(_xll.ECONOMATICA($C$5,"Non Curr Assets",,D$18,,,$C$7,$C$8,,,,IF(Base!$C$2=1,{"jtb.opcconscontr=2"},{"jtb.opcconscontr=3"})),"-")</f>
        <v>918111000.00100005</v>
      </c>
      <c r="E27" s="47">
        <f>IFERROR(_xll.ECONOMATICA($C$5,"Non Curr Assets",,E$18,,,$C$7,$C$8,,,,IF(Base!$C$2=1,{"jtb.opcconscontr=2"},{"jtb.opcconscontr=3"})),"-")</f>
        <v>1350184000</v>
      </c>
    </row>
    <row r="28" spans="1:11" x14ac:dyDescent="0.25">
      <c r="B28" s="58" t="s">
        <v>205</v>
      </c>
      <c r="C28" s="25">
        <f>IFERROR(_xll.ECONOMATICA($C$5,"ReceLT",,C$18,,,$C$7,$C$8,,,,IF(Base!$C$2=1,{"jtb.opcconscontr=2"},{"jtb.opcconscontr=3"})),"-")</f>
        <v>19793999.9999687</v>
      </c>
      <c r="D28" s="25">
        <f>IFERROR(_xll.ECONOMATICA($C$5,"ReceLT",,D$18,,,$C$7,$C$8,,,,IF(Base!$C$2=1,{"jtb.opcconscontr=2"},{"jtb.opcconscontr=3"})),"-")</f>
        <v>19978000</v>
      </c>
      <c r="E28" s="47">
        <f>IFERROR(_xll.ECONOMATICA($C$5,"ReceLT",,E$18,,,$C$7,$C$8,,,,IF(Base!$C$2=1,{"jtb.opcconscontr=2"},{"jtb.opcconscontr=3"})),"-")</f>
        <v>16563000.0000156</v>
      </c>
    </row>
    <row r="29" spans="1:11" x14ac:dyDescent="0.25">
      <c r="B29" s="58" t="s">
        <v>206</v>
      </c>
      <c r="C29" s="25">
        <f>IFERROR(_xll.ECONOMATICA($C$5,"InveLT",,C$18,,,$C$7,$C$8,,,,IF(Base!$C$2=1,{"jtb.opcconscontr=2"},{"jtb.opcconscontr=3"})),"-")</f>
        <v>0</v>
      </c>
      <c r="D29" s="25">
        <f>IFERROR(_xll.ECONOMATICA($C$5,"InveLT",,D$18,,,$C$7,$C$8,,,,IF(Base!$C$2=1,{"jtb.opcconscontr=2"},{"jtb.opcconscontr=3"})),"-")</f>
        <v>0</v>
      </c>
      <c r="E29" s="47">
        <f>IFERROR(_xll.ECONOMATICA($C$5,"InveLT",,E$18,,,$C$7,$C$8,,,,IF(Base!$C$2=1,{"jtb.opcconscontr=2"},{"jtb.opcconscontr=3"})),"-")</f>
        <v>0</v>
      </c>
    </row>
    <row r="30" spans="1:11" x14ac:dyDescent="0.25">
      <c r="B30" s="58" t="s">
        <v>207</v>
      </c>
      <c r="C30" s="25">
        <f>IFERROR(_xll.ECONOMATICA($C$5,"OtCredLT",,C$18,,,$C$7,$C$8,,,,IF(Base!$C$2=1,{"jtb.opcconscontr=2"},{"jtb.opcconscontr=3"})),"-")</f>
        <v>0</v>
      </c>
      <c r="D30" s="25">
        <f>IFERROR(_xll.ECONOMATICA($C$5,"OtCredLT",,D$18,,,$C$7,$C$8,,,,IF(Base!$C$2=1,{"jtb.opcconscontr=2"},{"jtb.opcconscontr=3"})),"-")</f>
        <v>0</v>
      </c>
      <c r="E30" s="47">
        <f>IFERROR(_xll.ECONOMATICA($C$5,"OtCredLT",,E$18,,,$C$7,$C$8,,,,IF(Base!$C$2=1,{"jtb.opcconscontr=2"},{"jtb.opcconscontr=3"})),"-")</f>
        <v>0</v>
      </c>
    </row>
    <row r="31" spans="1:11" x14ac:dyDescent="0.25">
      <c r="B31" s="58" t="s">
        <v>203</v>
      </c>
      <c r="C31" s="25">
        <f>IFERROR(_xll.ECONOMATICA($C$5,"LT Other Assets",,C$18,,,$C$7,$C$8,,,,IF(Base!$C$2=1,{"jtb.opcconscontr=2"},{"jtb.opcconscontr=3"})),"-")</f>
        <v>15231000</v>
      </c>
      <c r="D31" s="25">
        <f>IFERROR(_xll.ECONOMATICA($C$5,"LT Other Assets",,D$18,,,$C$7,$C$8,,,,IF(Base!$C$2=1,{"jtb.opcconscontr=2"},{"jtb.opcconscontr=3"})),"-")</f>
        <v>38312000</v>
      </c>
      <c r="E31" s="47">
        <f>IFERROR(_xll.ECONOMATICA($C$5,"LT Other Assets",,E$18,,,$C$7,$C$8,,,,IF(Base!$C$2=1,{"jtb.opcconscontr=2"},{"jtb.opcconscontr=3"})),"-")</f>
        <v>105198000.00012501</v>
      </c>
    </row>
    <row r="32" spans="1:11" customFormat="1" x14ac:dyDescent="0.25">
      <c r="A32" s="2"/>
      <c r="B32" s="58" t="s">
        <v>208</v>
      </c>
      <c r="C32" s="25">
        <f>IFERROR(_xll.ECONOMATICA($C$5,"InSuOt",,C$18,,,$C$7,$C$8,,,,IF(Base!$C$2=1,{"jtb.opcconscontr=2"},{"jtb.opcconscontr=3"})),"-")</f>
        <v>24926000</v>
      </c>
      <c r="D32" s="25">
        <f>IFERROR(_xll.ECONOMATICA($C$5,"InSuOt",,D$18,,,$C$7,$C$8,,,,IF(Base!$C$2=1,{"jtb.opcconscontr=2"},{"jtb.opcconscontr=3"})),"-")</f>
        <v>45581000</v>
      </c>
      <c r="E32" s="47">
        <f>IFERROR(_xll.ECONOMATICA($C$5,"InSuOt",,E$18,,,$C$7,$C$8,,,,IF(Base!$C$2=1,{"jtb.opcconscontr=2"},{"jtb.opcconscontr=3"})),"-")</f>
        <v>81190000.000125006</v>
      </c>
      <c r="G32" s="2"/>
      <c r="H32" s="2"/>
      <c r="I32" s="2"/>
      <c r="J32" s="2"/>
      <c r="K32" s="2"/>
    </row>
    <row r="33" spans="1:11" customFormat="1" x14ac:dyDescent="0.25">
      <c r="A33" s="2"/>
      <c r="B33" s="58" t="s">
        <v>199</v>
      </c>
      <c r="C33" s="25">
        <f>IFERROR(_xll.ECONOMATICA($C$5,"Inventories",,C$18,,,$C$7,$C$8,,,,IF(Base!$C$2=1,{"jtb.opcconscontr=2"},{"jtb.opcconscontr=3"})),"-")</f>
        <v>41198999.999937497</v>
      </c>
      <c r="D33" s="25">
        <f>IFERROR(_xll.ECONOMATICA($C$5,"Inventories",,D$18,,,$C$7,$C$8,,,,IF(Base!$C$2=1,{"jtb.opcconscontr=2"},{"jtb.opcconscontr=3"})),"-")</f>
        <v>69555000</v>
      </c>
      <c r="E33" s="47">
        <f>IFERROR(_xll.ECONOMATICA($C$5,"Inventories",,E$18,,,$C$7,$C$8,,,,IF(Base!$C$2=1,{"jtb.opcconscontr=2"},{"jtb.opcconscontr=3"})),"-")</f>
        <v>101284000.00012501</v>
      </c>
      <c r="G33" s="2"/>
      <c r="H33" s="2"/>
      <c r="I33" s="2"/>
      <c r="J33" s="2"/>
      <c r="K33" s="2"/>
    </row>
    <row r="34" spans="1:11" customFormat="1" x14ac:dyDescent="0.25">
      <c r="A34" s="2"/>
      <c r="B34" s="58" t="s">
        <v>209</v>
      </c>
      <c r="C34" s="25">
        <f>IFERROR(_xll.ECONOMATICA($C$5,"Intang",,C$18,,,$C$7,$C$8,,,,IF(Base!$C$2=1,{"jtb.opcconscontr=2"},{"jtb.opcconscontr=3"})),"-")</f>
        <v>0</v>
      </c>
      <c r="D34" s="25">
        <f>IFERROR(_xll.ECONOMATICA($C$5,"Intang",,D$18,,,$C$7,$C$8,,,,IF(Base!$C$2=1,{"jtb.opcconscontr=2"},{"jtb.opcconscontr=3"})),"-")</f>
        <v>0</v>
      </c>
      <c r="E34" s="47">
        <f>IFERROR(_xll.ECONOMATICA($C$5,"Intang",,E$18,,,$C$7,$C$8,,,,IF(Base!$C$2=1,{"jtb.opcconscontr=2"},{"jtb.opcconscontr=3"})),"-")</f>
        <v>0</v>
      </c>
      <c r="G34" s="25"/>
      <c r="H34" s="2"/>
      <c r="I34" s="2"/>
      <c r="J34" s="2"/>
      <c r="K34" s="2"/>
    </row>
    <row r="35" spans="1:11" customFormat="1" x14ac:dyDescent="0.25">
      <c r="A35" s="2"/>
      <c r="B35" s="58" t="s">
        <v>210</v>
      </c>
      <c r="C35" s="25">
        <f>IFERROR(_xll.ECONOMATICA($C$5,"DfTxST",,C$18,,,$C$7,$C$8,,,,IF(Base!$C$2=1,{"jtb.opcconscontr=2"},{"jtb.opcconscontr=3"})),"-")</f>
        <v>1685000</v>
      </c>
      <c r="D35" s="25">
        <f>IFERROR(_xll.ECONOMATICA($C$5,"DfTxST",,D$18,,,$C$7,$C$8,,,,IF(Base!$C$2=1,{"jtb.opcconscontr=2"},{"jtb.opcconscontr=3"})),"-")</f>
        <v>508000.00000048801</v>
      </c>
      <c r="E35" s="47">
        <f>IFERROR(_xll.ECONOMATICA($C$5,"DfTxST",,E$18,,,$C$7,$C$8,,,,IF(Base!$C$2=1,{"jtb.opcconscontr=2"},{"jtb.opcconscontr=3"})),"-")</f>
        <v>2332000</v>
      </c>
      <c r="G35" s="2"/>
      <c r="H35" s="2"/>
      <c r="I35" s="2"/>
      <c r="J35" s="2"/>
      <c r="K35" s="2"/>
    </row>
    <row r="36" spans="1:11" customFormat="1" x14ac:dyDescent="0.25">
      <c r="A36" s="2"/>
      <c r="B36" s="58" t="s">
        <v>211</v>
      </c>
      <c r="C36" s="25">
        <f>IFERROR(_xll.ECONOMATICA($C$5,"PPE Net",,C$18,,,$C$7,$C$8,,,,IF(Base!$C$2=1,{"jtb.opcconscontr=2"},{"jtb.opcconscontr=3"})),"-")</f>
        <v>531887999.99949998</v>
      </c>
      <c r="D36" s="25">
        <f>IFERROR(_xll.ECONOMATICA($C$5,"PPE Net",,D$18,,,$C$7,$C$8,,,,IF(Base!$C$2=1,{"jtb.opcconscontr=2"},{"jtb.opcconscontr=3"})),"-")</f>
        <v>788217000</v>
      </c>
      <c r="E36" s="47">
        <f>IFERROR(_xll.ECONOMATICA($C$5,"PPE Net",,E$18,,,$C$7,$C$8,,,,IF(Base!$C$2=1,{"jtb.opcconscontr=2"},{"jtb.opcconscontr=3"})),"-")</f>
        <v>1144901000.0020001</v>
      </c>
      <c r="G36" s="2"/>
      <c r="H36" s="2"/>
      <c r="I36" s="2"/>
      <c r="J36" s="2"/>
      <c r="K36" s="2"/>
    </row>
    <row r="37" spans="1:11" customFormat="1" x14ac:dyDescent="0.25">
      <c r="A37" s="2"/>
      <c r="B37" s="59" t="s">
        <v>212</v>
      </c>
      <c r="C37" s="39">
        <f>IFERROR(_xll.ECONOMATICA($C$5,"AsFoCu",,C$18,,,$C$7,$C$8,,,,IF(Base!$C$2=1,{"jtb.opcconscontr=2"},{"jtb.opcconscontr=3"})),"-")</f>
        <v>95798000</v>
      </c>
      <c r="D37" s="39">
        <f>IFERROR(_xll.ECONOMATICA($C$5,"AsFoCu",,D$18,,,$C$7,$C$8,,,,IF(Base!$C$2=1,{"jtb.opcconscontr=2"},{"jtb.opcconscontr=3"})),"-")</f>
        <v>128271000</v>
      </c>
      <c r="E37" s="48">
        <f>IFERROR(_xll.ECONOMATICA($C$5,"AsFoCu",,E$18,,,$C$7,$C$8,,,,IF(Base!$C$2=1,{"jtb.opcconscontr=2"},{"jtb.opcconscontr=3"})),"-")</f>
        <v>124774000</v>
      </c>
      <c r="G37" s="2"/>
      <c r="H37" s="2"/>
      <c r="I37" s="2"/>
      <c r="J37" s="2"/>
      <c r="K37" s="2"/>
    </row>
    <row r="38" spans="1:11" outlineLevel="1" x14ac:dyDescent="0.25">
      <c r="B38" s="8"/>
      <c r="C38" s="8"/>
      <c r="D38" s="8"/>
      <c r="E38" s="8"/>
    </row>
    <row r="39" spans="1:11" ht="15.75" outlineLevel="2" x14ac:dyDescent="0.25">
      <c r="B39" s="10"/>
      <c r="C39" s="1"/>
      <c r="D39" s="1"/>
      <c r="E39" s="22" t="str">
        <f>C8</f>
        <v>Thousands</v>
      </c>
      <c r="F39" s="2"/>
    </row>
    <row r="40" spans="1:11" ht="15.75" outlineLevel="2" x14ac:dyDescent="0.25">
      <c r="B40" s="60" t="s">
        <v>213</v>
      </c>
      <c r="C40" s="23">
        <f>C18</f>
        <v>43281</v>
      </c>
      <c r="D40" s="23">
        <f>D18</f>
        <v>43646</v>
      </c>
      <c r="E40" s="45">
        <f>E18</f>
        <v>44012</v>
      </c>
      <c r="F40" s="4"/>
    </row>
    <row r="41" spans="1:11" ht="12.75" outlineLevel="2" x14ac:dyDescent="0.2">
      <c r="B41" s="61" t="s">
        <v>214</v>
      </c>
      <c r="C41" s="43">
        <f>IFERROR(_xll.ECONOMATICA($C$5,"Liability+Equity",,C$40,,,$C$7,$C$8,,,,IF(Base!$C$2=1,{"jtb.opcconscontr=2"},{"jtb.opcconscontr=3"})),"-")</f>
        <v>761752000</v>
      </c>
      <c r="D41" s="43">
        <f>IFERROR(_xll.ECONOMATICA($C$5,"Liability+Equity",,D$40,,,$C$7,$C$8,,,,IF(Base!$C$2=1,{"jtb.opcconscontr=2"},{"jtb.opcconscontr=3"})),"-")</f>
        <v>1173765000.0020001</v>
      </c>
      <c r="E41" s="50">
        <f>IFERROR(_xll.ECONOMATICA($C$5,"Liability+Equity",,E$40,,,$C$7,$C$8,,,,IF(Base!$C$2=1,{"jtb.opcconscontr=2"},{"jtb.opcconscontr=3"})),"-")</f>
        <v>1677091000.0020001</v>
      </c>
      <c r="F41" s="2"/>
    </row>
    <row r="42" spans="1:11" ht="12.75" outlineLevel="2" x14ac:dyDescent="0.2">
      <c r="B42" s="62" t="s">
        <v>215</v>
      </c>
      <c r="C42" s="39">
        <f>IFERROR(_xll.ECONOMATICA($C$5,"Total Liability",,C$40,,,$C$7,$C$8,,,,IF(Base!$C$2=1,{"jtb.opcconscontr=2"},{"jtb.opcconscontr=3"})),"-")</f>
        <v>519212999.99949998</v>
      </c>
      <c r="D42" s="39">
        <f>IFERROR(_xll.ECONOMATICA($C$5,"Total Liability",,D$40,,,$C$7,$C$8,,,,IF(Base!$C$2=1,{"jtb.opcconscontr=2"},{"jtb.opcconscontr=3"})),"-")</f>
        <v>773344000.00100005</v>
      </c>
      <c r="E42" s="48">
        <f>IFERROR(_xll.ECONOMATICA($C$5,"Total Liability",,E$40,,,$C$7,$C$8,,,,IF(Base!$C$2=1,{"jtb.opcconscontr=2"},{"jtb.opcconscontr=3"})),"-")</f>
        <v>1108382000.0020001</v>
      </c>
      <c r="F42" s="2"/>
    </row>
    <row r="43" spans="1:11" ht="12.75" outlineLevel="2" x14ac:dyDescent="0.2">
      <c r="B43" s="57" t="s">
        <v>216</v>
      </c>
      <c r="C43" s="25">
        <f>IFERROR(_xll.ECONOMATICA($C$5,"Curr Liab",,C$40,,,$C$7,$C$8,,,,IF(Base!$C$2=1,{"jtb.opcconscontr=2"},{"jtb.opcconscontr=3"})),"-")</f>
        <v>137429999.99987501</v>
      </c>
      <c r="D43" s="25">
        <f>IFERROR(_xll.ECONOMATICA($C$5,"Curr Liab",,D$40,,,$C$7,$C$8,,,,IF(Base!$C$2=1,{"jtb.opcconscontr=2"},{"jtb.opcconscontr=3"})),"-")</f>
        <v>227584000</v>
      </c>
      <c r="E43" s="47">
        <f>IFERROR(_xll.ECONOMATICA($C$5,"Curr Liab",,E$40,,,$C$7,$C$8,,,,IF(Base!$C$2=1,{"jtb.opcconscontr=2"},{"jtb.opcconscontr=3"})),"-")</f>
        <v>375817000.00050002</v>
      </c>
      <c r="F43" s="2"/>
    </row>
    <row r="44" spans="1:11" ht="12.75" outlineLevel="2" x14ac:dyDescent="0.2">
      <c r="B44" s="58" t="s">
        <v>217</v>
      </c>
      <c r="C44" s="25">
        <f>IFERROR(_xll.ECONOMATICA($C$5,"ST Acc Payable",,C$40,,,$C$7,$C$8,,,,IF(Base!$C$2=1,{"jtb.opcconscontr=2"},{"jtb.opcconscontr=3"})),"-")</f>
        <v>64879999.999937497</v>
      </c>
      <c r="D44" s="25">
        <f>IFERROR(_xll.ECONOMATICA($C$5,"ST Acc Payable",,D$40,,,$C$7,$C$8,,,,IF(Base!$C$2=1,{"jtb.opcconscontr=2"},{"jtb.opcconscontr=3"})),"-")</f>
        <v>100721000</v>
      </c>
      <c r="E44" s="47">
        <f>IFERROR(_xll.ECONOMATICA($C$5,"ST Acc Payable",,E$40,,,$C$7,$C$8,,,,IF(Base!$C$2=1,{"jtb.opcconscontr=2"},{"jtb.opcconscontr=3"})),"-")</f>
        <v>132128000</v>
      </c>
      <c r="F44" s="2"/>
    </row>
    <row r="45" spans="1:11" ht="12.75" outlineLevel="1" x14ac:dyDescent="0.2">
      <c r="B45" s="58" t="s">
        <v>218</v>
      </c>
      <c r="C45" s="25">
        <f>IFERROR(_xll.ECONOMATICA($C$5,"ST Debt",,C$40,,,$C$7,$C$8,,,,IF(Base!$C$2=1,{"jtb.opcconscontr=2"},{"jtb.opcconscontr=3"})),"-")</f>
        <v>30580000</v>
      </c>
      <c r="D45" s="25">
        <f>IFERROR(_xll.ECONOMATICA($C$5,"ST Debt",,D$40,,,$C$7,$C$8,,,,IF(Base!$C$2=1,{"jtb.opcconscontr=2"},{"jtb.opcconscontr=3"})),"-")</f>
        <v>49656000.000062503</v>
      </c>
      <c r="E45" s="47">
        <f>IFERROR(_xll.ECONOMATICA($C$5,"ST Debt",,E$40,,,$C$7,$C$8,,,,IF(Base!$C$2=1,{"jtb.opcconscontr=2"},{"jtb.opcconscontr=3"})),"-")</f>
        <v>104713000.00012501</v>
      </c>
      <c r="F45" s="2"/>
    </row>
    <row r="46" spans="1:11" ht="12.75" outlineLevel="1" x14ac:dyDescent="0.2">
      <c r="B46" s="63" t="s">
        <v>219</v>
      </c>
      <c r="C46" s="25">
        <f>IFERROR(_xll.ECONOMATICA($C$5,"NegOblST",,C$40,,,$C$7,$C$8,,,,IF(Base!$C$2=1,{"jtb.opcconscontr=2"},{"jtb.opcconscontr=3"})),"-")</f>
        <v>26092999.9999687</v>
      </c>
      <c r="D46" s="25">
        <f>IFERROR(_xll.ECONOMATICA($C$5,"NegOblST",,D$40,,,$C$7,$C$8,,,,IF(Base!$C$2=1,{"jtb.opcconscontr=2"},{"jtb.opcconscontr=3"})),"-")</f>
        <v>29978000.0000313</v>
      </c>
      <c r="E46" s="47">
        <f>IFERROR(_xll.ECONOMATICA($C$5,"NegOblST",,E$40,,,$C$7,$C$8,,,,IF(Base!$C$2=1,{"jtb.opcconscontr=2"},{"jtb.opcconscontr=3"})),"-")</f>
        <v>116036000.00012501</v>
      </c>
      <c r="F46" s="2"/>
    </row>
    <row r="47" spans="1:11" ht="12.75" outlineLevel="1" x14ac:dyDescent="0.2">
      <c r="B47" s="58" t="s">
        <v>221</v>
      </c>
      <c r="C47" s="25">
        <f>IFERROR(_xll.ECONOMATICA($C$5,"ProvST",,C$40,,,$C$7,$C$8,,,,IF(Base!$C$2=1,{"jtb.opcconscontr=2"},{"jtb.opcconscontr=3"})),"-")</f>
        <v>2869000</v>
      </c>
      <c r="D47" s="25">
        <f>IFERROR(_xll.ECONOMATICA($C$5,"ProvST",,D$40,,,$C$7,$C$8,,,,IF(Base!$C$2=1,{"jtb.opcconscontr=2"},{"jtb.opcconscontr=3"})),"-")</f>
        <v>4906000</v>
      </c>
      <c r="E47" s="47">
        <f>IFERROR(_xll.ECONOMATICA($C$5,"ProvST",,E$40,,,$C$7,$C$8,,,,IF(Base!$C$2=1,{"jtb.opcconscontr=2"},{"jtb.opcconscontr=3"})),"-")</f>
        <v>6250000.0000078101</v>
      </c>
      <c r="F47" s="2"/>
    </row>
    <row r="48" spans="1:11" ht="12.75" outlineLevel="1" x14ac:dyDescent="0.2">
      <c r="B48" s="58" t="s">
        <v>224</v>
      </c>
      <c r="C48" s="25">
        <f>IFERROR(_xll.ECONOMATICA($C$5,"TaxBurST",,C$40,,,$C$7,$C$8,,,,IF(Base!$C$2=1,{"jtb.opcconscontr=2"},{"jtb.opcconscontr=3"})),"-")</f>
        <v>8698000</v>
      </c>
      <c r="D48" s="25">
        <f>IFERROR(_xll.ECONOMATICA($C$5,"TaxBurST",,D$40,,,$C$7,$C$8,,,,IF(Base!$C$2=1,{"jtb.opcconscontr=2"},{"jtb.opcconscontr=3"})),"-")</f>
        <v>13556000</v>
      </c>
      <c r="E48" s="47">
        <f>IFERROR(_xll.ECONOMATICA($C$5,"TaxBurST",,E$40,,,$C$7,$C$8,,,,IF(Base!$C$2=1,{"jtb.opcconscontr=2"},{"jtb.opcconscontr=3"})),"-")</f>
        <v>15195000</v>
      </c>
      <c r="F48" s="2"/>
    </row>
    <row r="49" spans="2:7" ht="12.75" outlineLevel="1" x14ac:dyDescent="0.2">
      <c r="B49" s="58" t="s">
        <v>222</v>
      </c>
      <c r="C49" s="25">
        <f>IFERROR(_xll.ECONOMATICA($C$5,"SalaST",,C$40,,,$C$7,$C$8,,,,IF(Base!$C$2=1,{"jtb.opcconscontr=2"},{"jtb.opcconscontr=3"})),"-")</f>
        <v>0</v>
      </c>
      <c r="D49" s="25">
        <f>IFERROR(_xll.ECONOMATICA($C$5,"SalaST",,D$40,,,$C$7,$C$8,,,,IF(Base!$C$2=1,{"jtb.opcconscontr=2"},{"jtb.opcconscontr=3"})),"-")</f>
        <v>0</v>
      </c>
      <c r="E49" s="47">
        <f>IFERROR(_xll.ECONOMATICA($C$5,"SalaST",,E$40,,,$C$7,$C$8,,,,IF(Base!$C$2=1,{"jtb.opcconscontr=2"},{"jtb.opcconscontr=3"})),"-")</f>
        <v>0</v>
      </c>
      <c r="F49" s="2"/>
    </row>
    <row r="50" spans="2:7" ht="12.75" x14ac:dyDescent="0.2">
      <c r="B50" s="58" t="s">
        <v>223</v>
      </c>
      <c r="C50" s="25">
        <f>IFERROR(_xll.ECONOMATICA($C$5,"ST Other Liab",,C$40,,,$C$7,$C$8,,,,IF(Base!$C$2=1,{"jtb.opcconscontr=2"},{"jtb.opcconscontr=3"})),"-")</f>
        <v>4310000</v>
      </c>
      <c r="D50" s="25">
        <f>IFERROR(_xll.ECONOMATICA($C$5,"ST Other Liab",,D$40,,,$C$7,$C$8,,,,IF(Base!$C$2=1,{"jtb.opcconscontr=2"},{"jtb.opcconscontr=3"})),"-")</f>
        <v>28767000</v>
      </c>
      <c r="E50" s="47">
        <f>IFERROR(_xll.ECONOMATICA($C$5,"ST Other Liab",,E$40,,,$C$7,$C$8,,,,IF(Base!$C$2=1,{"jtb.opcconscontr=2"},{"jtb.opcconscontr=3"})),"-")</f>
        <v>1495000</v>
      </c>
      <c r="F50" s="2"/>
    </row>
    <row r="51" spans="2:7" ht="12.75" outlineLevel="1" x14ac:dyDescent="0.2">
      <c r="B51" s="57" t="s">
        <v>225</v>
      </c>
      <c r="C51" s="25">
        <f>IFERROR(_xll.ECONOMATICA($C$5,"LT Liab",,C$40,,,$C$7,$C$8,,,,IF(Base!$C$2=1,{"jtb.opcconscontr=2"},{"jtb.opcconscontr=3"})),"-")</f>
        <v>381783000</v>
      </c>
      <c r="D51" s="25">
        <f>IFERROR(_xll.ECONOMATICA($C$5,"LT Liab",,D$40,,,$C$7,$C$8,,,,IF(Base!$C$2=1,{"jtb.opcconscontr=2"},{"jtb.opcconscontr=3"})),"-")</f>
        <v>545760000</v>
      </c>
      <c r="E51" s="47">
        <f>IFERROR(_xll.ECONOMATICA($C$5,"LT Liab",,E$40,,,$C$7,$C$8,,,,IF(Base!$C$2=1,{"jtb.opcconscontr=2"},{"jtb.opcconscontr=3"})),"-")</f>
        <v>732565000.00100005</v>
      </c>
      <c r="F51" s="2"/>
    </row>
    <row r="52" spans="2:7" ht="12.75" outlineLevel="1" x14ac:dyDescent="0.2">
      <c r="B52" s="58" t="s">
        <v>226</v>
      </c>
      <c r="C52" s="25">
        <f>IFERROR(_xll.ECONOMATICA($C$5,"ltSupl",,C$40,,,$C$7,$C$8,,,,IF(Base!$C$2=1,{"jtb.opcconscontr=2"},{"jtb.opcconscontr=3"})),"-")</f>
        <v>2077999.99999805</v>
      </c>
      <c r="D52" s="25">
        <f>IFERROR(_xll.ECONOMATICA($C$5,"ltSupl",,D$40,,,$C$7,$C$8,,,,IF(Base!$C$2=1,{"jtb.opcconscontr=2"},{"jtb.opcconscontr=3"})),"-")</f>
        <v>5291000</v>
      </c>
      <c r="E52" s="47">
        <f>IFERROR(_xll.ECONOMATICA($C$5,"ltSupl",,E$40,,,$C$7,$C$8,,,,IF(Base!$C$2=1,{"jtb.opcconscontr=2"},{"jtb.opcconscontr=3"})),"-")</f>
        <v>2467000.0000039102</v>
      </c>
      <c r="F52" s="2"/>
    </row>
    <row r="53" spans="2:7" ht="12.75" x14ac:dyDescent="0.2">
      <c r="B53" s="58" t="s">
        <v>218</v>
      </c>
      <c r="C53" s="25">
        <f>IFERROR(_xll.ECONOMATICA($C$5,"LT Debt",,C$40,,,$C$7,$C$8,,,,IF(Base!$C$2=1,{"jtb.opcconscontr=2"},{"jtb.opcconscontr=3"})),"-")</f>
        <v>16199000</v>
      </c>
      <c r="D53" s="25">
        <f>IFERROR(_xll.ECONOMATICA($C$5,"LT Debt",,D$40,,,$C$7,$C$8,,,,IF(Base!$C$2=1,{"jtb.opcconscontr=2"},{"jtb.opcconscontr=3"})),"-")</f>
        <v>27660000.0000313</v>
      </c>
      <c r="E53" s="47">
        <f>IFERROR(_xll.ECONOMATICA($C$5,"LT Debt",,E$40,,,$C$7,$C$8,,,,IF(Base!$C$2=1,{"jtb.opcconscontr=2"},{"jtb.opcconscontr=3"})),"-")</f>
        <v>60530000.000062503</v>
      </c>
      <c r="F53" s="2"/>
    </row>
    <row r="54" spans="2:7" ht="12.75" outlineLevel="1" x14ac:dyDescent="0.2">
      <c r="B54" s="63" t="s">
        <v>219</v>
      </c>
      <c r="C54" s="25">
        <f>IFERROR(_xll.ECONOMATICA($C$5,"NegOblLT",,C$40,,,$C$7,$C$8,,,,IF(Base!$C$2=1,{"jtb.opcconscontr=2"},{"jtb.opcconscontr=3"})),"-")</f>
        <v>204385000</v>
      </c>
      <c r="D54" s="25">
        <f>IFERROR(_xll.ECONOMATICA($C$5,"NegOblLT",,D$40,,,$C$7,$C$8,,,,IF(Base!$C$2=1,{"jtb.opcconscontr=2"},{"jtb.opcconscontr=3"})),"-")</f>
        <v>288823000</v>
      </c>
      <c r="E54" s="47">
        <f>IFERROR(_xll.ECONOMATICA($C$5,"NegOblLT",,E$40,,,$C$7,$C$8,,,,IF(Base!$C$2=1,{"jtb.opcconscontr=2"},{"jtb.opcconscontr=3"})),"-")</f>
        <v>396557000</v>
      </c>
      <c r="F54" s="2"/>
    </row>
    <row r="55" spans="2:7" ht="12.75" outlineLevel="1" x14ac:dyDescent="0.2">
      <c r="B55" s="58" t="s">
        <v>220</v>
      </c>
      <c r="C55" s="25">
        <f>IFERROR(_xll.ECONOMATICA($C$5,"DeferIncome",,C$40,,,$C$7,$C$8,,,,IF(Base!$C$2=1,{"jtb.opcconscontr=2"},{"jtb.opcconscontr=3"})),"-")</f>
        <v>0</v>
      </c>
      <c r="D55" s="25">
        <f>IFERROR(_xll.ECONOMATICA($C$5,"DeferIncome",,D$40,,,$C$7,$C$8,,,,IF(Base!$C$2=1,{"jtb.opcconscontr=2"},{"jtb.opcconscontr=3"})),"-")</f>
        <v>0</v>
      </c>
      <c r="E55" s="47">
        <f>IFERROR(_xll.ECONOMATICA($C$5,"DeferIncome",,E$40,,,$C$7,$C$8,,,,IF(Base!$C$2=1,{"jtb.opcconscontr=2"},{"jtb.opcconscontr=3"})),"-")</f>
        <v>0</v>
      </c>
      <c r="F55" s="2"/>
    </row>
    <row r="56" spans="2:7" ht="12.75" outlineLevel="1" x14ac:dyDescent="0.2">
      <c r="B56" s="58" t="s">
        <v>227</v>
      </c>
      <c r="C56" s="25">
        <f>IFERROR(_xll.ECONOMATICA($C$5,"AdvCust",,C$40,,,$C$7,$C$8,,,,IF(Base!$C$2=1,{"jtb.opcconscontr=2"},{"jtb.opcconscontr=3"})),"-")</f>
        <v>0</v>
      </c>
      <c r="D56" s="25">
        <f>IFERROR(_xll.ECONOMATICA($C$5,"AdvCust",,D$40,,,$C$7,$C$8,,,,IF(Base!$C$2=1,{"jtb.opcconscontr=2"},{"jtb.opcconscontr=3"})),"-")</f>
        <v>0</v>
      </c>
      <c r="E56" s="47">
        <f>IFERROR(_xll.ECONOMATICA($C$5,"AdvCust",,E$40,,,$C$7,$C$8,,,,IF(Base!$C$2=1,{"jtb.opcconscontr=2"},{"jtb.opcconscontr=3"})),"-")</f>
        <v>0</v>
      </c>
      <c r="F56" s="2"/>
    </row>
    <row r="57" spans="2:7" ht="12.75" outlineLevel="1" x14ac:dyDescent="0.2">
      <c r="B57" s="58" t="s">
        <v>221</v>
      </c>
      <c r="C57" s="25">
        <f>IFERROR(_xll.ECONOMATICA($C$5,"Provisions LT",,C$40,,,$C$7,$C$8,,,,IF(Base!$C$2=1,{"jtb.opcconscontr=2"},{"jtb.opcconscontr=3"})),"-")</f>
        <v>84577000</v>
      </c>
      <c r="D57" s="25">
        <f>IFERROR(_xll.ECONOMATICA($C$5,"Provisions LT",,D$40,,,$C$7,$C$8,,,,IF(Base!$C$2=1,{"jtb.opcconscontr=2"},{"jtb.opcconscontr=3"})),"-")</f>
        <v>107520000</v>
      </c>
      <c r="E57" s="47">
        <f>IFERROR(_xll.ECONOMATICA($C$5,"Provisions LT",,E$40,,,$C$7,$C$8,,,,IF(Base!$C$2=1,{"jtb.opcconscontr=2"},{"jtb.opcconscontr=3"})),"-")</f>
        <v>172804000</v>
      </c>
      <c r="F57" s="2"/>
    </row>
    <row r="58" spans="2:7" ht="12.75" x14ac:dyDescent="0.2">
      <c r="B58" s="58" t="s">
        <v>222</v>
      </c>
      <c r="C58" s="25">
        <f>IFERROR(_xll.ECONOMATICA($C$5,"SalaLT",,C$40,,,$C$7,$C$8,,,,IF(Base!$C$2=1,{"jtb.opcconscontr=2"},{"jtb.opcconscontr=3"})),"-")</f>
        <v>0</v>
      </c>
      <c r="D58" s="25">
        <f>IFERROR(_xll.ECONOMATICA($C$5,"SalaLT",,D$40,,,$C$7,$C$8,,,,IF(Base!$C$2=1,{"jtb.opcconscontr=2"},{"jtb.opcconscontr=3"})),"-")</f>
        <v>0</v>
      </c>
      <c r="E58" s="47">
        <f>IFERROR(_xll.ECONOMATICA($C$5,"SalaLT",,E$40,,,$C$7,$C$8,,,,IF(Base!$C$2=1,{"jtb.opcconscontr=2"},{"jtb.opcconscontr=3"})),"-")</f>
        <v>0</v>
      </c>
      <c r="F58" s="2"/>
    </row>
    <row r="59" spans="2:7" ht="12.75" x14ac:dyDescent="0.2">
      <c r="B59" s="58" t="s">
        <v>224</v>
      </c>
      <c r="C59" s="25">
        <f>IFERROR(_xll.ECONOMATICA($C$5,"TaxBurLT",,C$40,,,$C$7,$C$8,,,,IF(Base!$C$2=1,{"jtb.opcconscontr=2"},{"jtb.opcconscontr=3"})),"-")</f>
        <v>2258999.9999960898</v>
      </c>
      <c r="D59" s="25">
        <f>IFERROR(_xll.ECONOMATICA($C$5,"TaxBurLT",,D$40,,,$C$7,$C$8,,,,IF(Base!$C$2=1,{"jtb.opcconscontr=2"},{"jtb.opcconscontr=3"})),"-")</f>
        <v>5483000.0000078101</v>
      </c>
      <c r="E59" s="47">
        <f>IFERROR(_xll.ECONOMATICA($C$5,"TaxBurLT",,E$40,,,$C$7,$C$8,,,,IF(Base!$C$2=1,{"jtb.opcconscontr=2"},{"jtb.opcconscontr=3"})),"-")</f>
        <v>3156000.0000039102</v>
      </c>
      <c r="F59" s="2"/>
    </row>
    <row r="60" spans="2:7" ht="12.75" outlineLevel="1" x14ac:dyDescent="0.2">
      <c r="B60" s="58" t="s">
        <v>223</v>
      </c>
      <c r="C60" s="25">
        <f>IFERROR(_xll.ECONOMATICA($C$5,"OtLTLb",,C$40,,,$C$7,$C$8,,,,IF(Base!$C$2=1,{"jtb.opcconscontr=2"},{"jtb.opcconscontr=3"})),"-")</f>
        <v>412000</v>
      </c>
      <c r="D60" s="25">
        <f>IFERROR(_xll.ECONOMATICA($C$5,"OtLTLb",,D$40,,,$C$7,$C$8,,,,IF(Base!$C$2=1,{"jtb.opcconscontr=2"},{"jtb.opcconscontr=3"})),"-")</f>
        <v>15305000</v>
      </c>
      <c r="E60" s="47">
        <f>IFERROR(_xll.ECONOMATICA($C$5,"OtLTLb",,E$40,,,$C$7,$C$8,,,,IF(Base!$C$2=1,{"jtb.opcconscontr=2"},{"jtb.opcconscontr=3"})),"-")</f>
        <v>757000.00000097696</v>
      </c>
      <c r="F60" s="2"/>
    </row>
    <row r="61" spans="2:7" ht="12.75" outlineLevel="1" x14ac:dyDescent="0.2">
      <c r="B61" s="64" t="s">
        <v>228</v>
      </c>
      <c r="C61" s="39">
        <f>IFERROR(_xll.ECONOMATICA($C$5,"DefTaxLiab",,C$40,,,$C$7,$C$8,,,,IF(Base!$C$2=1,{"jtb.opcconscontr=2"},{"jtb.opcconscontr=3"})),"-")</f>
        <v>71873000</v>
      </c>
      <c r="D61" s="39">
        <f>IFERROR(_xll.ECONOMATICA($C$5,"DefTaxLiab",,D$40,,,$C$7,$C$8,,,,IF(Base!$C$2=1,{"jtb.opcconscontr=2"},{"jtb.opcconscontr=3"})),"-")</f>
        <v>95678000</v>
      </c>
      <c r="E61" s="48">
        <f>IFERROR(_xll.ECONOMATICA($C$5,"DefTaxLiab",,E$40,,,$C$7,$C$8,,,,IF(Base!$C$2=1,{"jtb.opcconscontr=2"},{"jtb.opcconscontr=3"})),"-")</f>
        <v>96294000.000125006</v>
      </c>
      <c r="F61" s="2"/>
    </row>
    <row r="62" spans="2:7" ht="12.75" outlineLevel="2" x14ac:dyDescent="0.2">
      <c r="B62" s="65" t="s">
        <v>229</v>
      </c>
      <c r="C62" s="41">
        <f>IFERROR(_xll.ECONOMATICA($C$5,"Stock Eq Total",,C$40,,,$C$7,$C$8,,,,IF(Base!$C$2=1,{"jtb.opcconscontr=2"},{"jtb.opcconscontr=3"})),"-")</f>
        <v>242538999.99974999</v>
      </c>
      <c r="D62" s="41">
        <f>IFERROR(_xll.ECONOMATICA($C$5,"Stock Eq Total",,D$40,,,$C$7,$C$8,,,,IF(Base!$C$2=1,{"jtb.opcconscontr=2"},{"jtb.opcconscontr=3"})),"-")</f>
        <v>400421000</v>
      </c>
      <c r="E62" s="51">
        <f>IFERROR(_xll.ECONOMATICA($C$5,"Stock Eq Total",,E$40,,,$C$7,$C$8,,,,IF(Base!$C$2=1,{"jtb.opcconscontr=2"},{"jtb.opcconscontr=3"})),"-")</f>
        <v>568709000</v>
      </c>
      <c r="F62" s="2"/>
      <c r="G62" s="25"/>
    </row>
    <row r="63" spans="2:7" ht="12.75" outlineLevel="2" x14ac:dyDescent="0.2">
      <c r="B63" s="58" t="s">
        <v>230</v>
      </c>
      <c r="C63" s="42">
        <f>IFERROR(_xll.ECONOMATICA($C$5,"MinInt",,C$40,,,$C$7,$C$8,,,,IF(Base!$C$2=1,{"jtb.opcconscontr=2"},{"jtb.opcconscontr=3"})),"-")</f>
        <v>-328000</v>
      </c>
      <c r="D63" s="42">
        <f>IFERROR(_xll.ECONOMATICA($C$5,"MinInt",,D$40,,,$C$7,$C$8,,,,IF(Base!$C$2=1,{"jtb.opcconscontr=2"},{"jtb.opcconscontr=3"})),"-")</f>
        <v>4389000</v>
      </c>
      <c r="E63" s="47">
        <f>IFERROR(_xll.ECONOMATICA($C$5,"MinInt",,E$40,,,$C$7,$C$8,,,,IF(Base!$C$2=1,{"jtb.opcconscontr=2"},{"jtb.opcconscontr=3"})),"-")</f>
        <v>6012000.0000078101</v>
      </c>
      <c r="F63" s="2"/>
    </row>
    <row r="64" spans="2:7" ht="12.75" outlineLevel="2" x14ac:dyDescent="0.2">
      <c r="B64" s="64" t="s">
        <v>231</v>
      </c>
      <c r="C64" s="39">
        <f>IFERROR(_xll.ECONOMATICA($C$5,"Stock Eq Par",,C$40,,,$C$7,$C$8,,,,IF(Base!$C$2=1,{"jtb.opcconscontr=2"},{"jtb.opcconscontr=3"})),"-")</f>
        <v>242867000</v>
      </c>
      <c r="D64" s="39">
        <f>IFERROR(_xll.ECONOMATICA($C$5,"Stock Eq Par",,D$40,,,$C$7,$C$8,,,,IF(Base!$C$2=1,{"jtb.opcconscontr=2"},{"jtb.opcconscontr=3"})),"-")</f>
        <v>396032000.00050002</v>
      </c>
      <c r="E64" s="48">
        <f>IFERROR(_xll.ECONOMATICA($C$5,"Stock Eq Par",,E$40,,,$C$7,$C$8,,,,IF(Base!$C$2=1,{"jtb.opcconscontr=2"},{"jtb.opcconscontr=3"})),"-")</f>
        <v>562697000</v>
      </c>
      <c r="F64" s="2"/>
    </row>
    <row r="65" spans="1:6" ht="12.75" outlineLevel="2" x14ac:dyDescent="0.2">
      <c r="B65" s="63" t="s">
        <v>232</v>
      </c>
      <c r="C65" s="25">
        <f>IFERROR(_xll.ECONOMATICA($C$5,"Capital Stock",,C$40,,,$C$7,$C$8,,,,IF(Base!$C$2=1,{"jtb.opcconscontr=2"},{"jtb.opcconscontr=3"})),"-")</f>
        <v>3654999.9999960898</v>
      </c>
      <c r="D65" s="25">
        <f>IFERROR(_xll.ECONOMATICA($C$5,"Capital Stock",,D$40,,,$C$7,$C$8,,,,IF(Base!$C$2=1,{"jtb.opcconscontr=2"},{"jtb.opcconscontr=3"})),"-")</f>
        <v>3896000.0000039102</v>
      </c>
      <c r="E65" s="47">
        <f>IFERROR(_xll.ECONOMATICA($C$5,"Capital Stock",,E$40,,,$C$7,$C$8,,,,IF(Base!$C$2=1,{"jtb.opcconscontr=2"},{"jtb.opcconscontr=3"})),"-")</f>
        <v>4282000</v>
      </c>
      <c r="F65" s="2"/>
    </row>
    <row r="66" spans="1:6" ht="12.75" outlineLevel="2" x14ac:dyDescent="0.2">
      <c r="B66" s="63" t="s">
        <v>233</v>
      </c>
      <c r="C66" s="25">
        <f>IFERROR(_xll.ECONOMATICA($C$5,"CapAdj",,C$40,,,$C$7,$C$8,,,,IF(Base!$C$2=1,{"jtb.opcconscontr=2"},{"jtb.opcconscontr=3"})),"-")</f>
        <v>6101000</v>
      </c>
      <c r="D66" s="25">
        <f>IFERROR(_xll.ECONOMATICA($C$5,"CapAdj",,D$40,,,$C$7,$C$8,,,,IF(Base!$C$2=1,{"jtb.opcconscontr=2"},{"jtb.opcconscontr=3"})),"-")</f>
        <v>6101000.0000078101</v>
      </c>
      <c r="E66" s="47">
        <f>IFERROR(_xll.ECONOMATICA($C$5,"CapAdj",,E$40,,,$C$7,$C$8,,,,IF(Base!$C$2=1,{"jtb.opcconscontr=2"},{"jtb.opcconscontr=3"})),"-")</f>
        <v>6101000.0000078101</v>
      </c>
      <c r="F66" s="2"/>
    </row>
    <row r="67" spans="1:6" ht="12.75" outlineLevel="2" x14ac:dyDescent="0.2">
      <c r="B67" s="63" t="s">
        <v>242</v>
      </c>
      <c r="C67" s="25">
        <f>IFERROR(_xll.ECONOMATICA($C$5,"MCFuCI",,C$40,,,$C$7,$C$8,,,,IF(Base!$C$2=1,{"jtb.opcconscontr=2"},{"jtb.opcconscontr=3"})),"-")</f>
        <v>0</v>
      </c>
      <c r="D67" s="25">
        <f>IFERROR(_xll.ECONOMATICA($C$5,"MCFuCI",,D$40,,,$C$7,$C$8,,,,IF(Base!$C$2=1,{"jtb.opcconscontr=2"},{"jtb.opcconscontr=3"})),"-")</f>
        <v>0</v>
      </c>
      <c r="E67" s="47">
        <f>IFERROR(_xll.ECONOMATICA($C$5,"MCFuCI",,E$40,,,$C$7,$C$8,,,,IF(Base!$C$2=1,{"jtb.opcconscontr=2"},{"jtb.opcconscontr=3"})),"-")</f>
        <v>0</v>
      </c>
      <c r="F67" s="2"/>
    </row>
    <row r="68" spans="1:6" ht="12.75" outlineLevel="2" x14ac:dyDescent="0.2">
      <c r="B68" s="63" t="s">
        <v>234</v>
      </c>
      <c r="C68" s="25">
        <f>IFERROR(_xll.ECONOMATICA($C$5,"CapSurp",,C$40,,,$C$7,$C$8,,,,IF(Base!$C$2=1,{"jtb.opcconscontr=2"},{"jtb.opcconscontr=3"})),"-")</f>
        <v>640000</v>
      </c>
      <c r="D68" s="25">
        <f>IFERROR(_xll.ECONOMATICA($C$5,"CapSurp",,D$40,,,$C$7,$C$8,,,,IF(Base!$C$2=1,{"jtb.opcconscontr=2"},{"jtb.opcconscontr=3"})),"-")</f>
        <v>640000.00000097696</v>
      </c>
      <c r="E68" s="47">
        <f>IFERROR(_xll.ECONOMATICA($C$5,"CapSurp",,E$40,,,$C$7,$C$8,,,,IF(Base!$C$2=1,{"jtb.opcconscontr=2"},{"jtb.opcconscontr=3"})),"-")</f>
        <v>226000.00000024401</v>
      </c>
      <c r="F68" s="2"/>
    </row>
    <row r="69" spans="1:6" ht="12.75" outlineLevel="1" x14ac:dyDescent="0.2">
      <c r="B69" s="63" t="s">
        <v>235</v>
      </c>
      <c r="C69" s="25">
        <f>IFERROR(_xll.ECONOMATICA($C$5,"PriDeFus",,C$40,,,$C$7,$C$8,,,,IF(Base!$C$2=1,{"jtb.opcconscontr=2"},{"jtb.opcconscontr=3"})),"-")</f>
        <v>0</v>
      </c>
      <c r="D69" s="25">
        <f>IFERROR(_xll.ECONOMATICA($C$5,"PriDeFus",,D$40,,,$C$7,$C$8,,,,IF(Base!$C$2=1,{"jtb.opcconscontr=2"},{"jtb.opcconscontr=3"})),"-")</f>
        <v>0</v>
      </c>
      <c r="E69" s="47">
        <f>IFERROR(_xll.ECONOMATICA($C$5,"PriDeFus",,E$40,,,$C$7,$C$8,,,,IF(Base!$C$2=1,{"jtb.opcconscontr=2"},{"jtb.opcconscontr=3"})),"-")</f>
        <v>0</v>
      </c>
      <c r="F69" s="2"/>
    </row>
    <row r="70" spans="1:6" ht="12.75" outlineLevel="1" x14ac:dyDescent="0.2">
      <c r="A70" s="25"/>
      <c r="B70" s="63" t="s">
        <v>236</v>
      </c>
      <c r="C70" s="25">
        <f>IFERROR(_xll.ECONOMATICA($C$5,"EnOwnSh",,C$40,,,$C$7,$C$8,,,,IF(Base!$C$2=1,{"jtb.opcconscontr=2"},{"jtb.opcconscontr=3"})),"-")</f>
        <v>12000</v>
      </c>
      <c r="D70" s="25">
        <f>IFERROR(_xll.ECONOMATICA($C$5,"EnOwnSh",,D$40,,,$C$7,$C$8,,,,IF(Base!$C$2=1,{"jtb.opcconscontr=2"},{"jtb.opcconscontr=3"})),"-")</f>
        <v>-185000</v>
      </c>
      <c r="E70" s="47">
        <f>IFERROR(_xll.ECONOMATICA($C$5,"EnOwnSh",,E$40,,,$C$7,$C$8,,,,IF(Base!$C$2=1,{"jtb.opcconscontr=2"},{"jtb.opcconscontr=3"})),"-")</f>
        <v>252000</v>
      </c>
      <c r="F70" s="2"/>
    </row>
    <row r="71" spans="1:6" ht="12.75" outlineLevel="2" x14ac:dyDescent="0.2">
      <c r="B71" s="63" t="s">
        <v>237</v>
      </c>
      <c r="C71" s="25">
        <f>IFERROR(_xll.ECONOMATICA($C$5,"Legal Reserv",,C$40,,,$C$7,$C$8,,,,IF(Base!$C$2=1,{"jtb.opcconscontr=2"},{"jtb.opcconscontr=3"})),"-")</f>
        <v>2007000</v>
      </c>
      <c r="D71" s="25">
        <f>IFERROR(_xll.ECONOMATICA($C$5,"Legal Reserv",,D$40,,,$C$7,$C$8,,,,IF(Base!$C$2=1,{"jtb.opcconscontr=2"},{"jtb.opcconscontr=3"})),"-")</f>
        <v>2007000.00000195</v>
      </c>
      <c r="E71" s="47">
        <f>IFERROR(_xll.ECONOMATICA($C$5,"Legal Reserv",,E$40,,,$C$7,$C$8,,,,IF(Base!$C$2=1,{"jtb.opcconscontr=2"},{"jtb.opcconscontr=3"})),"-")</f>
        <v>2007000.00000195</v>
      </c>
      <c r="F71" s="2"/>
    </row>
    <row r="72" spans="1:6" ht="12.75" outlineLevel="2" x14ac:dyDescent="0.2">
      <c r="B72" s="63" t="s">
        <v>238</v>
      </c>
      <c r="C72" s="25">
        <f>IFERROR(_xll.ECONOMATICA($C$5,"OtrRes",,C$40,,,$C$7,$C$8,,,,IF(Base!$C$2=1,{"jtb.opcconscontr=2"},{"jtb.opcconscontr=3"})),"-")</f>
        <v>12440000</v>
      </c>
      <c r="D72" s="25">
        <f>IFERROR(_xll.ECONOMATICA($C$5,"OtrRes",,D$40,,,$C$7,$C$8,,,,IF(Base!$C$2=1,{"jtb.opcconscontr=2"},{"jtb.opcconscontr=3"})),"-")</f>
        <v>47255000.000062503</v>
      </c>
      <c r="E72" s="47">
        <f>IFERROR(_xll.ECONOMATICA($C$5,"OtrRes",,E$40,,,$C$7,$C$8,,,,IF(Base!$C$2=1,{"jtb.opcconscontr=2"},{"jtb.opcconscontr=3"})),"-")</f>
        <v>13184000</v>
      </c>
      <c r="F72" s="2"/>
    </row>
    <row r="73" spans="1:6" ht="12.75" outlineLevel="2" x14ac:dyDescent="0.2">
      <c r="B73" s="63" t="s">
        <v>239</v>
      </c>
      <c r="C73" s="25">
        <f>IFERROR(_xll.ECONOMATICA($C$5,"DefEarn",,C$40,,,$C$7,$C$8,,,,IF(Base!$C$2=1,{"jtb.opcconscontr=2"},{"jtb.opcconscontr=3"})),"-")</f>
        <v>0</v>
      </c>
      <c r="D73" s="25">
        <f>IFERROR(_xll.ECONOMATICA($C$5,"DefEarn",,D$40,,,$C$7,$C$8,,,,IF(Base!$C$2=1,{"jtb.opcconscontr=2"},{"jtb.opcconscontr=3"})),"-")</f>
        <v>347187000</v>
      </c>
      <c r="E73" s="47">
        <f>IFERROR(_xll.ECONOMATICA($C$5,"DefEarn",,E$40,,,$C$7,$C$8,,,,IF(Base!$C$2=1,{"jtb.opcconscontr=2"},{"jtb.opcconscontr=3"})),"-")</f>
        <v>615063000</v>
      </c>
      <c r="F73" s="2"/>
    </row>
    <row r="74" spans="1:6" ht="12.75" outlineLevel="2" x14ac:dyDescent="0.2">
      <c r="B74" s="63" t="s">
        <v>240</v>
      </c>
      <c r="C74" s="25">
        <f>IFERROR(_xll.ECONOMATICA($C$5,"Retained Earn",,C$40,,,$C$7,$C$8,,,,IF(Base!$C$2=1,{"jtb.opcconscontr=2"},{"jtb.opcconscontr=3"})),"-")</f>
        <v>218012000</v>
      </c>
      <c r="D74" s="25">
        <f>IFERROR(_xll.ECONOMATICA($C$5,"Retained Earn",,D$40,,,$C$7,$C$8,,,,IF(Base!$C$2=1,{"jtb.opcconscontr=2"},{"jtb.opcconscontr=3"})),"-")</f>
        <v>-10869000.0000156</v>
      </c>
      <c r="E74" s="47">
        <f>IFERROR(_xll.ECONOMATICA($C$5,"Retained Earn",,E$40,,,$C$7,$C$8,,,,IF(Base!$C$2=1,{"jtb.opcconscontr=2"},{"jtb.opcconscontr=3"})),"-")</f>
        <v>-78418000.000125006</v>
      </c>
      <c r="F74" s="2"/>
    </row>
    <row r="75" spans="1:6" ht="12.75" outlineLevel="2" x14ac:dyDescent="0.2">
      <c r="B75" s="59" t="s">
        <v>241</v>
      </c>
      <c r="C75" s="39">
        <f>IFERROR(_xll.ECONOMATICA($C$5,"LiFoCu",,C$40,,,$C$7,$C$8,,,,IF(Base!$C$2=1,{"jtb.opcconscontr=2"},{"jtb.opcconscontr=3"})),"-")</f>
        <v>355428000</v>
      </c>
      <c r="D75" s="39">
        <f>IFERROR(_xll.ECONOMATICA($C$5,"LiFoCu",,D$40,,,$C$7,$C$8,,,,IF(Base!$C$2=1,{"jtb.opcconscontr=2"},{"jtb.opcconscontr=3"})),"-")</f>
        <v>529136000</v>
      </c>
      <c r="E75" s="48">
        <f>IFERROR(_xll.ECONOMATICA($C$5,"LiFoCu",,E$40,,,$C$7,$C$8,,,,IF(Base!$C$2=1,{"jtb.opcconscontr=2"},{"jtb.opcconscontr=3"})),"-")</f>
        <v>823054000</v>
      </c>
      <c r="F75" s="2"/>
    </row>
    <row r="76" spans="1:6" x14ac:dyDescent="0.25">
      <c r="B76" s="8"/>
      <c r="C76" s="8"/>
      <c r="D76" s="8"/>
      <c r="E76" s="8"/>
    </row>
    <row r="77" spans="1:6" x14ac:dyDescent="0.25">
      <c r="B77" s="9"/>
      <c r="C77" s="1"/>
      <c r="D77" s="1"/>
      <c r="E77" s="1"/>
    </row>
    <row r="78" spans="1:6" ht="17.25" x14ac:dyDescent="0.3">
      <c r="B78" s="12" t="s">
        <v>243</v>
      </c>
      <c r="C78" s="1"/>
      <c r="D78" s="1"/>
      <c r="E78" s="1"/>
    </row>
    <row r="79" spans="1:6" x14ac:dyDescent="0.25">
      <c r="B79" s="9"/>
      <c r="C79" s="1"/>
      <c r="D79" s="1"/>
      <c r="E79" s="22" t="str">
        <f>C8</f>
        <v>Thousands</v>
      </c>
    </row>
    <row r="80" spans="1:6" ht="15.75" x14ac:dyDescent="0.25">
      <c r="B80" s="66" t="s">
        <v>468</v>
      </c>
      <c r="C80" s="23">
        <f>C18</f>
        <v>43281</v>
      </c>
      <c r="D80" s="23">
        <f>D18</f>
        <v>43646</v>
      </c>
      <c r="E80" s="45">
        <f>E18</f>
        <v>44012</v>
      </c>
    </row>
    <row r="81" spans="1:11" x14ac:dyDescent="0.25">
      <c r="B81" s="67" t="s">
        <v>195</v>
      </c>
      <c r="C81" s="24" cm="1">
        <f t="array" ref="C81">_xll.ECONOMATICA($C$5,"PerTyp",C80)</f>
        <v>6</v>
      </c>
      <c r="D81" s="24" cm="1">
        <f t="array" ref="D81">_xll.ECONOMATICA($C$5,"PerTyp",D80)</f>
        <v>6</v>
      </c>
      <c r="E81" s="46" cm="1">
        <f t="array" ref="E81">_xll.ECONOMATICA($C$5,"PerTyp",E80)</f>
        <v>6</v>
      </c>
    </row>
    <row r="82" spans="1:11" x14ac:dyDescent="0.25">
      <c r="B82" s="58" t="s">
        <v>244</v>
      </c>
      <c r="C82" s="25">
        <f>IFERROR(_xll.ECONOMATICA($C$5,"Revenues",,C$80,,,$C$7,$C$8,,,,IF(Base!$C$2=1,{"jtb.opcconscontr=2"},{"jtb.opcconscontr=3"})),"-")</f>
        <v>168857000</v>
      </c>
      <c r="D82" s="25">
        <f>IFERROR(_xll.ECONOMATICA($C$5,"Revenues",,D$80,,,$C$7,$C$8,,,,IF(Base!$C$2=1,{"jtb.opcconscontr=2"},{"jtb.opcconscontr=3"})),"-")</f>
        <v>291236000</v>
      </c>
      <c r="E82" s="47">
        <f>IFERROR(_xll.ECONOMATICA($C$5,"Revenues",,E$80,,,$C$7,$C$8,,,,IF(Base!$C$2=1,{"jtb.opcconscontr=2"},{"jtb.opcconscontr=3"})),"-")</f>
        <v>308228000</v>
      </c>
    </row>
    <row r="83" spans="1:11" x14ac:dyDescent="0.25">
      <c r="B83" s="58" t="s">
        <v>245</v>
      </c>
      <c r="C83" s="25">
        <f>IFERROR(_xll.ECONOMATICA($C$5,"Cost Goods Sold",,C$80,,,$C$7,$C$8,,,,IF(Base!$C$2=1,{"jtb.opcconscontr=2"},{"jtb.opcconscontr=3"})),"-")</f>
        <v>145404000</v>
      </c>
      <c r="D83" s="25">
        <f>IFERROR(_xll.ECONOMATICA($C$5,"Cost Goods Sold",,D$80,,,$C$7,$C$8,,,,IF(Base!$C$2=1,{"jtb.opcconscontr=2"},{"jtb.opcconscontr=3"})),"-")</f>
        <v>238965000</v>
      </c>
      <c r="E83" s="47">
        <f>IFERROR(_xll.ECONOMATICA($C$5,"Cost Goods Sold",,E$80,,,$C$7,$C$8,,,,IF(Base!$C$2=1,{"jtb.opcconscontr=2"},{"jtb.opcconscontr=3"})),"-")</f>
        <v>292736000</v>
      </c>
    </row>
    <row r="84" spans="1:11" x14ac:dyDescent="0.25">
      <c r="B84" s="67" t="s">
        <v>251</v>
      </c>
      <c r="C84" s="24">
        <f>IFERROR(_xll.ECONOMATICA($C$5,"Gross Profit",,C$80,,,$C$7,$C$8,,,,IF(Base!$C$2=1,{"jtb.opcconscontr=2"},{"jtb.opcconscontr=3"})),"-")</f>
        <v>23453000</v>
      </c>
      <c r="D84" s="24">
        <f>IFERROR(_xll.ECONOMATICA($C$5,"Gross Profit",,D$80,,,$C$7,$C$8,,,,IF(Base!$C$2=1,{"jtb.opcconscontr=2"},{"jtb.opcconscontr=3"})),"-")</f>
        <v>52271000</v>
      </c>
      <c r="E84" s="46">
        <f>IFERROR(_xll.ECONOMATICA($C$5,"Gross Profit",,E$80,,,$C$7,$C$8,,,,IF(Base!$C$2=1,{"jtb.opcconscontr=2"},{"jtb.opcconscontr=3"})),"-")</f>
        <v>15492000</v>
      </c>
    </row>
    <row r="85" spans="1:11" customFormat="1" ht="25.5" x14ac:dyDescent="0.25">
      <c r="A85" s="2"/>
      <c r="B85" s="68" t="s">
        <v>246</v>
      </c>
      <c r="C85" s="25">
        <f>IFERROR(_xll.ECONOMATICA($C$5,"Sa&amp;AdmExp",,C$80,,,$C$7,$C$8,,,,IF(Base!$C$2=1,{"jtb.opcconscontr=2"},{"jtb.opcconscontr=3"})),"-")</f>
        <v>16376000</v>
      </c>
      <c r="D85" s="25">
        <f>IFERROR(_xll.ECONOMATICA($C$5,"Sa&amp;AdmExp",,D$80,,,$C$7,$C$8,,,,IF(Base!$C$2=1,{"jtb.opcconscontr=2"},{"jtb.opcconscontr=3"})),"-")</f>
        <v>31561000</v>
      </c>
      <c r="E85" s="47">
        <f>IFERROR(_xll.ECONOMATICA($C$5,"Sa&amp;AdmExp",,E$80,,,$C$7,$C$8,,,,IF(Base!$C$2=1,{"jtb.opcconscontr=2"},{"jtb.opcconscontr=3"})),"-")</f>
        <v>51176000.000062503</v>
      </c>
      <c r="G85" s="2"/>
      <c r="H85" s="2"/>
      <c r="I85" s="2"/>
      <c r="J85" s="2"/>
      <c r="K85" s="2"/>
    </row>
    <row r="86" spans="1:11" customFormat="1" x14ac:dyDescent="0.25">
      <c r="A86" s="2"/>
      <c r="B86" s="63" t="s">
        <v>247</v>
      </c>
      <c r="C86" s="25">
        <f>IFERROR(_xll.ECONOMATICA($C$5,"Admin Expen",,C$80,,,$C$7,$C$8,,,,IF(Base!$C$2=1,{"jtb.opcconscontr=2"},{"jtb.opcconscontr=3"})),"-")</f>
        <v>5305000</v>
      </c>
      <c r="D86" s="25">
        <f>IFERROR(_xll.ECONOMATICA($C$5,"Admin Expen",,D$80,,,$C$7,$C$8,,,,IF(Base!$C$2=1,{"jtb.opcconscontr=2"},{"jtb.opcconscontr=3"})),"-")</f>
        <v>10524000.0000156</v>
      </c>
      <c r="E86" s="47">
        <f>IFERROR(_xll.ECONOMATICA($C$5,"Admin Expen",,E$80,,,$C$7,$C$8,,,,IF(Base!$C$2=1,{"jtb.opcconscontr=2"},{"jtb.opcconscontr=3"})),"-")</f>
        <v>14132000.0000156</v>
      </c>
      <c r="G86" s="2"/>
      <c r="H86" s="2"/>
      <c r="I86" s="2"/>
      <c r="J86" s="2"/>
      <c r="K86" s="2"/>
    </row>
    <row r="87" spans="1:11" customFormat="1" x14ac:dyDescent="0.25">
      <c r="A87" s="2"/>
      <c r="B87" s="63" t="s">
        <v>248</v>
      </c>
      <c r="C87" s="25">
        <f>IFERROR(_xll.ECONOMATICA($C$5,"Sales Exp",,C$80,,,$C$7,$C$8,,,,IF(Base!$C$2=1,{"jtb.opcconscontr=2"},{"jtb.opcconscontr=3"})),"-")</f>
        <v>11071000</v>
      </c>
      <c r="D87" s="25">
        <f>IFERROR(_xll.ECONOMATICA($C$5,"Sales Exp",,D$80,,,$C$7,$C$8,,,,IF(Base!$C$2=1,{"jtb.opcconscontr=2"},{"jtb.opcconscontr=3"})),"-")</f>
        <v>21037000.0000313</v>
      </c>
      <c r="E87" s="47">
        <f>IFERROR(_xll.ECONOMATICA($C$5,"Sales Exp",,E$80,,,$C$7,$C$8,,,,IF(Base!$C$2=1,{"jtb.opcconscontr=2"},{"jtb.opcconscontr=3"})),"-")</f>
        <v>37044000.000062503</v>
      </c>
      <c r="G87" s="2"/>
      <c r="H87" s="2"/>
      <c r="I87" s="2"/>
      <c r="J87" s="2"/>
      <c r="K87" s="2"/>
    </row>
    <row r="88" spans="1:11" customFormat="1" x14ac:dyDescent="0.25">
      <c r="A88" s="2"/>
      <c r="B88" s="58" t="s">
        <v>249</v>
      </c>
      <c r="C88" s="25">
        <f>IFERROR(_xll.ECONOMATICA($C$5,"OtOpIn(Ex)Net",,C$80,,,$C$7,$C$8,,,,IF(Base!$C$2=1,{"jtb.opcconscontr=2"},{"jtb.opcconscontr=3"})),"-")</f>
        <v>12022999.9999844</v>
      </c>
      <c r="D88" s="25">
        <f>IFERROR(_xll.ECONOMATICA($C$5,"OtOpIn(Ex)Net",,D$80,,,$C$7,$C$8,,,,IF(Base!$C$2=1,{"jtb.opcconscontr=2"},{"jtb.opcconscontr=3"})),"-")</f>
        <v>-2911000</v>
      </c>
      <c r="E88" s="47">
        <f>IFERROR(_xll.ECONOMATICA($C$5,"OtOpIn(Ex)Net",,E$80,,,$C$7,$C$8,,,,IF(Base!$C$2=1,{"jtb.opcconscontr=2"},{"jtb.opcconscontr=3"})),"-")</f>
        <v>-42962000.000062503</v>
      </c>
      <c r="G88" s="2"/>
      <c r="H88" s="2"/>
      <c r="I88" s="2"/>
      <c r="J88" s="2"/>
      <c r="K88" s="2"/>
    </row>
    <row r="89" spans="1:11" customFormat="1" x14ac:dyDescent="0.25">
      <c r="A89" s="2"/>
      <c r="B89" s="58" t="s">
        <v>250</v>
      </c>
      <c r="C89" s="25">
        <f>IFERROR(_xll.ECONOMATICA($C$5,"OtOperRev",,C$80,,,$C$7,$C$8,,,,IF(Base!$C$2=1,{"jtb.opcconscontr=2"},{"jtb.opcconscontr=3"})),"-")</f>
        <v>0</v>
      </c>
      <c r="D89" s="25">
        <f>IFERROR(_xll.ECONOMATICA($C$5,"OtOperRev",,D$80,,,$C$7,$C$8,,,,IF(Base!$C$2=1,{"jtb.opcconscontr=2"},{"jtb.opcconscontr=3"})),"-")</f>
        <v>0</v>
      </c>
      <c r="E89" s="47">
        <f>IFERROR(_xll.ECONOMATICA($C$5,"OtOperRev",,E$80,,,$C$7,$C$8,,,,IF(Base!$C$2=1,{"jtb.opcconscontr=2"},{"jtb.opcconscontr=3"})),"-")</f>
        <v>0</v>
      </c>
      <c r="G89" s="2"/>
      <c r="H89" s="2"/>
      <c r="I89" s="2"/>
      <c r="J89" s="2"/>
      <c r="K89" s="2"/>
    </row>
    <row r="90" spans="1:11" customFormat="1" x14ac:dyDescent="0.25">
      <c r="A90" s="2"/>
      <c r="B90" s="67" t="s">
        <v>252</v>
      </c>
      <c r="C90" s="24">
        <f>IFERROR(_xll.ECONOMATICA($C$5,"EBIT",,C$80,,,$C$7,$C$8,,,,IF(Base!$C$2=1,{"jtb.opcconscontr=2"},{"jtb.opcconscontr=3"})),"-")</f>
        <v>19100000</v>
      </c>
      <c r="D90" s="24">
        <f>IFERROR(_xll.ECONOMATICA($C$5,"EBIT",,D$80,,,$C$7,$C$8,,,,IF(Base!$C$2=1,{"jtb.opcconscontr=2"},{"jtb.opcconscontr=3"})),"-")</f>
        <v>17799000</v>
      </c>
      <c r="E90" s="46">
        <f>IFERROR(_xll.ECONOMATICA($C$5,"EBIT",,E$80,,,$C$7,$C$8,,,,IF(Base!$C$2=1,{"jtb.opcconscontr=2"},{"jtb.opcconscontr=3"})),"-")</f>
        <v>-78646000.000125006</v>
      </c>
      <c r="G90" s="36"/>
      <c r="H90" s="2"/>
      <c r="I90" s="2"/>
      <c r="J90" s="2"/>
      <c r="K90" s="2"/>
    </row>
    <row r="91" spans="1:11" customFormat="1" x14ac:dyDescent="0.25">
      <c r="A91" s="2"/>
      <c r="B91" s="69" t="s">
        <v>253</v>
      </c>
      <c r="C91" s="25">
        <f>IFERROR(_xll.ECONOMATICA($C$5,"NetFinInc(Old)",,C$80,,,$C$7,$C$8,,,,IF(Base!$C$2=1,{"jtb.opcconscontr=2"},{"jtb.opcconscontr=3"})),"-")</f>
        <v>22945000</v>
      </c>
      <c r="D91" s="25">
        <f>IFERROR(_xll.ECONOMATICA($C$5,"NetFinInc(Old)",,D$80,,,$C$7,$C$8,,,,IF(Base!$C$2=1,{"jtb.opcconscontr=2"},{"jtb.opcconscontr=3"})),"-")</f>
        <v>-6419000</v>
      </c>
      <c r="E91" s="47">
        <f>IFERROR(_xll.ECONOMATICA($C$5,"NetFinInc(Old)",,E$80,,,$C$7,$C$8,,,,IF(Base!$C$2=1,{"jtb.opcconscontr=2"},{"jtb.opcconscontr=3"})),"-")</f>
        <v>-5409000.0000078101</v>
      </c>
      <c r="G91" s="36"/>
      <c r="H91" s="2"/>
      <c r="I91" s="2"/>
      <c r="J91" s="2"/>
      <c r="K91" s="2"/>
    </row>
    <row r="92" spans="1:11" customFormat="1" x14ac:dyDescent="0.25">
      <c r="A92" s="2"/>
      <c r="B92" s="70" t="s">
        <v>254</v>
      </c>
      <c r="C92" s="25">
        <f>IFERROR(_xll.ECONOMATICA($C$5,"Financ Inc",,C$80,,,$C$7,$C$8,,,,IF(Base!$C$2=1,{"jtb.opcconscontr=2"},{"jtb.opcconscontr=3"})),"-")</f>
        <v>56194000</v>
      </c>
      <c r="D92" s="25">
        <f>IFERROR(_xll.ECONOMATICA($C$5,"Financ Inc",,D$80,,,$C$7,$C$8,,,,IF(Base!$C$2=1,{"jtb.opcconscontr=2"},{"jtb.opcconscontr=3"})),"-")</f>
        <v>22014000</v>
      </c>
      <c r="E92" s="47">
        <f>IFERROR(_xll.ECONOMATICA($C$5,"Financ Inc",,E$80,,,$C$7,$C$8,,,,IF(Base!$C$2=1,{"jtb.opcconscontr=2"},{"jtb.opcconscontr=3"})),"-")</f>
        <v>51623000.000062503</v>
      </c>
      <c r="G92" s="36"/>
      <c r="H92" s="2"/>
      <c r="I92" s="2"/>
      <c r="J92" s="2"/>
      <c r="K92" s="2"/>
    </row>
    <row r="93" spans="1:11" customFormat="1" x14ac:dyDescent="0.25">
      <c r="A93" s="2"/>
      <c r="B93" s="63" t="s">
        <v>258</v>
      </c>
      <c r="C93" s="25">
        <f>IFERROR(_xll.ECONOMATICA($C$5,"FinanInter",,C$80,,,$C$7,$C$8,,,,IF(Base!$C$2=1,{"jtb.opcconscontr=2"},{"jtb.opcconscontr=3"})),"-")</f>
        <v>767000</v>
      </c>
      <c r="D93" s="25">
        <f>IFERROR(_xll.ECONOMATICA($C$5,"FinanInter",,D$80,,,$C$7,$C$8,,,,IF(Base!$C$2=1,{"jtb.opcconscontr=2"},{"jtb.opcconscontr=3"})),"-")</f>
        <v>2451000</v>
      </c>
      <c r="E93" s="47">
        <f>IFERROR(_xll.ECONOMATICA($C$5,"FinanInter",,E$80,,,$C$7,$C$8,,,,IF(Base!$C$2=1,{"jtb.opcconscontr=2"},{"jtb.opcconscontr=3"})),"-")</f>
        <v>2652000.0000039102</v>
      </c>
      <c r="G93" s="2"/>
      <c r="H93" s="2"/>
      <c r="I93" s="2"/>
      <c r="J93" s="2"/>
      <c r="K93" s="2"/>
    </row>
    <row r="94" spans="1:11" customFormat="1" x14ac:dyDescent="0.25">
      <c r="A94" s="2"/>
      <c r="B94" s="63" t="s">
        <v>255</v>
      </c>
      <c r="C94" s="25">
        <f>IFERROR(_xll.ECONOMATICA($C$5,"DifInFXRa",,C$80,,,$C$7,$C$8,,,,IF(Base!$C$2=1,{"jtb.opcconscontr=2"},{"jtb.opcconscontr=3"})),"-")</f>
        <v>53047000</v>
      </c>
      <c r="D94" s="25">
        <f>IFERROR(_xll.ECONOMATICA($C$5,"DifInFXRa",,D$80,,,$C$7,$C$8,,,,IF(Base!$C$2=1,{"jtb.opcconscontr=2"},{"jtb.opcconscontr=3"})),"-")</f>
        <v>16581000.0000156</v>
      </c>
      <c r="E94" s="47">
        <f>IFERROR(_xll.ECONOMATICA($C$5,"DifInFXRa",,E$80,,,$C$7,$C$8,,,,IF(Base!$C$2=1,{"jtb.opcconscontr=2"},{"jtb.opcconscontr=3"})),"-")</f>
        <v>47543000</v>
      </c>
      <c r="G94" s="2"/>
      <c r="H94" s="2"/>
      <c r="I94" s="2"/>
      <c r="J94" s="2"/>
      <c r="K94" s="2"/>
    </row>
    <row r="95" spans="1:11" customFormat="1" x14ac:dyDescent="0.25">
      <c r="A95" s="2"/>
      <c r="B95" s="63" t="s">
        <v>256</v>
      </c>
      <c r="C95" s="25">
        <f>IFERROR(_xll.ECONOMATICA($C$5,"OtFinRe",,C$80,,,$C$7,$C$8,,,,IF(Base!$C$2=1,{"jtb.opcconscontr=2"},{"jtb.opcconscontr=3"})),"-")</f>
        <v>2380000</v>
      </c>
      <c r="D95" s="25">
        <f>IFERROR(_xll.ECONOMATICA($C$5,"OtFinRe",,D$80,,,$C$7,$C$8,,,,IF(Base!$C$2=1,{"jtb.opcconscontr=2"},{"jtb.opcconscontr=3"})),"-")</f>
        <v>2982000.0000039102</v>
      </c>
      <c r="E95" s="47">
        <f>IFERROR(_xll.ECONOMATICA($C$5,"OtFinRe",,E$80,,,$C$7,$C$8,,,,IF(Base!$C$2=1,{"jtb.opcconscontr=2"},{"jtb.opcconscontr=3"})),"-")</f>
        <v>1428000</v>
      </c>
      <c r="G95" s="2"/>
      <c r="H95" s="2"/>
      <c r="I95" s="2"/>
      <c r="J95" s="2"/>
      <c r="K95" s="2"/>
    </row>
    <row r="96" spans="1:11" customFormat="1" x14ac:dyDescent="0.25">
      <c r="A96" s="2"/>
      <c r="B96" s="70" t="s">
        <v>257</v>
      </c>
      <c r="C96" s="25">
        <f>IFERROR(_xll.ECONOMATICA($C$5,"Financ Exp",,C$80,,,$C$7,$C$8,,,,IF(Base!$C$2=1,{"jtb.opcconscontr=2"},{"jtb.opcconscontr=3"})),"-")</f>
        <v>-33249000</v>
      </c>
      <c r="D96" s="25">
        <f>IFERROR(_xll.ECONOMATICA($C$5,"Financ Exp",,D$80,,,$C$7,$C$8,,,,IF(Base!$C$2=1,{"jtb.opcconscontr=2"},{"jtb.opcconscontr=3"})),"-")</f>
        <v>-30663000</v>
      </c>
      <c r="E96" s="47">
        <f>IFERROR(_xll.ECONOMATICA($C$5,"Financ Exp",,E$80,,,$C$7,$C$8,,,,IF(Base!$C$2=1,{"jtb.opcconscontr=2"},{"jtb.opcconscontr=3"})),"-")</f>
        <v>-59728000.000062503</v>
      </c>
      <c r="G96" s="2"/>
      <c r="H96" s="2"/>
      <c r="I96" s="2"/>
      <c r="J96" s="2"/>
      <c r="K96" s="2"/>
    </row>
    <row r="97" spans="1:11" customFormat="1" x14ac:dyDescent="0.25">
      <c r="A97" s="2"/>
      <c r="B97" s="63" t="s">
        <v>259</v>
      </c>
      <c r="C97" s="25">
        <f>IFERROR(_xll.ECONOMATICA($C$5,"FinIn(Exp)",,C$80,,,$C$7,$C$8,,,,IF(Base!$C$2=1,{"jtb.opcconscontr=2"},{"jtb.opcconscontr=3"})),"-")</f>
        <v>-11359000</v>
      </c>
      <c r="D97" s="25">
        <f>IFERROR(_xll.ECONOMATICA($C$5,"FinIn(Exp)",,D$80,,,$C$7,$C$8,,,,IF(Base!$C$2=1,{"jtb.opcconscontr=2"},{"jtb.opcconscontr=3"})),"-")</f>
        <v>-19002000</v>
      </c>
      <c r="E97" s="47">
        <f>IFERROR(_xll.ECONOMATICA($C$5,"FinIn(Exp)",,E$80,,,$C$7,$C$8,,,,IF(Base!$C$2=1,{"jtb.opcconscontr=2"},{"jtb.opcconscontr=3"})),"-")</f>
        <v>-31150000</v>
      </c>
      <c r="G97" s="2"/>
      <c r="H97" s="2"/>
      <c r="I97" s="2"/>
      <c r="J97" s="2"/>
      <c r="K97" s="2"/>
    </row>
    <row r="98" spans="1:11" customFormat="1" x14ac:dyDescent="0.25">
      <c r="A98" s="2"/>
      <c r="B98" s="63" t="s">
        <v>255</v>
      </c>
      <c r="C98" s="25">
        <f>IFERROR(_xll.ECONOMATICA($C$5,"DiFXRa(Exp)",,C$80,,,$C$7,$C$8,,,,IF(Base!$C$2=1,{"jtb.opcconscontr=2"},{"jtb.opcconscontr=3"})),"-")</f>
        <v>-18056000</v>
      </c>
      <c r="D98" s="25">
        <f>IFERROR(_xll.ECONOMATICA($C$5,"DiFXRa(Exp)",,D$80,,,$C$7,$C$8,,,,IF(Base!$C$2=1,{"jtb.opcconscontr=2"},{"jtb.opcconscontr=3"})),"-")</f>
        <v>-6239000</v>
      </c>
      <c r="E98" s="47">
        <f>IFERROR(_xll.ECONOMATICA($C$5,"DiFXRa(Exp)",,E$80,,,$C$7,$C$8,,,,IF(Base!$C$2=1,{"jtb.opcconscontr=2"},{"jtb.opcconscontr=3"})),"-")</f>
        <v>-28699000.0000313</v>
      </c>
      <c r="G98" s="2"/>
      <c r="H98" s="2"/>
      <c r="I98" s="2"/>
      <c r="J98" s="2"/>
      <c r="K98" s="2"/>
    </row>
    <row r="99" spans="1:11" customFormat="1" x14ac:dyDescent="0.25">
      <c r="A99" s="2"/>
      <c r="B99" s="63" t="s">
        <v>260</v>
      </c>
      <c r="C99" s="25">
        <f>IFERROR(_xll.ECONOMATICA($C$5,"OthFinanExpns",,C$80,,,$C$7,$C$8,,,,IF(Base!$C$2=1,{"jtb.opcconscontr=2"},{"jtb.opcconscontr=3"})),"-")</f>
        <v>-3834000</v>
      </c>
      <c r="D99" s="25">
        <f>IFERROR(_xll.ECONOMATICA($C$5,"OthFinanExpns",,D$80,,,$C$7,$C$8,,,,IF(Base!$C$2=1,{"jtb.opcconscontr=2"},{"jtb.opcconscontr=3"})),"-")</f>
        <v>-5422000</v>
      </c>
      <c r="E99" s="47">
        <f>IFERROR(_xll.ECONOMATICA($C$5,"OthFinanExpns",,E$80,,,$C$7,$C$8,,,,IF(Base!$C$2=1,{"jtb.opcconscontr=2"},{"jtb.opcconscontr=3"})),"-")</f>
        <v>121000.000000122</v>
      </c>
      <c r="G99" s="2"/>
      <c r="H99" s="2"/>
      <c r="I99" s="2"/>
      <c r="J99" s="2"/>
      <c r="K99" s="2"/>
    </row>
    <row r="100" spans="1:11" customFormat="1" x14ac:dyDescent="0.25">
      <c r="A100" s="2"/>
      <c r="B100" s="70" t="s">
        <v>261</v>
      </c>
      <c r="C100" s="25">
        <f>IFERROR(_xll.ECONOMATICA($C$5,"OtFinRes",,C$80,,,$C$7,$C$8,,,,IF(Base!$C$2=1,{"jtb.opcconscontr=2"},{"jtb.opcconscontr=3"})),"-")</f>
        <v>0</v>
      </c>
      <c r="D100" s="25">
        <f>IFERROR(_xll.ECONOMATICA($C$5,"OtFinRes",,D$80,,,$C$7,$C$8,,,,IF(Base!$C$2=1,{"jtb.opcconscontr=2"},{"jtb.opcconscontr=3"})),"-")</f>
        <v>2230000</v>
      </c>
      <c r="E100" s="47">
        <f>IFERROR(_xll.ECONOMATICA($C$5,"OtFinRes",,E$80,,,$C$7,$C$8,,,,IF(Base!$C$2=1,{"jtb.opcconscontr=2"},{"jtb.opcconscontr=3"})),"-")</f>
        <v>2696000</v>
      </c>
      <c r="G100" s="2"/>
      <c r="H100" s="2"/>
      <c r="I100" s="2"/>
      <c r="J100" s="2"/>
      <c r="K100" s="2"/>
    </row>
    <row r="101" spans="1:11" customFormat="1" x14ac:dyDescent="0.25">
      <c r="A101" s="2"/>
      <c r="B101" s="69" t="s">
        <v>262</v>
      </c>
      <c r="C101" s="25">
        <f>IFERROR(_xll.ECONOMATICA($C$5,"OtIn&amp;ExNet",,C$80,,,$C$7,$C$8,,,,IF(Base!$C$2=1,{"jtb.opcconscontr=2"},{"jtb.opcconscontr=3"})),"-")</f>
        <v>0</v>
      </c>
      <c r="D101" s="25">
        <f>IFERROR(_xll.ECONOMATICA($C$5,"OtIn&amp;ExNet",,D$80,,,$C$7,$C$8,,,,IF(Base!$C$2=1,{"jtb.opcconscontr=2"},{"jtb.opcconscontr=3"})),"-")</f>
        <v>0</v>
      </c>
      <c r="E101" s="47">
        <f>IFERROR(_xll.ECONOMATICA($C$5,"OtIn&amp;ExNet",,E$80,,,$C$7,$C$8,,,,IF(Base!$C$2=1,{"jtb.opcconscontr=2"},{"jtb.opcconscontr=3"})),"-")</f>
        <v>0</v>
      </c>
      <c r="G101" s="2"/>
      <c r="H101" s="2"/>
      <c r="I101" s="2"/>
      <c r="J101" s="2"/>
      <c r="K101" s="2"/>
    </row>
    <row r="102" spans="1:11" customFormat="1" x14ac:dyDescent="0.25">
      <c r="A102" s="2"/>
      <c r="B102" s="69" t="s">
        <v>263</v>
      </c>
      <c r="C102" s="25">
        <f>IFERROR(_xll.ECONOMATICA($C$5,"EqIn(Lo)Asso",,C$80,,,$C$7,$C$8,,,,IF(Base!$C$2=1,{"jtb.opcconscontr=2"},{"jtb.opcconscontr=3"})),"-")</f>
        <v>-925000</v>
      </c>
      <c r="D102" s="25">
        <f>IFERROR(_xll.ECONOMATICA($C$5,"EqIn(Lo)Asso",,D$80,,,$C$7,$C$8,,,,IF(Base!$C$2=1,{"jtb.opcconscontr=2"},{"jtb.opcconscontr=3"})),"-")</f>
        <v>3514000.0000039102</v>
      </c>
      <c r="E102" s="47">
        <f>IFERROR(_xll.ECONOMATICA($C$5,"EqIn(Lo)Asso",,E$80,,,$C$7,$C$8,,,,IF(Base!$C$2=1,{"jtb.opcconscontr=2"},{"jtb.opcconscontr=3"})),"-")</f>
        <v>3720000</v>
      </c>
      <c r="G102" s="2"/>
      <c r="H102" s="2"/>
      <c r="I102" s="2"/>
      <c r="J102" s="2"/>
      <c r="K102" s="2"/>
    </row>
    <row r="103" spans="1:11" customFormat="1" x14ac:dyDescent="0.25">
      <c r="A103" s="2"/>
      <c r="B103" s="67" t="s">
        <v>264</v>
      </c>
      <c r="C103" s="24">
        <f>IFERROR(_xll.ECONOMATICA($C$5,"Pretax Income",,C$80,,,$C$7,$C$8,,,,IF(Base!$C$2=1,{"jtb.opcconscontr=2"},{"jtb.opcconscontr=3"})),"-")</f>
        <v>41119999.999937497</v>
      </c>
      <c r="D103" s="24">
        <f>IFERROR(_xll.ECONOMATICA($C$5,"Pretax Income",,D$80,,,$C$7,$C$8,,,,IF(Base!$C$2=1,{"jtb.opcconscontr=2"},{"jtb.opcconscontr=3"})),"-")</f>
        <v>14894000</v>
      </c>
      <c r="E103" s="46">
        <f>IFERROR(_xll.ECONOMATICA($C$5,"Pretax Income",,E$80,,,$C$7,$C$8,,,,IF(Base!$C$2=1,{"jtb.opcconscontr=2"},{"jtb.opcconscontr=3"})),"-")</f>
        <v>-80335000</v>
      </c>
      <c r="G103" s="36"/>
      <c r="H103" s="2"/>
      <c r="I103" s="2"/>
      <c r="J103" s="2"/>
      <c r="K103" s="2"/>
    </row>
    <row r="104" spans="1:11" customFormat="1" x14ac:dyDescent="0.25">
      <c r="A104" s="2"/>
      <c r="B104" s="69" t="s">
        <v>265</v>
      </c>
      <c r="C104" s="25">
        <f>IFERROR(_xll.ECONOMATICA($C$5,"Income Tax",,C$80,,,$C$7,$C$8,,,,IF(Base!$C$2=1,{"jtb.opcconscontr=2"},{"jtb.opcconscontr=3"})),"-")</f>
        <v>33626000</v>
      </c>
      <c r="D104" s="25">
        <f>IFERROR(_xll.ECONOMATICA($C$5,"Income Tax",,D$80,,,$C$7,$C$8,,,,IF(Base!$C$2=1,{"jtb.opcconscontr=2"},{"jtb.opcconscontr=3"})),"-")</f>
        <v>25374000</v>
      </c>
      <c r="E104" s="47">
        <f>IFERROR(_xll.ECONOMATICA($C$5,"Income Tax",,E$80,,,$C$7,$C$8,,,,IF(Base!$C$2=1,{"jtb.opcconscontr=2"},{"jtb.opcconscontr=3"})),"-")</f>
        <v>-1638000.00000195</v>
      </c>
      <c r="G104" s="2"/>
      <c r="H104" s="2"/>
      <c r="I104" s="2"/>
      <c r="J104" s="2"/>
      <c r="K104" s="2"/>
    </row>
    <row r="105" spans="1:11" customFormat="1" x14ac:dyDescent="0.25">
      <c r="A105" s="2"/>
      <c r="B105" s="67" t="s">
        <v>267</v>
      </c>
      <c r="C105" s="24">
        <f>IFERROR(_xll.ECONOMATICA($C$5,"Income Cont Oper",,C$80,,,$C$7,$C$8,,,,IF(Base!$C$2=1,{"jtb.opcconscontr=2"},{"jtb.opcconscontr=3"})),"-")</f>
        <v>7494000</v>
      </c>
      <c r="D105" s="24">
        <f>IFERROR(_xll.ECONOMATICA($C$5,"Income Cont Oper",,D$80,,,$C$7,$C$8,,,,IF(Base!$C$2=1,{"jtb.opcconscontr=2"},{"jtb.opcconscontr=3"})),"-")</f>
        <v>-10480000.0000156</v>
      </c>
      <c r="E105" s="46">
        <f>IFERROR(_xll.ECONOMATICA($C$5,"Income Cont Oper",,E$80,,,$C$7,$C$8,,,,IF(Base!$C$2=1,{"jtb.opcconscontr=2"},{"jtb.opcconscontr=3"})),"-")</f>
        <v>-78697000.000125006</v>
      </c>
      <c r="G105" s="2"/>
      <c r="H105" s="2"/>
      <c r="I105" s="2"/>
      <c r="J105" s="2"/>
      <c r="K105" s="2"/>
    </row>
    <row r="106" spans="1:11" customFormat="1" x14ac:dyDescent="0.25">
      <c r="A106" s="2"/>
      <c r="B106" s="67" t="s">
        <v>268</v>
      </c>
      <c r="C106" s="24">
        <f>IFERROR(_xll.ECONOMATICA($C$5,"Discont Oper",,C$80,,,$C$7,$C$8,,,,IF(Base!$C$2=1,{"jtb.opcconscontr=2"},{"jtb.opcconscontr=3"})),"-")</f>
        <v>0</v>
      </c>
      <c r="D106" s="24">
        <f>IFERROR(_xll.ECONOMATICA($C$5,"Discont Oper",,D$80,,,$C$7,$C$8,,,,IF(Base!$C$2=1,{"jtb.opcconscontr=2"},{"jtb.opcconscontr=3"})),"-")</f>
        <v>0</v>
      </c>
      <c r="E106" s="46">
        <f>IFERROR(_xll.ECONOMATICA($C$5,"Discont Oper",,E$80,,,$C$7,$C$8,,,,IF(Base!$C$2=1,{"jtb.opcconscontr=2"},{"jtb.opcconscontr=3"})),"-")</f>
        <v>0</v>
      </c>
      <c r="G106" s="2"/>
      <c r="H106" s="2"/>
      <c r="I106" s="2"/>
      <c r="J106" s="2"/>
      <c r="K106" s="2"/>
    </row>
    <row r="107" spans="1:11" customFormat="1" x14ac:dyDescent="0.25">
      <c r="A107" s="2"/>
      <c r="B107" s="67" t="s">
        <v>266</v>
      </c>
      <c r="C107" s="24">
        <f>IFERROR(_xll.ECONOMATICA($C$5,"Consol Net Inc",,C$80,,,$C$7,$C$8,,,,IF(Base!$C$2=1,{"jtb.opcconscontr=2"},{"jtb.opcconscontr=3"})),"-")</f>
        <v>7494000</v>
      </c>
      <c r="D107" s="24">
        <f>IFERROR(_xll.ECONOMATICA($C$5,"Consol Net Inc",,D$80,,,$C$7,$C$8,,,,IF(Base!$C$2=1,{"jtb.opcconscontr=2"},{"jtb.opcconscontr=3"})),"-")</f>
        <v>-10480000.0000156</v>
      </c>
      <c r="E107" s="46">
        <f>IFERROR(_xll.ECONOMATICA($C$5,"Consol Net Inc",,E$80,,,$C$7,$C$8,,,,IF(Base!$C$2=1,{"jtb.opcconscontr=2"},{"jtb.opcconscontr=3"})),"-")</f>
        <v>-78697000.000125006</v>
      </c>
      <c r="G107" s="2"/>
      <c r="H107" s="2"/>
      <c r="I107" s="2"/>
      <c r="J107" s="2"/>
      <c r="K107" s="2"/>
    </row>
    <row r="108" spans="1:11" customFormat="1" x14ac:dyDescent="0.25">
      <c r="A108" s="2"/>
      <c r="B108" s="71" t="s">
        <v>269</v>
      </c>
      <c r="C108" s="25">
        <f>IFERROR(_xll.ECONOMATICA($C$5,"MinorInter",,C$80,,,$C$7,$C$8,,,,IF(Base!$C$2=1,{"jtb.opcconscontr=2"},{"jtb.opcconscontr=3"})),"-")</f>
        <v>-566000</v>
      </c>
      <c r="D108" s="25">
        <f>IFERROR(_xll.ECONOMATICA($C$5,"MinorInter",,D$80,,,$C$7,$C$8,,,,IF(Base!$C$2=1,{"jtb.opcconscontr=2"},{"jtb.opcconscontr=3"})),"-")</f>
        <v>389000.00000048801</v>
      </c>
      <c r="E108" s="47">
        <f>IFERROR(_xll.ECONOMATICA($C$5,"MinorInter",,E$80,,,$C$7,$C$8,,,,IF(Base!$C$2=1,{"jtb.opcconscontr=2"},{"jtb.opcconscontr=3"})),"-")</f>
        <v>-279000</v>
      </c>
      <c r="G108" s="2"/>
      <c r="H108" s="2"/>
      <c r="I108" s="2"/>
      <c r="J108" s="2"/>
      <c r="K108" s="2"/>
    </row>
    <row r="109" spans="1:11" customFormat="1" ht="25.5" x14ac:dyDescent="0.25">
      <c r="A109" s="2"/>
      <c r="B109" s="71" t="s">
        <v>270</v>
      </c>
      <c r="C109" s="25">
        <f>IFERROR(_xll.ECONOMATICA($C$5,"Net Income",,C$80,,,$C$7,$C$8,,,,IF(Base!$C$2=1,{"jtb.opcconscontr=2"},{"jtb.opcconscontr=3"})),"-")</f>
        <v>8060000</v>
      </c>
      <c r="D109" s="25">
        <f>IFERROR(_xll.ECONOMATICA($C$5,"Net Income",,D$80,,,$C$7,$C$8,,,,IF(Base!$C$2=1,{"jtb.opcconscontr=2"},{"jtb.opcconscontr=3"})),"-")</f>
        <v>-10869000.0000156</v>
      </c>
      <c r="E109" s="47">
        <f>IFERROR(_xll.ECONOMATICA($C$5,"Net Income",,E$80,,,$C$7,$C$8,,,,IF(Base!$C$2=1,{"jtb.opcconscontr=2"},{"jtb.opcconscontr=3"})),"-")</f>
        <v>-78418000.000125006</v>
      </c>
      <c r="G109" s="2"/>
      <c r="H109" s="2"/>
      <c r="I109" s="2"/>
      <c r="J109" s="2"/>
      <c r="K109" s="2"/>
    </row>
    <row r="110" spans="1:11" customFormat="1" x14ac:dyDescent="0.25">
      <c r="A110" s="2"/>
      <c r="B110" s="72" t="s">
        <v>266</v>
      </c>
      <c r="C110" s="40">
        <f>IFERROR(_xll.ECONOMATICA($C$5,"Consol Net Inc",,C$80,,,$C$7,$C$8,,,,IF(Base!$C$2=1,{"jtb.opcconscontr=2"},{"jtb.opcconscontr=3"})),"-")</f>
        <v>7494000</v>
      </c>
      <c r="D110" s="40">
        <f>IFERROR(_xll.ECONOMATICA($C$5,"Consol Net Inc",,D$80,,,$C$7,$C$8,,,,IF(Base!$C$2=1,{"jtb.opcconscontr=2"},{"jtb.opcconscontr=3"})),"-")</f>
        <v>-10480000.0000156</v>
      </c>
      <c r="E110" s="49">
        <f>IFERROR(_xll.ECONOMATICA($C$5,"Consol Net Inc",,E$80,,,$C$7,$C$8,,,,IF(Base!$C$2=1,{"jtb.opcconscontr=2"},{"jtb.opcconscontr=3"})),"-")</f>
        <v>-78697000.000125006</v>
      </c>
      <c r="G110" s="2"/>
      <c r="H110" s="2"/>
      <c r="I110" s="2"/>
      <c r="J110" s="2"/>
      <c r="K110" s="2"/>
    </row>
    <row r="111" spans="1:11" customFormat="1" x14ac:dyDescent="0.25">
      <c r="A111" s="2"/>
      <c r="B111" s="69" t="s">
        <v>271</v>
      </c>
      <c r="C111" s="25">
        <f>IFERROR(_xll.ECONOMATICA($C$5,"TotOtComInc",,C$80,,,$C$7,$C$8,,,,IF(Base!$C$2=1,{"jtb.opcconscontr=2"},{"jtb.opcconscontr=3"})),"-")</f>
        <v>82804000</v>
      </c>
      <c r="D111" s="25">
        <f>IFERROR(_xll.ECONOMATICA($C$5,"TotOtComInc",,D$80,,,$C$7,$C$8,,,,IF(Base!$C$2=1,{"jtb.opcconscontr=2"},{"jtb.opcconscontr=3"})),"-")</f>
        <v>50910000</v>
      </c>
      <c r="E111" s="47">
        <f>IFERROR(_xll.ECONOMATICA($C$5,"TotOtComInc",,E$80,,,$C$7,$C$8,,,,IF(Base!$C$2=1,{"jtb.opcconscontr=2"},{"jtb.opcconscontr=3"})),"-")</f>
        <v>99018000</v>
      </c>
      <c r="G111" s="2"/>
      <c r="H111" s="2"/>
      <c r="I111" s="2"/>
      <c r="J111" s="2"/>
      <c r="K111" s="2"/>
    </row>
    <row r="112" spans="1:11" customFormat="1" x14ac:dyDescent="0.25">
      <c r="A112" s="2"/>
      <c r="B112" s="72" t="s">
        <v>272</v>
      </c>
      <c r="C112" s="40">
        <f>IFERROR(_xll.ECONOMATICA($C$5,"ComprInc",,C$80,,,$C$7,$C$8,,,,IF(Base!$C$2=1,{"jtb.opcconscontr=2"},{"jtb.opcconscontr=3"})),"-")</f>
        <v>90298000</v>
      </c>
      <c r="D112" s="40">
        <f>IFERROR(_xll.ECONOMATICA($C$5,"ComprInc",,D$80,,,$C$7,$C$8,,,,IF(Base!$C$2=1,{"jtb.opcconscontr=2"},{"jtb.opcconscontr=3"})),"-")</f>
        <v>40430000</v>
      </c>
      <c r="E112" s="49">
        <f>IFERROR(_xll.ECONOMATICA($C$5,"ComprInc",,E$80,,,$C$7,$C$8,,,,IF(Base!$C$2=1,{"jtb.opcconscontr=2"},{"jtb.opcconscontr=3"})),"-")</f>
        <v>20321000</v>
      </c>
      <c r="G112" s="2"/>
      <c r="H112" s="2"/>
      <c r="I112" s="2"/>
      <c r="J112" s="2"/>
      <c r="K112" s="2"/>
    </row>
    <row r="113" spans="1:11" customFormat="1" ht="25.5" x14ac:dyDescent="0.25">
      <c r="A113" s="2"/>
      <c r="B113" s="71" t="s">
        <v>273</v>
      </c>
      <c r="C113" s="25">
        <f>IFERROR(_xll.ECONOMATICA($C$5,"CoInNonCoInt",,C$80,,,$C$7,$C$8,,,,IF(Base!$C$2=1,{"jtb.opcconscontr=2"},{"jtb.opcconscontr=3"})),"-")</f>
        <v>0</v>
      </c>
      <c r="D113" s="25">
        <f>IFERROR(_xll.ECONOMATICA($C$5,"CoInNonCoInt",,D$80,,,$C$7,$C$8,,,,IF(Base!$C$2=1,{"jtb.opcconscontr=2"},{"jtb.opcconscontr=3"})),"-")</f>
        <v>1232000.00000195</v>
      </c>
      <c r="E113" s="47">
        <f>IFERROR(_xll.ECONOMATICA($C$5,"CoInNonCoInt",,E$80,,,$C$7,$C$8,,,,IF(Base!$C$2=1,{"jtb.opcconscontr=2"},{"jtb.opcconscontr=3"})),"-")</f>
        <v>462000.00000048801</v>
      </c>
      <c r="G113" s="2"/>
      <c r="H113" s="2"/>
      <c r="I113" s="2"/>
      <c r="J113" s="2"/>
      <c r="K113" s="2"/>
    </row>
    <row r="114" spans="1:11" customFormat="1" ht="25.5" x14ac:dyDescent="0.25">
      <c r="A114" s="2"/>
      <c r="B114" s="73" t="s">
        <v>274</v>
      </c>
      <c r="C114" s="39">
        <f>IFERROR(_xll.ECONOMATICA($C$5,"CoInAtToCont",,C$80,,,$C$7,$C$8,,,,IF(Base!$C$2=1,{"jtb.opcconscontr=2"},{"jtb.opcconscontr=3"})),"-")</f>
        <v>90298000</v>
      </c>
      <c r="D114" s="39">
        <f>IFERROR(_xll.ECONOMATICA($C$5,"CoInAtToCont",,D$80,,,$C$7,$C$8,,,,IF(Base!$C$2=1,{"jtb.opcconscontr=2"},{"jtb.opcconscontr=3"})),"-")</f>
        <v>39198000.000062503</v>
      </c>
      <c r="E114" s="48">
        <f>IFERROR(_xll.ECONOMATICA($C$5,"CoInAtToCont",,E$80,,,$C$7,$C$8,,,,IF(Base!$C$2=1,{"jtb.opcconscontr=2"},{"jtb.opcconscontr=3"})),"-")</f>
        <v>19859000.0000313</v>
      </c>
      <c r="G114" s="2"/>
      <c r="H114" s="2"/>
      <c r="I114" s="2"/>
      <c r="J114" s="2"/>
      <c r="K114" s="2"/>
    </row>
    <row r="115" spans="1:11" customFormat="1" x14ac:dyDescent="0.25">
      <c r="A115" s="2"/>
      <c r="B115" s="2"/>
      <c r="C115" s="2"/>
      <c r="D115" s="2"/>
      <c r="E115" s="2"/>
      <c r="G115" s="2"/>
      <c r="H115" s="2"/>
      <c r="I115" s="2"/>
      <c r="J115" s="2"/>
      <c r="K115" s="2"/>
    </row>
    <row r="116" spans="1:11" customFormat="1" x14ac:dyDescent="0.25">
      <c r="A116" s="2"/>
      <c r="B116" s="2"/>
      <c r="C116" s="2"/>
      <c r="D116" s="2"/>
      <c r="G116" s="2"/>
      <c r="H116" s="2"/>
      <c r="I116" s="2"/>
      <c r="J116" s="2"/>
      <c r="K116" s="2"/>
    </row>
    <row r="117" spans="1:11" customFormat="1" ht="17.25" x14ac:dyDescent="0.3">
      <c r="A117" s="2"/>
      <c r="B117" s="12" t="s">
        <v>275</v>
      </c>
      <c r="C117" s="2"/>
      <c r="D117" s="2"/>
      <c r="E117" s="2"/>
      <c r="G117" s="2"/>
      <c r="H117" s="2"/>
      <c r="I117" s="2"/>
      <c r="J117" s="2"/>
      <c r="K117" s="2"/>
    </row>
    <row r="118" spans="1:11" customFormat="1" x14ac:dyDescent="0.25">
      <c r="A118" s="2"/>
      <c r="B118" s="2"/>
      <c r="C118" s="2"/>
      <c r="D118" s="2"/>
      <c r="E118" s="22" t="str">
        <f>C8</f>
        <v>Thousands</v>
      </c>
      <c r="G118" s="2"/>
      <c r="H118" s="2"/>
      <c r="I118" s="2"/>
      <c r="J118" s="2"/>
      <c r="K118" s="2"/>
    </row>
    <row r="119" spans="1:11" customFormat="1" ht="15.75" x14ac:dyDescent="0.25">
      <c r="A119" s="2"/>
      <c r="B119" s="66" t="s">
        <v>422</v>
      </c>
      <c r="C119" s="23">
        <f>$C$40</f>
        <v>43281</v>
      </c>
      <c r="D119" s="23">
        <f>$D$40</f>
        <v>43646</v>
      </c>
      <c r="E119" s="45">
        <f>$E$40</f>
        <v>44012</v>
      </c>
      <c r="G119" s="2"/>
      <c r="H119" s="2"/>
      <c r="I119" s="2"/>
      <c r="J119" s="2"/>
      <c r="K119" s="2"/>
    </row>
    <row r="120" spans="1:11" customFormat="1" ht="26.25" x14ac:dyDescent="0.25">
      <c r="A120" s="2"/>
      <c r="B120" s="74" t="s">
        <v>421</v>
      </c>
      <c r="C120" s="24">
        <f>IFERROR(_xll.ECONOMATICA($C$5,"Tot Cash Ope Act",,C$119,,,$C$7,$C$8,,,,IF(Base!$C$2=1,{"jtb.opcconscontr=2"},{"jtb.opcconscontr=3"})),"-")</f>
        <v>48911000</v>
      </c>
      <c r="D120" s="24">
        <f>IFERROR(_xll.ECONOMATICA($C$5,"Tot Cash Ope Act",,D$119,,,$C$7,$C$8,,,,IF(Base!$C$2=1,{"jtb.opcconscontr=2"},{"jtb.opcconscontr=3"})),"-")</f>
        <v>83386000</v>
      </c>
      <c r="E120" s="46">
        <f>IFERROR(_xll.ECONOMATICA($C$5,"Tot Cash Ope Act",,E$119,,,$C$7,$C$8,,,,IF(Base!$C$2=1,{"jtb.opcconscontr=2"},{"jtb.opcconscontr=3"})),"-")</f>
        <v>92600000.000125006</v>
      </c>
      <c r="G120" s="2"/>
      <c r="H120" s="2"/>
      <c r="I120" s="2"/>
      <c r="J120" s="2"/>
      <c r="K120" s="2"/>
    </row>
    <row r="121" spans="1:11" customFormat="1" x14ac:dyDescent="0.25">
      <c r="A121" s="2"/>
      <c r="B121" s="69" t="s">
        <v>423</v>
      </c>
      <c r="C121" s="25">
        <f>IFERROR(_xll.ECONOMATICA($C$5,"Net Inc",,C$119,,,$C$7,$C$8,,,,IF(Base!$C$2=1,{"jtb.opcconscontr=2"},{"jtb.opcconscontr=3"})),"-")</f>
        <v>7494000</v>
      </c>
      <c r="D121" s="25">
        <f>IFERROR(_xll.ECONOMATICA($C$5,"Net Inc",,D$119,,,$C$7,$C$8,,,,IF(Base!$C$2=1,{"jtb.opcconscontr=2"},{"jtb.opcconscontr=3"})),"-")</f>
        <v>-10480000.0000156</v>
      </c>
      <c r="E121" s="47">
        <f>IFERROR(_xll.ECONOMATICA($C$5,"Net Inc",,E$119,,,$C$7,$C$8,,,,IF(Base!$C$2=1,{"jtb.opcconscontr=2"},{"jtb.opcconscontr=3"})),"-")</f>
        <v>-78697000.000125006</v>
      </c>
      <c r="G121" s="2"/>
      <c r="H121" s="2"/>
      <c r="I121" s="2"/>
      <c r="J121" s="2"/>
      <c r="K121" s="2"/>
    </row>
    <row r="122" spans="1:11" customFormat="1" x14ac:dyDescent="0.25">
      <c r="A122" s="2"/>
      <c r="B122" s="69" t="s">
        <v>424</v>
      </c>
      <c r="C122" s="25">
        <f>IFERROR(_xll.ECONOMATICA($C$5,"CshGenOp",,C$119,,,$C$7,$C$8,,,,IF(Base!$C$2=1,{"jtb.opcconscontr=2"},{"jtb.opcconscontr=3"})),"-")</f>
        <v>71239000</v>
      </c>
      <c r="D122" s="25">
        <f>IFERROR(_xll.ECONOMATICA($C$5,"CshGenOp",,D$119,,,$C$7,$C$8,,,,IF(Base!$C$2=1,{"jtb.opcconscontr=2"},{"jtb.opcconscontr=3"})),"-")</f>
        <v>106808000</v>
      </c>
      <c r="E122" s="47">
        <f>IFERROR(_xll.ECONOMATICA($C$5,"CshGenOp",,E$119,,,$C$7,$C$8,,,,IF(Base!$C$2=1,{"jtb.opcconscontr=2"},{"jtb.opcconscontr=3"})),"-")</f>
        <v>160234000.00025001</v>
      </c>
      <c r="G122" s="2"/>
      <c r="H122" s="2"/>
      <c r="I122" s="2"/>
      <c r="J122" s="2"/>
      <c r="K122" s="2"/>
    </row>
    <row r="123" spans="1:11" customFormat="1" ht="25.5" x14ac:dyDescent="0.25">
      <c r="A123" s="2"/>
      <c r="B123" s="75" t="s">
        <v>435</v>
      </c>
      <c r="C123" s="25">
        <f>IFERROR(_xll.ECONOMATICA($C$5,"InTx&amp;MiPrInTx",,C$119,,,$C$7,$C$8,,,,IF(Base!$C$2=1,{"jtb.opcconscontr=2"},{"jtb.opcconscontr=3"})),"-")</f>
        <v>33626000</v>
      </c>
      <c r="D123" s="25">
        <f>IFERROR(_xll.ECONOMATICA($C$5,"InTx&amp;MiPrInTx",,D$119,,,$C$7,$C$8,,,,IF(Base!$C$2=1,{"jtb.opcconscontr=2"},{"jtb.opcconscontr=3"})),"-")</f>
        <v>25374000</v>
      </c>
      <c r="E123" s="47">
        <f>IFERROR(_xll.ECONOMATICA($C$5,"InTx&amp;MiPrInTx",,E$119,,,$C$7,$C$8,,,,IF(Base!$C$2=1,{"jtb.opcconscontr=2"},{"jtb.opcconscontr=3"})),"-")</f>
        <v>-1638000.00000195</v>
      </c>
      <c r="G123" s="2"/>
      <c r="H123" s="2"/>
      <c r="I123" s="2"/>
      <c r="J123" s="2"/>
      <c r="K123" s="2"/>
    </row>
    <row r="124" spans="1:11" customFormat="1" x14ac:dyDescent="0.25">
      <c r="A124" s="2"/>
      <c r="B124" s="63" t="s">
        <v>425</v>
      </c>
      <c r="C124" s="25">
        <f>IFERROR(_xll.ECONOMATICA($C$5,"AccInter",,C$119,,,$C$7,$C$8,,,,IF(Base!$C$2=1,{"jtb.opcconscontr=2"},{"jtb.opcconscontr=3"})),"-")</f>
        <v>0</v>
      </c>
      <c r="D124" s="25">
        <f>IFERROR(_xll.ECONOMATICA($C$5,"AccInter",,D$119,,,$C$7,$C$8,,,,IF(Base!$C$2=1,{"jtb.opcconscontr=2"},{"jtb.opcconscontr=3"})),"-")</f>
        <v>0</v>
      </c>
      <c r="E124" s="47">
        <f>IFERROR(_xll.ECONOMATICA($C$5,"AccInter",,E$119,,,$C$7,$C$8,,,,IF(Base!$C$2=1,{"jtb.opcconscontr=2"},{"jtb.opcconscontr=3"})),"-")</f>
        <v>0</v>
      </c>
      <c r="G124" s="2"/>
      <c r="H124" s="2"/>
      <c r="I124" s="2"/>
      <c r="J124" s="2"/>
      <c r="K124" s="2"/>
    </row>
    <row r="125" spans="1:11" customFormat="1" x14ac:dyDescent="0.25">
      <c r="A125" s="2"/>
      <c r="B125" s="63" t="s">
        <v>426</v>
      </c>
      <c r="C125" s="25">
        <f>IFERROR(_xll.ECONOMATICA($C$5,"InterPaid",,C$119,,,$C$7,$C$8,,,,IF(Base!$C$2=1,{"jtb.opcconscontr=2"},{"jtb.opcconscontr=3"})),"-")</f>
        <v>0</v>
      </c>
      <c r="D125" s="25">
        <f>IFERROR(_xll.ECONOMATICA($C$5,"InterPaid",,D$119,,,$C$7,$C$8,,,,IF(Base!$C$2=1,{"jtb.opcconscontr=2"},{"jtb.opcconscontr=3"})),"-")</f>
        <v>0</v>
      </c>
      <c r="E125" s="47">
        <f>IFERROR(_xll.ECONOMATICA($C$5,"InterPaid",,E$119,,,$C$7,$C$8,,,,IF(Base!$C$2=1,{"jtb.opcconscontr=2"},{"jtb.opcconscontr=3"})),"-")</f>
        <v>0</v>
      </c>
      <c r="G125" s="2"/>
      <c r="H125" s="2"/>
      <c r="I125" s="2"/>
      <c r="J125" s="2"/>
      <c r="K125" s="2"/>
    </row>
    <row r="126" spans="1:11" customFormat="1" x14ac:dyDescent="0.25">
      <c r="A126" s="2"/>
      <c r="B126" s="76" t="s">
        <v>427</v>
      </c>
      <c r="C126" s="25">
        <f>IFERROR(_xll.ECONOMATICA($C$5,"Deprec &amp; Amort",,C$119,,,$C$7,$C$8,,,,IF(Base!$C$2=1,{"jtb.opcconscontr=2"},{"jtb.opcconscontr=3"})),"-")</f>
        <v>41964000</v>
      </c>
      <c r="D126" s="25">
        <f>IFERROR(_xll.ECONOMATICA($C$5,"Deprec &amp; Amort",,D$119,,,$C$7,$C$8,,,,IF(Base!$C$2=1,{"jtb.opcconscontr=2"},{"jtb.opcconscontr=3"})),"-")</f>
        <v>67144000.000062495</v>
      </c>
      <c r="E126" s="47">
        <f>IFERROR(_xll.ECONOMATICA($C$5,"Deprec &amp; Amort",,E$119,,,$C$7,$C$8,,,,IF(Base!$C$2=1,{"jtb.opcconscontr=2"},{"jtb.opcconscontr=3"})),"-")</f>
        <v>154089000</v>
      </c>
      <c r="G126" s="2"/>
      <c r="H126" s="2"/>
      <c r="I126" s="2"/>
      <c r="J126" s="2"/>
      <c r="K126" s="2"/>
    </row>
    <row r="127" spans="1:11" customFormat="1" x14ac:dyDescent="0.25">
      <c r="A127" s="2"/>
      <c r="B127" s="63" t="s">
        <v>428</v>
      </c>
      <c r="C127" s="25">
        <f>IFERROR(_xll.ECONOMATICA($C$5,"Depreciat",,C$119,,,$C$7,$C$8,,,,IF(Base!$C$2=1,{"jtb.opcconscontr=2"},{"jtb.opcconscontr=3"})),"-")</f>
        <v>41402999.999937497</v>
      </c>
      <c r="D127" s="25">
        <f>IFERROR(_xll.ECONOMATICA($C$5,"Depreciat",,D$119,,,$C$7,$C$8,,,,IF(Base!$C$2=1,{"jtb.opcconscontr=2"},{"jtb.opcconscontr=3"})),"-")</f>
        <v>66108000</v>
      </c>
      <c r="E127" s="47">
        <f>IFERROR(_xll.ECONOMATICA($C$5,"Depreciat",,E$119,,,$C$7,$C$8,,,,IF(Base!$C$2=1,{"jtb.opcconscontr=2"},{"jtb.opcconscontr=3"})),"-")</f>
        <v>152680000.00025001</v>
      </c>
      <c r="G127" s="2"/>
      <c r="H127" s="2"/>
      <c r="I127" s="2"/>
      <c r="J127" s="2"/>
      <c r="K127" s="2"/>
    </row>
    <row r="128" spans="1:11" customFormat="1" x14ac:dyDescent="0.25">
      <c r="A128" s="2"/>
      <c r="B128" s="63" t="s">
        <v>429</v>
      </c>
      <c r="C128" s="25">
        <f>IFERROR(_xll.ECONOMATICA($C$5,"Amor Intan",,C$119,,,$C$7,$C$8,,,,IF(Base!$C$2=1,{"jtb.opcconscontr=2"},{"jtb.opcconscontr=3"})),"-")</f>
        <v>561000</v>
      </c>
      <c r="D128" s="25">
        <f>IFERROR(_xll.ECONOMATICA($C$5,"Amor Intan",,D$119,,,$C$7,$C$8,,,,IF(Base!$C$2=1,{"jtb.opcconscontr=2"},{"jtb.opcconscontr=3"})),"-")</f>
        <v>1036000</v>
      </c>
      <c r="E128" s="47">
        <f>IFERROR(_xll.ECONOMATICA($C$5,"Amor Intan",,E$119,,,$C$7,$C$8,,,,IF(Base!$C$2=1,{"jtb.opcconscontr=2"},{"jtb.opcconscontr=3"})),"-")</f>
        <v>1409000.00000195</v>
      </c>
      <c r="G128" s="2"/>
      <c r="H128" s="2"/>
      <c r="I128" s="2"/>
      <c r="J128" s="2"/>
      <c r="K128" s="2"/>
    </row>
    <row r="129" spans="1:11" customFormat="1" x14ac:dyDescent="0.25">
      <c r="A129" s="2"/>
      <c r="B129" s="63" t="s">
        <v>430</v>
      </c>
      <c r="C129" s="25">
        <f>IFERROR(_xll.ECONOMATICA($C$5,"InvAmor",,C$119,,,$C$7,$C$8,,,,IF(Base!$C$2=1,{"jtb.opcconscontr=2"},{"jtb.opcconscontr=3"})),"-")</f>
        <v>0</v>
      </c>
      <c r="D129" s="25">
        <f>IFERROR(_xll.ECONOMATICA($C$5,"InvAmor",,D$119,,,$C$7,$C$8,,,,IF(Base!$C$2=1,{"jtb.opcconscontr=2"},{"jtb.opcconscontr=3"})),"-")</f>
        <v>0</v>
      </c>
      <c r="E129" s="47">
        <f>IFERROR(_xll.ECONOMATICA($C$5,"InvAmor",,E$119,,,$C$7,$C$8,,,,IF(Base!$C$2=1,{"jtb.opcconscontr=2"},{"jtb.opcconscontr=3"})),"-")</f>
        <v>0</v>
      </c>
      <c r="G129" s="2"/>
      <c r="H129" s="2"/>
      <c r="I129" s="2"/>
      <c r="J129" s="2"/>
      <c r="K129" s="2"/>
    </row>
    <row r="130" spans="1:11" customFormat="1" x14ac:dyDescent="0.25">
      <c r="A130" s="2"/>
      <c r="B130" s="63" t="s">
        <v>431</v>
      </c>
      <c r="C130" s="25">
        <f>IFERROR(_xll.ECONOMATICA($C$5,"OthAmortiz",,C$119,,,$C$7,$C$8,,,,IF(Base!$C$2=1,{"jtb.opcconscontr=2"},{"jtb.opcconscontr=3"})),"-")</f>
        <v>0</v>
      </c>
      <c r="D130" s="25">
        <f>IFERROR(_xll.ECONOMATICA($C$5,"OthAmortiz",,D$119,,,$C$7,$C$8,,,,IF(Base!$C$2=1,{"jtb.opcconscontr=2"},{"jtb.opcconscontr=3"})),"-")</f>
        <v>0</v>
      </c>
      <c r="E130" s="47">
        <f>IFERROR(_xll.ECONOMATICA($C$5,"OthAmortiz",,E$119,,,$C$7,$C$8,,,,IF(Base!$C$2=1,{"jtb.opcconscontr=2"},{"jtb.opcconscontr=3"})),"-")</f>
        <v>0</v>
      </c>
      <c r="G130" s="2"/>
      <c r="H130" s="2"/>
      <c r="I130" s="2"/>
      <c r="J130" s="2"/>
      <c r="K130" s="2"/>
    </row>
    <row r="131" spans="1:11" customFormat="1" x14ac:dyDescent="0.25">
      <c r="A131" s="2"/>
      <c r="B131" s="63" t="s">
        <v>432</v>
      </c>
      <c r="C131" s="25">
        <f>IFERROR(_xll.ECONOMATICA($C$5,"DiFiAs",,C$119,,,$C$7,$C$8,,,,IF(Base!$C$2=1,{"jtb.opcconscontr=2"},{"jtb.opcconscontr=3"})),"-")</f>
        <v>3014000</v>
      </c>
      <c r="D131" s="25">
        <f>IFERROR(_xll.ECONOMATICA($C$5,"DiFiAs",,D$119,,,$C$7,$C$8,,,,IF(Base!$C$2=1,{"jtb.opcconscontr=2"},{"jtb.opcconscontr=3"})),"-")</f>
        <v>8764000.0000156295</v>
      </c>
      <c r="E131" s="47">
        <f>IFERROR(_xll.ECONOMATICA($C$5,"DiFiAs",,E$119,,,$C$7,$C$8,,,,IF(Base!$C$2=1,{"jtb.opcconscontr=2"},{"jtb.opcconscontr=3"})),"-")</f>
        <v>7360000.0000078101</v>
      </c>
      <c r="G131" s="2"/>
      <c r="H131" s="2"/>
      <c r="I131" s="2"/>
      <c r="J131" s="2"/>
      <c r="K131" s="2"/>
    </row>
    <row r="132" spans="1:11" customFormat="1" x14ac:dyDescent="0.25">
      <c r="A132" s="2"/>
      <c r="B132" s="63" t="s">
        <v>433</v>
      </c>
      <c r="C132" s="25">
        <f>IFERROR(_xll.ECONOMATICA($C$5,"ProNet",,C$119,,,$C$7,$C$8,,,,IF(Base!$C$2=1,{"jtb.opcconscontr=2"},{"jtb.opcconscontr=3"})),"-")</f>
        <v>3562000</v>
      </c>
      <c r="D132" s="25">
        <f>IFERROR(_xll.ECONOMATICA($C$5,"ProNet",,D$119,,,$C$7,$C$8,,,,IF(Base!$C$2=1,{"jtb.opcconscontr=2"},{"jtb.opcconscontr=3"})),"-")</f>
        <v>7304000.0000078101</v>
      </c>
      <c r="E132" s="47">
        <f>IFERROR(_xll.ECONOMATICA($C$5,"ProNet",,E$119,,,$C$7,$C$8,,,,IF(Base!$C$2=1,{"jtb.opcconscontr=2"},{"jtb.opcconscontr=3"})),"-")</f>
        <v>16165000.0000156</v>
      </c>
      <c r="G132" s="2"/>
      <c r="H132" s="2"/>
      <c r="I132" s="2"/>
      <c r="J132" s="2"/>
      <c r="K132" s="2"/>
    </row>
    <row r="133" spans="1:11" customFormat="1" ht="25.5" x14ac:dyDescent="0.25">
      <c r="A133" s="2"/>
      <c r="B133" s="75" t="s">
        <v>434</v>
      </c>
      <c r="C133" s="25">
        <f>IFERROR(_xll.ECONOMATICA($C$5,"EqJoVe&amp;As",,C$119,,,$C$7,$C$8,,,,IF(Base!$C$2=1,{"jtb.opcconscontr=2"},{"jtb.opcconscontr=3"})),"-")</f>
        <v>925000</v>
      </c>
      <c r="D133" s="25">
        <f>IFERROR(_xll.ECONOMATICA($C$5,"EqJoVe&amp;As",,D$119,,,$C$7,$C$8,,,,IF(Base!$C$2=1,{"jtb.opcconscontr=2"},{"jtb.opcconscontr=3"})),"-")</f>
        <v>-3514000.0000039102</v>
      </c>
      <c r="E133" s="47">
        <f>IFERROR(_xll.ECONOMATICA($C$5,"EqJoVe&amp;As",,E$119,,,$C$7,$C$8,,,,IF(Base!$C$2=1,{"jtb.opcconscontr=2"},{"jtb.opcconscontr=3"})),"-")</f>
        <v>-3720000</v>
      </c>
      <c r="G133" s="2"/>
      <c r="H133" s="2"/>
      <c r="I133" s="2"/>
      <c r="J133" s="2"/>
      <c r="K133" s="2"/>
    </row>
    <row r="134" spans="1:11" customFormat="1" x14ac:dyDescent="0.25">
      <c r="A134" s="2"/>
      <c r="B134" s="75" t="s">
        <v>436</v>
      </c>
      <c r="C134" s="25">
        <f>IFERROR(_xll.ECONOMATICA($C$5,"ReFiTe",,C$119,,,$C$7,$C$8,,,,IF(Base!$C$2=1,{"jtb.opcconscontr=2"},{"jtb.opcconscontr=3"})),"-")</f>
        <v>0</v>
      </c>
      <c r="D134" s="25">
        <f>IFERROR(_xll.ECONOMATICA($C$5,"ReFiTe",,D$119,,,$C$7,$C$8,,,,IF(Base!$C$2=1,{"jtb.opcconscontr=2"},{"jtb.opcconscontr=3"})),"-")</f>
        <v>761000.00000097696</v>
      </c>
      <c r="E134" s="47">
        <f>IFERROR(_xll.ECONOMATICA($C$5,"ReFiTe",,E$119,,,$C$7,$C$8,,,,IF(Base!$C$2=1,{"jtb.opcconscontr=2"},{"jtb.opcconscontr=3"})),"-")</f>
        <v>2096000.00000195</v>
      </c>
      <c r="G134" s="2"/>
      <c r="H134" s="2"/>
      <c r="I134" s="2"/>
      <c r="J134" s="2"/>
      <c r="K134" s="2"/>
    </row>
    <row r="135" spans="1:11" customFormat="1" x14ac:dyDescent="0.25">
      <c r="A135" s="2"/>
      <c r="B135" s="75" t="s">
        <v>437</v>
      </c>
      <c r="C135" s="25">
        <f>IFERROR(_xll.ECONOMATICA($C$5,"Sundry",,C$119,,,$C$7,$C$8,,,,IF(Base!$C$2=1,{"jtb.opcconscontr=2"},{"jtb.opcconscontr=3"})),"-")</f>
        <v>-11852000</v>
      </c>
      <c r="D135" s="25">
        <f>IFERROR(_xll.ECONOMATICA($C$5,"Sundry",,D$119,,,$C$7,$C$8,,,,IF(Base!$C$2=1,{"jtb.opcconscontr=2"},{"jtb.opcconscontr=3"})),"-")</f>
        <v>975000.00000097696</v>
      </c>
      <c r="E135" s="47">
        <f>IFERROR(_xll.ECONOMATICA($C$5,"Sundry",,E$119,,,$C$7,$C$8,,,,IF(Base!$C$2=1,{"jtb.opcconscontr=2"},{"jtb.opcconscontr=3"})),"-")</f>
        <v>-14118000</v>
      </c>
      <c r="G135" s="2"/>
      <c r="H135" s="2"/>
      <c r="I135" s="2"/>
      <c r="J135" s="2"/>
      <c r="K135" s="2"/>
    </row>
    <row r="136" spans="1:11" customFormat="1" ht="25.5" x14ac:dyDescent="0.25">
      <c r="A136" s="2"/>
      <c r="B136" s="68" t="s">
        <v>438</v>
      </c>
      <c r="C136" s="25">
        <f>IFERROR(_xll.ECONOMATICA($C$5,"ChOpAs&amp;Li",,C$119,,,$C$7,$C$8,,,,IF(Base!$C$2=1,{"jtb.opcconscontr=2"},{"jtb.opcconscontr=3"})),"-")</f>
        <v>-29822000</v>
      </c>
      <c r="D136" s="25">
        <f>IFERROR(_xll.ECONOMATICA($C$5,"ChOpAs&amp;Li",,D$119,,,$C$7,$C$8,,,,IF(Base!$C$2=1,{"jtb.opcconscontr=2"},{"jtb.opcconscontr=3"})),"-")</f>
        <v>-12942000.0000156</v>
      </c>
      <c r="E136" s="47">
        <f>IFERROR(_xll.ECONOMATICA($C$5,"ChOpAs&amp;Li",,E$119,,,$C$7,$C$8,,,,IF(Base!$C$2=1,{"jtb.opcconscontr=2"},{"jtb.opcconscontr=3"})),"-")</f>
        <v>11063000.0000156</v>
      </c>
      <c r="G136" s="2"/>
      <c r="H136" s="2"/>
      <c r="I136" s="2"/>
      <c r="J136" s="2"/>
      <c r="K136" s="2"/>
    </row>
    <row r="137" spans="1:11" customFormat="1" x14ac:dyDescent="0.25">
      <c r="A137" s="2"/>
      <c r="B137" s="75" t="s">
        <v>439</v>
      </c>
      <c r="C137" s="25">
        <f>IFERROR(_xll.ECONOMATICA($C$5,"TradRec",,C$119,,,$C$7,$C$8,,,,IF(Base!$C$2=1,{"jtb.opcconscontr=2"},{"jtb.opcconscontr=3"})),"-")</f>
        <v>-11907000</v>
      </c>
      <c r="D137" s="25">
        <f>IFERROR(_xll.ECONOMATICA($C$5,"TradRec",,D$119,,,$C$7,$C$8,,,,IF(Base!$C$2=1,{"jtb.opcconscontr=2"},{"jtb.opcconscontr=3"})),"-")</f>
        <v>-15237000.0000156</v>
      </c>
      <c r="E137" s="47">
        <f>IFERROR(_xll.ECONOMATICA($C$5,"TradRec",,E$119,,,$C$7,$C$8,,,,IF(Base!$C$2=1,{"jtb.opcconscontr=2"},{"jtb.opcconscontr=3"})),"-")</f>
        <v>27219000</v>
      </c>
      <c r="G137" s="2"/>
      <c r="H137" s="2"/>
      <c r="I137" s="2"/>
      <c r="J137" s="2"/>
      <c r="K137" s="2"/>
    </row>
    <row r="138" spans="1:11" customFormat="1" x14ac:dyDescent="0.25">
      <c r="A138" s="2"/>
      <c r="B138" s="75" t="s">
        <v>207</v>
      </c>
      <c r="C138" s="25">
        <f>IFERROR(_xll.ECONOMATICA($C$5,"OthCredit",,C$119,,,$C$7,$C$8,,,,IF(Base!$C$2=1,{"jtb.opcconscontr=2"},{"jtb.opcconscontr=3"})),"-")</f>
        <v>-3346000</v>
      </c>
      <c r="D138" s="25">
        <f>IFERROR(_xll.ECONOMATICA($C$5,"OthCredit",,D$119,,,$C$7,$C$8,,,,IF(Base!$C$2=1,{"jtb.opcconscontr=2"},{"jtb.opcconscontr=3"})),"-")</f>
        <v>-2875000</v>
      </c>
      <c r="E138" s="47">
        <f>IFERROR(_xll.ECONOMATICA($C$5,"OthCredit",,E$119,,,$C$7,$C$8,,,,IF(Base!$C$2=1,{"jtb.opcconscontr=2"},{"jtb.opcconscontr=3"})),"-")</f>
        <v>7267000</v>
      </c>
      <c r="G138" s="2"/>
      <c r="H138" s="2"/>
      <c r="I138" s="2"/>
      <c r="J138" s="2"/>
      <c r="K138" s="2"/>
    </row>
    <row r="139" spans="1:11" customFormat="1" x14ac:dyDescent="0.25">
      <c r="A139" s="2"/>
      <c r="B139" s="75" t="s">
        <v>440</v>
      </c>
      <c r="C139" s="25">
        <f>IFERROR(_xll.ECONOMATICA($C$5,"Invent",,C$119,,,$C$7,$C$8,,,,IF(Base!$C$2=1,{"jtb.opcconscontr=2"},{"jtb.opcconscontr=3"})),"-")</f>
        <v>972000</v>
      </c>
      <c r="D139" s="25">
        <f>IFERROR(_xll.ECONOMATICA($C$5,"Invent",,D$119,,,$C$7,$C$8,,,,IF(Base!$C$2=1,{"jtb.opcconscontr=2"},{"jtb.opcconscontr=3"})),"-")</f>
        <v>-9612000.0000156295</v>
      </c>
      <c r="E139" s="47">
        <f>IFERROR(_xll.ECONOMATICA($C$5,"Invent",,E$119,,,$C$7,$C$8,,,,IF(Base!$C$2=1,{"jtb.opcconscontr=2"},{"jtb.opcconscontr=3"})),"-")</f>
        <v>-5389000.0000078101</v>
      </c>
      <c r="G139" s="2"/>
      <c r="H139" s="2"/>
      <c r="I139" s="2"/>
      <c r="J139" s="2"/>
      <c r="K139" s="2"/>
    </row>
    <row r="140" spans="1:11" customFormat="1" x14ac:dyDescent="0.25">
      <c r="A140" s="2"/>
      <c r="B140" s="75" t="s">
        <v>203</v>
      </c>
      <c r="C140" s="25">
        <f>IFERROR(_xll.ECONOMATICA($C$5,"OthAsse",,C$119,,,$C$7,$C$8,,,,IF(Base!$C$2=1,{"jtb.opcconscontr=2"},{"jtb.opcconscontr=3"})),"-")</f>
        <v>-154000</v>
      </c>
      <c r="D140" s="25">
        <f>IFERROR(_xll.ECONOMATICA($C$5,"OthAsse",,D$119,,,$C$7,$C$8,,,,IF(Base!$C$2=1,{"jtb.opcconscontr=2"},{"jtb.opcconscontr=3"})),"-")</f>
        <v>-96000</v>
      </c>
      <c r="E140" s="47">
        <f>IFERROR(_xll.ECONOMATICA($C$5,"OthAsse",,E$119,,,$C$7,$C$8,,,,IF(Base!$C$2=1,{"jtb.opcconscontr=2"},{"jtb.opcconscontr=3"})),"-")</f>
        <v>-263000</v>
      </c>
      <c r="G140" s="2"/>
      <c r="H140" s="2"/>
      <c r="I140" s="2"/>
      <c r="J140" s="2"/>
      <c r="K140" s="2"/>
    </row>
    <row r="141" spans="1:11" customFormat="1" x14ac:dyDescent="0.25">
      <c r="A141" s="2"/>
      <c r="B141" s="75" t="s">
        <v>441</v>
      </c>
      <c r="C141" s="25">
        <f>IFERROR(_xll.ECONOMATICA($C$5,"Tra&amp;OthPay",,C$119,,,$C$7,$C$8,,,,IF(Base!$C$2=1,{"jtb.opcconscontr=2"},{"jtb.opcconscontr=3"})),"-")</f>
        <v>6870000</v>
      </c>
      <c r="D141" s="25">
        <f>IFERROR(_xll.ECONOMATICA($C$5,"Tra&amp;OthPay",,D$119,,,$C$7,$C$8,,,,IF(Base!$C$2=1,{"jtb.opcconscontr=2"},{"jtb.opcconscontr=3"})),"-")</f>
        <v>18261000</v>
      </c>
      <c r="E141" s="47">
        <f>IFERROR(_xll.ECONOMATICA($C$5,"Tra&amp;OthPay",,E$119,,,$C$7,$C$8,,,,IF(Base!$C$2=1,{"jtb.opcconscontr=2"},{"jtb.opcconscontr=3"})),"-")</f>
        <v>-15382000.0000156</v>
      </c>
      <c r="G141" s="2"/>
      <c r="H141" s="2"/>
      <c r="I141" s="2"/>
      <c r="J141" s="2"/>
      <c r="K141" s="2"/>
    </row>
    <row r="142" spans="1:11" customFormat="1" x14ac:dyDescent="0.25">
      <c r="A142" s="2"/>
      <c r="B142" s="75" t="s">
        <v>222</v>
      </c>
      <c r="C142" s="25">
        <f>IFERROR(_xll.ECONOMATICA($C$5,"Wag&amp;SoBe",,C$119,,,$C$7,$C$8,,,,IF(Base!$C$2=1,{"jtb.opcconscontr=2"},{"jtb.opcconscontr=3"})),"-")</f>
        <v>-586000</v>
      </c>
      <c r="D142" s="25">
        <f>IFERROR(_xll.ECONOMATICA($C$5,"Wag&amp;SoBe",,D$119,,,$C$7,$C$8,,,,IF(Base!$C$2=1,{"jtb.opcconscontr=2"},{"jtb.opcconscontr=3"})),"-")</f>
        <v>830000</v>
      </c>
      <c r="E142" s="47">
        <f>IFERROR(_xll.ECONOMATICA($C$5,"Wag&amp;SoBe",,E$119,,,$C$7,$C$8,,,,IF(Base!$C$2=1,{"jtb.opcconscontr=2"},{"jtb.opcconscontr=3"})),"-")</f>
        <v>-843000.00000097696</v>
      </c>
      <c r="G142" s="2"/>
      <c r="H142" s="2"/>
      <c r="I142" s="2"/>
      <c r="J142" s="2"/>
      <c r="K142" s="2"/>
    </row>
    <row r="143" spans="1:11" customFormat="1" x14ac:dyDescent="0.25">
      <c r="A143" s="2"/>
      <c r="B143" s="75" t="s">
        <v>224</v>
      </c>
      <c r="C143" s="25">
        <f>IFERROR(_xll.ECONOMATICA($C$5,"TaxBur",,C$119,,,$C$7,$C$8,,,,IF(Base!$C$2=1,{"jtb.opcconscontr=2"},{"jtb.opcconscontr=3"})),"-")</f>
        <v>2941000</v>
      </c>
      <c r="D143" s="25">
        <f>IFERROR(_xll.ECONOMATICA($C$5,"TaxBur",,D$119,,,$C$7,$C$8,,,,IF(Base!$C$2=1,{"jtb.opcconscontr=2"},{"jtb.opcconscontr=3"})),"-")</f>
        <v>809000.00000097696</v>
      </c>
      <c r="E143" s="47">
        <f>IFERROR(_xll.ECONOMATICA($C$5,"TaxBur",,E$119,,,$C$7,$C$8,,,,IF(Base!$C$2=1,{"jtb.opcconscontr=2"},{"jtb.opcconscontr=3"})),"-")</f>
        <v>377000</v>
      </c>
      <c r="G143" s="2"/>
      <c r="H143" s="2"/>
      <c r="I143" s="2"/>
      <c r="J143" s="2"/>
      <c r="K143" s="2"/>
    </row>
    <row r="144" spans="1:11" customFormat="1" x14ac:dyDescent="0.25">
      <c r="A144" s="2"/>
      <c r="B144" s="75" t="s">
        <v>442</v>
      </c>
      <c r="C144" s="25">
        <f>IFERROR(_xll.ECONOMATICA($C$5,"OtDe",,C$119,,,$C$7,$C$8,,,,IF(Base!$C$2=1,{"jtb.opcconscontr=2"},{"jtb.opcconscontr=3"})),"-")</f>
        <v>0</v>
      </c>
      <c r="D144" s="25">
        <f>IFERROR(_xll.ECONOMATICA($C$5,"OtDe",,D$119,,,$C$7,$C$8,,,,IF(Base!$C$2=1,{"jtb.opcconscontr=2"},{"jtb.opcconscontr=3"})),"-")</f>
        <v>0</v>
      </c>
      <c r="E144" s="47">
        <f>IFERROR(_xll.ECONOMATICA($C$5,"OtDe",,E$119,,,$C$7,$C$8,,,,IF(Base!$C$2=1,{"jtb.opcconscontr=2"},{"jtb.opcconscontr=3"})),"-")</f>
        <v>0</v>
      </c>
      <c r="G144" s="2"/>
      <c r="H144" s="2"/>
      <c r="I144" s="2"/>
      <c r="J144" s="2"/>
      <c r="K144" s="2"/>
    </row>
    <row r="145" spans="1:11" customFormat="1" x14ac:dyDescent="0.25">
      <c r="A145" s="2"/>
      <c r="B145" s="75" t="s">
        <v>443</v>
      </c>
      <c r="C145" s="25">
        <f>IFERROR(_xll.ECONOMATICA($C$5,"Provis",,C$119,,,$C$7,$C$8,,,,IF(Base!$C$2=1,{"jtb.opcconscontr=2"},{"jtb.opcconscontr=3"})),"-")</f>
        <v>-1002000</v>
      </c>
      <c r="D145" s="25">
        <f>IFERROR(_xll.ECONOMATICA($C$5,"Provis",,D$119,,,$C$7,$C$8,,,,IF(Base!$C$2=1,{"jtb.opcconscontr=2"},{"jtb.opcconscontr=3"})),"-")</f>
        <v>-1943000.00000195</v>
      </c>
      <c r="E145" s="47">
        <f>IFERROR(_xll.ECONOMATICA($C$5,"Provis",,E$119,,,$C$7,$C$8,,,,IF(Base!$C$2=1,{"jtb.opcconscontr=2"},{"jtb.opcconscontr=3"})),"-")</f>
        <v>-1639000.00000195</v>
      </c>
      <c r="G145" s="2"/>
      <c r="H145" s="2"/>
      <c r="I145" s="2"/>
      <c r="J145" s="2"/>
      <c r="K145" s="2"/>
    </row>
    <row r="146" spans="1:11" customFormat="1" x14ac:dyDescent="0.25">
      <c r="A146" s="2"/>
      <c r="B146" s="75" t="s">
        <v>223</v>
      </c>
      <c r="C146" s="25">
        <f>IFERROR(_xll.ECONOMATICA($C$5,"OtLi",,C$119,,,$C$7,$C$8,,,,IF(Base!$C$2=1,{"jtb.opcconscontr=2"},{"jtb.opcconscontr=3"})),"-")</f>
        <v>-22781000</v>
      </c>
      <c r="D146" s="25">
        <f>IFERROR(_xll.ECONOMATICA($C$5,"OtLi",,D$119,,,$C$7,$C$8,,,,IF(Base!$C$2=1,{"jtb.opcconscontr=2"},{"jtb.opcconscontr=3"})),"-")</f>
        <v>1976000.00000195</v>
      </c>
      <c r="E146" s="47">
        <f>IFERROR(_xll.ECONOMATICA($C$5,"OtLi",,E$119,,,$C$7,$C$8,,,,IF(Base!$C$2=1,{"jtb.opcconscontr=2"},{"jtb.opcconscontr=3"})),"-")</f>
        <v>1172000.00000195</v>
      </c>
      <c r="G146" s="2"/>
      <c r="H146" s="2"/>
      <c r="I146" s="2"/>
      <c r="J146" s="2"/>
      <c r="K146" s="2"/>
    </row>
    <row r="147" spans="1:11" customFormat="1" x14ac:dyDescent="0.25">
      <c r="A147" s="2"/>
      <c r="B147" s="75" t="s">
        <v>444</v>
      </c>
      <c r="C147" s="25">
        <f>IFERROR(_xll.ECONOMATICA($C$5,"InterRec",,C$119,,,$C$7,$C$8,,,,IF(Base!$C$2=1,{"jtb.opcconscontr=2"},{"jtb.opcconscontr=3"})),"-")</f>
        <v>0</v>
      </c>
      <c r="D147" s="25">
        <f>IFERROR(_xll.ECONOMATICA($C$5,"InterRec",,D$119,,,$C$7,$C$8,,,,IF(Base!$C$2=1,{"jtb.opcconscontr=2"},{"jtb.opcconscontr=3"})),"-")</f>
        <v>0</v>
      </c>
      <c r="E147" s="47">
        <f>IFERROR(_xll.ECONOMATICA($C$5,"InterRec",,E$119,,,$C$7,$C$8,,,,IF(Base!$C$2=1,{"jtb.opcconscontr=2"},{"jtb.opcconscontr=3"})),"-")</f>
        <v>0</v>
      </c>
      <c r="G147" s="2"/>
      <c r="H147" s="2"/>
      <c r="I147" s="2"/>
      <c r="J147" s="2"/>
      <c r="K147" s="2"/>
    </row>
    <row r="148" spans="1:11" customFormat="1" x14ac:dyDescent="0.25">
      <c r="A148" s="2"/>
      <c r="B148" s="75" t="s">
        <v>426</v>
      </c>
      <c r="C148" s="25">
        <f>IFERROR(_xll.ECONOMATICA($C$5,"InterExp",,C$119,,,$C$7,$C$8,,,,IF(Base!$C$2=1,{"jtb.opcconscontr=2"},{"jtb.opcconscontr=3"})),"-")</f>
        <v>0</v>
      </c>
      <c r="D148" s="25">
        <f>IFERROR(_xll.ECONOMATICA($C$5,"InterExp",,D$119,,,$C$7,$C$8,,,,IF(Base!$C$2=1,{"jtb.opcconscontr=2"},{"jtb.opcconscontr=3"})),"-")</f>
        <v>0</v>
      </c>
      <c r="E148" s="47">
        <f>IFERROR(_xll.ECONOMATICA($C$5,"InterExp",,E$119,,,$C$7,$C$8,,,,IF(Base!$C$2=1,{"jtb.opcconscontr=2"},{"jtb.opcconscontr=3"})),"-")</f>
        <v>0</v>
      </c>
      <c r="G148" s="2"/>
      <c r="H148" s="2"/>
      <c r="I148" s="2"/>
      <c r="J148" s="2"/>
      <c r="K148" s="2"/>
    </row>
    <row r="149" spans="1:11" customFormat="1" x14ac:dyDescent="0.25">
      <c r="A149" s="2"/>
      <c r="B149" s="68" t="s">
        <v>445</v>
      </c>
      <c r="C149" s="25">
        <f>IFERROR(_xll.ECONOMATICA($C$5,"InTaxPay",,C$119,,,$C$7,$C$8,,,,IF(Base!$C$2=1,{"jtb.opcconscontr=2"},{"jtb.opcconscontr=3"})),"-")</f>
        <v>-829000</v>
      </c>
      <c r="D149" s="25">
        <f>IFERROR(_xll.ECONOMATICA($C$5,"InTaxPay",,D$119,,,$C$7,$C$8,,,,IF(Base!$C$2=1,{"jtb.opcconscontr=2"},{"jtb.opcconscontr=3"})),"-")</f>
        <v>-5055000</v>
      </c>
      <c r="E149" s="47">
        <f>IFERROR(_xll.ECONOMATICA($C$5,"InTaxPay",,E$119,,,$C$7,$C$8,,,,IF(Base!$C$2=1,{"jtb.opcconscontr=2"},{"jtb.opcconscontr=3"})),"-")</f>
        <v>-1456000.00000195</v>
      </c>
      <c r="G149" s="2"/>
      <c r="H149" s="2"/>
      <c r="I149" s="2"/>
      <c r="J149" s="2"/>
      <c r="K149" s="2"/>
    </row>
    <row r="150" spans="1:11" customFormat="1" ht="26.25" x14ac:dyDescent="0.25">
      <c r="A150" s="2"/>
      <c r="B150" s="74" t="s">
        <v>446</v>
      </c>
      <c r="C150" s="24">
        <f>IFERROR(_xll.ECONOMATICA($C$5,"Tot Cash Inv Act",,C$119,,,$C$7,$C$8,,,,IF(Base!$C$2=1,{"jtb.opcconscontr=2"},{"jtb.opcconscontr=3"})),"-")</f>
        <v>-28360000</v>
      </c>
      <c r="D150" s="24">
        <f>IFERROR(_xll.ECONOMATICA($C$5,"Tot Cash Inv Act",,D$119,,,$C$7,$C$8,,,,IF(Base!$C$2=1,{"jtb.opcconscontr=2"},{"jtb.opcconscontr=3"})),"-")</f>
        <v>-77582000.000125006</v>
      </c>
      <c r="E150" s="46">
        <f>IFERROR(_xll.ECONOMATICA($C$5,"Tot Cash Inv Act",,E$119,,,$C$7,$C$8,,,,IF(Base!$C$2=1,{"jtb.opcconscontr=2"},{"jtb.opcconscontr=3"})),"-")</f>
        <v>-45496000</v>
      </c>
      <c r="G150" s="2"/>
      <c r="H150" s="2"/>
      <c r="I150" s="2"/>
      <c r="J150" s="2"/>
      <c r="K150" s="2"/>
    </row>
    <row r="151" spans="1:11" customFormat="1" ht="25.5" x14ac:dyDescent="0.25">
      <c r="A151" s="2"/>
      <c r="B151" s="68" t="s">
        <v>447</v>
      </c>
      <c r="C151" s="25">
        <f>IFERROR(_xll.ECONOMATICA($C$5,"Addition PPE",,C$119,,,$C$7,$C$8,,,,IF(Base!$C$2=1,{"jtb.opcconscontr=2"},{"jtb.opcconscontr=3"})),"-")</f>
        <v>-33899000</v>
      </c>
      <c r="D151" s="25">
        <f>IFERROR(_xll.ECONOMATICA($C$5,"Addition PPE",,D$119,,,$C$7,$C$8,,,,IF(Base!$C$2=1,{"jtb.opcconscontr=2"},{"jtb.opcconscontr=3"})),"-")</f>
        <v>-74315000</v>
      </c>
      <c r="E151" s="47">
        <f>IFERROR(_xll.ECONOMATICA($C$5,"Addition PPE",,E$119,,,$C$7,$C$8,,,,IF(Base!$C$2=1,{"jtb.opcconscontr=2"},{"jtb.opcconscontr=3"})),"-")</f>
        <v>-67886000</v>
      </c>
      <c r="G151" s="2"/>
      <c r="H151" s="2"/>
      <c r="I151" s="2"/>
      <c r="J151" s="2"/>
      <c r="K151" s="2"/>
    </row>
    <row r="152" spans="1:11" customFormat="1" x14ac:dyDescent="0.25">
      <c r="A152" s="2"/>
      <c r="B152" s="68" t="s">
        <v>448</v>
      </c>
      <c r="C152" s="25">
        <f>IFERROR(_xll.ECONOMATICA($C$5,"IncEqInAs",,C$119,,,$C$7,$C$8,,,,IF(Base!$C$2=1,{"jtb.opcconscontr=2"},{"jtb.opcconscontr=3"})),"-")</f>
        <v>-284000</v>
      </c>
      <c r="D152" s="25">
        <f>IFERROR(_xll.ECONOMATICA($C$5,"IncEqInAs",,D$119,,,$C$7,$C$8,,,,IF(Base!$C$2=1,{"jtb.opcconscontr=2"},{"jtb.opcconscontr=3"})),"-")</f>
        <v>-4676000</v>
      </c>
      <c r="E152" s="47">
        <f>IFERROR(_xll.ECONOMATICA($C$5,"IncEqInAs",,E$119,,,$C$7,$C$8,,,,IF(Base!$C$2=1,{"jtb.opcconscontr=2"},{"jtb.opcconscontr=3"})),"-")</f>
        <v>0</v>
      </c>
      <c r="G152" s="2"/>
      <c r="H152" s="2"/>
      <c r="I152" s="2"/>
      <c r="J152" s="2"/>
      <c r="K152" s="2"/>
    </row>
    <row r="153" spans="1:11" customFormat="1" x14ac:dyDescent="0.25">
      <c r="A153" s="2"/>
      <c r="B153" s="68" t="s">
        <v>449</v>
      </c>
      <c r="C153" s="25">
        <f>IFERROR(_xll.ECONOMATICA($C$5,"AcInAs",,C$119,,,$C$7,$C$8,,,,IF(Base!$C$2=1,{"jtb.opcconscontr=2"},{"jtb.opcconscontr=3"})),"-")</f>
        <v>0</v>
      </c>
      <c r="D153" s="25">
        <f>IFERROR(_xll.ECONOMATICA($C$5,"AcInAs",,D$119,,,$C$7,$C$8,,,,IF(Base!$C$2=1,{"jtb.opcconscontr=2"},{"jtb.opcconscontr=3"})),"-")</f>
        <v>0</v>
      </c>
      <c r="E153" s="47">
        <f>IFERROR(_xll.ECONOMATICA($C$5,"AcInAs",,E$119,,,$C$7,$C$8,,,,IF(Base!$C$2=1,{"jtb.opcconscontr=2"},{"jtb.opcconscontr=3"})),"-")</f>
        <v>0</v>
      </c>
      <c r="G153" s="2"/>
      <c r="H153" s="2"/>
      <c r="I153" s="2"/>
      <c r="J153" s="2"/>
      <c r="K153" s="2"/>
    </row>
    <row r="154" spans="1:11" customFormat="1" x14ac:dyDescent="0.25">
      <c r="A154" s="2"/>
      <c r="B154" s="68" t="s">
        <v>450</v>
      </c>
      <c r="C154" s="25">
        <f>IFERROR(_xll.ECONOMATICA($C$5,"AdInSo",,C$119,,,$C$7,$C$8,,,,IF(Base!$C$2=1,{"jtb.opcconscontr=2"},{"jtb.opcconscontr=3"})),"-")</f>
        <v>0</v>
      </c>
      <c r="D154" s="25">
        <f>IFERROR(_xll.ECONOMATICA($C$5,"AdInSo",,D$119,,,$C$7,$C$8,,,,IF(Base!$C$2=1,{"jtb.opcconscontr=2"},{"jtb.opcconscontr=3"})),"-")</f>
        <v>0</v>
      </c>
      <c r="E154" s="47">
        <f>IFERROR(_xll.ECONOMATICA($C$5,"AdInSo",,E$119,,,$C$7,$C$8,,,,IF(Base!$C$2=1,{"jtb.opcconscontr=2"},{"jtb.opcconscontr=3"})),"-")</f>
        <v>0</v>
      </c>
      <c r="G154" s="2"/>
      <c r="H154" s="2"/>
      <c r="I154" s="2"/>
      <c r="J154" s="2"/>
      <c r="K154" s="2"/>
    </row>
    <row r="155" spans="1:11" customFormat="1" x14ac:dyDescent="0.25">
      <c r="A155" s="2"/>
      <c r="B155" s="68" t="s">
        <v>451</v>
      </c>
      <c r="C155" s="25">
        <f>IFERROR(_xll.ECONOMATICA($C$5,"DeOtIn",,C$119,,,$C$7,$C$8,,,,IF(Base!$C$2=1,{"jtb.opcconscontr=2"},{"jtb.opcconscontr=3"})),"-")</f>
        <v>0</v>
      </c>
      <c r="D155" s="25">
        <f>IFERROR(_xll.ECONOMATICA($C$5,"DeOtIn",,D$119,,,$C$7,$C$8,,,,IF(Base!$C$2=1,{"jtb.opcconscontr=2"},{"jtb.opcconscontr=3"})),"-")</f>
        <v>0</v>
      </c>
      <c r="E155" s="47">
        <f>IFERROR(_xll.ECONOMATICA($C$5,"DeOtIn",,E$119,,,$C$7,$C$8,,,,IF(Base!$C$2=1,{"jtb.opcconscontr=2"},{"jtb.opcconscontr=3"})),"-")</f>
        <v>0</v>
      </c>
      <c r="G155" s="2"/>
      <c r="H155" s="2"/>
      <c r="I155" s="2"/>
      <c r="J155" s="2"/>
      <c r="K155" s="2"/>
    </row>
    <row r="156" spans="1:11" customFormat="1" x14ac:dyDescent="0.25">
      <c r="A156" s="2"/>
      <c r="B156" s="68" t="s">
        <v>452</v>
      </c>
      <c r="C156" s="25">
        <f>IFERROR(_xll.ECONOMATICA($C$5,"ShaCon",,C$119,,,$C$7,$C$8,,,,IF(Base!$C$2=1,{"jtb.opcconscontr=2"},{"jtb.opcconscontr=3"})),"-")</f>
        <v>0</v>
      </c>
      <c r="D156" s="25">
        <f>IFERROR(_xll.ECONOMATICA($C$5,"ShaCon",,D$119,,,$C$7,$C$8,,,,IF(Base!$C$2=1,{"jtb.opcconscontr=2"},{"jtb.opcconscontr=3"})),"-")</f>
        <v>0</v>
      </c>
      <c r="E156" s="47">
        <f>IFERROR(_xll.ECONOMATICA($C$5,"ShaCon",,E$119,,,$C$7,$C$8,,,,IF(Base!$C$2=1,{"jtb.opcconscontr=2"},{"jtb.opcconscontr=3"})),"-")</f>
        <v>0</v>
      </c>
      <c r="G156" s="2"/>
      <c r="H156" s="2"/>
      <c r="I156" s="2"/>
      <c r="J156" s="2"/>
      <c r="K156" s="2"/>
    </row>
    <row r="157" spans="1:11" customFormat="1" x14ac:dyDescent="0.25">
      <c r="A157" s="2"/>
      <c r="B157" s="68" t="s">
        <v>454</v>
      </c>
      <c r="C157" s="25">
        <f>IFERROR(_xll.ECONOMATICA($C$5,"LoaGra",,C$119,,,$C$7,$C$8,,,,IF(Base!$C$2=1,{"jtb.opcconscontr=2"},{"jtb.opcconscontr=3"})),"-")</f>
        <v>0</v>
      </c>
      <c r="D157" s="25">
        <f>IFERROR(_xll.ECONOMATICA($C$5,"LoaGra",,D$119,,,$C$7,$C$8,,,,IF(Base!$C$2=1,{"jtb.opcconscontr=2"},{"jtb.opcconscontr=3"})),"-")</f>
        <v>0</v>
      </c>
      <c r="E157" s="47">
        <f>IFERROR(_xll.ECONOMATICA($C$5,"LoaGra",,E$119,,,$C$7,$C$8,,,,IF(Base!$C$2=1,{"jtb.opcconscontr=2"},{"jtb.opcconscontr=3"})),"-")</f>
        <v>0</v>
      </c>
      <c r="G157" s="2"/>
      <c r="H157" s="2"/>
      <c r="I157" s="2"/>
      <c r="J157" s="2"/>
      <c r="K157" s="2"/>
    </row>
    <row r="158" spans="1:11" customFormat="1" x14ac:dyDescent="0.25">
      <c r="A158" s="2"/>
      <c r="B158" s="68" t="s">
        <v>455</v>
      </c>
      <c r="C158" s="25">
        <f>IFERROR(_xll.ECONOMATICA($C$5,"DivEar",,C$119,,,$C$7,$C$8,,,,IF(Base!$C$2=1,{"jtb.opcconscontr=2"},{"jtb.opcconscontr=3"})),"-")</f>
        <v>125000</v>
      </c>
      <c r="D158" s="25">
        <f>IFERROR(_xll.ECONOMATICA($C$5,"DivEar",,D$119,,,$C$7,$C$8,,,,IF(Base!$C$2=1,{"jtb.opcconscontr=2"},{"jtb.opcconscontr=3"})),"-")</f>
        <v>0</v>
      </c>
      <c r="E158" s="47">
        <f>IFERROR(_xll.ECONOMATICA($C$5,"DivEar",,E$119,,,$C$7,$C$8,,,,IF(Base!$C$2=1,{"jtb.opcconscontr=2"},{"jtb.opcconscontr=3"})),"-")</f>
        <v>0</v>
      </c>
      <c r="G158" s="2"/>
      <c r="H158" s="2"/>
      <c r="I158" s="2"/>
      <c r="J158" s="2"/>
      <c r="K158" s="2"/>
    </row>
    <row r="159" spans="1:11" customFormat="1" x14ac:dyDescent="0.25">
      <c r="A159" s="2"/>
      <c r="B159" s="68" t="s">
        <v>453</v>
      </c>
      <c r="C159" s="25">
        <f>IFERROR(_xll.ECONOMATICA($C$5,"OtrActInv",,C$119,,,$C$7,$C$8,,,,IF(Base!$C$2=1,{"jtb.opcconscontr=2"},{"jtb.opcconscontr=3"})),"-")</f>
        <v>5698000</v>
      </c>
      <c r="D159" s="25">
        <f>IFERROR(_xll.ECONOMATICA($C$5,"OtrActInv",,D$119,,,$C$7,$C$8,,,,IF(Base!$C$2=1,{"jtb.opcconscontr=2"},{"jtb.opcconscontr=3"})),"-")</f>
        <v>1409000</v>
      </c>
      <c r="E159" s="47">
        <f>IFERROR(_xll.ECONOMATICA($C$5,"OtrActInv",,E$119,,,$C$7,$C$8,,,,IF(Base!$C$2=1,{"jtb.opcconscontr=2"},{"jtb.opcconscontr=3"})),"-")</f>
        <v>22390000.0000313</v>
      </c>
      <c r="G159" s="2"/>
      <c r="H159" s="2"/>
      <c r="I159" s="2"/>
      <c r="J159" s="2"/>
      <c r="K159" s="2"/>
    </row>
    <row r="160" spans="1:11" customFormat="1" ht="26.25" x14ac:dyDescent="0.25">
      <c r="A160" s="2"/>
      <c r="B160" s="74" t="s">
        <v>456</v>
      </c>
      <c r="C160" s="24">
        <f>IFERROR(_xll.ECONOMATICA($C$5,"Tot Cash Fin Act",,C$119,,,$C$7,$C$8,,,,IF(Base!$C$2=1,{"jtb.opcconscontr=2"},{"jtb.opcconscontr=3"})),"-")</f>
        <v>-8864000</v>
      </c>
      <c r="D160" s="24">
        <f>IFERROR(_xll.ECONOMATICA($C$5,"Tot Cash Fin Act",,D$119,,,$C$7,$C$8,,,,IF(Base!$C$2=1,{"jtb.opcconscontr=2"},{"jtb.opcconscontr=3"})),"-")</f>
        <v>-1025000</v>
      </c>
      <c r="E160" s="46">
        <f>IFERROR(_xll.ECONOMATICA($C$5,"Tot Cash Fin Act",,E$119,,,$C$7,$C$8,,,,IF(Base!$C$2=1,{"jtb.opcconscontr=2"},{"jtb.opcconscontr=3"})),"-")</f>
        <v>-37555000.000062503</v>
      </c>
      <c r="G160" s="2"/>
      <c r="H160" s="2"/>
      <c r="I160" s="2"/>
      <c r="J160" s="2"/>
      <c r="K160" s="2"/>
    </row>
    <row r="161" spans="1:11" customFormat="1" x14ac:dyDescent="0.25">
      <c r="A161" s="2"/>
      <c r="B161" s="68" t="s">
        <v>457</v>
      </c>
      <c r="C161" s="25">
        <f>IFERROR(_xll.ECONOMATICA($C$5,"Div Paid",,C$119,,,$C$7,$C$8,,,,IF(Base!$C$2=1,{"jtb.opcconscontr=2"},{"jtb.opcconscontr=3"})),"-")</f>
        <v>0</v>
      </c>
      <c r="D161" s="25">
        <f>IFERROR(_xll.ECONOMATICA($C$5,"Div Paid",,D$119,,,$C$7,$C$8,,,,IF(Base!$C$2=1,{"jtb.opcconscontr=2"},{"jtb.opcconscontr=3"})),"-")</f>
        <v>0</v>
      </c>
      <c r="E161" s="47">
        <f>IFERROR(_xll.ECONOMATICA($C$5,"Div Paid",,E$119,,,$C$7,$C$8,,,,IF(Base!$C$2=1,{"jtb.opcconscontr=2"},{"jtb.opcconscontr=3"})),"-")</f>
        <v>0</v>
      </c>
      <c r="G161" s="2"/>
      <c r="H161" s="2"/>
      <c r="I161" s="2"/>
      <c r="J161" s="2"/>
      <c r="K161" s="2"/>
    </row>
    <row r="162" spans="1:11" customFormat="1" x14ac:dyDescent="0.25">
      <c r="A162" s="2"/>
      <c r="B162" s="68" t="s">
        <v>458</v>
      </c>
      <c r="C162" s="25">
        <f>IFERROR(_xll.ECONOMATICA($C$5,"LoansObt",,C$119,,,$C$7,$C$8,,,,IF(Base!$C$2=1,{"jtb.opcconscontr=2"},{"jtb.opcconscontr=3"})),"-")</f>
        <v>16146999.9999844</v>
      </c>
      <c r="D162" s="25">
        <f>IFERROR(_xll.ECONOMATICA($C$5,"LoansObt",,D$119,,,$C$7,$C$8,,,,IF(Base!$C$2=1,{"jtb.opcconscontr=2"},{"jtb.opcconscontr=3"})),"-")</f>
        <v>55239000</v>
      </c>
      <c r="E162" s="47">
        <f>IFERROR(_xll.ECONOMATICA($C$5,"LoansObt",,E$119,,,$C$7,$C$8,,,,IF(Base!$C$2=1,{"jtb.opcconscontr=2"},{"jtb.opcconscontr=3"})),"-")</f>
        <v>81588000.000125006</v>
      </c>
      <c r="G162" s="2"/>
      <c r="H162" s="2"/>
      <c r="I162" s="2"/>
      <c r="J162" s="2"/>
      <c r="K162" s="2"/>
    </row>
    <row r="163" spans="1:11" customFormat="1" x14ac:dyDescent="0.25">
      <c r="A163" s="2"/>
      <c r="B163" s="68" t="s">
        <v>459</v>
      </c>
      <c r="C163" s="25">
        <f>IFERROR(_xll.ECONOMATICA($C$5,"LoanPay",,C$119,,,$C$7,$C$8,,,,IF(Base!$C$2=1,{"jtb.opcconscontr=2"},{"jtb.opcconscontr=3"})),"-")</f>
        <v>-14528000</v>
      </c>
      <c r="D163" s="25">
        <f>IFERROR(_xll.ECONOMATICA($C$5,"LoanPay",,D$119,,,$C$7,$C$8,,,,IF(Base!$C$2=1,{"jtb.opcconscontr=2"},{"jtb.opcconscontr=3"})),"-")</f>
        <v>-33292000</v>
      </c>
      <c r="E163" s="47">
        <f>IFERROR(_xll.ECONOMATICA($C$5,"LoanPay",,E$119,,,$C$7,$C$8,,,,IF(Base!$C$2=1,{"jtb.opcconscontr=2"},{"jtb.opcconscontr=3"})),"-")</f>
        <v>-79057000.000125006</v>
      </c>
      <c r="G163" s="2"/>
      <c r="H163" s="2"/>
      <c r="I163" s="2"/>
      <c r="J163" s="2"/>
      <c r="K163" s="2"/>
    </row>
    <row r="164" spans="1:11" customFormat="1" x14ac:dyDescent="0.25">
      <c r="A164" s="2"/>
      <c r="B164" s="68" t="s">
        <v>460</v>
      </c>
      <c r="C164" s="25">
        <f>IFERROR(_xll.ECONOMATICA($C$5,"PayIntFi",,C$119,,,$C$7,$C$8,,,,IF(Base!$C$2=1,{"jtb.opcconscontr=2"},{"jtb.opcconscontr=3"})),"-")</f>
        <v>-10363000</v>
      </c>
      <c r="D164" s="25">
        <f>IFERROR(_xll.ECONOMATICA($C$5,"PayIntFi",,D$119,,,$C$7,$C$8,,,,IF(Base!$C$2=1,{"jtb.opcconscontr=2"},{"jtb.opcconscontr=3"})),"-")</f>
        <v>-17121000.000015602</v>
      </c>
      <c r="E164" s="47">
        <f>IFERROR(_xll.ECONOMATICA($C$5,"PayIntFi",,E$119,,,$C$7,$C$8,,,,IF(Base!$C$2=1,{"jtb.opcconscontr=2"},{"jtb.opcconscontr=3"})),"-")</f>
        <v>-30027000</v>
      </c>
      <c r="G164" s="2"/>
      <c r="H164" s="2"/>
      <c r="I164" s="2"/>
      <c r="J164" s="2"/>
      <c r="K164" s="2"/>
    </row>
    <row r="165" spans="1:11" customFormat="1" x14ac:dyDescent="0.25">
      <c r="A165" s="2"/>
      <c r="B165" s="68" t="s">
        <v>461</v>
      </c>
      <c r="C165" s="25">
        <f>IFERROR(_xll.ECONOMATICA($C$5,"OtFinAct",,C$119,,,$C$7,$C$8,,,,IF(Base!$C$2=1,{"jtb.opcconscontr=2"},{"jtb.opcconscontr=3"})),"-")</f>
        <v>-120000</v>
      </c>
      <c r="D165" s="25">
        <f>IFERROR(_xll.ECONOMATICA($C$5,"OtFinAct",,D$119,,,$C$7,$C$8,,,,IF(Base!$C$2=1,{"jtb.opcconscontr=2"},{"jtb.opcconscontr=3"})),"-")</f>
        <v>-5851000.0000078101</v>
      </c>
      <c r="E165" s="47">
        <f>IFERROR(_xll.ECONOMATICA($C$5,"OtFinAct",,E$119,,,$C$7,$C$8,,,,IF(Base!$C$2=1,{"jtb.opcconscontr=2"},{"jtb.opcconscontr=3"})),"-")</f>
        <v>-10059000.0000156</v>
      </c>
      <c r="G165" s="2"/>
      <c r="H165" s="2"/>
      <c r="I165" s="2"/>
      <c r="J165" s="2"/>
      <c r="K165" s="2"/>
    </row>
    <row r="166" spans="1:11" customFormat="1" ht="26.25" x14ac:dyDescent="0.25">
      <c r="A166" s="2"/>
      <c r="B166" s="74" t="s">
        <v>463</v>
      </c>
      <c r="C166" s="24">
        <f>IFERROR(_xll.ECONOMATICA($C$5,"ExcRa&amp;Oth",,C$119,,,$C$7,$C$8,,,,IF(Base!$C$2=1,{"jtb.opcconscontr=2"},{"jtb.opcconscontr=3"})),"-")</f>
        <v>5826000</v>
      </c>
      <c r="D166" s="24">
        <f>IFERROR(_xll.ECONOMATICA($C$5,"ExcRa&amp;Oth",,D$119,,,$C$7,$C$8,,,,IF(Base!$C$2=1,{"jtb.opcconscontr=2"},{"jtb.opcconscontr=3"})),"-")</f>
        <v>5568000</v>
      </c>
      <c r="E166" s="46">
        <f>IFERROR(_xll.ECONOMATICA($C$5,"ExcRa&amp;Oth",,E$119,,,$C$7,$C$8,,,,IF(Base!$C$2=1,{"jtb.opcconscontr=2"},{"jtb.opcconscontr=3"})),"-")</f>
        <v>7892000.0000078101</v>
      </c>
      <c r="G166" s="2"/>
      <c r="H166" s="2"/>
      <c r="I166" s="2"/>
      <c r="J166" s="2"/>
      <c r="K166" s="2"/>
    </row>
    <row r="167" spans="1:11" customFormat="1" ht="26.25" x14ac:dyDescent="0.25">
      <c r="A167" s="2"/>
      <c r="B167" s="77" t="s">
        <v>462</v>
      </c>
      <c r="C167" s="40">
        <f>IFERROR(_xll.ECONOMATICA($C$5,"Net Change Cash",,C$119,,,$C$7,$C$8,,,,IF(Base!$C$2=1,{"jtb.opcconscontr=2"},{"jtb.opcconscontr=3"})),"-")</f>
        <v>17513000</v>
      </c>
      <c r="D167" s="40">
        <f>IFERROR(_xll.ECONOMATICA($C$5,"Net Change Cash",,D$119,,,$C$7,$C$8,,,,IF(Base!$C$2=1,{"jtb.opcconscontr=2"},{"jtb.opcconscontr=3"})),"-")</f>
        <v>10347000.0000156</v>
      </c>
      <c r="E167" s="49">
        <f>IFERROR(_xll.ECONOMATICA($C$5,"Net Change Cash",,E$119,,,$C$7,$C$8,,,,IF(Base!$C$2=1,{"jtb.opcconscontr=2"},{"jtb.opcconscontr=3"})),"-")</f>
        <v>17441000</v>
      </c>
      <c r="G167" s="2"/>
      <c r="H167" s="2"/>
      <c r="I167" s="2"/>
      <c r="J167" s="2"/>
      <c r="K167" s="2"/>
    </row>
    <row r="168" spans="1:11" customFormat="1" x14ac:dyDescent="0.25">
      <c r="A168" s="2"/>
      <c r="B168" s="78"/>
      <c r="C168" s="24"/>
      <c r="D168" s="24"/>
      <c r="E168" s="46"/>
      <c r="G168" s="2"/>
      <c r="H168" s="2"/>
      <c r="I168" s="2"/>
      <c r="J168" s="2"/>
      <c r="K168" s="2"/>
    </row>
    <row r="169" spans="1:11" customFormat="1" ht="26.25" x14ac:dyDescent="0.25">
      <c r="A169" s="2"/>
      <c r="B169" s="74" t="s">
        <v>464</v>
      </c>
      <c r="C169" s="24">
        <f>IFERROR(_xll.ECONOMATICA($C$5,"FunBeg",,C$119,,,$C$7,$C$8,,,,IF(Base!$C$2=1,{"jtb.opcconscontr=2"},{"jtb.opcconscontr=3"})),"-")</f>
        <v>28738000</v>
      </c>
      <c r="D169" s="24">
        <f>IFERROR(_xll.ECONOMATICA($C$5,"FunBeg",,D$119,,,$C$7,$C$8,,,,IF(Base!$C$2=1,{"jtb.opcconscontr=2"},{"jtb.opcconscontr=3"})),"-")</f>
        <v>46028000</v>
      </c>
      <c r="E169" s="46">
        <f>IFERROR(_xll.ECONOMATICA($C$5,"FunBeg",,E$119,,,$C$7,$C$8,,,,IF(Base!$C$2=1,{"jtb.opcconscontr=2"},{"jtb.opcconscontr=3"})),"-")</f>
        <v>66100000</v>
      </c>
      <c r="G169" s="2"/>
      <c r="H169" s="2"/>
      <c r="I169" s="2"/>
      <c r="J169" s="2"/>
      <c r="K169" s="2"/>
    </row>
    <row r="170" spans="1:11" customFormat="1" x14ac:dyDescent="0.25">
      <c r="A170" s="2"/>
      <c r="B170" s="75" t="s">
        <v>465</v>
      </c>
      <c r="C170" s="25">
        <f>IFERROR(_xll.ECONOMATICA($C$5,"AdjFuBeg",,C$119,,,$C$7,$C$8,,,,IF(Base!$C$2=1,{"jtb.opcconscontr=2"},{"jtb.opcconscontr=3"})),"-")</f>
        <v>0</v>
      </c>
      <c r="D170" s="25">
        <f>IFERROR(_xll.ECONOMATICA($C$5,"AdjFuBeg",,D$119,,,$C$7,$C$8,,,,IF(Base!$C$2=1,{"jtb.opcconscontr=2"},{"jtb.opcconscontr=3"})),"-")</f>
        <v>0</v>
      </c>
      <c r="E170" s="47">
        <f>IFERROR(_xll.ECONOMATICA($C$5,"AdjFuBeg",,E$119,,,$C$7,$C$8,,,,IF(Base!$C$2=1,{"jtb.opcconscontr=2"},{"jtb.opcconscontr=3"})),"-")</f>
        <v>0</v>
      </c>
      <c r="G170" s="2"/>
      <c r="H170" s="2"/>
      <c r="I170" s="2"/>
      <c r="J170" s="2"/>
      <c r="K170" s="2"/>
    </row>
    <row r="171" spans="1:11" customFormat="1" ht="26.25" x14ac:dyDescent="0.25">
      <c r="A171" s="2"/>
      <c r="B171" s="77" t="s">
        <v>466</v>
      </c>
      <c r="C171" s="40">
        <f>IFERROR(_xll.ECONOMATICA($C$5,"FunEnd",,C$119,,,$C$7,$C$8,,,,IF(Base!$C$2=1,{"jtb.opcconscontr=2"},{"jtb.opcconscontr=3"})),"-")</f>
        <v>46251000</v>
      </c>
      <c r="D171" s="40">
        <f>IFERROR(_xll.ECONOMATICA($C$5,"FunEnd",,D$119,,,$C$7,$C$8,,,,IF(Base!$C$2=1,{"jtb.opcconscontr=2"},{"jtb.opcconscontr=3"})),"-")</f>
        <v>56375000</v>
      </c>
      <c r="E171" s="49">
        <f>IFERROR(_xll.ECONOMATICA($C$5,"FunEnd",,E$119,,,$C$7,$C$8,,,,IF(Base!$C$2=1,{"jtb.opcconscontr=2"},{"jtb.opcconscontr=3"})),"-")</f>
        <v>83541000</v>
      </c>
      <c r="G171" s="2"/>
      <c r="H171" s="2"/>
      <c r="I171" s="2"/>
      <c r="J171" s="2"/>
      <c r="K171" s="2"/>
    </row>
    <row r="172" spans="1:11" customFormat="1" x14ac:dyDescent="0.25">
      <c r="A172" s="2"/>
      <c r="B172" s="38"/>
      <c r="C172" s="25"/>
      <c r="D172" s="25"/>
      <c r="E172" s="25"/>
      <c r="G172" s="2"/>
      <c r="H172" s="2"/>
      <c r="I172" s="2"/>
      <c r="J172" s="2"/>
      <c r="K172" s="2"/>
    </row>
    <row r="173" spans="1:11" customFormat="1" x14ac:dyDescent="0.25">
      <c r="A173" s="2"/>
      <c r="B173" s="2"/>
      <c r="C173" s="2"/>
      <c r="D173" s="2"/>
      <c r="G173" s="2"/>
      <c r="H173" s="2"/>
      <c r="I173" s="2"/>
      <c r="J173" s="2"/>
      <c r="K173" s="2"/>
    </row>
    <row r="174" spans="1:11" customFormat="1" ht="17.25" x14ac:dyDescent="0.3">
      <c r="A174" s="2"/>
      <c r="B174" s="12" t="s">
        <v>467</v>
      </c>
      <c r="C174" s="2"/>
      <c r="D174" s="2"/>
      <c r="E174" s="2"/>
      <c r="G174" s="2"/>
      <c r="H174" s="2"/>
      <c r="I174" s="2"/>
      <c r="J174" s="2"/>
      <c r="K174" s="2"/>
    </row>
    <row r="175" spans="1:11" customFormat="1" x14ac:dyDescent="0.25">
      <c r="A175" s="2"/>
      <c r="B175" s="2"/>
      <c r="C175" s="2"/>
      <c r="D175" s="2"/>
      <c r="E175" s="22" t="str">
        <f>C8</f>
        <v>Thousands</v>
      </c>
      <c r="G175" s="2"/>
      <c r="H175" s="2"/>
      <c r="I175" s="2"/>
      <c r="J175" s="2"/>
      <c r="K175" s="2"/>
    </row>
    <row r="176" spans="1:11" customFormat="1" ht="15.75" x14ac:dyDescent="0.25">
      <c r="A176" s="2"/>
      <c r="B176" s="66" t="s">
        <v>469</v>
      </c>
      <c r="C176" s="23">
        <f>$C$40</f>
        <v>43281</v>
      </c>
      <c r="D176" s="23">
        <f>$D$40</f>
        <v>43646</v>
      </c>
      <c r="E176" s="45">
        <f>$E$40</f>
        <v>44012</v>
      </c>
      <c r="G176" s="2"/>
      <c r="H176" s="2"/>
      <c r="I176" s="2"/>
      <c r="J176" s="2"/>
      <c r="K176" s="2"/>
    </row>
    <row r="177" spans="1:11" customFormat="1" ht="26.25" x14ac:dyDescent="0.25">
      <c r="A177" s="2"/>
      <c r="B177" s="74" t="s">
        <v>470</v>
      </c>
      <c r="C177" s="24">
        <f>IFERROR(_xll.ECONOMATICA($C$5,"TotGaPAYCom",,C$119,,,$C$7,$C$8,,,,IF(Base!$C$2=1,{"jtb.opcconscontr=2"},{"jtb.opcconscontr=3"})),"-")</f>
        <v>116627000</v>
      </c>
      <c r="D177" s="24">
        <f>IFERROR(_xll.ECONOMATICA($C$5,"TotGaPAYCom",,D$119,,,$C$7,$C$8,,,,IF(Base!$C$2=1,{"jtb.opcconscontr=2"},{"jtb.opcconscontr=3"})),"-")</f>
        <v>195055000</v>
      </c>
      <c r="E177" s="46">
        <f>IFERROR(_xll.ECONOMATICA($C$5,"TotGaPAYCom",,E$119,,,$C$7,$C$8,,,,IF(Base!$C$2=1,{"jtb.opcconscontr=2"},{"jtb.opcconscontr=3"})),"-")</f>
        <v>271143000</v>
      </c>
      <c r="G177" s="2"/>
      <c r="H177" s="2"/>
      <c r="I177" s="2"/>
      <c r="J177" s="2"/>
      <c r="K177" s="2"/>
    </row>
    <row r="178" spans="1:11" customFormat="1" x14ac:dyDescent="0.25">
      <c r="A178" s="2"/>
      <c r="B178" s="68" t="s">
        <v>471</v>
      </c>
      <c r="C178" s="25">
        <f>IFERROR(_xll.ECONOMATICA($C$5,"SalWa&amp;SoCo",,C$119,,,$C$7,$C$8,,,,IF(Base!$C$2=1,{"jtb.opcconscontr=2"},{"jtb.opcconscontr=3"})),"-")</f>
        <v>10672000</v>
      </c>
      <c r="D178" s="25">
        <f>IFERROR(_xll.ECONOMATICA($C$5,"SalWa&amp;SoCo",,D$119,,,$C$7,$C$8,,,,IF(Base!$C$2=1,{"jtb.opcconscontr=2"},{"jtb.opcconscontr=3"})),"-")</f>
        <v>18969000</v>
      </c>
      <c r="E178" s="47">
        <f>IFERROR(_xll.ECONOMATICA($C$5,"SalWa&amp;SoCo",,E$119,,,$C$7,$C$8,,,,IF(Base!$C$2=1,{"jtb.opcconscontr=2"},{"jtb.opcconscontr=3"})),"-")</f>
        <v>24924000.0000313</v>
      </c>
      <c r="G178" s="2"/>
      <c r="H178" s="2"/>
      <c r="I178" s="2"/>
      <c r="J178" s="2"/>
      <c r="K178" s="2"/>
    </row>
    <row r="179" spans="1:11" customFormat="1" x14ac:dyDescent="0.25">
      <c r="A179" s="2"/>
      <c r="B179" s="68" t="s">
        <v>472</v>
      </c>
      <c r="C179" s="25">
        <f>IFERROR(_xll.ECONOMATICA($C$5,"Sal&amp;EmpBe",,C$119,,,$C$7,$C$8,,,,IF(Base!$C$2=1,{"jtb.opcconscontr=2"},{"jtb.opcconscontr=3"})),"-")</f>
        <v>2564000</v>
      </c>
      <c r="D179" s="25">
        <f>IFERROR(_xll.ECONOMATICA($C$5,"Sal&amp;EmpBe",,D$119,,,$C$7,$C$8,,,,IF(Base!$C$2=1,{"jtb.opcconscontr=2"},{"jtb.opcconscontr=3"})),"-")</f>
        <v>4252000.0000039097</v>
      </c>
      <c r="E179" s="47">
        <f>IFERROR(_xll.ECONOMATICA($C$5,"Sal&amp;EmpBe",,E$119,,,$C$7,$C$8,,,,IF(Base!$C$2=1,{"jtb.opcconscontr=2"},{"jtb.opcconscontr=3"})),"-")</f>
        <v>4891000.0000078101</v>
      </c>
      <c r="G179" s="2"/>
      <c r="H179" s="2"/>
      <c r="I179" s="2"/>
      <c r="J179" s="2"/>
      <c r="K179" s="2"/>
    </row>
    <row r="180" spans="1:11" customFormat="1" x14ac:dyDescent="0.25">
      <c r="A180" s="2"/>
      <c r="B180" s="68" t="s">
        <v>473</v>
      </c>
      <c r="C180" s="25">
        <f>IFERROR(_xll.ECONOMATICA($C$5,"ReDirYTru",,C$119,,,$C$7,$C$8,,,,IF(Base!$C$2=1,{"jtb.opcconscontr=2"},{"jtb.opcconscontr=3"})),"-")</f>
        <v>0</v>
      </c>
      <c r="D180" s="25">
        <f>IFERROR(_xll.ECONOMATICA($C$5,"ReDirYTru",,D$119,,,$C$7,$C$8,,,,IF(Base!$C$2=1,{"jtb.opcconscontr=2"},{"jtb.opcconscontr=3"})),"-")</f>
        <v>0</v>
      </c>
      <c r="E180" s="47">
        <f>IFERROR(_xll.ECONOMATICA($C$5,"ReDirYTru",,E$119,,,$C$7,$C$8,,,,IF(Base!$C$2=1,{"jtb.opcconscontr=2"},{"jtb.opcconscontr=3"})),"-")</f>
        <v>0</v>
      </c>
      <c r="G180" s="2"/>
      <c r="H180" s="2"/>
      <c r="I180" s="2"/>
      <c r="J180" s="2"/>
      <c r="K180" s="2"/>
    </row>
    <row r="181" spans="1:11" customFormat="1" x14ac:dyDescent="0.25">
      <c r="A181" s="2"/>
      <c r="B181" s="68" t="s">
        <v>474</v>
      </c>
      <c r="C181" s="25">
        <f>IFERROR(_xll.ECONOMATICA($C$5,"Fe&amp;ReSer",,C$119,,,$C$7,$C$8,,,,IF(Base!$C$2=1,{"jtb.opcconscontr=2"},{"jtb.opcconscontr=3"})),"-")</f>
        <v>2440000</v>
      </c>
      <c r="D181" s="25">
        <f>IFERROR(_xll.ECONOMATICA($C$5,"Fe&amp;ReSer",,D$119,,,$C$7,$C$8,,,,IF(Base!$C$2=1,{"jtb.opcconscontr=2"},{"jtb.opcconscontr=3"})),"-")</f>
        <v>4212000</v>
      </c>
      <c r="E181" s="47">
        <f>IFERROR(_xll.ECONOMATICA($C$5,"Fe&amp;ReSer",,E$119,,,$C$7,$C$8,,,,IF(Base!$C$2=1,{"jtb.opcconscontr=2"},{"jtb.opcconscontr=3"})),"-")</f>
        <v>6534000</v>
      </c>
      <c r="G181" s="2"/>
      <c r="H181" s="2"/>
      <c r="I181" s="2"/>
      <c r="J181" s="2"/>
      <c r="K181" s="2"/>
    </row>
    <row r="182" spans="1:11" customFormat="1" ht="25.5" x14ac:dyDescent="0.25">
      <c r="A182" s="2"/>
      <c r="B182" s="68" t="s">
        <v>475</v>
      </c>
      <c r="C182" s="25">
        <f>IFERROR(_xll.ECONOMATICA($C$5,"DePrPl&amp;Eq",,C$119,,,$C$7,$C$8,,,,IF(Base!$C$2=1,{"jtb.opcconscontr=2"},{"jtb.opcconscontr=3"})),"-")</f>
        <v>41402999.999937497</v>
      </c>
      <c r="D182" s="25">
        <f>IFERROR(_xll.ECONOMATICA($C$5,"DePrPl&amp;Eq",,D$119,,,$C$7,$C$8,,,,IF(Base!$C$2=1,{"jtb.opcconscontr=2"},{"jtb.opcconscontr=3"})),"-")</f>
        <v>61755000</v>
      </c>
      <c r="E182" s="47">
        <f>IFERROR(_xll.ECONOMATICA($C$5,"DePrPl&amp;Eq",,E$119,,,$C$7,$C$8,,,,IF(Base!$C$2=1,{"jtb.opcconscontr=2"},{"jtb.opcconscontr=3"})),"-")</f>
        <v>86572000</v>
      </c>
      <c r="G182" s="2"/>
      <c r="H182" s="2"/>
      <c r="I182" s="2"/>
      <c r="J182" s="2"/>
      <c r="K182" s="2"/>
    </row>
    <row r="183" spans="1:11" customFormat="1" x14ac:dyDescent="0.25">
      <c r="A183" s="2"/>
      <c r="B183" s="68" t="s">
        <v>476</v>
      </c>
      <c r="C183" s="25">
        <f>IFERROR(_xll.ECONOMATICA($C$5,"AmInAs",,C$119,,,$C$7,$C$8,,,,IF(Base!$C$2=1,{"jtb.opcconscontr=2"},{"jtb.opcconscontr=3"})),"-")</f>
        <v>561000</v>
      </c>
      <c r="D183" s="25">
        <f>IFERROR(_xll.ECONOMATICA($C$5,"AmInAs",,D$119,,,$C$7,$C$8,,,,IF(Base!$C$2=1,{"jtb.opcconscontr=2"},{"jtb.opcconscontr=3"})),"-")</f>
        <v>1036000</v>
      </c>
      <c r="E183" s="47">
        <f>IFERROR(_xll.ECONOMATICA($C$5,"AmInAs",,E$119,,,$C$7,$C$8,,,,IF(Base!$C$2=1,{"jtb.opcconscontr=2"},{"jtb.opcconscontr=3"})),"-")</f>
        <v>1409000.00000195</v>
      </c>
      <c r="G183" s="2"/>
      <c r="H183" s="2"/>
      <c r="I183" s="2"/>
      <c r="J183" s="2"/>
      <c r="K183" s="2"/>
    </row>
    <row r="184" spans="1:11" customFormat="1" x14ac:dyDescent="0.25">
      <c r="A184" s="2"/>
      <c r="B184" s="68" t="s">
        <v>431</v>
      </c>
      <c r="C184" s="25">
        <f>IFERROR(_xll.ECONOMATICA($C$5,"OthAmor",,C$119,,,$C$7,$C$8,,,,IF(Base!$C$2=1,{"jtb.opcconscontr=2"},{"jtb.opcconscontr=3"})),"-")</f>
        <v>0</v>
      </c>
      <c r="D184" s="25">
        <f>IFERROR(_xll.ECONOMATICA($C$5,"OthAmor",,D$119,,,$C$7,$C$8,,,,IF(Base!$C$2=1,{"jtb.opcconscontr=2"},{"jtb.opcconscontr=3"})),"-")</f>
        <v>4353000</v>
      </c>
      <c r="E184" s="47">
        <f>IFERROR(_xll.ECONOMATICA($C$5,"OthAmor",,E$119,,,$C$7,$C$8,,,,IF(Base!$C$2=1,{"jtb.opcconscontr=2"},{"jtb.opcconscontr=3"})),"-")</f>
        <v>8679000.0000156295</v>
      </c>
      <c r="G184" s="2"/>
      <c r="H184" s="2"/>
      <c r="I184" s="2"/>
      <c r="J184" s="2"/>
      <c r="K184" s="2"/>
    </row>
    <row r="185" spans="1:11" customFormat="1" x14ac:dyDescent="0.25">
      <c r="A185" s="2"/>
      <c r="B185" s="68" t="s">
        <v>477</v>
      </c>
      <c r="C185" s="25">
        <f>IFERROR(_xll.ECONOMATICA($C$5,"ConEnGasYFu",,C$119,,,$C$7,$C$8,,,,IF(Base!$C$2=1,{"jtb.opcconscontr=2"},{"jtb.opcconscontr=3"})),"-")</f>
        <v>3247000</v>
      </c>
      <c r="D185" s="25">
        <f>IFERROR(_xll.ECONOMATICA($C$5,"ConEnGasYFu",,D$119,,,$C$7,$C$8,,,,IF(Base!$C$2=1,{"jtb.opcconscontr=2"},{"jtb.opcconscontr=3"})),"-")</f>
        <v>5617000.0000078101</v>
      </c>
      <c r="E185" s="47">
        <f>IFERROR(_xll.ECONOMATICA($C$5,"ConEnGasYFu",,E$119,,,$C$7,$C$8,,,,IF(Base!$C$2=1,{"jtb.opcconscontr=2"},{"jtb.opcconscontr=3"})),"-")</f>
        <v>9780000</v>
      </c>
      <c r="G185" s="2"/>
      <c r="H185" s="2"/>
      <c r="I185" s="2"/>
      <c r="J185" s="2"/>
      <c r="K185" s="2"/>
    </row>
    <row r="186" spans="1:11" customFormat="1" x14ac:dyDescent="0.25">
      <c r="A186" s="2"/>
      <c r="B186" s="68" t="s">
        <v>478</v>
      </c>
      <c r="C186" s="25">
        <f>IFERROR(_xll.ECONOMATICA($C$5,"ConMat",,C$119,,,$C$7,$C$8,,,,IF(Base!$C$2=1,{"jtb.opcconscontr=2"},{"jtb.opcconscontr=3"})),"-")</f>
        <v>3987000</v>
      </c>
      <c r="D186" s="25">
        <f>IFERROR(_xll.ECONOMATICA($C$5,"ConMat",,D$119,,,$C$7,$C$8,,,,IF(Base!$C$2=1,{"jtb.opcconscontr=2"},{"jtb.opcconscontr=3"})),"-")</f>
        <v>9605000.0000156295</v>
      </c>
      <c r="E186" s="47">
        <f>IFERROR(_xll.ECONOMATICA($C$5,"ConMat",,E$119,,,$C$7,$C$8,,,,IF(Base!$C$2=1,{"jtb.opcconscontr=2"},{"jtb.opcconscontr=3"})),"-")</f>
        <v>9691000.0000156295</v>
      </c>
      <c r="G186" s="2"/>
      <c r="H186" s="2"/>
      <c r="I186" s="2"/>
      <c r="J186" s="2"/>
      <c r="K186" s="2"/>
    </row>
    <row r="187" spans="1:11" customFormat="1" x14ac:dyDescent="0.25">
      <c r="A187" s="2"/>
      <c r="B187" s="68" t="s">
        <v>479</v>
      </c>
      <c r="C187" s="25">
        <f>IFERROR(_xll.ECONOMATICA($C$5,"Maint",,C$119,,,$C$7,$C$8,,,,IF(Base!$C$2=1,{"jtb.opcconscontr=2"},{"jtb.opcconscontr=3"})),"-")</f>
        <v>12667999.9999844</v>
      </c>
      <c r="D187" s="25">
        <f>IFERROR(_xll.ECONOMATICA($C$5,"Maint",,D$119,,,$C$7,$C$8,,,,IF(Base!$C$2=1,{"jtb.opcconscontr=2"},{"jtb.opcconscontr=3"})),"-")</f>
        <v>20809000</v>
      </c>
      <c r="E187" s="47">
        <f>IFERROR(_xll.ECONOMATICA($C$5,"Maint",,E$119,,,$C$7,$C$8,,,,IF(Base!$C$2=1,{"jtb.opcconscontr=2"},{"jtb.opcconscontr=3"})),"-")</f>
        <v>28176000</v>
      </c>
      <c r="G187" s="2"/>
      <c r="H187" s="2"/>
      <c r="I187" s="2"/>
      <c r="J187" s="2"/>
      <c r="K187" s="2"/>
    </row>
    <row r="188" spans="1:11" customFormat="1" x14ac:dyDescent="0.25">
      <c r="A188" s="2"/>
      <c r="B188" s="68" t="s">
        <v>480</v>
      </c>
      <c r="C188" s="25">
        <f>IFERROR(_xll.ECONOMATICA($C$5,"Ren&amp;Ins",,C$119,,,$C$7,$C$8,,,,IF(Base!$C$2=1,{"jtb.opcconscontr=2"},{"jtb.opcconscontr=3"})),"-")</f>
        <v>4462000</v>
      </c>
      <c r="D188" s="25">
        <f>IFERROR(_xll.ECONOMATICA($C$5,"Ren&amp;Ins",,D$119,,,$C$7,$C$8,,,,IF(Base!$C$2=1,{"jtb.opcconscontr=2"},{"jtb.opcconscontr=3"})),"-")</f>
        <v>5695000</v>
      </c>
      <c r="E188" s="47">
        <f>IFERROR(_xll.ECONOMATICA($C$5,"Ren&amp;Ins",,E$119,,,$C$7,$C$8,,,,IF(Base!$C$2=1,{"jtb.opcconscontr=2"},{"jtb.opcconscontr=3"})),"-")</f>
        <v>7063000</v>
      </c>
      <c r="G188" s="2"/>
      <c r="H188" s="2"/>
      <c r="I188" s="2"/>
      <c r="J188" s="2"/>
      <c r="K188" s="2"/>
    </row>
    <row r="189" spans="1:11" customFormat="1" x14ac:dyDescent="0.25">
      <c r="A189" s="2"/>
      <c r="B189" s="68" t="s">
        <v>481</v>
      </c>
      <c r="C189" s="25">
        <f>IFERROR(_xll.ECONOMATICA($C$5,"FletesAcarr",,C$119,,,$C$7,$C$8,,,,IF(Base!$C$2=1,{"jtb.opcconscontr=2"},{"jtb.opcconscontr=3"})),"-")</f>
        <v>8818000</v>
      </c>
      <c r="D189" s="25">
        <f>IFERROR(_xll.ECONOMATICA($C$5,"FletesAcarr",,D$119,,,$C$7,$C$8,,,,IF(Base!$C$2=1,{"jtb.opcconscontr=2"},{"jtb.opcconscontr=3"})),"-")</f>
        <v>15846000.0000156</v>
      </c>
      <c r="E189" s="47">
        <f>IFERROR(_xll.ECONOMATICA($C$5,"FletesAcarr",,E$119,,,$C$7,$C$8,,,,IF(Base!$C$2=1,{"jtb.opcconscontr=2"},{"jtb.opcconscontr=3"})),"-")</f>
        <v>19520000.0000313</v>
      </c>
      <c r="G189" s="2"/>
      <c r="H189" s="2"/>
      <c r="I189" s="2"/>
      <c r="J189" s="2"/>
      <c r="K189" s="2"/>
    </row>
    <row r="190" spans="1:11" customFormat="1" x14ac:dyDescent="0.25">
      <c r="A190" s="2"/>
      <c r="B190" s="68" t="s">
        <v>482</v>
      </c>
      <c r="C190" s="25">
        <f>IFERROR(_xll.ECONOMATICA($C$5,"PerDi&amp;TrEx",,C$119,,,$C$7,$C$8,,,,IF(Base!$C$2=1,{"jtb.opcconscontr=2"},{"jtb.opcconscontr=3"})),"-")</f>
        <v>0</v>
      </c>
      <c r="D190" s="25">
        <f>IFERROR(_xll.ECONOMATICA($C$5,"PerDi&amp;TrEx",,D$119,,,$C$7,$C$8,,,,IF(Base!$C$2=1,{"jtb.opcconscontr=2"},{"jtb.opcconscontr=3"})),"-")</f>
        <v>0</v>
      </c>
      <c r="E190" s="47">
        <f>IFERROR(_xll.ECONOMATICA($C$5,"PerDi&amp;TrEx",,E$119,,,$C$7,$C$8,,,,IF(Base!$C$2=1,{"jtb.opcconscontr=2"},{"jtb.opcconscontr=3"})),"-")</f>
        <v>0</v>
      </c>
      <c r="G190" s="2"/>
      <c r="H190" s="2"/>
      <c r="I190" s="2"/>
      <c r="J190" s="2"/>
      <c r="K190" s="2"/>
    </row>
    <row r="191" spans="1:11" customFormat="1" x14ac:dyDescent="0.25">
      <c r="A191" s="2"/>
      <c r="B191" s="68" t="s">
        <v>483</v>
      </c>
      <c r="C191" s="25">
        <f>IFERROR(_xll.ECONOMATICA($C$5,"OfficExp",,C$119,,,$C$7,$C$8,,,,IF(Base!$C$2=1,{"jtb.opcconscontr=2"},{"jtb.opcconscontr=3"})),"-")</f>
        <v>0</v>
      </c>
      <c r="D191" s="25">
        <f>IFERROR(_xll.ECONOMATICA($C$5,"OfficExp",,D$119,,,$C$7,$C$8,,,,IF(Base!$C$2=1,{"jtb.opcconscontr=2"},{"jtb.opcconscontr=3"})),"-")</f>
        <v>0</v>
      </c>
      <c r="E191" s="47">
        <f>IFERROR(_xll.ECONOMATICA($C$5,"OfficExp",,E$119,,,$C$7,$C$8,,,,IF(Base!$C$2=1,{"jtb.opcconscontr=2"},{"jtb.opcconscontr=3"})),"-")</f>
        <v>0</v>
      </c>
      <c r="G191" s="2"/>
      <c r="H191" s="2"/>
      <c r="I191" s="2"/>
      <c r="J191" s="2"/>
      <c r="K191" s="2"/>
    </row>
    <row r="192" spans="1:11" customFormat="1" x14ac:dyDescent="0.25">
      <c r="A192" s="2"/>
      <c r="B192" s="68" t="s">
        <v>484</v>
      </c>
      <c r="C192" s="25">
        <f>IFERROR(_xll.ECONOMATICA($C$5,"Adv&amp;InsPro",,C$119,,,$C$7,$C$8,,,,IF(Base!$C$2=1,{"jtb.opcconscontr=2"},{"jtb.opcconscontr=3"})),"-")</f>
        <v>626000</v>
      </c>
      <c r="D192" s="25">
        <f>IFERROR(_xll.ECONOMATICA($C$5,"Adv&amp;InsPro",,D$119,,,$C$7,$C$8,,,,IF(Base!$C$2=1,{"jtb.opcconscontr=2"},{"jtb.opcconscontr=3"})),"-")</f>
        <v>1656000</v>
      </c>
      <c r="E192" s="47">
        <f>IFERROR(_xll.ECONOMATICA($C$5,"Adv&amp;InsPro",,E$119,,,$C$7,$C$8,,,,IF(Base!$C$2=1,{"jtb.opcconscontr=2"},{"jtb.opcconscontr=3"})),"-")</f>
        <v>795000.00000097696</v>
      </c>
      <c r="G192" s="2"/>
      <c r="H192" s="2"/>
      <c r="I192" s="2"/>
      <c r="J192" s="2"/>
      <c r="K192" s="2"/>
    </row>
    <row r="193" spans="1:11" customFormat="1" x14ac:dyDescent="0.25">
      <c r="A193" s="2"/>
      <c r="B193" s="68" t="s">
        <v>485</v>
      </c>
      <c r="C193" s="25">
        <f>IFERROR(_xll.ECONOMATICA($C$5,"ImpTasasContri",,C$119,,,$C$7,$C$8,,,,IF(Base!$C$2=1,{"jtb.opcconscontr=2"},{"jtb.opcconscontr=3"})),"-")</f>
        <v>3756000</v>
      </c>
      <c r="D193" s="25">
        <f>IFERROR(_xll.ECONOMATICA($C$5,"ImpTasasContri",,D$119,,,$C$7,$C$8,,,,IF(Base!$C$2=1,{"jtb.opcconscontr=2"},{"jtb.opcconscontr=3"})),"-")</f>
        <v>8392000.0000078101</v>
      </c>
      <c r="E193" s="47">
        <f>IFERROR(_xll.ECONOMATICA($C$5,"ImpTasasContri",,E$119,,,$C$7,$C$8,,,,IF(Base!$C$2=1,{"jtb.opcconscontr=2"},{"jtb.opcconscontr=3"})),"-")</f>
        <v>11039000</v>
      </c>
      <c r="G193" s="2"/>
      <c r="H193" s="2"/>
      <c r="I193" s="2"/>
      <c r="J193" s="2"/>
      <c r="K193" s="2"/>
    </row>
    <row r="194" spans="1:11" customFormat="1" x14ac:dyDescent="0.25">
      <c r="A194" s="2"/>
      <c r="B194" s="68" t="s">
        <v>486</v>
      </c>
      <c r="C194" s="25">
        <f>IFERROR(_xll.ECONOMATICA($C$5,"BankComis",,C$119,,,$C$7,$C$8,,,,IF(Base!$C$2=1,{"jtb.opcconscontr=2"},{"jtb.opcconscontr=3"})),"-")</f>
        <v>0</v>
      </c>
      <c r="D194" s="25">
        <f>IFERROR(_xll.ECONOMATICA($C$5,"BankComis",,D$119,,,$C$7,$C$8,,,,IF(Base!$C$2=1,{"jtb.opcconscontr=2"},{"jtb.opcconscontr=3"})),"-")</f>
        <v>0</v>
      </c>
      <c r="E194" s="47">
        <f>IFERROR(_xll.ECONOMATICA($C$5,"BankComis",,E$119,,,$C$7,$C$8,,,,IF(Base!$C$2=1,{"jtb.opcconscontr=2"},{"jtb.opcconscontr=3"})),"-")</f>
        <v>0</v>
      </c>
      <c r="G194" s="2"/>
      <c r="H194" s="2"/>
      <c r="I194" s="2"/>
      <c r="J194" s="2"/>
      <c r="K194" s="2"/>
    </row>
    <row r="195" spans="1:11" customFormat="1" x14ac:dyDescent="0.25">
      <c r="A195" s="2"/>
      <c r="B195" s="68" t="s">
        <v>487</v>
      </c>
      <c r="C195" s="25">
        <f>IFERROR(_xll.ECONOMATICA($C$5,"DeudorIncobr",,C$119,,,$C$7,$C$8,,,,IF(Base!$C$2=1,{"jtb.opcconscontr=2"},{"jtb.opcconscontr=3"})),"-")</f>
        <v>0</v>
      </c>
      <c r="D195" s="25">
        <f>IFERROR(_xll.ECONOMATICA($C$5,"DeudorIncobr",,D$119,,,$C$7,$C$8,,,,IF(Base!$C$2=1,{"jtb.opcconscontr=2"},{"jtb.opcconscontr=3"})),"-")</f>
        <v>1125000</v>
      </c>
      <c r="E195" s="47">
        <f>IFERROR(_xll.ECONOMATICA($C$5,"DeudorIncobr",,E$119,,,$C$7,$C$8,,,,IF(Base!$C$2=1,{"jtb.opcconscontr=2"},{"jtb.opcconscontr=3"})),"-")</f>
        <v>9412000</v>
      </c>
      <c r="G195" s="2"/>
      <c r="H195" s="2"/>
      <c r="I195" s="2"/>
      <c r="J195" s="2"/>
      <c r="K195" s="2"/>
    </row>
    <row r="196" spans="1:11" customFormat="1" x14ac:dyDescent="0.25">
      <c r="A196" s="2"/>
      <c r="B196" s="68" t="s">
        <v>488</v>
      </c>
      <c r="C196" s="25">
        <f>IFERROR(_xll.ECONOMATICA($C$5,"Outsour",,C$119,,,$C$7,$C$8,,,,IF(Base!$C$2=1,{"jtb.opcconscontr=2"},{"jtb.opcconscontr=3"})),"-")</f>
        <v>7385000</v>
      </c>
      <c r="D196" s="25">
        <f>IFERROR(_xll.ECONOMATICA($C$5,"Outsour",,D$119,,,$C$7,$C$8,,,,IF(Base!$C$2=1,{"jtb.opcconscontr=2"},{"jtb.opcconscontr=3"})),"-")</f>
        <v>10635000.0000156</v>
      </c>
      <c r="E196" s="47">
        <f>IFERROR(_xll.ECONOMATICA($C$5,"Outsour",,E$119,,,$C$7,$C$8,,,,IF(Base!$C$2=1,{"jtb.opcconscontr=2"},{"jtb.opcconscontr=3"})),"-")</f>
        <v>22699000</v>
      </c>
      <c r="G196" s="2"/>
      <c r="H196" s="2"/>
      <c r="I196" s="2"/>
      <c r="J196" s="2"/>
      <c r="K196" s="2"/>
    </row>
    <row r="197" spans="1:11" customFormat="1" x14ac:dyDescent="0.25">
      <c r="A197" s="2"/>
      <c r="B197" s="68" t="s">
        <v>489</v>
      </c>
      <c r="C197" s="25">
        <f>IFERROR(_xll.ECONOMATICA($C$5,"Fines",,C$119,,,$C$7,$C$8,,,,IF(Base!$C$2=1,{"jtb.opcconscontr=2"},{"jtb.opcconscontr=3"})),"-")</f>
        <v>0</v>
      </c>
      <c r="D197" s="25">
        <f>IFERROR(_xll.ECONOMATICA($C$5,"Fines",,D$119,,,$C$7,$C$8,,,,IF(Base!$C$2=1,{"jtb.opcconscontr=2"},{"jtb.opcconscontr=3"})),"-")</f>
        <v>0</v>
      </c>
      <c r="E197" s="47">
        <f>IFERROR(_xll.ECONOMATICA($C$5,"Fines",,E$119,,,$C$7,$C$8,,,,IF(Base!$C$2=1,{"jtb.opcconscontr=2"},{"jtb.opcconscontr=3"})),"-")</f>
        <v>0</v>
      </c>
      <c r="G197" s="2"/>
      <c r="H197" s="2"/>
      <c r="I197" s="2"/>
      <c r="J197" s="2"/>
      <c r="K197" s="2"/>
    </row>
    <row r="198" spans="1:11" customFormat="1" x14ac:dyDescent="0.25">
      <c r="A198" s="2"/>
      <c r="B198" s="68" t="s">
        <v>443</v>
      </c>
      <c r="C198" s="25">
        <f>IFERROR(_xll.ECONOMATICA($C$5,"Prov",,C$119,,,$C$7,$C$8,,,,IF(Base!$C$2=1,{"jtb.opcconscontr=2"},{"jtb.opcconscontr=3"})),"-")</f>
        <v>192000</v>
      </c>
      <c r="D198" s="25">
        <f>IFERROR(_xll.ECONOMATICA($C$5,"Prov",,D$119,,,$C$7,$C$8,,,,IF(Base!$C$2=1,{"jtb.opcconscontr=2"},{"jtb.opcconscontr=3"})),"-")</f>
        <v>0</v>
      </c>
      <c r="E198" s="47">
        <f>IFERROR(_xll.ECONOMATICA($C$5,"Prov",,E$119,,,$C$7,$C$8,,,,IF(Base!$C$2=1,{"jtb.opcconscontr=2"},{"jtb.opcconscontr=3"})),"-")</f>
        <v>0</v>
      </c>
      <c r="G198" s="2"/>
      <c r="H198" s="2"/>
      <c r="I198" s="2"/>
      <c r="J198" s="2"/>
      <c r="K198" s="2"/>
    </row>
    <row r="199" spans="1:11" customFormat="1" x14ac:dyDescent="0.25">
      <c r="A199" s="2"/>
      <c r="B199" s="79" t="s">
        <v>437</v>
      </c>
      <c r="C199" s="39">
        <f>IFERROR(_xll.ECONOMATICA($C$5,"Sundryy",,C$119,,,$C$7,$C$8,,,,IF(Base!$C$2=1,{"jtb.opcconscontr=2"},{"jtb.opcconscontr=3"})),"-")</f>
        <v>13846000</v>
      </c>
      <c r="D199" s="39">
        <f>IFERROR(_xll.ECONOMATICA($C$5,"Sundryy",,D$119,,,$C$7,$C$8,,,,IF(Base!$C$2=1,{"jtb.opcconscontr=2"},{"jtb.opcconscontr=3"})),"-")</f>
        <v>21098000</v>
      </c>
      <c r="E199" s="48">
        <f>IFERROR(_xll.ECONOMATICA($C$5,"Sundryy",,E$119,,,$C$7,$C$8,,,,IF(Base!$C$2=1,{"jtb.opcconscontr=2"},{"jtb.opcconscontr=3"})),"-")</f>
        <v>19959000.0000313</v>
      </c>
      <c r="G199" s="2"/>
      <c r="H199" s="2"/>
      <c r="I199" s="2"/>
      <c r="J199" s="2"/>
      <c r="K199" s="2"/>
    </row>
  </sheetData>
  <dataConsolidate/>
  <conditionalFormatting sqref="F22 G34 B19:E37 B41:E69 A70:E70 B71:E75 B82:E114 B120:E172 B177:E199">
    <cfRule type="expression" dxfId="10" priority="9">
      <formula>MOD(ROW(),2)</formula>
    </cfRule>
  </conditionalFormatting>
  <conditionalFormatting sqref="F22 G34 C19:E37 C41:E69 A70:E70 C71:E75 C82:E114 C120:E172 C177:E199">
    <cfRule type="expression" dxfId="9" priority="10">
      <formula>$C$7="EUR"</formula>
    </cfRule>
    <cfRule type="expression" dxfId="8" priority="11">
      <formula>$C$7="USD"</formula>
    </cfRule>
  </conditionalFormatting>
  <conditionalFormatting sqref="C16:E16 C13:E14">
    <cfRule type="containsText" dxfId="7" priority="8" operator="containsText" text="Não">
      <formula>NOT(ISERROR(SEARCH("Não",C13)))</formula>
    </cfRule>
  </conditionalFormatting>
  <conditionalFormatting sqref="C11:E11">
    <cfRule type="containsText" dxfId="6" priority="7" operator="containsText" text="Não">
      <formula>NOT(ISERROR(SEARCH("Não",C11)))</formula>
    </cfRule>
  </conditionalFormatting>
  <conditionalFormatting sqref="B81:E81">
    <cfRule type="expression" dxfId="5" priority="4">
      <formula>MOD(ROW(),2)</formula>
    </cfRule>
  </conditionalFormatting>
  <conditionalFormatting sqref="C81:E81">
    <cfRule type="expression" dxfId="4" priority="5">
      <formula>$C$7="EUR"</formula>
    </cfRule>
    <cfRule type="expression" dxfId="3" priority="6">
      <formula>$C$7="USD"</formula>
    </cfRule>
  </conditionalFormatting>
  <conditionalFormatting sqref="G62">
    <cfRule type="expression" dxfId="2" priority="1">
      <formula>MOD(ROW(),2)</formula>
    </cfRule>
  </conditionalFormatting>
  <conditionalFormatting sqref="G62">
    <cfRule type="expression" dxfId="1" priority="2">
      <formula>$C$7="EUR"</formula>
    </cfRule>
    <cfRule type="expression" dxfId="0" priority="3">
      <formula>$C$7="USD"</formula>
    </cfRule>
  </conditionalFormatting>
  <dataValidations count="2">
    <dataValidation type="list" allowBlank="1" sqref="C8" xr:uid="{4E22848C-EA1F-4F35-B3F7-F4CFEC5B79BC}">
      <formula1>"Units,Thousands,Millions,Billions"</formula1>
    </dataValidation>
    <dataValidation type="list" allowBlank="1" sqref="C7" xr:uid="{98C2E22D-B711-4CB0-933D-DC9CFE1CCB70}">
      <formula1>"ORIGINAL CURRENCY,USD,EUR,Inflation Adjusted"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79" orientation="portrait" r:id="rId1"/>
  <rowBreaks count="3" manualBreakCount="3">
    <brk id="37" max="16383" man="1"/>
    <brk id="76" max="16383" man="1"/>
    <brk id="115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Option Button 2">
              <controlPr defaultSize="0" autoFill="0" autoLine="0" autoPict="0">
                <anchor moveWithCells="1">
                  <from>
                    <xdr:col>1</xdr:col>
                    <xdr:colOff>2486025</xdr:colOff>
                    <xdr:row>8</xdr:row>
                    <xdr:rowOff>38100</xdr:rowOff>
                  </from>
                  <to>
                    <xdr:col>2</xdr:col>
                    <xdr:colOff>809625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Option Button 3">
              <controlPr defaultSize="0" autoFill="0" autoLine="0" autoPict="0">
                <anchor moveWithCells="1">
                  <from>
                    <xdr:col>2</xdr:col>
                    <xdr:colOff>847725</xdr:colOff>
                    <xdr:row>8</xdr:row>
                    <xdr:rowOff>38100</xdr:rowOff>
                  </from>
                  <to>
                    <xdr:col>3</xdr:col>
                    <xdr:colOff>523875</xdr:colOff>
                    <xdr:row>9</xdr:row>
                    <xdr:rowOff>76200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EDE9D033-4AF3-4287-8251-9E448A4AE1F6}">
          <x14:formula1>
            <xm:f>Acciones!$C$7:$C$64</xm:f>
          </x14:formula1>
          <xm:sqref>C5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Base</vt:lpstr>
      <vt:lpstr>Acciones</vt:lpstr>
      <vt:lpstr>Reportes financieros</vt:lpstr>
      <vt:lpstr>'Reportes financieros'!Títulos_a_imprimir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Lucia Moya</cp:lastModifiedBy>
  <cp:lastPrinted>2019-02-08T19:31:03Z</cp:lastPrinted>
  <dcterms:created xsi:type="dcterms:W3CDTF">2018-11-28T11:50:25Z</dcterms:created>
  <dcterms:modified xsi:type="dcterms:W3CDTF">2020-10-29T15:33:08Z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1288452067</vt:lpwstr>
  </property>
  <property fmtid="{D5CDD505-2E9C-101B-9397-08002B2CF9AE}" pid="3" name="EcoUpdateMessage">
    <vt:lpwstr>2020/10/29-15:21:07</vt:lpwstr>
  </property>
  <property fmtid="{D5CDD505-2E9C-101B-9397-08002B2CF9AE}" pid="4" name="EcoUpdateStatus">
    <vt:lpwstr>2020-10-28=BRA:St,ME,Fd,TP;USA:St,ME;ARG:St,ME,Fd,TP;MEX:St,ME,Fd,TP;CHL:St,ME,Fd;COL:St,ME;PER:St,ME,Fd|2000-07-28=USA:TP|2019-10-28=CHL:TP|2014-02-26=VEN:St|2002-11-08=JPN:St|2020-10-23=GBR:St,ME|2016-08-18=NNN:St|2020-10-27=COL:Fd;PER:TP|2007-01-31=ESP</vt:lpwstr>
  </property>
</Properties>
</file>