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1 - Ações - 11 -23\"/>
    </mc:Choice>
  </mc:AlternateContent>
  <xr:revisionPtr revIDLastSave="0" documentId="13_ncr:1_{0248A546-F170-4B61-8237-DAA837D638FF}" xr6:coauthVersionLast="47" xr6:coauthVersionMax="47" xr10:uidLastSave="{00000000-0000-0000-0000-000000000000}"/>
  <bookViews>
    <workbookView xWindow="57480" yWindow="-120" windowWidth="29040" windowHeight="15840" xr2:uid="{A98F0183-898C-4934-81BB-7BB6EC3255D9}"/>
  </bookViews>
  <sheets>
    <sheet name="Base CVM" sheetId="8" r:id="rId1"/>
  </sheets>
  <definedNames>
    <definedName name="Multiplicador">OFFSET(#REF!,0,0,COUNTA(#REF!)-1)</definedName>
    <definedName name="_xlnm.Print_Titles" localSheetId="0">'Base CVM'!$1:$10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" l="1"/>
  <c r="C6" i="8"/>
  <c r="C3" i="8"/>
  <c r="F16" i="8" l="1"/>
  <c r="F78" i="8"/>
  <c r="F27" i="8"/>
  <c r="F76" i="8"/>
  <c r="F40" i="8"/>
  <c r="F73" i="8"/>
  <c r="F14" i="8"/>
  <c r="F17" i="8"/>
  <c r="F48" i="8"/>
  <c r="F71" i="8"/>
  <c r="F18" i="8"/>
  <c r="F58" i="8"/>
  <c r="F34" i="8"/>
  <c r="F65" i="8"/>
  <c r="F42" i="8"/>
  <c r="F33" i="8"/>
  <c r="F64" i="8"/>
  <c r="F69" i="8"/>
  <c r="F53" i="8"/>
  <c r="F44" i="8"/>
  <c r="F81" i="8"/>
  <c r="F62" i="8"/>
  <c r="F35" i="8"/>
  <c r="F20" i="8"/>
  <c r="F25" i="8"/>
  <c r="F79" i="8"/>
  <c r="F32" i="8"/>
  <c r="F55" i="8"/>
  <c r="F29" i="8"/>
  <c r="F57" i="8"/>
  <c r="F43" i="8"/>
  <c r="F41" i="8"/>
  <c r="F30" i="8"/>
  <c r="F60" i="8"/>
  <c r="F19" i="8"/>
  <c r="F13" i="8"/>
  <c r="F36" i="8"/>
  <c r="F56" i="8"/>
  <c r="F74" i="8"/>
  <c r="F63" i="8"/>
  <c r="F12" i="8"/>
  <c r="F59" i="8"/>
  <c r="F68" i="8"/>
  <c r="F54" i="8"/>
  <c r="F50" i="8"/>
  <c r="F37" i="8"/>
  <c r="F80" i="8"/>
  <c r="F21" i="8"/>
  <c r="F51" i="8"/>
  <c r="F39" i="8"/>
  <c r="F77" i="8"/>
  <c r="F49" i="8"/>
  <c r="F52" i="8"/>
  <c r="F31" i="8"/>
  <c r="F23" i="8"/>
  <c r="F28" i="8"/>
  <c r="F67" i="8"/>
  <c r="F47" i="8"/>
  <c r="F24" i="8"/>
  <c r="F66" i="8"/>
  <c r="F26" i="8"/>
  <c r="F61" i="8"/>
  <c r="F70" i="8"/>
  <c r="F72" i="8"/>
  <c r="F46" i="8"/>
  <c r="F75" i="8"/>
  <c r="F38" i="8"/>
  <c r="F22" i="8"/>
  <c r="F45" i="8"/>
  <c r="E16" i="8" l="1"/>
  <c r="F199" i="8"/>
  <c r="F228" i="8"/>
  <c r="F83" i="8"/>
  <c r="F186" i="8"/>
  <c r="F140" i="8"/>
  <c r="F176" i="8"/>
  <c r="F100" i="8"/>
  <c r="F231" i="8"/>
  <c r="E34" i="8"/>
  <c r="F155" i="8"/>
  <c r="F95" i="8"/>
  <c r="F141" i="8"/>
  <c r="F233" i="8"/>
  <c r="F144" i="8"/>
  <c r="F260" i="8"/>
  <c r="F254" i="8"/>
  <c r="E53" i="8"/>
  <c r="F252" i="8"/>
  <c r="F133" i="8"/>
  <c r="E20" i="8"/>
  <c r="F244" i="8"/>
  <c r="E79" i="8"/>
  <c r="F87" i="8"/>
  <c r="E19" i="8"/>
  <c r="F256" i="8"/>
  <c r="F215" i="8"/>
  <c r="F194" i="8"/>
  <c r="E27" i="8"/>
  <c r="F143" i="8"/>
  <c r="F117" i="8"/>
  <c r="F113" i="8"/>
  <c r="F151" i="8"/>
  <c r="F207" i="8"/>
  <c r="F172" i="8"/>
  <c r="E78" i="8"/>
  <c r="F145" i="8"/>
  <c r="F157" i="8"/>
  <c r="F90" i="8"/>
  <c r="F158" i="8"/>
  <c r="F211" i="8"/>
  <c r="F189" i="8"/>
  <c r="F241" i="8"/>
  <c r="F124" i="8"/>
  <c r="F104" i="8"/>
  <c r="F245" i="8"/>
  <c r="F138" i="8"/>
  <c r="E44" i="8"/>
  <c r="E50" i="8"/>
  <c r="E64" i="8"/>
  <c r="F248" i="8"/>
  <c r="F98" i="8"/>
  <c r="E80" i="8"/>
  <c r="F217" i="8"/>
  <c r="F214" i="8"/>
  <c r="F112" i="8"/>
  <c r="E12" i="8"/>
  <c r="E33" i="8"/>
  <c r="E60" i="8"/>
  <c r="E36" i="8"/>
  <c r="F107" i="8"/>
  <c r="F164" i="8"/>
  <c r="F184" i="8"/>
  <c r="E66" i="8"/>
  <c r="F264" i="8"/>
  <c r="F159" i="8"/>
  <c r="F131" i="8"/>
  <c r="F99" i="8"/>
  <c r="F237" i="8"/>
  <c r="F232" i="8"/>
  <c r="F123" i="8"/>
  <c r="F125" i="8"/>
  <c r="F110" i="8"/>
  <c r="F205" i="8"/>
  <c r="F122" i="8"/>
  <c r="F109" i="8"/>
  <c r="F170" i="8"/>
  <c r="F192" i="8"/>
  <c r="F255" i="8"/>
  <c r="E51" i="8"/>
  <c r="E45" i="8"/>
  <c r="F259" i="8"/>
  <c r="F163" i="8"/>
  <c r="F135" i="8"/>
  <c r="F136" i="8"/>
  <c r="F142" i="8"/>
  <c r="F86" i="8"/>
  <c r="F267" i="8"/>
  <c r="F239" i="8"/>
  <c r="F96" i="8"/>
  <c r="E13" i="8"/>
  <c r="E74" i="8"/>
  <c r="F242" i="8"/>
  <c r="E72" i="8"/>
  <c r="F188" i="8"/>
  <c r="F161" i="8"/>
  <c r="E18" i="8"/>
  <c r="E41" i="8"/>
  <c r="E21" i="8"/>
  <c r="F108" i="8"/>
  <c r="F251" i="8"/>
  <c r="F223" i="8"/>
  <c r="E32" i="8"/>
  <c r="F187" i="8"/>
  <c r="E58" i="8"/>
  <c r="F93" i="8"/>
  <c r="F134" i="8"/>
  <c r="E67" i="8"/>
  <c r="F148" i="8"/>
  <c r="F178" i="8"/>
  <c r="F208" i="8"/>
  <c r="E35" i="8"/>
  <c r="E37" i="8"/>
  <c r="F234" i="8"/>
  <c r="E75" i="8"/>
  <c r="E81" i="8"/>
  <c r="F265" i="8"/>
  <c r="F137" i="8"/>
  <c r="E23" i="8"/>
  <c r="F152" i="8"/>
  <c r="F153" i="8"/>
  <c r="E30" i="8"/>
  <c r="F84" i="8"/>
  <c r="F177" i="8"/>
  <c r="F200" i="8"/>
  <c r="F201" i="8"/>
  <c r="F216" i="8"/>
  <c r="F266" i="8"/>
  <c r="F165" i="8"/>
  <c r="F221" i="8"/>
  <c r="E48" i="8"/>
  <c r="F166" i="8"/>
  <c r="E42" i="8"/>
  <c r="F247" i="8"/>
  <c r="F160" i="8"/>
  <c r="E46" i="8"/>
  <c r="F169" i="8"/>
  <c r="E68" i="8"/>
  <c r="E14" i="8"/>
  <c r="F128" i="8"/>
  <c r="F126" i="8"/>
  <c r="F191" i="8"/>
  <c r="F180" i="8"/>
  <c r="F88" i="8"/>
  <c r="F179" i="8"/>
  <c r="E57" i="8"/>
  <c r="E38" i="8"/>
  <c r="F101" i="8"/>
  <c r="F171" i="8"/>
  <c r="F193" i="8"/>
  <c r="F218" i="8"/>
  <c r="E49" i="8"/>
  <c r="F213" i="8"/>
  <c r="F222" i="8"/>
  <c r="F162" i="8"/>
  <c r="F263" i="8"/>
  <c r="F235" i="8"/>
  <c r="F262" i="8"/>
  <c r="F129" i="8"/>
  <c r="E65" i="8"/>
  <c r="F250" i="8"/>
  <c r="F261" i="8"/>
  <c r="E73" i="8"/>
  <c r="F220" i="8"/>
  <c r="F85" i="8"/>
  <c r="F249" i="8"/>
  <c r="F94" i="8"/>
  <c r="F174" i="8"/>
  <c r="E52" i="8"/>
  <c r="F185" i="8"/>
  <c r="E55" i="8"/>
  <c r="F204" i="8"/>
  <c r="F97" i="8"/>
  <c r="F181" i="8"/>
  <c r="F89" i="8"/>
  <c r="F173" i="8"/>
  <c r="F132" i="8"/>
  <c r="E59" i="8"/>
  <c r="F118" i="8"/>
  <c r="F92" i="8"/>
  <c r="F209" i="8"/>
  <c r="F149" i="8"/>
  <c r="F111" i="8"/>
  <c r="E22" i="8"/>
  <c r="F230" i="8"/>
  <c r="E70" i="8"/>
  <c r="F147" i="8"/>
  <c r="E61" i="8"/>
  <c r="F91" i="8"/>
  <c r="F210" i="8"/>
  <c r="E26" i="8"/>
  <c r="F102" i="8"/>
  <c r="F156" i="8"/>
  <c r="F168" i="8"/>
  <c r="E17" i="8"/>
  <c r="F146" i="8"/>
  <c r="E43" i="8"/>
  <c r="E31" i="8"/>
  <c r="F238" i="8"/>
  <c r="F116" i="8"/>
  <c r="F206" i="8"/>
  <c r="F154" i="8"/>
  <c r="E28" i="8"/>
  <c r="F105" i="8"/>
  <c r="E56" i="8"/>
  <c r="F120" i="8"/>
  <c r="F246" i="8"/>
  <c r="E24" i="8"/>
  <c r="E29" i="8"/>
  <c r="F121" i="8"/>
  <c r="F212" i="8"/>
  <c r="F175" i="8"/>
  <c r="F127" i="8"/>
  <c r="E71" i="8"/>
  <c r="F195" i="8"/>
  <c r="F167" i="8"/>
  <c r="F139" i="8"/>
  <c r="F202" i="8"/>
  <c r="F115" i="8"/>
  <c r="E25" i="8"/>
  <c r="F236" i="8"/>
  <c r="F130" i="8"/>
  <c r="F240" i="8"/>
  <c r="F257" i="8"/>
  <c r="F229" i="8"/>
  <c r="E76" i="8"/>
  <c r="F224" i="8"/>
  <c r="E40" i="8"/>
  <c r="E39" i="8"/>
  <c r="F243" i="8"/>
  <c r="F103" i="8"/>
  <c r="E62" i="8"/>
  <c r="F183" i="8"/>
  <c r="F119" i="8"/>
  <c r="F203" i="8"/>
  <c r="F182" i="8"/>
  <c r="E77" i="8"/>
  <c r="F190" i="8"/>
  <c r="F219" i="8"/>
  <c r="F258" i="8"/>
  <c r="F114" i="8"/>
  <c r="E54" i="8"/>
  <c r="E47" i="8"/>
  <c r="F253" i="8"/>
  <c r="F106" i="8"/>
  <c r="E69" i="8"/>
  <c r="F150" i="8"/>
  <c r="E63" i="8"/>
  <c r="D16" i="8" l="1"/>
  <c r="D83" i="8" s="1"/>
  <c r="E83" i="8"/>
  <c r="E199" i="8"/>
  <c r="E228" i="8"/>
  <c r="D67" i="8"/>
  <c r="E241" i="8"/>
  <c r="E102" i="8"/>
  <c r="D151" i="8"/>
  <c r="D52" i="8"/>
  <c r="E234" i="8"/>
  <c r="E253" i="8"/>
  <c r="E222" i="8"/>
  <c r="D49" i="8"/>
  <c r="E117" i="8"/>
  <c r="D24" i="8"/>
  <c r="E261" i="8"/>
  <c r="E165" i="8"/>
  <c r="D33" i="8"/>
  <c r="D104" i="8"/>
  <c r="D134" i="8"/>
  <c r="E87" i="8"/>
  <c r="E183" i="8"/>
  <c r="D173" i="8"/>
  <c r="E155" i="8"/>
  <c r="D74" i="8"/>
  <c r="D179" i="8"/>
  <c r="D125" i="8"/>
  <c r="D140" i="8"/>
  <c r="E147" i="8"/>
  <c r="D189" i="8"/>
  <c r="D20" i="8"/>
  <c r="D99" i="8"/>
  <c r="D38" i="8"/>
  <c r="E175" i="8"/>
  <c r="E167" i="8"/>
  <c r="D150" i="8"/>
  <c r="D128" i="8"/>
  <c r="E134" i="8"/>
  <c r="E90" i="8"/>
  <c r="D169" i="8"/>
  <c r="D186" i="8"/>
  <c r="E213" i="8"/>
  <c r="E243" i="8"/>
  <c r="E122" i="8"/>
  <c r="D168" i="8"/>
  <c r="D25" i="8"/>
  <c r="D97" i="8"/>
  <c r="E223" i="8"/>
  <c r="E258" i="8"/>
  <c r="E209" i="8"/>
  <c r="D85" i="8"/>
  <c r="D88" i="8"/>
  <c r="D143" i="8"/>
  <c r="D14" i="8"/>
  <c r="E125" i="8"/>
  <c r="D71" i="8"/>
  <c r="D78" i="8"/>
  <c r="E100" i="8"/>
  <c r="D159" i="8"/>
  <c r="E156" i="8"/>
  <c r="E237" i="8"/>
  <c r="D94" i="8"/>
  <c r="E148" i="8"/>
  <c r="E153" i="8"/>
  <c r="D101" i="8"/>
  <c r="E211" i="8"/>
  <c r="E143" i="8"/>
  <c r="D139" i="8"/>
  <c r="E174" i="8"/>
  <c r="E247" i="8"/>
  <c r="E140" i="8"/>
  <c r="D147" i="8"/>
  <c r="D193" i="8"/>
  <c r="D18" i="8"/>
  <c r="E260" i="8"/>
  <c r="D84" i="8"/>
  <c r="E124" i="8"/>
  <c r="D187" i="8"/>
  <c r="E106" i="8"/>
  <c r="E217" i="8"/>
  <c r="E157" i="8"/>
  <c r="D29" i="8"/>
  <c r="E202" i="8"/>
  <c r="D21" i="8"/>
  <c r="E219" i="8"/>
  <c r="E251" i="8"/>
  <c r="E131" i="8"/>
  <c r="E86" i="8"/>
  <c r="E192" i="8"/>
  <c r="D152" i="8"/>
  <c r="D39" i="8"/>
  <c r="D79" i="8"/>
  <c r="D141" i="8"/>
  <c r="E180" i="8"/>
  <c r="E231" i="8"/>
  <c r="D156" i="8"/>
  <c r="D107" i="8"/>
  <c r="D142" i="8"/>
  <c r="E161" i="8"/>
  <c r="D126" i="8"/>
  <c r="E249" i="8"/>
  <c r="E170" i="8"/>
  <c r="D46" i="8"/>
  <c r="D188" i="8"/>
  <c r="E128" i="8"/>
  <c r="D37" i="8"/>
  <c r="D31" i="8"/>
  <c r="D155" i="8"/>
  <c r="D13" i="8"/>
  <c r="E191" i="8"/>
  <c r="E97" i="8"/>
  <c r="E250" i="8"/>
  <c r="E206" i="8"/>
  <c r="D90" i="8"/>
  <c r="E232" i="8"/>
  <c r="E89" i="8"/>
  <c r="D56" i="8"/>
  <c r="D184" i="8"/>
  <c r="D43" i="8"/>
  <c r="D109" i="8"/>
  <c r="D91" i="8"/>
  <c r="E216" i="8"/>
  <c r="E137" i="8"/>
  <c r="D75" i="8"/>
  <c r="E166" i="8"/>
  <c r="E186" i="8"/>
  <c r="D138" i="8"/>
  <c r="E177" i="8"/>
  <c r="E229" i="8"/>
  <c r="D167" i="8"/>
  <c r="E88" i="8"/>
  <c r="D19" i="8"/>
  <c r="E179" i="8"/>
  <c r="E266" i="8"/>
  <c r="D135" i="8"/>
  <c r="E132" i="8"/>
  <c r="E111" i="8"/>
  <c r="E204" i="8"/>
  <c r="E158" i="8"/>
  <c r="E141" i="8"/>
  <c r="D86" i="8"/>
  <c r="D172" i="8"/>
  <c r="D32" i="8"/>
  <c r="E160" i="8"/>
  <c r="D129" i="8"/>
  <c r="E264" i="8"/>
  <c r="E230" i="8"/>
  <c r="E181" i="8"/>
  <c r="E200" i="8"/>
  <c r="E169" i="8"/>
  <c r="E240" i="8"/>
  <c r="D50" i="8"/>
  <c r="E185" i="8"/>
  <c r="E248" i="8"/>
  <c r="D51" i="8"/>
  <c r="D111" i="8"/>
  <c r="E187" i="8"/>
  <c r="D26" i="8"/>
  <c r="D180" i="8"/>
  <c r="D77" i="8"/>
  <c r="D27" i="8"/>
  <c r="E135" i="8"/>
  <c r="D108" i="8"/>
  <c r="D124" i="8"/>
  <c r="D144" i="8"/>
  <c r="D68" i="8"/>
  <c r="D87" i="8"/>
  <c r="D81" i="8"/>
  <c r="E244" i="8"/>
  <c r="E105" i="8"/>
  <c r="E263" i="8"/>
  <c r="E98" i="8"/>
  <c r="D58" i="8"/>
  <c r="D93" i="8"/>
  <c r="D171" i="8"/>
  <c r="E257" i="8"/>
  <c r="D117" i="8"/>
  <c r="D61" i="8"/>
  <c r="D165" i="8"/>
  <c r="D98" i="8"/>
  <c r="D153" i="8"/>
  <c r="D185" i="8"/>
  <c r="D174" i="8"/>
  <c r="D122" i="8"/>
  <c r="E136" i="8"/>
  <c r="E267" i="8"/>
  <c r="D76" i="8"/>
  <c r="E262" i="8"/>
  <c r="D60" i="8"/>
  <c r="D116" i="8"/>
  <c r="D65" i="8"/>
  <c r="D57" i="8"/>
  <c r="E129" i="8"/>
  <c r="D30" i="8"/>
  <c r="D146" i="8"/>
  <c r="E208" i="8"/>
  <c r="D181" i="8"/>
  <c r="E127" i="8"/>
  <c r="E259" i="8"/>
  <c r="D59" i="8"/>
  <c r="E238" i="8"/>
  <c r="D190" i="8"/>
  <c r="D119" i="8"/>
  <c r="E203" i="8"/>
  <c r="E130" i="8"/>
  <c r="E151" i="8"/>
  <c r="E159" i="8"/>
  <c r="D114" i="8"/>
  <c r="D63" i="8"/>
  <c r="D136" i="8"/>
  <c r="D53" i="8"/>
  <c r="E212" i="8"/>
  <c r="E112" i="8"/>
  <c r="E265" i="8"/>
  <c r="D133" i="8"/>
  <c r="D70" i="8"/>
  <c r="D28" i="8"/>
  <c r="D160" i="8"/>
  <c r="E221" i="8"/>
  <c r="D105" i="8"/>
  <c r="D96" i="8"/>
  <c r="E173" i="8"/>
  <c r="D95" i="8"/>
  <c r="E218" i="8"/>
  <c r="D35" i="8"/>
  <c r="E154" i="8"/>
  <c r="D92" i="8"/>
  <c r="E139" i="8"/>
  <c r="D132" i="8"/>
  <c r="E119" i="8"/>
  <c r="E91" i="8"/>
  <c r="D112" i="8"/>
  <c r="D17" i="8"/>
  <c r="E92" i="8"/>
  <c r="E188" i="8"/>
  <c r="D55" i="8"/>
  <c r="E207" i="8"/>
  <c r="D41" i="8"/>
  <c r="D118" i="8"/>
  <c r="D130" i="8"/>
  <c r="E107" i="8"/>
  <c r="D183" i="8"/>
  <c r="D106" i="8"/>
  <c r="E142" i="8"/>
  <c r="D191" i="8"/>
  <c r="E168" i="8"/>
  <c r="E113" i="8"/>
  <c r="D194" i="8"/>
  <c r="E133" i="8"/>
  <c r="D178" i="8"/>
  <c r="E145" i="8"/>
  <c r="E110" i="8"/>
  <c r="D166" i="8"/>
  <c r="E101" i="8"/>
  <c r="E115" i="8"/>
  <c r="E138" i="8"/>
  <c r="E163" i="8"/>
  <c r="E118" i="8"/>
  <c r="D80" i="8"/>
  <c r="E236" i="8"/>
  <c r="D110" i="8"/>
  <c r="D36" i="8"/>
  <c r="D23" i="8"/>
  <c r="E172" i="8"/>
  <c r="D170" i="8"/>
  <c r="D148" i="8"/>
  <c r="D131" i="8"/>
  <c r="D182" i="8"/>
  <c r="E178" i="8"/>
  <c r="E109" i="8"/>
  <c r="E235" i="8"/>
  <c r="D64" i="8"/>
  <c r="E85" i="8"/>
  <c r="D123" i="8"/>
  <c r="D162" i="8"/>
  <c r="D164" i="8"/>
  <c r="D137" i="8"/>
  <c r="D34" i="8"/>
  <c r="E149" i="8"/>
  <c r="E120" i="8"/>
  <c r="E190" i="8"/>
  <c r="E193" i="8"/>
  <c r="E255" i="8"/>
  <c r="D48" i="8"/>
  <c r="E123" i="8"/>
  <c r="D54" i="8"/>
  <c r="E254" i="8"/>
  <c r="D89" i="8"/>
  <c r="E93" i="8"/>
  <c r="D121" i="8"/>
  <c r="D22" i="8"/>
  <c r="E103" i="8"/>
  <c r="D158" i="8"/>
  <c r="E194" i="8"/>
  <c r="E245" i="8"/>
  <c r="D195" i="8"/>
  <c r="E126" i="8"/>
  <c r="E182" i="8"/>
  <c r="E152" i="8"/>
  <c r="D100" i="8"/>
  <c r="E116" i="8"/>
  <c r="D103" i="8"/>
  <c r="D157" i="8"/>
  <c r="E99" i="8"/>
  <c r="E104" i="8"/>
  <c r="D66" i="8"/>
  <c r="D62" i="8"/>
  <c r="E224" i="8"/>
  <c r="D176" i="8"/>
  <c r="E108" i="8"/>
  <c r="E150" i="8"/>
  <c r="E201" i="8"/>
  <c r="E233" i="8"/>
  <c r="E84" i="8"/>
  <c r="E195" i="8"/>
  <c r="E256" i="8"/>
  <c r="D12" i="8"/>
  <c r="E239" i="8"/>
  <c r="E220" i="8"/>
  <c r="E121" i="8"/>
  <c r="D40" i="8"/>
  <c r="D120" i="8"/>
  <c r="E114" i="8"/>
  <c r="E242" i="8"/>
  <c r="E144" i="8"/>
  <c r="D175" i="8"/>
  <c r="E171" i="8"/>
  <c r="D73" i="8"/>
  <c r="D115" i="8"/>
  <c r="D72" i="8"/>
  <c r="E184" i="8"/>
  <c r="E246" i="8"/>
  <c r="D161" i="8"/>
  <c r="E176" i="8"/>
  <c r="D47" i="8"/>
  <c r="D192" i="8"/>
  <c r="D44" i="8"/>
  <c r="E96" i="8"/>
  <c r="D149" i="8"/>
  <c r="E189" i="8"/>
  <c r="E164" i="8"/>
  <c r="E215" i="8"/>
  <c r="D69" i="8"/>
  <c r="E205" i="8"/>
  <c r="D154" i="8"/>
  <c r="E94" i="8"/>
  <c r="E210" i="8"/>
  <c r="E162" i="8"/>
  <c r="D127" i="8"/>
  <c r="E146" i="8"/>
  <c r="D113" i="8"/>
  <c r="D45" i="8"/>
  <c r="D42" i="8"/>
  <c r="E214" i="8"/>
  <c r="E252" i="8"/>
  <c r="D145" i="8"/>
  <c r="D177" i="8"/>
  <c r="D163" i="8"/>
  <c r="D102" i="8"/>
  <c r="E95" i="8"/>
  <c r="D228" i="8" l="1"/>
  <c r="D199" i="8"/>
  <c r="D237" i="8"/>
  <c r="D241" i="8"/>
  <c r="D238" i="8"/>
  <c r="D234" i="8"/>
  <c r="D236" i="8"/>
  <c r="D209" i="8"/>
  <c r="D219" i="8"/>
  <c r="D253" i="8"/>
  <c r="D242" i="8"/>
  <c r="D255" i="8"/>
  <c r="D233" i="8"/>
  <c r="D216" i="8"/>
  <c r="D247" i="8"/>
  <c r="D204" i="8"/>
  <c r="D259" i="8"/>
  <c r="D230" i="8"/>
  <c r="D266" i="8"/>
  <c r="D243" i="8"/>
  <c r="D212" i="8"/>
  <c r="D214" i="8"/>
  <c r="D202" i="8"/>
  <c r="D254" i="8"/>
  <c r="D210" i="8"/>
  <c r="D256" i="8"/>
  <c r="D264" i="8"/>
  <c r="D208" i="8"/>
  <c r="D251" i="8"/>
  <c r="D201" i="8"/>
  <c r="D207" i="8"/>
  <c r="D205" i="8"/>
  <c r="D267" i="8"/>
  <c r="D235" i="8"/>
  <c r="D260" i="8"/>
  <c r="D203" i="8"/>
  <c r="D232" i="8"/>
  <c r="D240" i="8"/>
  <c r="D244" i="8"/>
  <c r="D218" i="8"/>
  <c r="D213" i="8"/>
  <c r="D229" i="8"/>
  <c r="D223" i="8"/>
  <c r="D231" i="8"/>
  <c r="D221" i="8"/>
  <c r="D211" i="8"/>
  <c r="D224" i="8"/>
  <c r="D215" i="8"/>
  <c r="D217" i="8"/>
  <c r="D262" i="8"/>
  <c r="D245" i="8"/>
  <c r="D239" i="8"/>
  <c r="D220" i="8"/>
  <c r="D265" i="8"/>
  <c r="D250" i="8"/>
  <c r="D249" i="8"/>
  <c r="D263" i="8"/>
  <c r="D222" i="8"/>
  <c r="D206" i="8"/>
  <c r="D258" i="8"/>
  <c r="D200" i="8"/>
  <c r="D246" i="8"/>
  <c r="D261" i="8"/>
  <c r="D257" i="8"/>
  <c r="D248" i="8"/>
  <c r="D252" i="8"/>
</calcChain>
</file>

<file path=xl/sharedStrings.xml><?xml version="1.0" encoding="utf-8"?>
<sst xmlns="http://schemas.openxmlformats.org/spreadsheetml/2006/main" count="267" uniqueCount="253">
  <si>
    <t>Código:</t>
  </si>
  <si>
    <t>Empresa:</t>
  </si>
  <si>
    <t>ATIVO</t>
  </si>
  <si>
    <t>PASSIVO</t>
  </si>
  <si>
    <t>DRE</t>
  </si>
  <si>
    <t>-Custo Produtos Vendidos</t>
  </si>
  <si>
    <t>=Lucro Bruto</t>
  </si>
  <si>
    <t>-Desp (receit) operac</t>
  </si>
  <si>
    <t>+Despesas com Vendas</t>
  </si>
  <si>
    <t>+Despesas administrativ</t>
  </si>
  <si>
    <t>+Per p/ nao recuper de at</t>
  </si>
  <si>
    <t>-Outras rec operacionais</t>
  </si>
  <si>
    <t>+Outras Despesas Operac</t>
  </si>
  <si>
    <t>-Equivalenc patrimonial</t>
  </si>
  <si>
    <t>=Lucro antes jur&amp;imp EBIT</t>
  </si>
  <si>
    <t>+Resultado financeiro</t>
  </si>
  <si>
    <t>+Receitas Financeiras</t>
  </si>
  <si>
    <t>-Despesas Financeiras</t>
  </si>
  <si>
    <t>=LAIR</t>
  </si>
  <si>
    <t>-Imp renda e contrib soc</t>
  </si>
  <si>
    <t>Provisao impost de rend</t>
  </si>
  <si>
    <t>IR Diferido</t>
  </si>
  <si>
    <t>=Lucro oper continuadas</t>
  </si>
  <si>
    <t>+Operac descontinuadas</t>
  </si>
  <si>
    <t>Lu ou prej liq oper desc</t>
  </si>
  <si>
    <t>Ga ou pe liq s/atv op de</t>
  </si>
  <si>
    <t>=Lucro Consolidado</t>
  </si>
  <si>
    <t>-Partic acion minoritar</t>
  </si>
  <si>
    <t>=Lucro liquido</t>
  </si>
  <si>
    <t>+Caixa gerado por operac</t>
  </si>
  <si>
    <t>+Caixa gerado por invest</t>
  </si>
  <si>
    <t>+Caixa gerado por financ</t>
  </si>
  <si>
    <t>+Efeito Cambial</t>
  </si>
  <si>
    <t>+Outras variacoes</t>
  </si>
  <si>
    <t>=Variac liquida de caixa</t>
  </si>
  <si>
    <t>Thousands</t>
  </si>
  <si>
    <t>Receita liquida operac</t>
  </si>
  <si>
    <t>2 - DEMONSTRATIVO DE RESULTADO (CVM)</t>
  </si>
  <si>
    <t>1 - BALANÇO PATRIMONIAL (CVM)</t>
  </si>
  <si>
    <t xml:space="preserve"> Outros</t>
  </si>
  <si>
    <t xml:space="preserve"> Outras contas a receb CP</t>
  </si>
  <si>
    <t xml:space="preserve"> Estoques</t>
  </si>
  <si>
    <t xml:space="preserve"> Ativos Biologicos CP</t>
  </si>
  <si>
    <t xml:space="preserve"> Impostos a Recuperar</t>
  </si>
  <si>
    <t xml:space="preserve"> Tributos cor a recuperar</t>
  </si>
  <si>
    <t xml:space="preserve"> Despesas pagas antecip</t>
  </si>
  <si>
    <t xml:space="preserve"> Outros ativos circulante</t>
  </si>
  <si>
    <t xml:space="preserve"> Atvs naocor mant p/venda</t>
  </si>
  <si>
    <t xml:space="preserve"> Operacoes Descon CP</t>
  </si>
  <si>
    <t xml:space="preserve"> Outros Ativos</t>
  </si>
  <si>
    <t xml:space="preserve"> Ativo nao circulante</t>
  </si>
  <si>
    <t xml:space="preserve"> Realizavel LP</t>
  </si>
  <si>
    <t xml:space="preserve"> Apl fin avali vlr jus LP</t>
  </si>
  <si>
    <t xml:space="preserve"> Titulos designados a valor justo LP</t>
  </si>
  <si>
    <t xml:space="preserve"> Apl fi aval custo amo LP</t>
  </si>
  <si>
    <t xml:space="preserve"> Contas a receber LP</t>
  </si>
  <si>
    <t xml:space="preserve"> Clientes LP</t>
  </si>
  <si>
    <t xml:space="preserve"> Out contas a cobrar LP</t>
  </si>
  <si>
    <t xml:space="preserve"> Estoques LP</t>
  </si>
  <si>
    <t xml:space="preserve"> Ativos Biologicos LP</t>
  </si>
  <si>
    <t xml:space="preserve"> Impostos Diferidos</t>
  </si>
  <si>
    <t xml:space="preserve"> IR e contr social difer</t>
  </si>
  <si>
    <t xml:space="preserve"> Despesas antecipadas</t>
  </si>
  <si>
    <t xml:space="preserve"> A receb de partes relaci</t>
  </si>
  <si>
    <t xml:space="preserve"> de Coligadas</t>
  </si>
  <si>
    <t xml:space="preserve"> de Controladas</t>
  </si>
  <si>
    <t xml:space="preserve"> Creditos com controlador</t>
  </si>
  <si>
    <t xml:space="preserve"> A rec de outr part relac</t>
  </si>
  <si>
    <t xml:space="preserve"> Outros ativos nao circul</t>
  </si>
  <si>
    <t xml:space="preserve"> Atv ncor mant p/venda LP</t>
  </si>
  <si>
    <t xml:space="preserve"> Operacoes Descontin LP</t>
  </si>
  <si>
    <t xml:space="preserve"> Investimentos</t>
  </si>
  <si>
    <t xml:space="preserve"> Inv em subsid e outros</t>
  </si>
  <si>
    <t xml:space="preserve"> Investim em coligadas</t>
  </si>
  <si>
    <t xml:space="preserve"> Investim em controladas</t>
  </si>
  <si>
    <t xml:space="preserve"> Inves em control em conj</t>
  </si>
  <si>
    <t xml:space="preserve"> Outr invest em empr rela</t>
  </si>
  <si>
    <t xml:space="preserve"> Propriedades p/ investim</t>
  </si>
  <si>
    <t xml:space="preserve"> Imobilizado</t>
  </si>
  <si>
    <t xml:space="preserve"> Em operacao</t>
  </si>
  <si>
    <t xml:space="preserve"> Arrendado</t>
  </si>
  <si>
    <t xml:space="preserve"> Imobilizacoes em Curso</t>
  </si>
  <si>
    <t xml:space="preserve"> Intangiveis liquido</t>
  </si>
  <si>
    <t xml:space="preserve"> Intangiveis</t>
  </si>
  <si>
    <t xml:space="preserve"> Contrato de concessao</t>
  </si>
  <si>
    <t xml:space="preserve"> Goodwill</t>
  </si>
  <si>
    <t xml:space="preserve"> Passivo e patrimonio liq</t>
  </si>
  <si>
    <t xml:space="preserve"> Passivo Circulante</t>
  </si>
  <si>
    <t xml:space="preserve"> Obrig sociais e trabalh</t>
  </si>
  <si>
    <t xml:space="preserve"> Obrigacoes sociais</t>
  </si>
  <si>
    <t xml:space="preserve"> Obrigac trabalhistas CP</t>
  </si>
  <si>
    <t xml:space="preserve"> Fornecedores CP</t>
  </si>
  <si>
    <t xml:space="preserve"> Nacionais</t>
  </si>
  <si>
    <t xml:space="preserve"> Estrangeiros</t>
  </si>
  <si>
    <t xml:space="preserve"> Impostos a pagar</t>
  </si>
  <si>
    <t xml:space="preserve"> Federais</t>
  </si>
  <si>
    <t xml:space="preserve"> IR e contrib social a pg</t>
  </si>
  <si>
    <t xml:space="preserve"> Estaduais</t>
  </si>
  <si>
    <t xml:space="preserve"> Municipais</t>
  </si>
  <si>
    <t xml:space="preserve"> Total empres e financ CP</t>
  </si>
  <si>
    <t xml:space="preserve"> Financiamento CP</t>
  </si>
  <si>
    <t xml:space="preserve"> Financ moeda nacion CP</t>
  </si>
  <si>
    <t xml:space="preserve"> Financ moeda estrg CP</t>
  </si>
  <si>
    <t xml:space="preserve"> Debentures CP</t>
  </si>
  <si>
    <t xml:space="preserve"> Financ por arrend financ</t>
  </si>
  <si>
    <t xml:space="preserve"> Outras obrigacoes CP</t>
  </si>
  <si>
    <t xml:space="preserve"> Passiv com part relac CP</t>
  </si>
  <si>
    <t xml:space="preserve"> A pagar a coligadas CP</t>
  </si>
  <si>
    <t xml:space="preserve"> A pagar a controladas CP</t>
  </si>
  <si>
    <t xml:space="preserve"> A pag a controladores CP</t>
  </si>
  <si>
    <t xml:space="preserve"> A pag a out part rela CP</t>
  </si>
  <si>
    <t xml:space="preserve"> Outros CP</t>
  </si>
  <si>
    <t xml:space="preserve"> Dividendos a Pagar CP</t>
  </si>
  <si>
    <t xml:space="preserve"> Dividendo min obrig a pg</t>
  </si>
  <si>
    <t xml:space="preserve"> Obr p/pg bas em acoes CP</t>
  </si>
  <si>
    <t xml:space="preserve"> Provisoes CP</t>
  </si>
  <si>
    <t xml:space="preserve"> Prov fis,pre,trab&amp;civ CP</t>
  </si>
  <si>
    <t xml:space="preserve"> Provisoes Para Impostos</t>
  </si>
  <si>
    <t xml:space="preserve"> Prov previd e trabalh CP</t>
  </si>
  <si>
    <t xml:space="preserve"> Prov p/benef a empreg CP</t>
  </si>
  <si>
    <t xml:space="preserve"> Provisoes civeis CP</t>
  </si>
  <si>
    <t xml:space="preserve"> Outr provi a curto prazo</t>
  </si>
  <si>
    <t xml:space="preserve"> Provisoes p/garantias CP</t>
  </si>
  <si>
    <t xml:space="preserve"> Prov para reestrutur CP</t>
  </si>
  <si>
    <t xml:space="preserve"> Prov pas ambi e desat CP</t>
  </si>
  <si>
    <t xml:space="preserve"> Pa s/at ncor a ve+des CP</t>
  </si>
  <si>
    <t xml:space="preserve"> Pas s/ ativ ncor a ve CP</t>
  </si>
  <si>
    <t xml:space="preserve"> Pas s/ativ oper desco CP</t>
  </si>
  <si>
    <t xml:space="preserve"> Passivo nao circulante</t>
  </si>
  <si>
    <t xml:space="preserve"> Total empres e financ LP</t>
  </si>
  <si>
    <t xml:space="preserve"> Financiamento LP</t>
  </si>
  <si>
    <t xml:space="preserve"> Financ moeda nacion LP</t>
  </si>
  <si>
    <t xml:space="preserve"> Financ moeda estrg LP</t>
  </si>
  <si>
    <t xml:space="preserve"> Debentures LP</t>
  </si>
  <si>
    <t xml:space="preserve"> Financ por arrend fin LP</t>
  </si>
  <si>
    <t xml:space="preserve"> Outras obrigacoes</t>
  </si>
  <si>
    <t xml:space="preserve"> Passiv com part relac LP</t>
  </si>
  <si>
    <t xml:space="preserve"> A pagar a coligadas LP</t>
  </si>
  <si>
    <t xml:space="preserve"> A pagar a controladas LP</t>
  </si>
  <si>
    <t xml:space="preserve"> A pag a controladores LP</t>
  </si>
  <si>
    <t xml:space="preserve"> A pag a out part rela LP</t>
  </si>
  <si>
    <t xml:space="preserve"> Outros LP</t>
  </si>
  <si>
    <t xml:space="preserve"> Obr p/pg bas em acoes LP</t>
  </si>
  <si>
    <t xml:space="preserve"> Adi p/fut aum d cap pass</t>
  </si>
  <si>
    <t xml:space="preserve"> Impostos Diferidos LP</t>
  </si>
  <si>
    <t xml:space="preserve"> IR e contri social difer</t>
  </si>
  <si>
    <t xml:space="preserve"> Provisoes LP</t>
  </si>
  <si>
    <t xml:space="preserve"> Prv fis,pre,trab&amp;civ LP</t>
  </si>
  <si>
    <t xml:space="preserve"> Provisoes fiscais LP</t>
  </si>
  <si>
    <t xml:space="preserve"> Prov previd e trabalh LP</t>
  </si>
  <si>
    <t xml:space="preserve"> Prov p/ benefic a empreg</t>
  </si>
  <si>
    <t xml:space="preserve"> Provisoes civeis LP</t>
  </si>
  <si>
    <t xml:space="preserve"> Outras prov a longo praz</t>
  </si>
  <si>
    <t xml:space="preserve"> Provisoes p/garantias LP</t>
  </si>
  <si>
    <t xml:space="preserve"> Prov para reestrutur LP</t>
  </si>
  <si>
    <t xml:space="preserve"> Prov pas ambi e desat LP</t>
  </si>
  <si>
    <t xml:space="preserve"> Pa s/at ncor a ve+des LP</t>
  </si>
  <si>
    <t xml:space="preserve"> Pas s/ ativ ncor a ve LP</t>
  </si>
  <si>
    <t xml:space="preserve"> Pas s/ativ oper desco LP</t>
  </si>
  <si>
    <t xml:space="preserve"> Lucros e receit a apropr</t>
  </si>
  <si>
    <t xml:space="preserve"> Lucros a apropriar</t>
  </si>
  <si>
    <t xml:space="preserve"> Receitas a apropriar</t>
  </si>
  <si>
    <t xml:space="preserve"> Subvenc de invest a apro</t>
  </si>
  <si>
    <t xml:space="preserve"> Patrim liq consolidado</t>
  </si>
  <si>
    <t xml:space="preserve"> Part acionistas minorit</t>
  </si>
  <si>
    <t xml:space="preserve"> Patrimonio liquido</t>
  </si>
  <si>
    <t xml:space="preserve"> Capital social</t>
  </si>
  <si>
    <t xml:space="preserve"> Reservas de Capital</t>
  </si>
  <si>
    <t xml:space="preserve"> Agio na emissao de acoes</t>
  </si>
  <si>
    <t xml:space="preserve"> Res esp de agio na incor</t>
  </si>
  <si>
    <t xml:space="preserve"> Alien de bonus de subscr</t>
  </si>
  <si>
    <t xml:space="preserve"> Opcoes outorgadas</t>
  </si>
  <si>
    <t xml:space="preserve"> Acoes em tesour (re cap)</t>
  </si>
  <si>
    <t xml:space="preserve"> Adiant p fut aum de cap</t>
  </si>
  <si>
    <t xml:space="preserve"> Reservas de Reavaliacao</t>
  </si>
  <si>
    <t xml:space="preserve"> Reserva de Lucros</t>
  </si>
  <si>
    <t xml:space="preserve"> Reserva Legal</t>
  </si>
  <si>
    <t xml:space="preserve"> Reserva Estatutaria</t>
  </si>
  <si>
    <t xml:space="preserve"> Reserva p/ Contingencias</t>
  </si>
  <si>
    <t xml:space="preserve"> Reservas de Luc a Realz</t>
  </si>
  <si>
    <t xml:space="preserve"> Resv de Retencao de Luc</t>
  </si>
  <si>
    <t xml:space="preserve"> Resv Esp p/ Div nao Dist</t>
  </si>
  <si>
    <t xml:space="preserve"> Reserva de incen fiscais</t>
  </si>
  <si>
    <t xml:space="preserve"> Dividendo adicional prop</t>
  </si>
  <si>
    <t xml:space="preserve"> Acoes em tesour (re luc)</t>
  </si>
  <si>
    <t xml:space="preserve"> Lucros acumulados</t>
  </si>
  <si>
    <t xml:space="preserve"> Ajustes de aval patrimon</t>
  </si>
  <si>
    <t xml:space="preserve"> Ajustes acumul de conver</t>
  </si>
  <si>
    <t xml:space="preserve"> Outr result abrangentes</t>
  </si>
  <si>
    <t xml:space="preserve"> Caixa gerado nas operac</t>
  </si>
  <si>
    <t xml:space="preserve"> Lucro liquido</t>
  </si>
  <si>
    <t xml:space="preserve"> Deprec, amortiz e exaust</t>
  </si>
  <si>
    <t xml:space="preserve"> Perd(gan) var monet&amp;camb</t>
  </si>
  <si>
    <t xml:space="preserve"> Perd(gan) venda atv perm</t>
  </si>
  <si>
    <t xml:space="preserve"> Valor contab bem vendido</t>
  </si>
  <si>
    <t xml:space="preserve"> Perd(gan) na equival pat</t>
  </si>
  <si>
    <t xml:space="preserve"> Impostos diferidos</t>
  </si>
  <si>
    <t xml:space="preserve"> Gan(perd) dos minorit</t>
  </si>
  <si>
    <t xml:space="preserve"> Out perd(gan) nao caixa</t>
  </si>
  <si>
    <t xml:space="preserve"> Redu(aum) em ativ e pass</t>
  </si>
  <si>
    <t xml:space="preserve"> Redu(aum) dupl a receber</t>
  </si>
  <si>
    <t xml:space="preserve"> Redu(aum) estoques</t>
  </si>
  <si>
    <t xml:space="preserve"> Redu(aum) outros ativos</t>
  </si>
  <si>
    <t xml:space="preserve"> Aum(redu) fornecedores</t>
  </si>
  <si>
    <t xml:space="preserve"> Aum(redu) imp e obr trab</t>
  </si>
  <si>
    <t xml:space="preserve"> Aum(redu) outr passivos</t>
  </si>
  <si>
    <t xml:space="preserve"> Out Itens do Flx Cx Oper</t>
  </si>
  <si>
    <t xml:space="preserve"> Compra liq de ativo perm</t>
  </si>
  <si>
    <t xml:space="preserve"> Compra de invest perman</t>
  </si>
  <si>
    <t xml:space="preserve"> Compra ativos fix e dif</t>
  </si>
  <si>
    <t xml:space="preserve"> Venda de ativo permanent</t>
  </si>
  <si>
    <t xml:space="preserve"> Dividendos recebidos</t>
  </si>
  <si>
    <t xml:space="preserve"> Resg (aplic) financ liq</t>
  </si>
  <si>
    <t xml:space="preserve"> Cx gerado(aplic) out inv</t>
  </si>
  <si>
    <t xml:space="preserve"> Financiament obtidos liq</t>
  </si>
  <si>
    <t xml:space="preserve"> Financiamentos obtidos</t>
  </si>
  <si>
    <t xml:space="preserve"> Financiamentos pagos</t>
  </si>
  <si>
    <t xml:space="preserve"> Aumento liq de capital</t>
  </si>
  <si>
    <t xml:space="preserve"> Aumento de capital</t>
  </si>
  <si>
    <t xml:space="preserve"> Reducao de capital</t>
  </si>
  <si>
    <t xml:space="preserve"> Dividendos pagos</t>
  </si>
  <si>
    <t xml:space="preserve"> Cx gerado(aplic) out fin</t>
  </si>
  <si>
    <t>3 - FLUXO DE CAIXA (CVM)</t>
  </si>
  <si>
    <t>FLUXO DE CAIXA</t>
  </si>
  <si>
    <t>Balanço:</t>
  </si>
  <si>
    <t xml:space="preserve"> Apli fin avaliadas a valor justo atraves do resultado LP</t>
  </si>
  <si>
    <t xml:space="preserve"> Apl fin Aval a vlr jus atraves de outros result. abran LP</t>
  </si>
  <si>
    <t>Balanço Cons. ou Ind.</t>
  </si>
  <si>
    <t>PETR4</t>
  </si>
  <si>
    <t>Ativo total</t>
  </si>
  <si>
    <t>Método Contábil</t>
  </si>
  <si>
    <t>Balanço Consolidado</t>
  </si>
  <si>
    <t>Link Notas Explicativas</t>
  </si>
  <si>
    <t>Titulos para negociacao CP</t>
  </si>
  <si>
    <t>Titulos designados a valor justo CP</t>
  </si>
  <si>
    <t>Outros</t>
  </si>
  <si>
    <t>Ativo Circulante</t>
  </si>
  <si>
    <t>Caixa e equival caixa</t>
  </si>
  <si>
    <t>Aplicacoes financeiras</t>
  </si>
  <si>
    <t>Apl fin avali vlr jus CP</t>
  </si>
  <si>
    <t>Apli fin avaliadas a valor justo atraves do resultado CP</t>
  </si>
  <si>
    <t>Apli fin aval a vlr justo atraves de outros resul abran CP</t>
  </si>
  <si>
    <t>Apl fi aval custo amo CP</t>
  </si>
  <si>
    <t>Contas a receber CP</t>
  </si>
  <si>
    <t>Clientes CP</t>
  </si>
  <si>
    <r>
      <t>Demostrativo Financeiro IFRS (</t>
    </r>
    <r>
      <rPr>
        <b/>
        <sz val="26"/>
        <color rgb="FFB1AE2D"/>
        <rFont val="Calibri"/>
        <family val="2"/>
        <scheme val="minor"/>
      </rPr>
      <t>Empresas Brasileiras Não Financeiras</t>
    </r>
    <r>
      <rPr>
        <b/>
        <sz val="26"/>
        <color rgb="FF023A4A"/>
        <rFont val="Calibri"/>
        <family val="2"/>
        <scheme val="minor"/>
      </rPr>
      <t>)</t>
    </r>
  </si>
  <si>
    <t>Dta. Últ. Bal.:</t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</si>
  <si>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</si>
  <si>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t>Dta. Pref. Últ. Bal.:</t>
  </si>
  <si>
    <t>Unidade:</t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</si>
  <si>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Escolha unidade em (</t>
    </r>
    <r>
      <rPr>
        <b/>
        <sz val="10"/>
        <color rgb="FFB1AE2D"/>
        <rFont val="Calibri"/>
        <family val="2"/>
        <scheme val="minor"/>
      </rPr>
      <t>Units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Thousands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Millions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Billions</t>
    </r>
    <r>
      <rPr>
        <b/>
        <sz val="10"/>
        <color rgb="FF023A4A"/>
        <rFont val="Calibri"/>
        <family val="2"/>
        <scheme val="minor"/>
      </rPr>
      <t>)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</si>
  <si>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 xml:space="preserve">Digite Um </t>
    </r>
    <r>
      <rPr>
        <b/>
        <sz val="10"/>
        <color rgb="FFB1AE2D"/>
        <rFont val="Calibri"/>
        <family val="2"/>
        <scheme val="minor"/>
      </rPr>
      <t xml:space="preserve">Código 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</si>
  <si>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C3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C59C00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</si>
</sst>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dd/mm/yy;@"/>
    <numFmt numFmtId="165" formatCode="#,##0_ ;[Red]\-#,##0\ "/>
    <numFmt numFmtId="166" formatCode="&quot;R$&quot;\ #,##0"/>
    <numFmt numFmtId="167" formatCode="dd/mm/yyyy"/>
  </numFmts>
  <fonts count="29" x14ac:knownFonts="1"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sz val="10"/>
      <color rgb="FF006B66"/>
      <name val="Arial"/>
      <family val="2"/>
    </font>
    <font>
      <b/>
      <sz val="10"/>
      <color rgb="FF006B66"/>
      <name val="Calibri"/>
      <family val="2"/>
      <scheme val="minor"/>
    </font>
    <font>
      <b/>
      <sz val="13"/>
      <color rgb="FFDAE2DD"/>
      <name val="Calibri"/>
      <family val="2"/>
      <scheme val="minor"/>
    </font>
    <font>
      <b/>
      <sz val="10"/>
      <color rgb="FFC59C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26"/>
      <color rgb="FF023A4A"/>
      <name val="Calibri"/>
      <family val="2"/>
      <scheme val="minor"/>
    </font>
    <font>
      <b/>
      <sz val="26"/>
      <color rgb="FFB1AE2D"/>
      <name val="Calibri"/>
      <family val="2"/>
      <scheme val="minor"/>
    </font>
    <font>
      <b/>
      <sz val="14"/>
      <color rgb="FF076B66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CD8DB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15AA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3297D3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34">
    <border>
      <left/>
      <right/>
      <top/>
      <bottom/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 style="thin">
        <color rgb="FFB1AE2D"/>
      </bottom>
      <diagonal/>
    </border>
    <border>
      <left style="thick">
        <color rgb="FFB1AE2D"/>
      </left>
      <right/>
      <top style="thin">
        <color rgb="FFB1AE2D"/>
      </top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/>
      <right/>
      <top/>
      <bottom style="thick">
        <color rgb="FFB1AE2D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  <border>
      <left style="thin">
        <color theme="0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thin">
        <color theme="0"/>
      </right>
      <top/>
      <bottom style="thick">
        <color rgb="FFB1AE2D"/>
      </bottom>
      <diagonal/>
    </border>
    <border>
      <left/>
      <right style="thick">
        <color rgb="FF023A4A"/>
      </right>
      <top style="thick">
        <color rgb="FFB1AE2D"/>
      </top>
      <bottom style="thin">
        <color rgb="FF023A4A"/>
      </bottom>
      <diagonal/>
    </border>
    <border>
      <left style="thick">
        <color rgb="FF023A4A"/>
      </left>
      <right style="thick">
        <color rgb="FF023A4A"/>
      </right>
      <top style="thick">
        <color rgb="FFB1AE2D"/>
      </top>
      <bottom style="thin">
        <color rgb="FF023A4A"/>
      </bottom>
      <diagonal/>
    </border>
    <border>
      <left style="thick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/>
      <right style="thick">
        <color rgb="FF023A4A"/>
      </right>
      <top style="thin">
        <color rgb="FF023A4A"/>
      </top>
      <bottom style="thin">
        <color rgb="FF023A4A"/>
      </bottom>
      <diagonal/>
    </border>
    <border>
      <left style="thick">
        <color rgb="FF023A4A"/>
      </left>
      <right style="thick">
        <color rgb="FF023A4A"/>
      </right>
      <top style="thin">
        <color rgb="FF023A4A"/>
      </top>
      <bottom style="thin">
        <color rgb="FF023A4A"/>
      </bottom>
      <diagonal/>
    </border>
    <border>
      <left style="thick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/>
      <right style="thick">
        <color rgb="FF023A4A"/>
      </right>
      <top style="thin">
        <color rgb="FF023A4A"/>
      </top>
      <bottom/>
      <diagonal/>
    </border>
    <border>
      <left style="thick">
        <color rgb="FF023A4A"/>
      </left>
      <right style="thick">
        <color rgb="FF023A4A"/>
      </right>
      <top style="thin">
        <color rgb="FF023A4A"/>
      </top>
      <bottom/>
      <diagonal/>
    </border>
    <border>
      <left style="thick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ck">
        <color rgb="FFC59C00"/>
      </top>
      <bottom style="thin">
        <color rgb="FF023A4A"/>
      </bottom>
      <diagonal/>
    </border>
    <border>
      <left style="medium">
        <color rgb="FF023A4A"/>
      </left>
      <right/>
      <top style="thick">
        <color rgb="FFC59C00"/>
      </top>
      <bottom style="thin">
        <color rgb="FF023A4A"/>
      </bottom>
      <diagonal/>
    </border>
    <border>
      <left/>
      <right style="thick">
        <color rgb="FF023A4A"/>
      </right>
      <top style="thick">
        <color rgb="FFC59C00"/>
      </top>
      <bottom style="thin">
        <color rgb="FF023A4A"/>
      </bottom>
      <diagonal/>
    </border>
    <border>
      <left style="thick">
        <color rgb="FF023A4A"/>
      </left>
      <right style="thick">
        <color rgb="FF023A4A"/>
      </right>
      <top style="thick">
        <color rgb="FFC59C00"/>
      </top>
      <bottom style="thin">
        <color rgb="FF023A4A"/>
      </bottom>
      <diagonal/>
    </border>
    <border>
      <left style="thick">
        <color rgb="FF023A4A"/>
      </left>
      <right style="medium">
        <color rgb="FF023A4A"/>
      </right>
      <top style="thick">
        <color rgb="FFC59C00"/>
      </top>
      <bottom style="thin">
        <color rgb="FF023A4A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15">
    <xf numFmtId="0" fontId="0" fillId="0" borderId="0" xfId="0"/>
    <xf numFmtId="37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7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6" fontId="9" fillId="0" borderId="0" xfId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7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166" fontId="15" fillId="0" borderId="0" xfId="1" applyNumberFormat="1" applyFont="1" applyFill="1" applyAlignment="1">
      <alignment horizontal="left" vertical="center"/>
    </xf>
    <xf numFmtId="3" fontId="1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14" fontId="21" fillId="3" borderId="4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37" fontId="21" fillId="0" borderId="0" xfId="0" applyNumberFormat="1" applyFont="1" applyAlignment="1">
      <alignment horizontal="center" vertical="center"/>
    </xf>
    <xf numFmtId="0" fontId="27" fillId="0" borderId="9" xfId="2" applyFont="1" applyFill="1" applyBorder="1" applyAlignment="1">
      <alignment horizontal="center" vertical="center"/>
    </xf>
    <xf numFmtId="0" fontId="28" fillId="0" borderId="9" xfId="2" applyFont="1" applyFill="1" applyBorder="1" applyAlignment="1">
      <alignment horizontal="center" vertical="center"/>
    </xf>
    <xf numFmtId="0" fontId="28" fillId="0" borderId="10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64" fontId="22" fillId="4" borderId="18" xfId="0" quotePrefix="1" applyNumberFormat="1" applyFont="1" applyFill="1" applyBorder="1" applyAlignment="1" applyProtection="1">
      <alignment horizontal="center" vertical="center"/>
      <protection locked="0"/>
    </xf>
    <xf numFmtId="14" fontId="22" fillId="4" borderId="19" xfId="0" quotePrefix="1" applyNumberFormat="1" applyFont="1" applyFill="1" applyBorder="1" applyAlignment="1" applyProtection="1">
      <alignment horizontal="center" vertical="center"/>
      <protection locked="0"/>
    </xf>
    <xf numFmtId="165" fontId="14" fillId="0" borderId="9" xfId="1" applyNumberFormat="1" applyFont="1" applyBorder="1" applyAlignment="1">
      <alignment horizontal="center" vertical="center"/>
    </xf>
    <xf numFmtId="165" fontId="14" fillId="0" borderId="10" xfId="1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165" fontId="14" fillId="0" borderId="22" xfId="1" applyNumberFormat="1" applyFont="1" applyBorder="1" applyAlignment="1">
      <alignment horizontal="center" vertical="center"/>
    </xf>
    <xf numFmtId="165" fontId="2" fillId="0" borderId="25" xfId="1" applyNumberFormat="1" applyFont="1" applyBorder="1" applyAlignment="1">
      <alignment horizontal="center" vertical="center"/>
    </xf>
    <xf numFmtId="165" fontId="2" fillId="0" borderId="28" xfId="1" applyNumberFormat="1" applyFont="1" applyBorder="1" applyAlignment="1">
      <alignment horizontal="center" vertical="center"/>
    </xf>
    <xf numFmtId="165" fontId="2" fillId="3" borderId="25" xfId="1" applyNumberFormat="1" applyFont="1" applyFill="1" applyBorder="1" applyAlignment="1">
      <alignment horizontal="center" vertical="center"/>
    </xf>
    <xf numFmtId="165" fontId="2" fillId="3" borderId="12" xfId="1" applyNumberFormat="1" applyFont="1" applyFill="1" applyBorder="1" applyAlignment="1">
      <alignment horizontal="center" vertical="center"/>
    </xf>
    <xf numFmtId="165" fontId="2" fillId="3" borderId="13" xfId="1" applyNumberFormat="1" applyFont="1" applyFill="1" applyBorder="1" applyAlignment="1">
      <alignment horizontal="center" vertical="center"/>
    </xf>
    <xf numFmtId="165" fontId="14" fillId="0" borderId="29" xfId="1" applyNumberFormat="1" applyFont="1" applyBorder="1" applyAlignment="1">
      <alignment horizontal="center" vertical="center"/>
    </xf>
    <xf numFmtId="165" fontId="14" fillId="0" borderId="30" xfId="1" applyNumberFormat="1" applyFont="1" applyBorder="1" applyAlignment="1">
      <alignment horizontal="center" vertical="center"/>
    </xf>
    <xf numFmtId="165" fontId="14" fillId="0" borderId="33" xfId="1" applyNumberFormat="1" applyFont="1" applyBorder="1" applyAlignment="1">
      <alignment horizontal="center" vertical="center"/>
    </xf>
    <xf numFmtId="165" fontId="2" fillId="3" borderId="28" xfId="1" applyNumberFormat="1" applyFont="1" applyFill="1" applyBorder="1" applyAlignment="1">
      <alignment horizontal="center" vertical="center"/>
    </xf>
    <xf numFmtId="165" fontId="2" fillId="3" borderId="15" xfId="1" applyNumberFormat="1" applyFont="1" applyFill="1" applyBorder="1" applyAlignment="1">
      <alignment horizontal="center" vertical="center"/>
    </xf>
    <xf numFmtId="165" fontId="2" fillId="3" borderId="16" xfId="1" applyNumberFormat="1" applyFont="1" applyFill="1" applyBorder="1" applyAlignment="1">
      <alignment horizontal="center" vertical="center"/>
    </xf>
    <xf numFmtId="165" fontId="14" fillId="0" borderId="12" xfId="1" applyNumberFormat="1" applyFont="1" applyBorder="1" applyAlignment="1">
      <alignment horizontal="center" vertical="center"/>
    </xf>
    <xf numFmtId="165" fontId="14" fillId="0" borderId="13" xfId="1" applyNumberFormat="1" applyFont="1" applyBorder="1" applyAlignment="1">
      <alignment horizontal="center" vertical="center"/>
    </xf>
    <xf numFmtId="165" fontId="14" fillId="0" borderId="15" xfId="1" applyNumberFormat="1" applyFont="1" applyBorder="1" applyAlignment="1">
      <alignment horizontal="center" vertical="center"/>
    </xf>
    <xf numFmtId="165" fontId="14" fillId="0" borderId="16" xfId="1" applyNumberFormat="1" applyFont="1" applyBorder="1" applyAlignment="1">
      <alignment horizontal="center" vertical="center"/>
    </xf>
    <xf numFmtId="165" fontId="14" fillId="0" borderId="25" xfId="1" applyNumberFormat="1" applyFont="1" applyBorder="1" applyAlignment="1">
      <alignment horizontal="center" vertical="center"/>
    </xf>
    <xf numFmtId="165" fontId="14" fillId="0" borderId="28" xfId="1" applyNumberFormat="1" applyFont="1" applyBorder="1" applyAlignment="1">
      <alignment horizontal="center" vertical="center"/>
    </xf>
    <xf numFmtId="165" fontId="14" fillId="3" borderId="25" xfId="1" applyNumberFormat="1" applyFont="1" applyFill="1" applyBorder="1" applyAlignment="1">
      <alignment horizontal="center" vertical="center"/>
    </xf>
    <xf numFmtId="165" fontId="14" fillId="3" borderId="12" xfId="1" applyNumberFormat="1" applyFont="1" applyFill="1" applyBorder="1" applyAlignment="1">
      <alignment horizontal="center" vertical="center"/>
    </xf>
    <xf numFmtId="165" fontId="14" fillId="3" borderId="13" xfId="1" applyNumberFormat="1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left" vertical="center" shrinkToFit="1"/>
    </xf>
    <xf numFmtId="0" fontId="24" fillId="2" borderId="24" xfId="0" applyFont="1" applyFill="1" applyBorder="1" applyAlignment="1">
      <alignment horizontal="left" vertical="center" shrinkToFit="1"/>
    </xf>
    <xf numFmtId="0" fontId="23" fillId="3" borderId="23" xfId="0" applyFont="1" applyFill="1" applyBorder="1" applyAlignment="1">
      <alignment horizontal="left" vertical="center" shrinkToFit="1"/>
    </xf>
    <xf numFmtId="0" fontId="24" fillId="3" borderId="24" xfId="0" applyFont="1" applyFill="1" applyBorder="1" applyAlignment="1">
      <alignment horizontal="left" vertical="center" shrinkToFit="1"/>
    </xf>
    <xf numFmtId="0" fontId="18" fillId="3" borderId="23" xfId="0" applyFont="1" applyFill="1" applyBorder="1" applyAlignment="1">
      <alignment horizontal="left" vertical="center" wrapText="1" shrinkToFit="1"/>
    </xf>
    <xf numFmtId="0" fontId="18" fillId="3" borderId="24" xfId="0" applyFont="1" applyFill="1" applyBorder="1" applyAlignment="1">
      <alignment horizontal="left" vertical="center" wrapText="1" shrinkToFit="1"/>
    </xf>
    <xf numFmtId="0" fontId="26" fillId="3" borderId="23" xfId="0" applyFont="1" applyFill="1" applyBorder="1" applyAlignment="1">
      <alignment horizontal="left" vertical="center" shrinkToFit="1"/>
    </xf>
    <xf numFmtId="0" fontId="26" fillId="3" borderId="24" xfId="0" applyFont="1" applyFill="1" applyBorder="1" applyAlignment="1">
      <alignment horizontal="left" vertical="center" shrinkToFit="1"/>
    </xf>
    <xf numFmtId="0" fontId="18" fillId="2" borderId="20" xfId="0" applyFont="1" applyFill="1" applyBorder="1" applyAlignment="1">
      <alignment horizontal="left" vertical="center" shrinkToFit="1"/>
    </xf>
    <xf numFmtId="0" fontId="18" fillId="2" borderId="21" xfId="0" applyFont="1" applyFill="1" applyBorder="1" applyAlignment="1">
      <alignment horizontal="left" vertical="center" shrinkToFit="1"/>
    </xf>
    <xf numFmtId="0" fontId="23" fillId="3" borderId="23" xfId="0" applyFont="1" applyFill="1" applyBorder="1" applyAlignment="1">
      <alignment horizontal="left" vertical="center" indent="1" shrinkToFit="1"/>
    </xf>
    <xf numFmtId="0" fontId="24" fillId="3" borderId="24" xfId="0" applyFont="1" applyFill="1" applyBorder="1" applyAlignment="1">
      <alignment horizontal="left" vertical="center" indent="1" shrinkToFit="1"/>
    </xf>
    <xf numFmtId="0" fontId="25" fillId="2" borderId="23" xfId="0" applyFont="1" applyFill="1" applyBorder="1" applyAlignment="1">
      <alignment horizontal="left" vertical="center" indent="2" shrinkToFit="1"/>
    </xf>
    <xf numFmtId="0" fontId="26" fillId="2" borderId="24" xfId="0" applyFont="1" applyFill="1" applyBorder="1" applyAlignment="1">
      <alignment horizontal="left" vertical="center" indent="2" shrinkToFit="1"/>
    </xf>
    <xf numFmtId="0" fontId="25" fillId="3" borderId="23" xfId="0" applyFont="1" applyFill="1" applyBorder="1" applyAlignment="1">
      <alignment horizontal="left" vertical="center" indent="2" shrinkToFit="1"/>
    </xf>
    <xf numFmtId="0" fontId="26" fillId="3" borderId="24" xfId="0" applyFont="1" applyFill="1" applyBorder="1" applyAlignment="1">
      <alignment horizontal="left" vertical="center" indent="2" shrinkToFit="1"/>
    </xf>
    <xf numFmtId="0" fontId="26" fillId="2" borderId="23" xfId="0" applyFont="1" applyFill="1" applyBorder="1" applyAlignment="1">
      <alignment horizontal="left" vertical="center" shrinkToFit="1"/>
    </xf>
    <xf numFmtId="0" fontId="26" fillId="2" borderId="24" xfId="0" applyFont="1" applyFill="1" applyBorder="1" applyAlignment="1">
      <alignment horizontal="left" vertical="center" shrinkToFit="1"/>
    </xf>
    <xf numFmtId="0" fontId="24" fillId="2" borderId="23" xfId="0" applyFont="1" applyFill="1" applyBorder="1" applyAlignment="1">
      <alignment horizontal="left" vertical="center" shrinkToFit="1"/>
    </xf>
    <xf numFmtId="0" fontId="24" fillId="3" borderId="23" xfId="0" applyFont="1" applyFill="1" applyBorder="1" applyAlignment="1">
      <alignment horizontal="left" vertical="center" shrinkToFit="1"/>
    </xf>
    <xf numFmtId="0" fontId="21" fillId="2" borderId="23" xfId="0" applyFont="1" applyFill="1" applyBorder="1" applyAlignment="1">
      <alignment horizontal="left" vertical="center" shrinkToFit="1"/>
    </xf>
    <xf numFmtId="0" fontId="21" fillId="2" borderId="24" xfId="0" applyFont="1" applyFill="1" applyBorder="1" applyAlignment="1">
      <alignment horizontal="left" vertical="center" shrinkToFit="1"/>
    </xf>
    <xf numFmtId="0" fontId="21" fillId="3" borderId="23" xfId="0" applyFont="1" applyFill="1" applyBorder="1" applyAlignment="1">
      <alignment horizontal="left" vertical="center" shrinkToFit="1"/>
    </xf>
    <xf numFmtId="0" fontId="21" fillId="3" borderId="24" xfId="0" applyFont="1" applyFill="1" applyBorder="1" applyAlignment="1">
      <alignment horizontal="left" vertical="center" shrinkToFit="1"/>
    </xf>
    <xf numFmtId="0" fontId="21" fillId="2" borderId="23" xfId="0" applyFont="1" applyFill="1" applyBorder="1" applyAlignment="1">
      <alignment horizontal="left" vertical="center" wrapText="1" shrinkToFit="1"/>
    </xf>
    <xf numFmtId="0" fontId="21" fillId="2" borderId="24" xfId="0" applyFont="1" applyFill="1" applyBorder="1" applyAlignment="1">
      <alignment horizontal="left" vertical="center" wrapText="1" shrinkToFit="1"/>
    </xf>
    <xf numFmtId="0" fontId="21" fillId="3" borderId="23" xfId="0" applyFont="1" applyFill="1" applyBorder="1" applyAlignment="1">
      <alignment horizontal="left" vertical="center" wrapText="1" shrinkToFit="1"/>
    </xf>
    <xf numFmtId="0" fontId="21" fillId="3" borderId="24" xfId="0" applyFont="1" applyFill="1" applyBorder="1" applyAlignment="1">
      <alignment horizontal="left" vertical="center" wrapText="1" shrinkToFit="1"/>
    </xf>
    <xf numFmtId="0" fontId="24" fillId="2" borderId="26" xfId="0" applyFont="1" applyFill="1" applyBorder="1" applyAlignment="1">
      <alignment horizontal="left" vertical="center" shrinkToFit="1"/>
    </xf>
    <xf numFmtId="0" fontId="24" fillId="2" borderId="27" xfId="0" applyFont="1" applyFill="1" applyBorder="1" applyAlignment="1">
      <alignment horizontal="left" vertical="center" shrinkToFit="1"/>
    </xf>
    <xf numFmtId="0" fontId="21" fillId="2" borderId="31" xfId="0" applyFont="1" applyFill="1" applyBorder="1" applyAlignment="1">
      <alignment horizontal="left" vertical="center" shrinkToFit="1"/>
    </xf>
    <xf numFmtId="0" fontId="21" fillId="2" borderId="32" xfId="0" applyFont="1" applyFill="1" applyBorder="1" applyAlignment="1">
      <alignment horizontal="left" vertical="center" shrinkToFit="1"/>
    </xf>
    <xf numFmtId="0" fontId="24" fillId="3" borderId="26" xfId="0" applyFont="1" applyFill="1" applyBorder="1" applyAlignment="1">
      <alignment horizontal="left" vertical="center" shrinkToFit="1"/>
    </xf>
    <xf numFmtId="0" fontId="24" fillId="3" borderId="27" xfId="0" applyFont="1" applyFill="1" applyBorder="1" applyAlignment="1">
      <alignment horizontal="left" vertical="center" shrinkToFit="1"/>
    </xf>
    <xf numFmtId="0" fontId="21" fillId="0" borderId="31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3" borderId="23" xfId="0" quotePrefix="1" applyFont="1" applyFill="1" applyBorder="1" applyAlignment="1">
      <alignment horizontal="left" vertical="center"/>
    </xf>
    <xf numFmtId="0" fontId="21" fillId="3" borderId="24" xfId="0" quotePrefix="1" applyFont="1" applyFill="1" applyBorder="1" applyAlignment="1">
      <alignment horizontal="left" vertical="center"/>
    </xf>
    <xf numFmtId="0" fontId="21" fillId="0" borderId="23" xfId="0" quotePrefix="1" applyFont="1" applyBorder="1" applyAlignment="1">
      <alignment horizontal="left" vertical="center"/>
    </xf>
    <xf numFmtId="0" fontId="21" fillId="0" borderId="24" xfId="0" quotePrefix="1" applyFont="1" applyBorder="1" applyAlignment="1">
      <alignment horizontal="left" vertical="center"/>
    </xf>
    <xf numFmtId="0" fontId="21" fillId="0" borderId="26" xfId="0" quotePrefix="1" applyFont="1" applyBorder="1" applyAlignment="1">
      <alignment horizontal="left" vertical="center"/>
    </xf>
    <xf numFmtId="0" fontId="21" fillId="0" borderId="27" xfId="0" quotePrefix="1" applyFont="1" applyBorder="1" applyAlignment="1">
      <alignment horizontal="left" vertical="center"/>
    </xf>
    <xf numFmtId="37" fontId="22" fillId="4" borderId="7" xfId="0" applyNumberFormat="1" applyFont="1" applyFill="1" applyBorder="1" applyAlignment="1">
      <alignment horizontal="left" vertical="center"/>
    </xf>
    <xf numFmtId="0" fontId="22" fillId="4" borderId="17" xfId="0" quotePrefix="1" applyFont="1" applyFill="1" applyBorder="1" applyAlignment="1" applyProtection="1">
      <alignment horizontal="center" vertical="center"/>
      <protection locked="0"/>
    </xf>
    <xf numFmtId="0" fontId="22" fillId="4" borderId="18" xfId="0" quotePrefix="1" applyFont="1" applyFill="1" applyBorder="1" applyAlignment="1" applyProtection="1">
      <alignment horizontal="center" vertical="center"/>
      <protection locked="0"/>
    </xf>
    <xf numFmtId="0" fontId="21" fillId="2" borderId="26" xfId="0" applyFont="1" applyFill="1" applyBorder="1" applyAlignment="1">
      <alignment horizontal="left" vertical="center" shrinkToFit="1"/>
    </xf>
    <xf numFmtId="0" fontId="21" fillId="2" borderId="27" xfId="0" applyFont="1" applyFill="1" applyBorder="1" applyAlignment="1">
      <alignment horizontal="left" vertical="center" shrinkToFit="1"/>
    </xf>
    <xf numFmtId="37" fontId="18" fillId="0" borderId="8" xfId="0" applyNumberFormat="1" applyFont="1" applyBorder="1" applyAlignment="1">
      <alignment horizontal="left" vertical="center"/>
    </xf>
    <xf numFmtId="37" fontId="18" fillId="0" borderId="9" xfId="0" applyNumberFormat="1" applyFont="1" applyBorder="1" applyAlignment="1">
      <alignment horizontal="left" vertical="center"/>
    </xf>
    <xf numFmtId="37" fontId="18" fillId="3" borderId="11" xfId="0" applyNumberFormat="1" applyFont="1" applyFill="1" applyBorder="1" applyAlignment="1">
      <alignment horizontal="left" vertical="center"/>
    </xf>
    <xf numFmtId="37" fontId="18" fillId="3" borderId="12" xfId="0" applyNumberFormat="1" applyFont="1" applyFill="1" applyBorder="1" applyAlignment="1">
      <alignment horizontal="left" vertical="center"/>
    </xf>
    <xf numFmtId="37" fontId="18" fillId="0" borderId="14" xfId="0" applyNumberFormat="1" applyFont="1" applyBorder="1" applyAlignment="1">
      <alignment horizontal="left" vertical="center"/>
    </xf>
    <xf numFmtId="37" fontId="18" fillId="0" borderId="15" xfId="0" applyNumberFormat="1" applyFont="1" applyBorder="1" applyAlignment="1">
      <alignment horizontal="left" vertical="center"/>
    </xf>
    <xf numFmtId="167" fontId="18" fillId="0" borderId="2" xfId="0" applyNumberFormat="1" applyFont="1" applyBorder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CCD8DB"/>
      <color rgb="FF023A4A"/>
      <color rgb="FFB1AE2D"/>
      <color rgb="FF006B66"/>
      <color rgb="FFDAE2DD"/>
      <color rgb="FFC59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721ca1a574fa49f5810a3c7bb361f0fa">
      <tp>
        <v>2</v>
        <stp/>
        <stp>598390eb-6aa5-49f1-a847-f2aadeb73ef0</stp>
        <tr r="F179" s="8"/>
      </tp>
      <tp>
        <v>2</v>
        <stp/>
        <stp>c4e98dca-04a2-4a58-bf5b-a617376e9d96</stp>
        <tr r="E42" s="8"/>
      </tp>
    </main>
    <main first="rtdsrv_eco_721ca1a574fa49f5810a3c7bb361f0fa">
      <tp>
        <v>2</v>
        <stp/>
        <stp>53225508-016f-4ee6-a899-76eb10f427b5</stp>
        <tr r="E195" s="8"/>
      </tp>
    </main>
    <main first="rtdsrv_eco_721ca1a574fa49f5810a3c7bb361f0fa">
      <tp>
        <v>2</v>
        <stp/>
        <stp>c9a25d4f-1689-423a-bbfa-69b75b908815</stp>
        <tr r="F261" s="8"/>
      </tp>
      <tp>
        <v>2</v>
        <stp/>
        <stp>f34277ec-9182-4c2d-84da-2c57ca9437e8</stp>
        <tr r="E97" s="8"/>
      </tp>
      <tp>
        <v>2</v>
        <stp/>
        <stp>7d6e48fe-b59b-4915-adac-25e6c1ca4ff5</stp>
        <tr r="D62" s="8"/>
      </tp>
    </main>
    <main first="rtdsrv_eco_721ca1a574fa49f5810a3c7bb361f0fa">
      <tp>
        <v>2</v>
        <stp/>
        <stp>e6b05e41-8c69-4aaf-a1b5-4aba3d598b32</stp>
        <tr r="F54" s="8"/>
      </tp>
    </main>
    <main first="rtdsrv_eco_721ca1a574fa49f5810a3c7bb361f0fa">
      <tp>
        <v>2</v>
        <stp/>
        <stp>cd4437fd-f7f0-4e00-ad9c-4238cd08cb95</stp>
        <tr r="D152" s="8"/>
      </tp>
    </main>
    <main first="rtdsrv_eco_721ca1a574fa49f5810a3c7bb361f0fa">
      <tp>
        <v>2</v>
        <stp/>
        <stp>3e3f2579-e86b-49d8-bbf3-e7a00250dffe</stp>
        <tr r="E235" s="8"/>
      </tp>
      <tp>
        <v>2</v>
        <stp/>
        <stp>0ca71b86-a544-493b-b018-8f9a48e11e31</stp>
        <tr r="E193" s="8"/>
      </tp>
      <tp>
        <v>2</v>
        <stp/>
        <stp>24508188-4406-4735-9f1d-c2fe193d063b</stp>
        <tr r="E188" s="8"/>
      </tp>
      <tp>
        <v>2</v>
        <stp/>
        <stp>f72d1ffe-bc85-4d4c-8815-589662269c1d</stp>
        <tr r="E26" s="8"/>
      </tp>
    </main>
    <main first="rtdsrv_eco_721ca1a574fa49f5810a3c7bb361f0fa">
      <tp>
        <v>2</v>
        <stp/>
        <stp>bd0c0a5a-1c10-488f-929d-e36356829f5b</stp>
        <tr r="D80" s="8"/>
      </tp>
      <tp>
        <v>2</v>
        <stp/>
        <stp>1febb6fc-6906-44a3-a95a-406ca9c78a9f</stp>
        <tr r="D24" s="8"/>
      </tp>
    </main>
    <main first="rtdsrv_eco_721ca1a574fa49f5810a3c7bb361f0fa">
      <tp>
        <v>2</v>
        <stp/>
        <stp>eea29ea0-2087-4992-828c-adf2aff252b7</stp>
        <tr r="F109" s="8"/>
      </tp>
      <tp>
        <v>2</v>
        <stp/>
        <stp>0a814c37-9f35-408e-8353-7c5383225247</stp>
        <tr r="D169" s="8"/>
      </tp>
    </main>
    <main first="rtdsrv_eco_721ca1a574fa49f5810a3c7bb361f0fa">
      <tp>
        <v>2</v>
        <stp/>
        <stp>76caf31a-db5b-4b38-8d0f-86ff7ac8979d</stp>
        <tr r="F144" s="8"/>
      </tp>
      <tp>
        <v>2</v>
        <stp/>
        <stp>6bb70b4c-e8e9-4f73-b35b-dfefe8552474</stp>
        <tr r="D91" s="8"/>
      </tp>
      <tp>
        <v>2</v>
        <stp/>
        <stp>808336d0-b0b1-4f35-81d1-2e010afaa8c3</stp>
        <tr r="E232" s="8"/>
      </tp>
      <tp>
        <v>2</v>
        <stp/>
        <stp>af9f42b0-77f6-4a37-9b0a-f99de77c8ced</stp>
        <tr r="D74" s="8"/>
      </tp>
      <tp>
        <v>2</v>
        <stp/>
        <stp>523519c2-fd7d-45b0-9303-2d339d5eadff</stp>
        <tr r="F91" s="8"/>
      </tp>
      <tp>
        <v>2</v>
        <stp/>
        <stp>4f8ce08c-12bc-4ad1-8682-edb6c06a8332</stp>
        <tr r="F243" s="8"/>
      </tp>
    </main>
    <main first="rtdsrv_eco_721ca1a574fa49f5810a3c7bb361f0fa">
      <tp>
        <v>2</v>
        <stp/>
        <stp>82ec6d6f-f2f8-4552-a140-193372117462</stp>
        <tr r="D60" s="8"/>
      </tp>
      <tp>
        <v>2</v>
        <stp/>
        <stp>d2fb121e-d686-4a41-9cde-48b22742b77e</stp>
        <tr r="F47" s="8"/>
      </tp>
      <tp>
        <v>2</v>
        <stp/>
        <stp>b9697c03-1448-4ba2-827d-96ff24d2ce61</stp>
        <tr r="D141" s="8"/>
      </tp>
      <tp>
        <v>2</v>
        <stp/>
        <stp>077d961c-4e20-495b-a3a7-0856adf41cea</stp>
        <tr r="E214" s="8"/>
      </tp>
    </main>
    <main first="rtdsrv_eco_721ca1a574fa49f5810a3c7bb361f0fa">
      <tp>
        <v>2</v>
        <stp/>
        <stp>28e9156a-33a2-4e22-ad0c-484e541f89e8</stp>
        <tr r="F201" s="8"/>
      </tp>
    </main>
    <main first="rtdsrv_eco_721ca1a574fa49f5810a3c7bb361f0fa">
      <tp>
        <v>2</v>
        <stp/>
        <stp>289ce427-af5f-4637-ba10-3fb350905489</stp>
        <tr r="F28" s="8"/>
      </tp>
    </main>
    <main first="rtdsrv_eco_721ca1a574fa49f5810a3c7bb361f0fa">
      <tp>
        <v>2</v>
        <stp/>
        <stp>821f4e98-0a4d-4206-8193-ac6f423830b7</stp>
        <tr r="D206" s="8"/>
      </tp>
      <tp>
        <v>2</v>
        <stp/>
        <stp>fc919586-46d5-4d89-9f57-d618723b7c9e</stp>
        <tr r="D123" s="8"/>
      </tp>
      <tp>
        <v>2</v>
        <stp/>
        <stp>438d1fc1-3577-4fa8-9124-8fb5916d4259</stp>
        <tr r="D209" s="8"/>
      </tp>
      <tp>
        <v>2</v>
        <stp/>
        <stp>db7d3f3c-9270-478d-b51c-f67d1d9e33c2</stp>
        <tr r="E111" s="8"/>
      </tp>
      <tp>
        <v>2</v>
        <stp/>
        <stp>623af3c2-7e14-4437-9714-f819b687471f</stp>
        <tr r="E38" s="8"/>
      </tp>
      <tp>
        <v>2</v>
        <stp/>
        <stp>e62654e1-8ec8-4064-b315-3bec2c5c97ac</stp>
        <tr r="D129" s="8"/>
      </tp>
    </main>
    <main first="rtdsrv_eco_721ca1a574fa49f5810a3c7bb361f0fa">
      <tp>
        <v>2</v>
        <stp/>
        <stp>6c47ec71-8693-48b6-ab16-813a3fb89af3</stp>
        <tr r="E168" s="8"/>
      </tp>
    </main>
    <main first="rtdsrv_eco_721ca1a574fa49f5810a3c7bb361f0fa">
      <tp>
        <v>2</v>
        <stp/>
        <stp>21f647ec-8f4f-485b-951a-00ddfa62d5df</stp>
        <tr r="F103" s="8"/>
      </tp>
    </main>
    <main first="rtdsrv_eco_721ca1a574fa49f5810a3c7bb361f0fa">
      <tp>
        <v>2</v>
        <stp/>
        <stp>ca1870b0-4381-410a-b99e-fefa63457a97</stp>
        <tr r="E13" s="8"/>
      </tp>
    </main>
    <main first="rtdsrv_eco_721ca1a574fa49f5810a3c7bb361f0fa">
      <tp>
        <v>2</v>
        <stp/>
        <stp>ab06b304-c9ca-4ec9-88d3-0bc82668d120</stp>
        <tr r="D183" s="8"/>
      </tp>
    </main>
    <main first="rtdsrv_eco_721ca1a574fa49f5810a3c7bb361f0fa">
      <tp>
        <v>2</v>
        <stp/>
        <stp>867e2e9d-3778-4770-94d5-b96c8eefeb96</stp>
        <tr r="E59" s="8"/>
      </tp>
    </main>
    <main first="rtdsrv_eco_721ca1a574fa49f5810a3c7bb361f0fa">
      <tp>
        <v>2</v>
        <stp/>
        <stp>4d650111-3bb9-4e2e-a6d5-a3081f66b814</stp>
        <tr r="E101" s="8"/>
      </tp>
      <tp>
        <v>2</v>
        <stp/>
        <stp>0068ccdd-f092-4484-949f-f72237f7024d</stp>
        <tr r="D122" s="8"/>
      </tp>
    </main>
    <main first="rtdsrv_eco_721ca1a574fa49f5810a3c7bb361f0fa">
      <tp>
        <v>2</v>
        <stp/>
        <stp>3571735c-8b4c-4a9f-adba-71bde9503837</stp>
        <tr r="D26" s="8"/>
      </tp>
    </main>
    <main first="rtdsrv_eco_721ca1a574fa49f5810a3c7bb361f0fa">
      <tp>
        <v>2</v>
        <stp/>
        <stp>e244fb30-8cb3-4e13-8b3c-b7bb77a90ba4</stp>
        <tr r="E152" s="8"/>
      </tp>
      <tp>
        <v>2</v>
        <stp/>
        <stp>d26f64a3-dea3-49b9-9f8a-4e1ac9c215d6</stp>
        <tr r="E100" s="8"/>
      </tp>
    </main>
    <main first="rtdsrv_eco_721ca1a574fa49f5810a3c7bb361f0fa">
      <tp>
        <v>2</v>
        <stp/>
        <stp>f641e8cd-bad8-49e3-83c8-6e5545990fad</stp>
        <tr r="D105" s="8"/>
      </tp>
    </main>
    <main first="rtdsrv_eco_721ca1a574fa49f5810a3c7bb361f0fa">
      <tp>
        <v>2</v>
        <stp/>
        <stp>be3c4ab1-80c3-4205-8d72-705db7190379</stp>
        <tr r="E66" s="8"/>
      </tp>
    </main>
    <main first="rtdsrv_eco_721ca1a574fa49f5810a3c7bb361f0fa">
      <tp>
        <v>2</v>
        <stp/>
        <stp>632b1cbc-a940-472c-92bd-69b2b5fb667d</stp>
        <tr r="D257" s="8"/>
      </tp>
    </main>
    <main first="rtdsrv_eco_721ca1a574fa49f5810a3c7bb361f0fa">
      <tp>
        <v>2</v>
        <stp/>
        <stp>63fed515-f512-4f19-b6dd-89926789698e</stp>
        <tr r="D106" s="8"/>
      </tp>
      <tp>
        <v>2</v>
        <stp/>
        <stp>d59b6a41-888e-4172-8ded-fd74e1b4cd90</stp>
        <tr r="D164" s="8"/>
      </tp>
      <tp>
        <v>2</v>
        <stp/>
        <stp>deba1c3c-22b7-4c7c-a9b9-a47b49c61240</stp>
        <tr r="D12" s="8"/>
      </tp>
    </main>
    <main first="rtdsrv_eco_721ca1a574fa49f5810a3c7bb361f0fa">
      <tp>
        <v>2</v>
        <stp/>
        <stp>aef299b6-5f6f-416c-84d3-ec12e39d34af</stp>
        <tr r="D116" s="8"/>
      </tp>
      <tp>
        <v>2</v>
        <stp/>
        <stp>d764b683-8acd-4b21-ace7-ef227ee21d72</stp>
        <tr r="F81" s="8"/>
      </tp>
      <tp>
        <v>2</v>
        <stp/>
        <stp>0463f1e8-0dbd-4d89-920b-5c5ede1d00f2</stp>
        <tr r="D103" s="8"/>
      </tp>
      <tp>
        <v>2</v>
        <stp/>
        <stp>321c0ddb-a271-4e19-9228-86e1f5572585</stp>
        <tr r="F63" s="8"/>
      </tp>
      <tp>
        <v>2</v>
        <stp/>
        <stp>28f011d2-1358-4ca7-ac43-4db726ae1c45</stp>
        <tr r="D214" s="8"/>
      </tp>
      <tp>
        <v>2</v>
        <stp/>
        <stp>b4c3eb16-2ec6-4462-b521-7e31e3d898cc</stp>
        <tr r="D162" s="8"/>
      </tp>
    </main>
    <main first="rtdsrv_eco_721ca1a574fa49f5810a3c7bb361f0fa">
      <tp>
        <v>2</v>
        <stp/>
        <stp>04c1b392-653a-4cd8-b3b8-55e196f5fbdb</stp>
        <tr r="D174" s="8"/>
      </tp>
    </main>
    <main first="rtdsrv_eco_721ca1a574fa49f5810a3c7bb361f0fa">
      <tp>
        <v>2</v>
        <stp/>
        <stp>bc23bd9a-d9b7-46a8-9d25-0d521f533a7a</stp>
        <tr r="E76" s="8"/>
      </tp>
    </main>
    <main first="rtdsrv_eco_721ca1a574fa49f5810a3c7bb361f0fa">
      <tp>
        <v>2</v>
        <stp/>
        <stp>b88eb97a-916e-4604-a58b-8be328a10e69</stp>
        <tr r="D63" s="8"/>
      </tp>
      <tp>
        <v>2</v>
        <stp/>
        <stp>e6206da0-efe2-4598-91e2-430d4bc12085</stp>
        <tr r="E23" s="8"/>
      </tp>
      <tp>
        <v>2</v>
        <stp/>
        <stp>b0894892-291a-4db2-8e5b-4cf43aa5d470</stp>
        <tr r="F107" s="8"/>
      </tp>
      <tp>
        <v>2</v>
        <stp/>
        <stp>bb0829a3-cb5b-41ff-b567-80ff008e1c1f</stp>
        <tr r="F134" s="8"/>
      </tp>
    </main>
    <main first="rtdsrv_eco_721ca1a574fa49f5810a3c7bb361f0fa">
      <tp>
        <v>2</v>
        <stp/>
        <stp>3ea4b2be-88d7-4b67-b41b-e81cd956ac47</stp>
        <tr r="E219" s="8"/>
      </tp>
      <tp>
        <v>2</v>
        <stp/>
        <stp>95d24e82-a84a-4476-8617-e1dcf4ff7871</stp>
        <tr r="F231" s="8"/>
      </tp>
    </main>
    <main first="rtdsrv_eco_721ca1a574fa49f5810a3c7bb361f0fa">
      <tp>
        <v>2</v>
        <stp/>
        <stp>af81e427-e3c9-4054-ae57-38f3354f3087</stp>
        <tr r="D20" s="8"/>
      </tp>
      <tp>
        <v>2</v>
        <stp/>
        <stp>47b55e12-689b-4524-bad0-a8e1078180c9</stp>
        <tr r="E30" s="8"/>
      </tp>
    </main>
    <main first="rtdsrv_eco_721ca1a574fa49f5810a3c7bb361f0fa">
      <tp>
        <v>2</v>
        <stp/>
        <stp>f267f880-e76c-4a71-96ad-f6188184436b</stp>
        <tr r="D27" s="8"/>
      </tp>
      <tp>
        <v>2</v>
        <stp/>
        <stp>b34ba501-c6b6-43bc-9f40-d7c9486db651</stp>
        <tr r="D109" s="8"/>
      </tp>
    </main>
    <main first="rtdsrv_eco_721ca1a574fa49f5810a3c7bb361f0fa">
      <tp>
        <v>2</v>
        <stp/>
        <stp>88ee8452-48f4-4155-8672-2f7fdc859473</stp>
        <tr r="D43" s="8"/>
      </tp>
    </main>
    <main first="rtdsrv_eco_721ca1a574fa49f5810a3c7bb361f0fa">
      <tp>
        <v>2</v>
        <stp/>
        <stp>2a740f08-1db2-4401-adc7-5d0ca2f2f9af</stp>
        <tr r="F36" s="8"/>
      </tp>
      <tp>
        <v>2</v>
        <stp/>
        <stp>b44ac015-7a13-421c-9fcc-c97321dad07d</stp>
        <tr r="E46" s="8"/>
      </tp>
      <tp>
        <v>2</v>
        <stp/>
        <stp>eb40f290-2c91-459a-9a91-d4ff7d8dbaa7</stp>
        <tr r="D168" s="8"/>
      </tp>
      <tp>
        <v>2</v>
        <stp/>
        <stp>d9b19466-f0b2-498b-b479-1267738c9439</stp>
        <tr r="F214" s="8"/>
      </tp>
    </main>
    <main first="rtdsrv_eco_721ca1a574fa49f5810a3c7bb361f0fa">
      <tp>
        <v>2</v>
        <stp/>
        <stp>f4bb596e-7114-4b2f-ba5f-ce9d0760e001</stp>
        <tr r="D157" s="8"/>
      </tp>
    </main>
    <main first="rtdsrv_eco_721ca1a574fa49f5810a3c7bb361f0fa">
      <tp>
        <v>2</v>
        <stp/>
        <stp>82a8b6c6-d239-497a-9d8c-b2e0e2453291</stp>
        <tr r="F53" s="8"/>
      </tp>
      <tp>
        <v>2</v>
        <stp/>
        <stp>b4e9288f-d369-4e3c-a111-5a2d1cae8371</stp>
        <tr r="F211" s="8"/>
      </tp>
      <tp>
        <v>2</v>
        <stp/>
        <stp>bce3fc2a-7f90-4fee-a66b-d9dc3598fc63</stp>
        <tr r="D41" s="8"/>
      </tp>
    </main>
    <main first="rtdsrv_eco_721ca1a574fa49f5810a3c7bb361f0fa">
      <tp>
        <v>2</v>
        <stp/>
        <stp>c7219dc3-3f8e-4390-bc59-b3617e571849</stp>
        <tr r="F166" s="8"/>
      </tp>
      <tp>
        <v>2</v>
        <stp/>
        <stp>ab66373b-64eb-4b12-b8a1-e9463dfdffee</stp>
        <tr r="D87" s="8"/>
      </tp>
      <tp>
        <v>2</v>
        <stp/>
        <stp>a93b36c3-ca71-4b44-a73e-e5b4fdfbd1e7</stp>
        <tr r="F155" s="8"/>
      </tp>
    </main>
    <main first="rtdsrv_eco_721ca1a574fa49f5810a3c7bb361f0fa">
      <tp>
        <v>2</v>
        <stp/>
        <stp>e6403f69-18f3-430d-9086-7b8320d62db5</stp>
        <tr r="D25" s="8"/>
      </tp>
    </main>
    <main first="rtdsrv_eco_721ca1a574fa49f5810a3c7bb361f0fa">
      <tp>
        <v>2</v>
        <stp/>
        <stp>6617485a-301e-41b3-9194-03ac76b30936</stp>
        <tr r="D238" s="8"/>
      </tp>
      <tp>
        <v>2</v>
        <stp/>
        <stp>3b533db0-53b3-412c-a3ad-ffaa1d7db8fc</stp>
        <tr r="E158" s="8"/>
      </tp>
    </main>
    <main first="rtdsrv_eco_721ca1a574fa49f5810a3c7bb361f0fa">
      <tp>
        <v>2</v>
        <stp/>
        <stp>afa67e99-9b62-4e52-9fff-93b142c5fc3b</stp>
        <tr r="D23" s="8"/>
      </tp>
      <tp>
        <v>2</v>
        <stp/>
        <stp>af4f7521-e6f0-4405-95d9-e94920610bed</stp>
        <tr r="F96" s="8"/>
      </tp>
    </main>
    <main first="rtdsrv_eco_721ca1a574fa49f5810a3c7bb361f0fa">
      <tp>
        <v>2</v>
        <stp/>
        <stp>e7deebc6-c8ff-4cee-ab8c-01154cebb5b2</stp>
        <tr r="F33" s="8"/>
      </tp>
    </main>
    <main first="rtdsrv_eco_721ca1a574fa49f5810a3c7bb361f0fa">
      <tp>
        <v>2</v>
        <stp/>
        <stp>097776b0-e56a-4bae-b5de-23943ad1150e</stp>
        <tr r="D140" s="8"/>
      </tp>
      <tp>
        <v>2</v>
        <stp/>
        <stp>0b626cf9-bb58-4dd4-9684-cbd3adfa6eb9</stp>
        <tr r="D201" s="8"/>
      </tp>
      <tp>
        <v>2</v>
        <stp/>
        <stp>d47a49c8-a91e-4383-964b-34b28e939623</stp>
        <tr r="D212" s="8"/>
      </tp>
      <tp>
        <v>2</v>
        <stp/>
        <stp>df8b2617-e8cb-431e-881f-c406ba4a2850</stp>
        <tr r="E236" s="8"/>
      </tp>
    </main>
    <main first="rtdsrv_eco_721ca1a574fa49f5810a3c7bb361f0fa">
      <tp>
        <v>2</v>
        <stp/>
        <stp>fc38a8c8-071f-49ad-96f3-d4bdf3f67b0c</stp>
        <tr r="F13" s="8"/>
      </tp>
      <tp>
        <v>2</v>
        <stp/>
        <stp>698347f7-60d4-4ef7-afad-3b62d0ead080</stp>
        <tr r="F152" s="8"/>
      </tp>
    </main>
    <main first="rtdsrv_eco_721ca1a574fa49f5810a3c7bb361f0fa">
      <tp>
        <v>2</v>
        <stp/>
        <stp>ba7f9c20-2ebb-4be3-b12c-247e689cc130</stp>
        <tr r="D220" s="8"/>
      </tp>
    </main>
    <main first="rtdsrv_eco_721ca1a574fa49f5810a3c7bb361f0fa">
      <tp>
        <v>2</v>
        <stp/>
        <stp>ae20ce5c-d923-4439-909e-6b7518d0f268</stp>
        <tr r="F100" s="8"/>
      </tp>
    </main>
    <main first="rtdsrv_eco_721ca1a574fa49f5810a3c7bb361f0fa">
      <tp>
        <v>2</v>
        <stp/>
        <stp>90c30f3e-dfb8-4f68-85b2-108a4c3e170d</stp>
        <tr r="D21" s="8"/>
      </tp>
      <tp>
        <v>2</v>
        <stp/>
        <stp>898972b8-c576-4817-88e5-6faf81555a17</stp>
        <tr r="E238" s="8"/>
      </tp>
      <tp>
        <v>2</v>
        <stp/>
        <stp>cf00379f-bd7a-4773-988c-2e326c8bc294</stp>
        <tr r="E74" s="8"/>
      </tp>
      <tp>
        <v>2</v>
        <stp/>
        <stp>a8581c47-9b7c-472b-8f90-7ef0db10f298</stp>
        <tr r="E202" s="8"/>
      </tp>
      <tp>
        <v>2</v>
        <stp/>
        <stp>fa09c96d-4b61-4fcc-80e8-5b04d661b2a6</stp>
        <tr r="D176" s="8"/>
      </tp>
      <tp>
        <v>2</v>
        <stp/>
        <stp>d0ca73c0-e551-43b9-93a8-a63a1526d14f</stp>
        <tr r="D107" s="8"/>
      </tp>
      <tp>
        <v>2</v>
        <stp/>
        <stp>47cc447d-792e-4e89-b1b7-2e77939085b2</stp>
        <tr r="E63" s="8"/>
      </tp>
      <tp>
        <v>2</v>
        <stp/>
        <stp>8827b5f1-741c-4637-afcc-5f1bbee6eaad</stp>
        <tr r="F110" s="8"/>
      </tp>
      <tp>
        <v>2</v>
        <stp/>
        <stp>217baecd-aae4-470f-abe3-43d1e97fc0be</stp>
        <tr r="D102" s="8"/>
      </tp>
    </main>
    <main first="rtdsrv_eco_721ca1a574fa49f5810a3c7bb361f0fa">
      <tp>
        <v>2</v>
        <stp/>
        <stp>b3455829-7f8a-45ce-a589-ba8349e6051a</stp>
        <tr r="F230" s="8"/>
      </tp>
      <tp>
        <v>2</v>
        <stp/>
        <stp>6a7d9630-3199-43ed-b77c-f242c8d02142</stp>
        <tr r="E98" s="8"/>
      </tp>
    </main>
    <main first="rtdsrv_eco_721ca1a574fa49f5810a3c7bb361f0fa">
      <tp>
        <v>2</v>
        <stp/>
        <stp>c0126a92-516a-474c-8a2f-5e984d1408da</stp>
        <tr r="D186" s="8"/>
      </tp>
      <tp>
        <v>2</v>
        <stp/>
        <stp>ab3c39da-5440-4b06-a8e3-972460e4b64f</stp>
        <tr r="E167" s="8"/>
      </tp>
      <tp>
        <v>2</v>
        <stp/>
        <stp>792892bb-ba76-4a85-b26e-64827d55077c</stp>
        <tr r="D195" s="8"/>
      </tp>
    </main>
    <main first="rtdsrv_eco_721ca1a574fa49f5810a3c7bb361f0fa">
      <tp>
        <v>2</v>
        <stp/>
        <stp>8956b35b-b927-4c25-aaae-786ed8e981e9</stp>
        <tr r="D213" s="8"/>
      </tp>
      <tp>
        <v>2</v>
        <stp/>
        <stp>7d9b6f96-e6ee-455d-8d29-69745de15a7b</stp>
        <tr r="E183" s="8"/>
      </tp>
    </main>
    <main first="rtdsrv_eco_721ca1a574fa49f5810a3c7bb361f0fa">
      <tp>
        <v>2</v>
        <stp/>
        <stp>19828e4b-97f1-4bb8-8de2-ecb5f3218e16</stp>
        <tr r="D158" s="8"/>
      </tp>
    </main>
    <main first="rtdsrv_eco_721ca1a574fa49f5810a3c7bb361f0fa">
      <tp>
        <v>2</v>
        <stp/>
        <stp>5b7c55dd-522a-44c8-b447-0b3b554d6438</stp>
        <tr r="E118" s="8"/>
      </tp>
      <tp>
        <v>2</v>
        <stp/>
        <stp>7867cbb5-d0df-40df-9b0c-44cbee480437</stp>
        <tr r="F173" s="8"/>
      </tp>
    </main>
    <main first="rtdsrv_eco_721ca1a574fa49f5810a3c7bb361f0fa">
      <tp>
        <v>2</v>
        <stp/>
        <stp>501c15fd-acbf-4901-ab74-823ded6919f0</stp>
        <tr r="D261" s="8"/>
      </tp>
    </main>
    <main first="rtdsrv_eco_721ca1a574fa49f5810a3c7bb361f0fa">
      <tp>
        <v>2</v>
        <stp/>
        <stp>2595e6b1-4573-4f29-bfdf-2cc5345110db</stp>
        <tr r="E27" s="8"/>
      </tp>
      <tp>
        <v>2</v>
        <stp/>
        <stp>28bd2f7b-d807-4621-a7f0-7ee33a31fd05</stp>
        <tr r="F224" s="8"/>
      </tp>
      <tp>
        <v>2</v>
        <stp/>
        <stp>280ba0ae-74f2-4b5b-b9e8-15d20f255f34</stp>
        <tr r="E31" s="8"/>
      </tp>
    </main>
    <main first="rtdsrv_eco_721ca1a574fa49f5810a3c7bb361f0fa">
      <tp>
        <v>2</v>
        <stp/>
        <stp>f8c652a0-02de-4984-8be9-47f1a701dffc</stp>
        <tr r="D68" s="8"/>
      </tp>
      <tp>
        <v>2</v>
        <stp/>
        <stp>59806df1-5522-4f72-80c3-df593aade352</stp>
        <tr r="D193" s="8"/>
      </tp>
    </main>
    <main first="rtdsrv_eco_721ca1a574fa49f5810a3c7bb361f0fa">
      <tp>
        <v>2</v>
        <stp/>
        <stp>005e03f6-1cab-47bf-af4d-78618a71e4aa</stp>
        <tr r="D72" s="8"/>
      </tp>
    </main>
    <main first="rtdsrv_eco_721ca1a574fa49f5810a3c7bb361f0fa">
      <tp>
        <v>2</v>
        <stp/>
        <stp>2563a07f-d788-4275-b68e-3a58de0f7ee0</stp>
        <tr r="F140" s="8"/>
      </tp>
    </main>
    <main first="rtdsrv_eco_721ca1a574fa49f5810a3c7bb361f0fa">
      <tp>
        <v>2</v>
        <stp/>
        <stp>09913ef5-a5c5-4440-9998-9eddfd58e826</stp>
        <tr r="E181" s="8"/>
      </tp>
      <tp>
        <v>2</v>
        <stp/>
        <stp>4b5a5a7e-a728-4e2b-8174-4fc0bdd2e87c</stp>
        <tr r="F188" s="8"/>
      </tp>
      <tp>
        <v>2</v>
        <stp/>
        <stp>86009ec1-9c4b-45ef-a109-d44401a6773e</stp>
        <tr r="F114" s="8"/>
      </tp>
      <tp>
        <v>2</v>
        <stp/>
        <stp>87503918-f852-4173-a31b-94232cb003a8</stp>
        <tr r="D125" s="8"/>
      </tp>
    </main>
    <main first="rtdsrv_eco_721ca1a574fa49f5810a3c7bb361f0fa">
      <tp>
        <v>2</v>
        <stp/>
        <stp>d342e708-e1c6-42dd-afce-893bab8b0308</stp>
        <tr r="F22" s="8"/>
      </tp>
      <tp>
        <v>2</v>
        <stp/>
        <stp>396bf462-51cc-4353-9fd1-debf6148750a</stp>
        <tr r="E85" s="8"/>
      </tp>
    </main>
    <main first="rtdsrv_eco_721ca1a574fa49f5810a3c7bb361f0fa">
      <tp>
        <v>2</v>
        <stp/>
        <stp>b9e448b7-2f1a-4698-b440-61cd941484d0</stp>
        <tr r="D144" s="8"/>
      </tp>
      <tp>
        <v>2</v>
        <stp/>
        <stp>367b4fbf-da82-4c99-9f25-e7eac03df60c</stp>
        <tr r="C6" s="8"/>
      </tp>
    </main>
    <main first="rtdsrv_eco_721ca1a574fa49f5810a3c7bb361f0fa">
      <tp>
        <v>2</v>
        <stp/>
        <stp>1cf73a43-a61a-4b9d-bb51-18ada2bee622</stp>
        <tr r="D59" s="8"/>
      </tp>
    </main>
    <main first="rtdsrv_eco_721ca1a574fa49f5810a3c7bb361f0fa">
      <tp>
        <v>2</v>
        <stp/>
        <stp>301d6826-3b1e-496c-8072-ff53de025b3c</stp>
        <tr r="F147" s="8"/>
      </tp>
      <tp>
        <v>2</v>
        <stp/>
        <stp>8fdd7a58-e34e-4076-9894-4a141202b026</stp>
        <tr r="E56" s="8"/>
      </tp>
      <tp>
        <v>2</v>
        <stp/>
        <stp>faa30424-3b5e-4b22-aeb8-49fb35535484</stp>
        <tr r="F80" s="8"/>
      </tp>
      <tp>
        <v>2</v>
        <stp/>
        <stp>c3af1c35-8b0c-4c01-bfe0-ac617db8d563</stp>
        <tr r="D134" s="8"/>
      </tp>
      <tp>
        <v>2</v>
        <stp/>
        <stp>d18508b9-6902-4879-bbdf-f83cedc97068</stp>
        <tr r="D254" s="8"/>
      </tp>
    </main>
    <main first="rtdsrv_eco_721ca1a574fa49f5810a3c7bb361f0fa">
      <tp>
        <v>2</v>
        <stp/>
        <stp>2e53a876-5b4b-407e-ba3f-7556550830c8</stp>
        <tr r="E144" s="8"/>
      </tp>
    </main>
    <main first="rtdsrv_eco_721ca1a574fa49f5810a3c7bb361f0fa">
      <tp>
        <v>2</v>
        <stp/>
        <stp>0f53a740-86ac-4934-bd65-b3239a22f7cd</stp>
        <tr r="F183" s="8"/>
      </tp>
      <tp>
        <v>2</v>
        <stp/>
        <stp>cc22c1e9-9121-48d4-ad89-39122b2a22c4</stp>
        <tr r="D13" s="8"/>
      </tp>
    </main>
    <main first="rtdsrv_eco_721ca1a574fa49f5810a3c7bb361f0fa">
      <tp>
        <v>2</v>
        <stp/>
        <stp>827979d3-0455-44b7-adfd-d0c920ebad83</stp>
        <tr r="E259" s="8"/>
      </tp>
    </main>
    <main first="rtdsrv_eco_721ca1a574fa49f5810a3c7bb361f0fa">
      <tp>
        <v>2</v>
        <stp/>
        <stp>64b0a052-1654-477e-bcdd-28932c897a90</stp>
        <tr r="F244" s="8"/>
      </tp>
    </main>
    <main first="rtdsrv_eco_721ca1a574fa49f5810a3c7bb361f0fa">
      <tp>
        <v>2</v>
        <stp/>
        <stp>3257e1ea-98c5-46a6-9b7f-72630430831c</stp>
        <tr r="E194" s="8"/>
      </tp>
    </main>
    <main first="rtdsrv_eco_721ca1a574fa49f5810a3c7bb361f0fa">
      <tp>
        <v>2</v>
        <stp/>
        <stp>f0840308-be40-4f48-af3e-fdd11a0d8ae2</stp>
        <tr r="E133" s="8"/>
      </tp>
      <tp>
        <v>2</v>
        <stp/>
        <stp>6c282340-dc22-414e-b99e-2d2edc355a70</stp>
        <tr r="D131" s="8"/>
      </tp>
      <tp>
        <v>2</v>
        <stp/>
        <stp>c3ac6166-7594-4cf4-8e96-aae43bc135d9</stp>
        <tr r="E51" s="8"/>
      </tp>
      <tp>
        <v>2</v>
        <stp/>
        <stp>fa446e36-e198-44c9-a1f9-ebbedcb9e198</stp>
        <tr r="F58" s="8"/>
      </tp>
    </main>
    <main first="rtdsrv_eco_721ca1a574fa49f5810a3c7bb361f0fa">
      <tp>
        <v>2</v>
        <stp/>
        <stp>ee1e96d2-b217-4b47-829e-4b10153f1f4c</stp>
        <tr r="D55" s="8"/>
      </tp>
      <tp>
        <v>2</v>
        <stp/>
        <stp>f191a69a-82ec-4999-9901-45cbd8ff752e</stp>
        <tr r="F160" s="8"/>
      </tp>
    </main>
    <main first="rtdsrv_eco_721ca1a574fa49f5810a3c7bb361f0fa">
      <tp>
        <v>2</v>
        <stp/>
        <stp>fa7d52ce-f90d-4d33-a66b-3d81db10a84c</stp>
        <tr r="F150" s="8"/>
      </tp>
      <tp>
        <v>2</v>
        <stp/>
        <stp>a4fb242b-5a3b-4cce-aee2-6c3c49b4faef</stp>
        <tr r="F157" s="8"/>
      </tp>
      <tp>
        <v>2</v>
        <stp/>
        <stp>44a4d281-7e17-400e-8ff8-ba6f38e2eede</stp>
        <tr r="E221" s="8"/>
      </tp>
    </main>
    <main first="rtdsrv_eco_721ca1a574fa49f5810a3c7bb361f0fa">
      <tp>
        <v>2</v>
        <stp/>
        <stp>9467b536-9fbb-4c7a-a346-aee57d2cab21</stp>
        <tr r="F118" s="8"/>
      </tp>
      <tp>
        <v>2</v>
        <stp/>
        <stp>c1bace66-78b9-4d4e-9865-73dee4e7f869</stp>
        <tr r="F104" s="8"/>
      </tp>
      <tp>
        <v>2</v>
        <stp/>
        <stp>b0adea58-f803-4fa4-8b00-8ad9ee31a8e2</stp>
        <tr r="E216" s="8"/>
      </tp>
      <tp>
        <v>2</v>
        <stp/>
        <stp>97034e97-ca2d-4fc8-abe7-7e0031498752</stp>
        <tr r="F161" s="8"/>
      </tp>
    </main>
    <main first="rtdsrv_eco_721ca1a574fa49f5810a3c7bb361f0fa">
      <tp>
        <v>2</v>
        <stp/>
        <stp>9a282ede-95a9-4b30-a378-252fafc8dff9</stp>
        <tr r="F234" s="8"/>
      </tp>
      <tp>
        <v>2</v>
        <stp/>
        <stp>1318f0da-a679-4513-82e3-5101b85bb281</stp>
        <tr r="D211" s="8"/>
      </tp>
      <tp>
        <v>2</v>
        <stp/>
        <stp>2c35f37d-8b01-4419-a608-c953d4d3dcbf</stp>
        <tr r="D19" s="8"/>
      </tp>
    </main>
    <main first="rtdsrv_eco_721ca1a574fa49f5810a3c7bb361f0fa">
      <tp>
        <v>2</v>
        <stp/>
        <stp>f290b740-73fe-496c-b78b-e05542376d2d</stp>
        <tr r="F27" s="8"/>
      </tp>
    </main>
    <main first="rtdsrv_eco_721ca1a574fa49f5810a3c7bb361f0fa">
      <tp>
        <v>2</v>
        <stp/>
        <stp>07cff919-a8a1-47e6-b3e4-2a3e573a5e71</stp>
        <tr r="F264" s="8"/>
      </tp>
    </main>
    <main first="rtdsrv_eco_721ca1a574fa49f5810a3c7bb361f0fa">
      <tp>
        <v>2</v>
        <stp/>
        <stp>4c2836c2-f3f8-4101-981a-74abe17b2923</stp>
        <tr r="D172" s="8"/>
      </tp>
      <tp>
        <v>2</v>
        <stp/>
        <stp>5b9036fd-2131-4c6a-a140-688f32034626</stp>
        <tr r="E234" s="8"/>
      </tp>
    </main>
    <main first="rtdsrv_eco_721ca1a574fa49f5810a3c7bb361f0fa">
      <tp>
        <v>2</v>
        <stp/>
        <stp>85c59dd0-d037-40a8-9e91-175a39bb6549</stp>
        <tr r="F89" s="8"/>
      </tp>
    </main>
    <main first="rtdsrv_eco_721ca1a574fa49f5810a3c7bb361f0fa">
      <tp>
        <v>2</v>
        <stp/>
        <stp>b273b9e5-0a5f-432f-9c00-b67035a7aa03</stp>
        <tr r="F164" s="8"/>
      </tp>
    </main>
    <main first="rtdsrv_eco_721ca1a574fa49f5810a3c7bb361f0fa">
      <tp>
        <v>2</v>
        <stp/>
        <stp>04e1f5d8-c982-4b43-8d7f-190e8e8da573</stp>
        <tr r="D47" s="8"/>
      </tp>
    </main>
    <main first="rtdsrv_eco_721ca1a574fa49f5810a3c7bb361f0fa">
      <tp>
        <v>2</v>
        <stp/>
        <stp>b8b9c61a-4bf6-4dc2-ad0e-0ad5ca042761</stp>
        <tr r="F20" s="8"/>
      </tp>
      <tp>
        <v>2</v>
        <stp/>
        <stp>c4f6a3fa-75c9-4e9f-bbae-b96a583779c0</stp>
        <tr r="D151" s="8"/>
      </tp>
      <tp>
        <v>2</v>
        <stp/>
        <stp>c26f64c6-5026-48b0-92db-1b6d99fd83a3</stp>
        <tr r="E77" s="8"/>
      </tp>
    </main>
    <main first="rtdsrv_eco_721ca1a574fa49f5810a3c7bb361f0fa">
      <tp>
        <v>2</v>
        <stp/>
        <stp>dac1a426-fbe4-48ac-bb52-88f0c6fedd72</stp>
        <tr r="F45" s="8"/>
      </tp>
      <tp>
        <v>2</v>
        <stp/>
        <stp>cd6aed49-0aad-488f-8e83-174d4f05e0cd</stp>
        <tr r="F169" s="8"/>
      </tp>
    </main>
    <main first="rtdsrv_eco_721ca1a574fa49f5810a3c7bb361f0fa">
      <tp>
        <v>2</v>
        <stp/>
        <stp>1200b2be-ff7d-420d-ac4c-f90d796609e9</stp>
        <tr r="D14" s="8"/>
      </tp>
      <tp>
        <v>2</v>
        <stp/>
        <stp>fcb0a315-4f38-47dc-b88d-605fc10491a9</stp>
        <tr r="D86" s="8"/>
      </tp>
    </main>
    <main first="rtdsrv_eco_721ca1a574fa49f5810a3c7bb361f0fa">
      <tp>
        <v>2</v>
        <stp/>
        <stp>4c92f851-a072-484a-803b-409d933efdfe</stp>
        <tr r="D49" s="8"/>
      </tp>
      <tp>
        <v>2</v>
        <stp/>
        <stp>41ba51a7-e811-4baa-b275-6572c93db08b</stp>
        <tr r="E180" s="8"/>
      </tp>
      <tp>
        <v>2</v>
        <stp/>
        <stp>52325f6c-c21c-4045-9ca3-48a33d71c0ac</stp>
        <tr r="F130" s="8"/>
      </tp>
    </main>
    <main first="rtdsrv_eco_721ca1a574fa49f5810a3c7bb361f0fa">
      <tp>
        <v>2</v>
        <stp/>
        <stp>c7ed896b-fc0f-4269-80bf-a75452c3993c</stp>
        <tr r="F217" s="8"/>
      </tp>
      <tp>
        <v>2</v>
        <stp/>
        <stp>f5303c46-8af9-4aec-ab4f-8b1c0ae9f5d4</stp>
        <tr r="E169" s="8"/>
      </tp>
      <tp>
        <v>2</v>
        <stp/>
        <stp>ffcde2a2-64a7-4bc6-9fb6-092180a5a0ca</stp>
        <tr r="D194" s="8"/>
      </tp>
      <tp>
        <v>2</v>
        <stp/>
        <stp>9d06e956-3616-453b-8d42-21f5c34845cb</stp>
        <tr r="F129" s="8"/>
      </tp>
      <tp>
        <v>2</v>
        <stp/>
        <stp>12a91ad7-5dc8-4352-a218-1acacb681fbb</stp>
        <tr r="F88" s="8"/>
      </tp>
      <tp>
        <v>2</v>
        <stp/>
        <stp>1923834a-f529-45c0-9c3a-ddd322a8f99a</stp>
        <tr r="D147" s="8"/>
      </tp>
      <tp>
        <v>2</v>
        <stp/>
        <stp>36e377d9-e877-40db-987f-0cbfcbe20069</stp>
        <tr r="F210" s="8"/>
      </tp>
      <tp>
        <v>2</v>
        <stp/>
        <stp>16ea475d-a6cf-4077-9eaa-436231e7a48c</stp>
        <tr r="D265" s="8"/>
      </tp>
    </main>
    <main first="rtdsrv_eco_721ca1a574fa49f5810a3c7bb361f0fa">
      <tp>
        <v>2</v>
        <stp/>
        <stp>a47ccee9-343c-464d-bf39-71281eed3aae</stp>
        <tr r="D216" s="8"/>
      </tp>
      <tp>
        <v>2</v>
        <stp/>
        <stp>fe4b26f6-eaab-499a-8ab2-7b443275ced5</stp>
        <tr r="E124" s="8"/>
      </tp>
    </main>
    <main first="rtdsrv_eco_721ca1a574fa49f5810a3c7bb361f0fa">
      <tp>
        <v>2</v>
        <stp/>
        <stp>9505e210-d395-4474-bfa3-56af55b315d3</stp>
        <tr r="D230" s="8"/>
      </tp>
      <tp>
        <v>2</v>
        <stp/>
        <stp>64c46eb8-4758-49bc-9b5e-0e20ec26f57b</stp>
        <tr r="F106" s="8"/>
      </tp>
    </main>
    <main first="rtdsrv_eco_721ca1a574fa49f5810a3c7bb361f0fa">
      <tp>
        <v>2</v>
        <stp/>
        <stp>5330b64c-36b3-407d-82af-fbf104408edc</stp>
        <tr r="F202" s="8"/>
      </tp>
    </main>
    <main first="rtdsrv_eco_721ca1a574fa49f5810a3c7bb361f0fa">
      <tp>
        <v>2</v>
        <stp/>
        <stp>e299371d-93d9-4d02-81b2-9061787d9d7c</stp>
        <tr r="E58" s="8"/>
      </tp>
    </main>
    <main first="rtdsrv_eco_721ca1a574fa49f5810a3c7bb361f0fa">
      <tp>
        <v>2</v>
        <stp/>
        <stp>7105fbf1-0847-4990-9d4f-70431bd0b5d7</stp>
        <tr r="E173" s="8"/>
      </tp>
    </main>
    <main first="rtdsrv_eco_721ca1a574fa49f5810a3c7bb361f0fa">
      <tp>
        <v>2</v>
        <stp/>
        <stp>7343bb58-a4e7-428c-885d-f4000dd17685</stp>
        <tr r="E128" s="8"/>
      </tp>
      <tp>
        <v>2</v>
        <stp/>
        <stp>968d1a3b-2912-40c6-ba48-14b6bf0455b6</stp>
        <tr r="E212" s="8"/>
      </tp>
      <tp>
        <v>2</v>
        <stp/>
        <stp>bc8170b5-ba59-438e-a0b1-cfec1c18a3dc</stp>
        <tr r="E256" s="8"/>
      </tp>
      <tp>
        <v>2</v>
        <stp/>
        <stp>9b8aea77-2b90-4e36-a70a-731a117a452d</stp>
        <tr r="E157" s="8"/>
      </tp>
      <tp>
        <v>2</v>
        <stp/>
        <stp>322c6923-ffc4-4839-ade8-331ca1a74367</stp>
        <tr r="F135" s="8"/>
      </tp>
      <tp>
        <v>2</v>
        <stp/>
        <stp>85ef40d1-0d84-40a7-bdca-009a32fdbccd</stp>
        <tr r="D48" s="8"/>
      </tp>
    </main>
    <main first="rtdsrv_eco_721ca1a574fa49f5810a3c7bb361f0fa">
      <tp>
        <v>2</v>
        <stp/>
        <stp>41868fe1-60a7-4192-8c5b-60b9640e9bdf</stp>
        <tr r="F241" s="8"/>
      </tp>
    </main>
    <main first="rtdsrv_eco_721ca1a574fa49f5810a3c7bb361f0fa">
      <tp>
        <v>2</v>
        <stp/>
        <stp>55f0d7c2-e0de-4c21-93a4-f31b5fc94bdf</stp>
        <tr r="D73" s="8"/>
      </tp>
    </main>
    <main first="rtdsrv_eco_721ca1a574fa49f5810a3c7bb361f0fa">
      <tp>
        <v>2</v>
        <stp/>
        <stp>8788bd4a-d2bb-4c63-867c-7289242d55ca</stp>
        <tr r="E159" s="8"/>
      </tp>
    </main>
    <main first="rtdsrv_eco_721ca1a574fa49f5810a3c7bb361f0fa">
      <tp>
        <v>2</v>
        <stp/>
        <stp>cb52c762-c840-451f-a26b-428b27a12c26</stp>
        <tr r="F172" s="8"/>
      </tp>
      <tp>
        <v>2</v>
        <stp/>
        <stp>357ae61e-4d92-4328-8f98-aed6b7819d42</stp>
        <tr r="D235" s="8"/>
      </tp>
      <tp>
        <v>2</v>
        <stp/>
        <stp>747c677b-5a1f-43cc-99c2-8123360461c4</stp>
        <tr r="D104" s="8"/>
      </tp>
      <tp>
        <v>2</v>
        <stp/>
        <stp>1094e546-69b2-404e-80c4-42528313947f</stp>
        <tr r="F30" s="8"/>
      </tp>
    </main>
    <main first="rtdsrv_eco_721ca1a574fa49f5810a3c7bb361f0fa">
      <tp>
        <v>2</v>
        <stp/>
        <stp>53a821e3-7120-44c0-b37a-5a5b36720d9b</stp>
        <tr r="D167" s="8"/>
      </tp>
      <tp>
        <v>2</v>
        <stp/>
        <stp>d5127c9e-609d-406c-97b2-3ecb8cfb6fbd</stp>
        <tr r="D50" s="8"/>
      </tp>
    </main>
    <main first="rtdsrv_eco_721ca1a574fa49f5810a3c7bb361f0fa">
      <tp>
        <v>2</v>
        <stp/>
        <stp>b8e12d6c-bb0d-4f6b-b388-edc28679f76d</stp>
        <tr r="F189" s="8"/>
      </tp>
    </main>
    <main first="rtdsrv_eco_721ca1a574fa49f5810a3c7bb361f0fa">
      <tp>
        <v>2</v>
        <stp/>
        <stp>15908578-c149-44a0-b884-64c2b8d28fef</stp>
        <tr r="D146" s="8"/>
      </tp>
    </main>
    <main first="rtdsrv_eco_721ca1a574fa49f5810a3c7bb361f0fa">
      <tp>
        <v>2</v>
        <stp/>
        <stp>dd2c775c-e614-4fdb-b5c3-1b465d2580bb</stp>
        <tr r="E151" s="8"/>
      </tp>
    </main>
    <main first="rtdsrv_eco_721ca1a574fa49f5810a3c7bb361f0fa">
      <tp>
        <v>2</v>
        <stp/>
        <stp>3a985d9e-2f43-48a7-93c3-e7f44a1d94f8</stp>
        <tr r="D119" s="8"/>
      </tp>
    </main>
    <main first="rtdsrv_eco_721ca1a574fa49f5810a3c7bb361f0fa">
      <tp>
        <v>2</v>
        <stp/>
        <stp>7aad7658-92c5-481e-a108-9c93aade28ab</stp>
        <tr r="E147" s="8"/>
      </tp>
      <tp>
        <v>2</v>
        <stp/>
        <stp>8a91ffc2-6707-4958-aa9c-a0ee4493951c</stp>
        <tr r="F128" s="8"/>
      </tp>
    </main>
    <main first="rtdsrv_eco_721ca1a574fa49f5810a3c7bb361f0fa">
      <tp>
        <v>2</v>
        <stp/>
        <stp>c17e581b-ca38-4c7d-90e7-4e908786d816</stp>
        <tr r="F191" s="8"/>
      </tp>
      <tp>
        <v>2</v>
        <stp/>
        <stp>b6ff4213-457c-4c38-9780-457c12763631</stp>
        <tr r="D242" s="8"/>
      </tp>
    </main>
    <main first="rtdsrv_eco_721ca1a574fa49f5810a3c7bb361f0fa">
      <tp>
        <v>2</v>
        <stp/>
        <stp>469cdd43-d1fe-4bd0-8243-aae643c0ba62</stp>
        <tr r="E163" s="8"/>
      </tp>
      <tp>
        <v>2</v>
        <stp/>
        <stp>3d9a3c07-def9-45f0-b796-e7fa58cdadc7</stp>
        <tr r="E255" s="8"/>
      </tp>
    </main>
    <main first="rtdsrv_eco_721ca1a574fa49f5810a3c7bb361f0fa">
      <tp>
        <v>2</v>
        <stp/>
        <stp>da3e198d-010f-4296-998a-a552e1083cea</stp>
        <tr r="F262" s="8"/>
      </tp>
    </main>
    <main first="rtdsrv_eco_721ca1a574fa49f5810a3c7bb361f0fa">
      <tp>
        <v>2</v>
        <stp/>
        <stp>5cfb5255-b30d-46be-b67a-331a00736c11</stp>
        <tr r="E96" s="8"/>
      </tp>
      <tp>
        <v>2</v>
        <stp/>
        <stp>68e9b9d3-31ad-4b8b-a8fe-360f302211c5</stp>
        <tr r="F146" s="8"/>
      </tp>
      <tp>
        <v>2</v>
        <stp/>
        <stp>42063ddc-0a80-423c-a9e7-2f45d1feb6d2</stp>
        <tr r="F168" s="8"/>
      </tp>
    </main>
    <main first="rtdsrv_eco_721ca1a574fa49f5810a3c7bb361f0fa">
      <tp>
        <v>2</v>
        <stp/>
        <stp>b91f2bd4-85f7-4cea-b59b-87c509e5b47a</stp>
        <tr r="D171" s="8"/>
      </tp>
      <tp>
        <v>2</v>
        <stp/>
        <stp>2387d676-297c-4c0b-b260-c56053acadb2</stp>
        <tr r="F195" s="8"/>
      </tp>
    </main>
    <main first="rtdsrv_eco_721ca1a574fa49f5810a3c7bb361f0fa">
      <tp>
        <v>2</v>
        <stp/>
        <stp>afc82ca8-e562-4d33-a424-60bef5ae6e01</stp>
        <tr r="D184" s="8"/>
      </tp>
      <tp>
        <v>2</v>
        <stp/>
        <stp>ec2a76e8-ba26-4b57-b1a8-9f9b24e272c0</stp>
        <tr r="E43" s="8"/>
      </tp>
    </main>
    <main first="rtdsrv_eco_721ca1a574fa49f5810a3c7bb361f0fa">
      <tp>
        <v>2</v>
        <stp/>
        <stp>fa370b89-118c-4bd2-ab5d-9aea7760bacb</stp>
        <tr r="F37" s="8"/>
      </tp>
    </main>
    <main first="rtdsrv_eco_721ca1a574fa49f5810a3c7bb361f0fa">
      <tp>
        <v>2</v>
        <stp/>
        <stp>f2550461-7850-412d-b661-153230e8bd3a</stp>
        <tr r="F249" s="8"/>
      </tp>
    </main>
    <main first="rtdsrv_eco_721ca1a574fa49f5810a3c7bb361f0fa">
      <tp>
        <v>2</v>
        <stp/>
        <stp>42482c7b-41ea-4eab-9a78-1aca8a04724a</stp>
        <tr r="F203" s="8"/>
      </tp>
    </main>
    <main first="rtdsrv_eco_721ca1a574fa49f5810a3c7bb361f0fa">
      <tp>
        <v>2</v>
        <stp/>
        <stp>dcf97f77-469e-43d4-bf19-3a525cb9d4d1</stp>
        <tr r="F68" s="8"/>
      </tp>
      <tp>
        <v>2</v>
        <stp/>
        <stp>ab8691cc-c3cd-4816-9277-36bd455d90b1</stp>
        <tr r="E136" s="8"/>
      </tp>
    </main>
    <main first="rtdsrv_eco_721ca1a574fa49f5810a3c7bb361f0fa">
      <tp>
        <v>2</v>
        <stp/>
        <stp>a9877007-50bf-4df1-9e6c-2602070b881f</stp>
        <tr r="E61" s="8"/>
      </tp>
    </main>
    <main first="rtdsrv_eco_721ca1a574fa49f5810a3c7bb361f0fa">
      <tp>
        <v>2</v>
        <stp/>
        <stp>8d8f1c66-2fa3-4ce1-99da-05315e00f2af</stp>
        <tr r="E156" s="8"/>
      </tp>
      <tp>
        <v>2</v>
        <stp/>
        <stp>33ae2ff9-cca4-4620-a5ec-46e4168b8a16</stp>
        <tr r="E260" s="8"/>
      </tp>
      <tp>
        <v>2</v>
        <stp/>
        <stp>105febeb-c949-4389-ae9d-0bf147b1dfa4</stp>
        <tr r="E164" s="8"/>
      </tp>
    </main>
    <main first="rtdsrv_eco_721ca1a574fa49f5810a3c7bb361f0fa">
      <tp>
        <v>2</v>
        <stp/>
        <stp>b201fb54-a56e-4771-b004-2520a3c8342e</stp>
        <tr r="E120" s="8"/>
      </tp>
      <tp>
        <v>2</v>
        <stp/>
        <stp>ae9c0d32-0ab8-4b41-8d08-0a610f178534</stp>
        <tr r="F126" s="8"/>
      </tp>
      <tp>
        <v>2</v>
        <stp/>
        <stp>277775b9-d209-4df6-803a-fa23861586a1</stp>
        <tr r="E263" s="8"/>
      </tp>
    </main>
    <main first="rtdsrv_eco_721ca1a574fa49f5810a3c7bb361f0fa">
      <tp>
        <v>2</v>
        <stp/>
        <stp>c674aea7-d84b-469e-b446-2a0fdc855f32</stp>
        <tr r="F56" s="8"/>
      </tp>
      <tp>
        <v>2</v>
        <stp/>
        <stp>07a6e6df-d7de-4813-b3d9-6965190b7014</stp>
        <tr r="F200" s="8"/>
      </tp>
      <tp>
        <v>2</v>
        <stp/>
        <stp>386432d8-8f4c-4950-906b-8c61ec91a6ec</stp>
        <tr r="D64" s="8"/>
      </tp>
      <tp>
        <v>2</v>
        <stp/>
        <stp>a04a978c-51e1-4014-b626-b6c8ff0b0fe9</stp>
        <tr r="D221" s="8"/>
      </tp>
    </main>
    <main first="rtdsrv_eco_721ca1a574fa49f5810a3c7bb361f0fa">
      <tp>
        <v>2</v>
        <stp/>
        <stp>c128f54d-6993-4308-b531-b11b4216385b</stp>
        <tr r="E113" s="8"/>
      </tp>
      <tp>
        <v>2</v>
        <stp/>
        <stp>275b24d7-bb0f-4a57-9931-9e2a03336185</stp>
        <tr r="F245" s="8"/>
      </tp>
      <tp>
        <v>2</v>
        <stp/>
        <stp>c0c99bb2-9b38-4a4c-b315-5591891607f1</stp>
        <tr r="F18" s="8"/>
      </tp>
      <tp>
        <v>2</v>
        <stp/>
        <stp>7f9fda14-fd61-4bd7-bfef-332271c0b3c5</stp>
        <tr r="F133" s="8"/>
      </tp>
      <tp>
        <v>2</v>
        <stp/>
        <stp>9a34eb64-7272-4cfc-98c5-962ce702f78e</stp>
        <tr r="D154" s="8"/>
      </tp>
    </main>
    <main first="rtdsrv_eco_721ca1a574fa49f5810a3c7bb361f0fa">
      <tp>
        <v>2</v>
        <stp/>
        <stp>220fbc40-ea2f-4a5f-ab14-6d5b5af89d4f</stp>
        <tr r="F220" s="8"/>
      </tp>
    </main>
    <main first="rtdsrv_eco_721ca1a574fa49f5810a3c7bb361f0fa">
      <tp>
        <v>2</v>
        <stp/>
        <stp>8adee21b-ebd0-4a9c-9eaa-d619494c39d0</stp>
        <tr r="D92" s="8"/>
      </tp>
      <tp>
        <v>2</v>
        <stp/>
        <stp>70012b44-4fe9-4050-9b4b-1bfcafde5d53</stp>
        <tr r="D210" s="8"/>
      </tp>
    </main>
    <main first="rtdsrv_eco_721ca1a574fa49f5810a3c7bb361f0fa">
      <tp>
        <v>2</v>
        <stp/>
        <stp>aff2c255-2220-43b7-a635-6af1a131f051</stp>
        <tr r="F237" s="8"/>
      </tp>
    </main>
    <main first="rtdsrv_eco_721ca1a574fa49f5810a3c7bb361f0fa">
      <tp>
        <v>2</v>
        <stp/>
        <stp>c5f43333-43cc-4792-97b0-a190f3e57b94</stp>
        <tr r="E237" s="8"/>
      </tp>
      <tp>
        <v>2</v>
        <stp/>
        <stp>d469b81a-9109-4497-8a42-b5efd3f4b276</stp>
        <tr r="D175" s="8"/>
      </tp>
    </main>
    <main first="rtdsrv_eco_721ca1a574fa49f5810a3c7bb361f0fa">
      <tp>
        <v>2</v>
        <stp/>
        <stp>e6120b8a-d5a6-48e2-a5a7-00f72f49a65a</stp>
        <tr r="E21" s="8"/>
      </tp>
    </main>
    <main first="rtdsrv_eco_721ca1a574fa49f5810a3c7bb361f0fa">
      <tp>
        <v>2</v>
        <stp/>
        <stp>5626ee9f-0ec9-4492-ab67-27ec01595bec</stp>
        <tr r="E47" s="8"/>
      </tp>
      <tp>
        <v>2</v>
        <stp/>
        <stp>65bf0b72-f507-4ee0-be4a-957cf1b4c29e</stp>
        <tr r="E230" s="8"/>
      </tp>
      <tp>
        <v>2</v>
        <stp/>
        <stp>52b44ede-9c19-4b9a-b13a-783e5dc8dc9e</stp>
        <tr r="F43" s="8"/>
      </tp>
      <tp>
        <v>2</v>
        <stp/>
        <stp>c6b71ad7-a582-4cbf-88c6-ec827fdef538</stp>
        <tr r="D192" s="8"/>
      </tp>
      <tp>
        <v>2</v>
        <stp/>
        <stp>fa244047-db96-4581-ba72-e35dd58ca608</stp>
        <tr r="E39" s="8"/>
      </tp>
      <tp>
        <v>2</v>
        <stp/>
        <stp>6279dc4d-dff9-4191-badc-96869f5f33ca</stp>
        <tr r="F251" s="8"/>
      </tp>
    </main>
    <main first="rtdsrv_eco_721ca1a574fa49f5810a3c7bb361f0fa">
      <tp>
        <v>2</v>
        <stp/>
        <stp>f60f4137-d509-4d90-8034-466ed1a3cd19</stp>
        <tr r="F93" s="8"/>
      </tp>
    </main>
    <main first="rtdsrv_eco_721ca1a574fa49f5810a3c7bb361f0fa">
      <tp>
        <v>2</v>
        <stp/>
        <stp>e3436e66-cdf3-4810-aa20-2790f62dc592</stp>
        <tr r="F46" s="8"/>
      </tp>
    </main>
    <main first="rtdsrv_eco_721ca1a574fa49f5810a3c7bb361f0fa">
      <tp>
        <v>2</v>
        <stp/>
        <stp>7bfcd85f-086a-4dd0-9c4b-18aa9020ce92</stp>
        <tr r="D153" s="8"/>
      </tp>
      <tp>
        <v>2</v>
        <stp/>
        <stp>274b72bc-ab79-4526-bcc4-d0bc0422c638</stp>
        <tr r="E242" s="8"/>
      </tp>
    </main>
    <main first="rtdsrv_eco_721ca1a574fa49f5810a3c7bb361f0fa">
      <tp>
        <v>2</v>
        <stp/>
        <stp>226a42b5-231a-4068-a65a-2b79c8823f38</stp>
        <tr r="F239" s="8"/>
      </tp>
    </main>
    <main first="rtdsrv_eco_721ca1a574fa49f5810a3c7bb361f0fa">
      <tp>
        <v>2</v>
        <stp/>
        <stp>1ce21758-302d-4a21-86e4-a0111cd41c7a</stp>
        <tr r="F254" s="8"/>
      </tp>
    </main>
    <main first="rtdsrv_eco_721ca1a574fa49f5810a3c7bb361f0fa">
      <tp>
        <v>2</v>
        <stp/>
        <stp>b42705fe-0c23-4839-a4ae-8fbe7970c511</stp>
        <tr r="F145" s="8"/>
      </tp>
    </main>
    <main first="rtdsrv_eco_721ca1a574fa49f5810a3c7bb361f0fa">
      <tp>
        <v>2</v>
        <stp/>
        <stp>313f53f3-f6f4-4391-8ac1-f801147e59bb</stp>
        <tr r="D36" s="8"/>
      </tp>
      <tp>
        <v>2</v>
        <stp/>
        <stp>8cf8503d-21fb-4444-a5ce-4019a5033078</stp>
        <tr r="D234" s="8"/>
      </tp>
    </main>
    <main first="rtdsrv_eco_721ca1a574fa49f5810a3c7bb361f0fa">
      <tp>
        <v>2</v>
        <stp/>
        <stp>9e4a76f8-3481-4b1c-acff-e07a24350b01</stp>
        <tr r="E208" s="8"/>
      </tp>
      <tp>
        <v>2</v>
        <stp/>
        <stp>88a3f255-cae8-48a7-9fa5-e33468658702</stp>
        <tr r="F193" s="8"/>
      </tp>
    </main>
    <main first="rtdsrv_eco_721ca1a574fa49f5810a3c7bb361f0fa">
      <tp>
        <v>2</v>
        <stp/>
        <stp>43620928-954e-4deb-8dd6-672d36698712</stp>
        <tr r="E108" s="8"/>
      </tp>
      <tp>
        <v>2</v>
        <stp/>
        <stp>083c6537-7f7c-4818-9f5e-c04d9578812a</stp>
        <tr r="F111" s="8"/>
      </tp>
    </main>
    <main first="rtdsrv_eco_721ca1a574fa49f5810a3c7bb361f0fa">
      <tp>
        <v>2</v>
        <stp/>
        <stp>19d7960c-2eec-4a9e-859c-d5bcbf357109</stp>
        <tr r="D81" s="8"/>
      </tp>
      <tp>
        <v>2</v>
        <stp/>
        <stp>da931aeb-f6b6-4bd3-b954-7b64a9c12885</stp>
        <tr r="F12" s="8"/>
      </tp>
      <tp>
        <v>2</v>
        <stp/>
        <stp>067d255c-1fa0-49a2-81d7-cbe7afddecb6</stp>
        <tr r="D256" s="8"/>
      </tp>
      <tp>
        <v>2</v>
        <stp/>
        <stp>f1cb275b-0371-41ac-a73f-853edd280424</stp>
        <tr r="F151" s="8"/>
      </tp>
      <tp>
        <v>2</v>
        <stp/>
        <stp>a8b61c26-db21-4fe0-bcdf-59abbc5f9215</stp>
        <tr r="F158" s="8"/>
      </tp>
    </main>
    <main first="rtdsrv_eco_721ca1a574fa49f5810a3c7bb361f0fa">
      <tp>
        <v>2</v>
        <stp/>
        <stp>cce29f99-ae64-4559-8ba1-f0ae28c460ea</stp>
        <tr r="F14" s="8"/>
      </tp>
      <tp>
        <v>2</v>
        <stp/>
        <stp>aa8561ac-1a0d-42d7-8aae-a9e9134289c4</stp>
        <tr r="D142" s="8"/>
      </tp>
      <tp>
        <v>2</v>
        <stp/>
        <stp>fd4813df-672e-4bfa-a33b-7081e1a0b60e</stp>
        <tr r="E135" s="8"/>
      </tp>
      <tp>
        <v>2</v>
        <stp/>
        <stp>ef109569-a36f-4fdf-9d85-7a99987611c3</stp>
        <tr r="E68" s="8"/>
      </tp>
      <tp>
        <v>2</v>
        <stp/>
        <stp>6640e0e0-50c3-4cc8-999f-e8d997928978</stp>
        <tr r="D148" s="8"/>
      </tp>
    </main>
    <main first="rtdsrv_eco_721ca1a574fa49f5810a3c7bb361f0fa">
      <tp>
        <v>2</v>
        <stp/>
        <stp>41546865-1d95-418c-ba94-9e8111130239</stp>
        <tr r="E266" s="8"/>
      </tp>
    </main>
    <main first="rtdsrv_eco_721ca1a574fa49f5810a3c7bb361f0fa">
      <tp>
        <v>2</v>
        <stp/>
        <stp>1726b35a-c350-450d-916c-6e5c552b8a15</stp>
        <tr r="F95" s="8"/>
      </tp>
      <tp>
        <v>2</v>
        <stp/>
        <stp>75b94338-e9ee-4fcf-81ec-6a3eb211377d</stp>
        <tr r="E64" s="8"/>
      </tp>
      <tp>
        <v>2</v>
        <stp/>
        <stp>84707052-1bda-49a5-9ed8-e50b5efea011</stp>
        <tr r="D245" s="8"/>
      </tp>
    </main>
    <main first="rtdsrv_eco_721ca1a574fa49f5810a3c7bb361f0fa">
      <tp>
        <v>2</v>
        <stp/>
        <stp>b523c3a5-46d9-4815-acc4-b48f3de1f002</stp>
        <tr r="D264" s="8"/>
      </tp>
      <tp>
        <v>2</v>
        <stp/>
        <stp>b51a35b0-0e0a-4781-b149-9dd63cb9a63a</stp>
        <tr r="F247" s="8"/>
      </tp>
      <tp>
        <v>2</v>
        <stp/>
        <stp>57f0c069-2b2d-4cbb-8128-1605a5ccebbf</stp>
        <tr r="F70" s="8"/>
      </tp>
      <tp>
        <v>2</v>
        <stp/>
        <stp>f30aa994-5dd1-4359-a414-ff901690fca9</stp>
        <tr r="D46" s="8"/>
      </tp>
      <tp>
        <v>2</v>
        <stp/>
        <stp>fb10b616-bbc8-4b02-b5f9-122f22f87f69</stp>
        <tr r="F153" s="8"/>
      </tp>
    </main>
    <main first="rtdsrv_eco_721ca1a574fa49f5810a3c7bb361f0fa">
      <tp>
        <v>2</v>
        <stp/>
        <stp>fbd2835d-65f0-4037-be2c-562a41459a75</stp>
        <tr r="F187" s="8"/>
      </tp>
    </main>
    <main first="rtdsrv_eco_721ca1a574fa49f5810a3c7bb361f0fa">
      <tp>
        <v>2</v>
        <stp/>
        <stp>0e1e82b9-2e7d-4a23-835a-b51eef02b4b5</stp>
        <tr r="E172" s="8"/>
      </tp>
    </main>
    <main first="rtdsrv_eco_721ca1a574fa49f5810a3c7bb361f0fa">
      <tp>
        <v>2</v>
        <stp/>
        <stp>60d4719a-1f92-4806-9be9-444afc36c01d</stp>
        <tr r="E134" s="8"/>
      </tp>
    </main>
    <main first="rtdsrv_eco_721ca1a574fa49f5810a3c7bb361f0fa">
      <tp>
        <v>2</v>
        <stp/>
        <stp>7d255d36-8476-45c8-9c60-7c311d68b528</stp>
        <tr r="D98" s="8"/>
      </tp>
      <tp>
        <v>2</v>
        <stp/>
        <stp>cee6c58f-4544-4897-9a32-d598dac0302d</stp>
        <tr r="F69" s="8"/>
      </tp>
      <tp>
        <v>2</v>
        <stp/>
        <stp>e4360948-6057-4679-b8f4-4bb432b1f016</stp>
        <tr r="D34" s="8"/>
      </tp>
      <tp>
        <v>2</v>
        <stp/>
        <stp>c4e138c0-8c40-4027-a68f-b9e9b65b60ad</stp>
        <tr r="E220" s="8"/>
      </tp>
    </main>
    <main first="rtdsrv_eco_721ca1a574fa49f5810a3c7bb361f0fa">
      <tp>
        <v>2</v>
        <stp/>
        <stp>e4584322-3417-4fc2-bc57-7a4414b31bbd</stp>
        <tr r="F73" s="8"/>
      </tp>
    </main>
    <main first="rtdsrv_eco_721ca1a574fa49f5810a3c7bb361f0fa">
      <tp>
        <v>2</v>
        <stp/>
        <stp>c8f8a833-d05d-4e5c-98ed-dfd4c50e65dc</stp>
        <tr r="F102" s="8"/>
      </tp>
    </main>
    <main first="rtdsrv_eco_721ca1a574fa49f5810a3c7bb361f0fa">
      <tp>
        <v>2</v>
        <stp/>
        <stp>ee74542e-128e-42c3-9612-ab1a2a808da5</stp>
        <tr r="E247" s="8"/>
      </tp>
    </main>
    <main first="rtdsrv_eco_721ca1a574fa49f5810a3c7bb361f0fa">
      <tp>
        <v>2</v>
        <stp/>
        <stp>a28c9a66-ef6e-406c-891a-b4e19c3a2650</stp>
        <tr r="E19" s="8"/>
      </tp>
      <tp>
        <v>2</v>
        <stp/>
        <stp>f68f7dc7-83fc-4708-a316-9203b1cbeef4</stp>
        <tr r="F218" s="8"/>
      </tp>
    </main>
    <main first="rtdsrv_eco_721ca1a574fa49f5810a3c7bb361f0fa">
      <tp>
        <v>2</v>
        <stp/>
        <stp>8e7d4a83-f451-402a-8c5f-01e4a6d2247f</stp>
        <tr r="E28" s="8"/>
      </tp>
    </main>
    <main first="rtdsrv_eco_721ca1a574fa49f5810a3c7bb361f0fa">
      <tp>
        <v>2</v>
        <stp/>
        <stp>2a4a95d8-85bb-40dd-8c5c-49bd61a7c0c4</stp>
        <tr r="D135" s="8"/>
      </tp>
    </main>
    <main first="rtdsrv_eco_721ca1a574fa49f5810a3c7bb361f0fa">
      <tp>
        <v>2</v>
        <stp/>
        <stp>ac455a35-93a9-4204-8ccf-34e9d82ceeb0</stp>
        <tr r="D260" s="8"/>
      </tp>
      <tp>
        <v>2</v>
        <stp/>
        <stp>41cde77f-abfd-4956-aefc-8102c4c297a4</stp>
        <tr r="D236" s="8"/>
      </tp>
    </main>
    <main first="rtdsrv_eco_721ca1a574fa49f5810a3c7bb361f0fa">
      <tp>
        <v>2</v>
        <stp/>
        <stp>22d14973-0ebe-4608-95ca-0375a0ef3ff5</stp>
        <tr r="E231" s="8"/>
      </tp>
      <tp>
        <v>2</v>
        <stp/>
        <stp>ccc3dcf9-2e27-40da-bf63-d2cda0986b75</stp>
        <tr r="F138" s="8"/>
      </tp>
      <tp>
        <v>2</v>
        <stp/>
        <stp>661610c3-0f24-47d4-99f4-af8d5334845f</stp>
        <tr r="F99" s="8"/>
      </tp>
      <tp>
        <v>2</v>
        <stp/>
        <stp>ec5008f0-5749-4fc8-9f2a-8ea2359411ba</stp>
        <tr r="F167" s="8"/>
      </tp>
      <tp>
        <v>2</v>
        <stp/>
        <stp>7c1715f4-1995-4221-97f5-152e94f5a402</stp>
        <tr r="F250" s="8"/>
      </tp>
      <tp>
        <v>2</v>
        <stp/>
        <stp>d05f2440-e94a-45fe-9a53-4dae1dde8410</stp>
        <tr r="E109" s="8"/>
      </tp>
    </main>
    <main first="rtdsrv_eco_721ca1a574fa49f5810a3c7bb361f0fa">
      <tp>
        <v>2</v>
        <stp/>
        <stp>3a290b72-edbe-4e8c-b448-fb1f47daaa10</stp>
        <tr r="E104" s="8"/>
      </tp>
    </main>
    <main first="rtdsrv_eco_721ca1a574fa49f5810a3c7bb361f0fa">
      <tp>
        <v>2</v>
        <stp/>
        <stp>4ddcd0cf-ea0e-477b-a2b1-5b9827d53a06</stp>
        <tr r="E138" s="8"/>
      </tp>
      <tp>
        <v>2</v>
        <stp/>
        <stp>a7830ead-e269-4ffb-8bb6-a05594bf9604</stp>
        <tr r="F62" s="8"/>
      </tp>
    </main>
    <main first="rtdsrv_eco_721ca1a574fa49f5810a3c7bb361f0fa">
      <tp>
        <v>2</v>
        <stp/>
        <stp>859e40aa-6d1e-4ecb-9f71-5ab8bd5f1fba</stp>
        <tr r="D37" s="8"/>
      </tp>
      <tp>
        <v>2</v>
        <stp/>
        <stp>0f78169b-c47e-4516-8331-dbeb24f4de16</stp>
        <tr r="E185" s="8"/>
      </tp>
      <tp>
        <v>2</v>
        <stp/>
        <stp>8e4685a8-11c8-482b-9a20-f5df7d88ae1c</stp>
        <tr r="D32" s="8"/>
      </tp>
      <tp>
        <v>2</v>
        <stp/>
        <stp>4c8e95d8-869a-44bb-af85-065e9b84aed6</stp>
        <tr r="D218" s="8"/>
      </tp>
      <tp>
        <v>2</v>
        <stp/>
        <stp>077d1a7c-d03f-4607-85f1-65d9b0089cce</stp>
        <tr r="E182" s="8"/>
      </tp>
    </main>
    <main first="rtdsrv_eco_721ca1a574fa49f5810a3c7bb361f0fa">
      <tp>
        <v>2</v>
        <stp/>
        <stp>08025fc3-a3bc-4bdc-b4ad-cb6e5c3a196e</stp>
        <tr r="E239" s="8"/>
      </tp>
    </main>
    <main first="rtdsrv_eco_721ca1a574fa49f5810a3c7bb361f0fa">
      <tp>
        <v>2</v>
        <stp/>
        <stp>8e978770-e94a-4496-acb4-834f04bd2aaf</stp>
        <tr r="D71" s="8"/>
      </tp>
    </main>
    <main first="rtdsrv_eco_721ca1a574fa49f5810a3c7bb361f0fa">
      <tp>
        <v>2</v>
        <stp/>
        <stp>86b55d4d-774f-4a37-8c51-71d8d7d47dec</stp>
        <tr r="F44" s="8"/>
      </tp>
    </main>
    <main first="rtdsrv_eco_721ca1a574fa49f5810a3c7bb361f0fa">
      <tp>
        <v>2</v>
        <stp/>
        <stp>1424db61-105f-4d94-b15f-44bb5b8a3580</stp>
        <tr r="E75" s="8"/>
      </tp>
      <tp>
        <v>2</v>
        <stp/>
        <stp>f5f9c227-b03b-468f-8413-d85169c3f612</stp>
        <tr r="F216" s="8"/>
      </tp>
    </main>
    <main first="rtdsrv_eco_721ca1a574fa49f5810a3c7bb361f0fa">
      <tp>
        <v>2</v>
        <stp/>
        <stp>89ec9285-d5bd-401f-9be5-9b84687663be</stp>
        <tr r="E12" s="8"/>
      </tp>
      <tp>
        <v>2</v>
        <stp/>
        <stp>8e9fd490-1e17-444d-89be-3478ff163170</stp>
        <tr r="F219" s="8"/>
      </tp>
      <tp>
        <v>2</v>
        <stp/>
        <stp>805dfe7c-61ae-42eb-86dd-5819b81d8c9a</stp>
        <tr r="D57" s="8"/>
      </tp>
      <tp>
        <v>2</v>
        <stp/>
        <stp>9919b7b0-a8e1-499f-969b-94d735549775</stp>
        <tr r="F238" s="8"/>
      </tp>
      <tp>
        <v>2</v>
        <stp/>
        <stp>ec9d727a-dfab-4c71-942f-1358f25221b3</stp>
        <tr r="D219" s="8"/>
      </tp>
      <tp>
        <v>2</v>
        <stp/>
        <stp>faf28b1e-0027-49ea-ac32-90cf9fb9819f</stp>
        <tr r="E95" s="8"/>
      </tp>
    </main>
    <main first="rtdsrv_eco_721ca1a574fa49f5810a3c7bb361f0fa">
      <tp>
        <v>2</v>
        <stp/>
        <stp>e404d6f5-0995-4551-b22e-fc1c6dd36023</stp>
        <tr r="E245" s="8"/>
      </tp>
    </main>
    <main first="rtdsrv_eco_721ca1a574fa49f5810a3c7bb361f0fa">
      <tp>
        <v>2</v>
        <stp/>
        <stp>48c320ab-92cf-4103-aab8-d0b82fc660b4</stp>
        <tr r="D182" s="8"/>
      </tp>
      <tp>
        <v>2</v>
        <stp/>
        <stp>70dfab67-dd25-46d4-8738-4efb9f02d406</stp>
        <tr r="D203" s="8"/>
      </tp>
    </main>
    <main first="rtdsrv_eco_721ca1a574fa49f5810a3c7bb361f0fa">
      <tp>
        <v>2</v>
        <stp/>
        <stp>cfedbb15-e4a4-49d2-a975-0c20d0729169</stp>
        <tr r="E105" s="8"/>
      </tp>
      <tp>
        <v>2</v>
        <stp/>
        <stp>73cd2ace-78c8-46cc-8009-27e697281024</stp>
        <tr r="F165" s="8"/>
      </tp>
    </main>
    <main first="rtdsrv_eco_721ca1a574fa49f5810a3c7bb361f0fa">
      <tp>
        <v>2</v>
        <stp/>
        <stp>137109f3-040c-4543-bd01-a275b9029418</stp>
        <tr r="D237" s="8"/>
      </tp>
      <tp>
        <v>2</v>
        <stp/>
        <stp>69dc257f-303e-4c2b-836d-f95a7d15c0c2</stp>
        <tr r="E35" s="8"/>
      </tp>
      <tp>
        <v>2</v>
        <stp/>
        <stp>6dc298bc-acb8-4dde-a7db-535dd04a39aa</stp>
        <tr r="E210" s="8"/>
      </tp>
    </main>
    <main first="rtdsrv_eco_721ca1a574fa49f5810a3c7bb361f0fa">
      <tp>
        <v>2</v>
        <stp/>
        <stp>47ea81bc-906c-4d23-a196-511346bef43f</stp>
        <tr r="F38" s="8"/>
      </tp>
    </main>
    <main first="rtdsrv_eco_721ca1a574fa49f5810a3c7bb361f0fa">
      <tp>
        <v>2</v>
        <stp/>
        <stp>d0147117-ba2d-4053-bc49-924a919bba42</stp>
        <tr r="F101" s="8"/>
      </tp>
      <tp>
        <v>2</v>
        <stp/>
        <stp>d870177b-933a-420e-a9d7-798dc04ec847</stp>
        <tr r="F258" s="8"/>
      </tp>
      <tp>
        <v>2</v>
        <stp/>
        <stp>407cf323-5dd5-4884-b36a-c78fd2037754</stp>
        <tr r="F25" s="8"/>
      </tp>
    </main>
    <main first="rtdsrv_eco_721ca1a574fa49f5810a3c7bb361f0fa">
      <tp>
        <v>2</v>
        <stp/>
        <stp>e8c979b0-398b-4e8e-8b75-f5e94f5b05fa</stp>
        <tr r="E34" s="8"/>
      </tp>
      <tp>
        <v>2</v>
        <stp/>
        <stp>d147bc8d-16b6-48d2-9b37-212cab037748</stp>
        <tr r="D188" s="8"/>
      </tp>
    </main>
    <main first="rtdsrv_eco_721ca1a574fa49f5810a3c7bb361f0fa">
      <tp>
        <v>2</v>
        <stp/>
        <stp>452c4ce1-e838-4ccf-ae72-c40e4cbf1379</stp>
        <tr r="D112" s="8"/>
      </tp>
    </main>
    <main first="rtdsrv_eco_721ca1a574fa49f5810a3c7bb361f0fa">
      <tp>
        <v>2</v>
        <stp/>
        <stp>1fbb9423-79e5-40ec-b5e0-1c6da15027c0</stp>
        <tr r="E229" s="8"/>
      </tp>
    </main>
    <main first="rtdsrv_eco_721ca1a574fa49f5810a3c7bb361f0fa">
      <tp>
        <v>2</v>
        <stp/>
        <stp>08a0d7f9-ff9d-45b9-b620-0d07172c97d8</stp>
        <tr r="D121" s="8"/>
      </tp>
    </main>
    <main first="rtdsrv_eco_721ca1a574fa49f5810a3c7bb361f0fa">
      <tp>
        <v>2</v>
        <stp/>
        <stp>3950aceb-82ad-4038-9dd4-fd02ce36c9a1</stp>
        <tr r="E17" s="8"/>
      </tp>
    </main>
    <main first="rtdsrv_eco_721ca1a574fa49f5810a3c7bb361f0fa">
      <tp>
        <v>2</v>
        <stp/>
        <stp>a9691bfa-f7da-4252-9ff3-42f5ae5fa821</stp>
        <tr r="E186" s="8"/>
      </tp>
    </main>
    <main first="rtdsrv_eco_721ca1a574fa49f5810a3c7bb361f0fa">
      <tp>
        <v>2</v>
        <stp/>
        <stp>6b299795-7e04-4bb1-8b4d-7e8e70f844d0</stp>
        <tr r="F127" s="8"/>
      </tp>
    </main>
    <main first="rtdsrv_eco_721ca1a574fa49f5810a3c7bb361f0fa">
      <tp>
        <v>2</v>
        <stp/>
        <stp>35d58dca-07b6-4c7a-8b90-a22b280fb527</stp>
        <tr r="F35" s="8"/>
      </tp>
      <tp>
        <v>2</v>
        <stp/>
        <stp>db887ffe-cf10-4ea0-95f6-378294a1d4f7</stp>
        <tr r="F186" s="8"/>
      </tp>
    </main>
    <main first="rtdsrv_eco_721ca1a574fa49f5810a3c7bb361f0fa">
      <tp>
        <v>2</v>
        <stp/>
        <stp>b49f3c12-4b8e-4363-a9f7-5f31adf5b3fc</stp>
        <tr r="D110" s="8"/>
      </tp>
    </main>
    <main first="rtdsrv_eco_721ca1a574fa49f5810a3c7bb361f0fa">
      <tp>
        <v>2</v>
        <stp/>
        <stp>d354dfa9-d1e9-4311-a864-868babe61eab</stp>
        <tr r="D145" s="8"/>
      </tp>
    </main>
    <main first="rtdsrv_eco_721ca1a574fa49f5810a3c7bb361f0fa">
      <tp>
        <v>2</v>
        <stp/>
        <stp>15ae8d60-d2aa-4724-bd88-4ca7fdd25924</stp>
        <tr r="D67" s="8"/>
      </tp>
      <tp>
        <v>2</v>
        <stp/>
        <stp>edb6f284-64af-4b96-bd72-aa2f47108041</stp>
        <tr r="E40" s="8"/>
      </tp>
      <tp>
        <v>2</v>
        <stp/>
        <stp>6ee57ff4-ce87-43ff-a8c1-6c8d56d487cf</stp>
        <tr r="D65" s="8"/>
      </tp>
    </main>
    <main first="rtdsrv_eco_721ca1a574fa49f5810a3c7bb361f0fa">
      <tp>
        <v>2</v>
        <stp/>
        <stp>2b75cb2e-4608-442d-a62d-8deebc894bc9</stp>
        <tr r="D200" s="8"/>
      </tp>
    </main>
    <main first="rtdsrv_eco_721ca1a574fa49f5810a3c7bb361f0fa">
      <tp>
        <v>2</v>
        <stp/>
        <stp>adca235b-8c32-4173-b91b-b9f69c4ed0c8</stp>
        <tr r="F141" s="8"/>
      </tp>
    </main>
    <main first="rtdsrv_eco_721ca1a574fa49f5810a3c7bb361f0fa">
      <tp>
        <v>2</v>
        <stp/>
        <stp>0ff8d9dc-dc4c-47d8-9cce-46a230258a3b</stp>
        <tr r="F149" s="8"/>
      </tp>
    </main>
    <main first="rtdsrv_eco_721ca1a574fa49f5810a3c7bb361f0fa">
      <tp>
        <v>2</v>
        <stp/>
        <stp>365f95ca-7b82-426e-96de-a4dff26d84fe</stp>
        <tr r="D35" s="8"/>
      </tp>
      <tp>
        <v>2</v>
        <stp/>
        <stp>095af21b-db0a-4af9-bb00-d3d49cfa2163</stp>
        <tr r="E200" s="8"/>
      </tp>
    </main>
    <main first="rtdsrv_eco_721ca1a574fa49f5810a3c7bb361f0fa">
      <tp>
        <v>2</v>
        <stp/>
        <stp>0934c8d5-9dc1-4bd4-bc80-cf03b45ffaec</stp>
        <tr r="E112" s="8"/>
      </tp>
      <tp>
        <v>2</v>
        <stp/>
        <stp>fd7629c8-d717-4c9e-a160-0c5f56cf68ef</stp>
        <tr r="E49" s="8"/>
      </tp>
    </main>
    <main first="rtdsrv_eco_721ca1a574fa49f5810a3c7bb361f0fa">
      <tp>
        <v>2</v>
        <stp/>
        <stp>7eeacf3a-f4b7-4763-85fb-bfb43de4f59d</stp>
        <tr r="E121" s="8"/>
      </tp>
      <tp>
        <v>2</v>
        <stp/>
        <stp>e16e860f-cdac-4009-834d-55d7ebd1098f</stp>
        <tr r="E187" s="8"/>
      </tp>
      <tp>
        <v>2</v>
        <stp/>
        <stp>658ad1ef-b72e-4b70-9a74-c0ec44da7ba0</stp>
        <tr r="F61" s="8"/>
      </tp>
    </main>
    <main first="rtdsrv_eco_721ca1a574fa49f5810a3c7bb361f0fa">
      <tp>
        <v>2</v>
        <stp/>
        <stp>bf1e978a-2a2a-4c83-95bc-a2ac0de2ac5a</stp>
        <tr r="E86" s="8"/>
      </tp>
    </main>
    <main first="rtdsrv_eco_721ca1a574fa49f5810a3c7bb361f0fa">
      <tp>
        <v>2</v>
        <stp/>
        <stp>f472ebb4-d208-4f40-aba7-1eb6b933883b</stp>
        <tr r="E50" s="8"/>
      </tp>
      <tp>
        <v>2</v>
        <stp/>
        <stp>8e5210c2-4624-4091-b80f-3b018a6dad32</stp>
        <tr r="F170" s="8"/>
      </tp>
    </main>
    <main first="rtdsrv_eco_721ca1a574fa49f5810a3c7bb361f0fa">
      <tp>
        <v>2</v>
        <stp/>
        <stp>70c24e91-faa8-4d1d-8ba4-f5d5508424c9</stp>
        <tr r="F77" s="8"/>
      </tp>
    </main>
    <main first="rtdsrv_eco_721ca1a574fa49f5810a3c7bb361f0fa">
      <tp>
        <v>2</v>
        <stp/>
        <stp>f03e0a25-166b-4ecd-b8e0-cdad5c475aba</stp>
        <tr r="D185" s="8"/>
      </tp>
      <tp>
        <v>2</v>
        <stp/>
        <stp>681d1fed-2c4f-4bf9-90ec-e4f251a532bf</stp>
        <tr r="D266" s="8"/>
      </tp>
      <tp>
        <v>2</v>
        <stp/>
        <stp>07c2f5b2-bf06-4f9e-a11f-27f7cfd14b2e</stp>
        <tr r="F19" s="8"/>
      </tp>
      <tp>
        <v>2</v>
        <stp/>
        <stp>c0e777ec-eb7c-44d3-a9fe-d9a91749da8f</stp>
        <tr r="D69" s="8"/>
      </tp>
    </main>
    <main first="rtdsrv_eco_721ca1a574fa49f5810a3c7bb361f0fa">
      <tp>
        <v>2</v>
        <stp/>
        <stp>ce25895a-28d4-4dd9-bc91-154c64ff1746</stp>
        <tr r="D166" s="8"/>
      </tp>
    </main>
    <main first="rtdsrv_eco_721ca1a574fa49f5810a3c7bb361f0fa">
      <tp>
        <v>2</v>
        <stp/>
        <stp>db5e79f6-6e58-4847-a03a-3e3e423e9f14</stp>
        <tr r="D53" s="8"/>
      </tp>
    </main>
    <main first="rtdsrv_eco_721ca1a574fa49f5810a3c7bb361f0fa">
      <tp>
        <v>2</v>
        <stp/>
        <stp>eacd3f98-88ec-4be2-9b6e-f3558ed9552a</stp>
        <tr r="E224" s="8"/>
      </tp>
      <tp>
        <v>2</v>
        <stp/>
        <stp>7d6ec65b-81b3-41f2-92a4-0f4bc6a6f177</stp>
        <tr r="D88" s="8"/>
      </tp>
      <tp>
        <v>2</v>
        <stp/>
        <stp>e2e44dc9-edac-4939-82f9-dd8824445d37</stp>
        <tr r="E22" s="8"/>
      </tp>
      <tp>
        <v>2</v>
        <stp/>
        <stp>d692d006-99ca-42fb-9ffc-a061e6b39ebc</stp>
        <tr r="F123" s="8"/>
      </tp>
      <tp>
        <v>2</v>
        <stp/>
        <stp>badb174c-ba63-4643-9e50-d727cd4219b1</stp>
        <tr r="F115" s="8"/>
      </tp>
    </main>
    <main first="rtdsrv_eco_721ca1a574fa49f5810a3c7bb361f0fa">
      <tp>
        <v>2</v>
        <stp/>
        <stp>de3a97fa-72b7-4389-a6c2-1a65b6711078</stp>
        <tr r="D143" s="8"/>
      </tp>
      <tp>
        <v>2</v>
        <stp/>
        <stp>1c85fbda-f4ef-4bf9-9e21-94b008b1f896</stp>
        <tr r="D44" s="8"/>
      </tp>
      <tp>
        <v>2</v>
        <stp/>
        <stp>c9237b0c-0543-4b65-bec4-8fbec242814b</stp>
        <tr r="E123" s="8"/>
      </tp>
    </main>
    <main first="rtdsrv_eco_721ca1a574fa49f5810a3c7bb361f0fa">
      <tp>
        <v>2</v>
        <stp/>
        <stp>54b76f5d-4925-4b68-8537-0ada1036cd00</stp>
        <tr r="D127" s="8"/>
      </tp>
      <tp>
        <v>2</v>
        <stp/>
        <stp>735793ea-9400-4467-b6f1-03aedf8f9e34</stp>
        <tr r="D132" s="8"/>
      </tp>
      <tp>
        <v>2</v>
        <stp/>
        <stp>a6ab3fc2-fbac-4d87-a366-9305fea9d986</stp>
        <tr r="F124" s="8"/>
      </tp>
    </main>
    <main first="rtdsrv_eco_721ca1a574fa49f5810a3c7bb361f0fa">
      <tp>
        <v>2</v>
        <stp/>
        <stp>77a14a13-4b9f-49bf-9689-10e3320bcfa5</stp>
        <tr r="F32" s="8"/>
      </tp>
    </main>
    <main first="rtdsrv_eco_721ca1a574fa49f5810a3c7bb361f0fa">
      <tp>
        <v>2</v>
        <stp/>
        <stp>62b6efbb-d9ff-4395-bf82-1e13ec771c1f</stp>
        <tr r="F24" s="8"/>
      </tp>
      <tp>
        <v>2</v>
        <stp/>
        <stp>4a868761-fac2-47a9-8e73-7b5f643de0f6</stp>
        <tr r="D241" s="8"/>
      </tp>
    </main>
    <main first="rtdsrv_eco_721ca1a574fa49f5810a3c7bb361f0fa">
      <tp>
        <v>2</v>
        <stp/>
        <stp>0b32c5fa-5f54-42b9-b4af-a1881f6fb5c5</stp>
        <tr r="D222" s="8"/>
      </tp>
    </main>
    <main first="rtdsrv_eco_721ca1a574fa49f5810a3c7bb361f0fa">
      <tp>
        <v>2</v>
        <stp/>
        <stp>aa618648-488f-4224-ab80-e48576c8d5be</stp>
        <tr r="E178" s="8"/>
      </tp>
      <tp>
        <v>2</v>
        <stp/>
        <stp>54c9d66b-5506-4222-bb4c-6fe6961f09d2</stp>
        <tr r="E244" s="8"/>
      </tp>
    </main>
    <main first="rtdsrv_eco_721ca1a574fa49f5810a3c7bb361f0fa">
      <tp>
        <v>2</v>
        <stp/>
        <stp>240d2466-9327-42e9-947e-8692da9c68a0</stp>
        <tr r="E209" s="8"/>
      </tp>
      <tp>
        <v>2</v>
        <stp/>
        <stp>dc3b91e0-28f3-4c5d-808c-ff25155ca6d3</stp>
        <tr r="F178" s="8"/>
      </tp>
      <tp>
        <v>2</v>
        <stp/>
        <stp>4dcf4cbf-6e35-4dd7-8011-2a8887e918f1</stp>
        <tr r="F132" s="8"/>
      </tp>
    </main>
    <main first="rtdsrv_eco_721ca1a574fa49f5810a3c7bb361f0fa">
      <tp>
        <v>2</v>
        <stp/>
        <stp>96624c88-70f1-48fb-a6b2-1055c8e9633b</stp>
        <tr r="E137" s="8"/>
      </tp>
    </main>
    <main first="rtdsrv_eco_721ca1a574fa49f5810a3c7bb361f0fa">
      <tp>
        <v>2</v>
        <stp/>
        <stp>985e4bd7-ada9-4046-8d4b-d1165c3bb287</stp>
        <tr r="F171" s="8"/>
      </tp>
      <tp>
        <v>2</v>
        <stp/>
        <stp>d2f57fe2-e6da-4c2c-9c41-096b3cf99e2c</stp>
        <tr r="F232" s="8"/>
      </tp>
    </main>
    <main first="rtdsrv_eco_721ca1a574fa49f5810a3c7bb361f0fa">
      <tp>
        <v>2</v>
        <stp/>
        <stp>2ce7ffa6-0b89-4498-a05f-dd1f4651d3bd</stp>
        <tr r="E248" s="8"/>
      </tp>
      <tp>
        <v>2</v>
        <stp/>
        <stp>e67838ab-a869-4a2f-a0ab-31d852674289</stp>
        <tr r="E192" s="8"/>
      </tp>
    </main>
    <main first="rtdsrv_eco_721ca1a574fa49f5810a3c7bb361f0fa">
      <tp>
        <v>2</v>
        <stp/>
        <stp>b25ea9ab-aab7-4ea3-bc64-2312e2d06719</stp>
        <tr r="D205" s="8"/>
      </tp>
    </main>
    <main first="rtdsrv_eco_721ca1a574fa49f5810a3c7bb361f0fa">
      <tp>
        <v>2</v>
        <stp/>
        <stp>852b58be-2ad8-454b-b5c1-95bb377dde73</stp>
        <tr r="F206" s="8"/>
      </tp>
    </main>
    <main first="rtdsrv_eco_721ca1a574fa49f5810a3c7bb361f0fa">
      <tp>
        <v>2</v>
        <stp/>
        <stp>ab478f38-db4a-4160-9304-f9ea513a31d0</stp>
        <tr r="E129" s="8"/>
      </tp>
    </main>
    <main first="rtdsrv_eco_721ca1a574fa49f5810a3c7bb361f0fa">
      <tp>
        <v>2</v>
        <stp/>
        <stp>adc4c48c-eaaa-4c37-b42b-9ce472d7a8e0</stp>
        <tr r="F137" s="8"/>
      </tp>
    </main>
    <main first="rtdsrv_eco_721ca1a574fa49f5810a3c7bb361f0fa">
      <tp>
        <v>2</v>
        <stp/>
        <stp>baf33386-ac92-47df-bf02-08eb7169f5e5</stp>
        <tr r="F98" s="8"/>
      </tp>
      <tp>
        <v>2</v>
        <stp/>
        <stp>826f3b27-f2d7-4598-a8be-853886bbb643</stp>
        <tr r="D248" s="8"/>
      </tp>
    </main>
    <main first="rtdsrv_eco_721ca1a574fa49f5810a3c7bb361f0fa">
      <tp>
        <v>2</v>
        <stp/>
        <stp>f4099c2e-bded-4105-87bd-efb78e3328d0</stp>
        <tr r="D114" s="8"/>
      </tp>
      <tp>
        <v>2</v>
        <stp/>
        <stp>8af950a6-6ddf-4b6f-b740-b13e38edbe23</stp>
        <tr r="E264" s="8"/>
      </tp>
    </main>
    <main first="rtdsrv_eco_721ca1a574fa49f5810a3c7bb361f0fa">
      <tp>
        <v>2</v>
        <stp/>
        <stp>5eac8a45-7cab-4ca6-a783-e8f97efe4912</stp>
        <tr r="E201" s="8"/>
      </tp>
    </main>
    <main first="rtdsrv_eco_721ca1a574fa49f5810a3c7bb361f0fa">
      <tp>
        <v>2</v>
        <stp/>
        <stp>6ad9e30d-d1e4-4888-b9f2-423223f5f071</stp>
        <tr r="D61" s="8"/>
      </tp>
    </main>
    <main first="rtdsrv_eco_721ca1a574fa49f5810a3c7bb361f0fa">
      <tp>
        <v>2</v>
        <stp/>
        <stp>04dc2af7-ca69-49e9-8bc9-d0534095e69d</stp>
        <tr r="F253" s="8"/>
      </tp>
      <tp>
        <v>2</v>
        <stp/>
        <stp>4318a47c-8d65-4daa-b075-2bd6aed65487</stp>
        <tr r="F222" s="8"/>
      </tp>
    </main>
    <main first="rtdsrv_eco_721ca1a574fa49f5810a3c7bb361f0fa">
      <tp>
        <v>2</v>
        <stp/>
        <stp>6e2457b9-a584-4c3f-b14c-4a2558f95b46</stp>
        <tr r="E203" s="8"/>
      </tp>
    </main>
    <main first="rtdsrv_eco_721ca1a574fa49f5810a3c7bb361f0fa">
      <tp>
        <v>2</v>
        <stp/>
        <stp>a9152711-76fb-43ce-8135-dc16e0da7f2e</stp>
        <tr r="E140" s="8"/>
      </tp>
      <tp>
        <v>2</v>
        <stp/>
        <stp>291b2ae4-96d8-41c0-b0ac-fbd849ce31c3</stp>
        <tr r="D232" s="8"/>
      </tp>
      <tp>
        <v>2</v>
        <stp/>
        <stp>2cf18f9d-cc57-436d-bf8c-6a10d0898130</stp>
        <tr r="D93" s="8"/>
      </tp>
    </main>
    <main first="rtdsrv_eco_721ca1a574fa49f5810a3c7bb361f0fa">
      <tp>
        <v>2</v>
        <stp/>
        <stp>18641ecb-20a7-41b0-b3d8-457c6d72708f</stp>
        <tr r="E57" s="8"/>
      </tp>
    </main>
    <main first="rtdsrv_eco_721ca1a574fa49f5810a3c7bb361f0fa">
      <tp>
        <v>2</v>
        <stp/>
        <stp>fcb735a1-93f1-44e2-9960-4f1cfdfe4378</stp>
        <tr r="F177" s="8"/>
      </tp>
      <tp>
        <v>2</v>
        <stp/>
        <stp>95f336c0-cdaa-4ca5-ba32-dcd49fda4924</stp>
        <tr r="D191" s="8"/>
      </tp>
      <tp>
        <v>2</v>
        <stp/>
        <stp>3d7395da-e4db-4938-a93f-22d7cbba65f3</stp>
        <tr r="E48" s="8"/>
      </tp>
      <tp>
        <v>2</v>
        <stp/>
        <stp>67164a53-b92d-4494-ace6-29e3547d328c</stp>
        <tr r="E233" s="8"/>
      </tp>
    </main>
    <main first="rtdsrv_eco_721ca1a574fa49f5810a3c7bb361f0fa">
      <tp>
        <v>2</v>
        <stp/>
        <stp>eacfaf6d-2a85-483c-9b98-2b0aa2724e43</stp>
        <tr r="F163" s="8"/>
      </tp>
    </main>
    <main first="rtdsrv_eco_721ca1a574fa49f5810a3c7bb361f0fa">
      <tp>
        <v>2</v>
        <stp/>
        <stp>62be5894-ff47-4c0b-800e-ddcf8d1bcd73</stp>
        <tr r="D240" s="8"/>
      </tp>
      <tp>
        <v>2</v>
        <stp/>
        <stp>169f2e85-7576-42f3-a620-e958419fa75a</stp>
        <tr r="F192" s="8"/>
      </tp>
    </main>
    <main first="rtdsrv_eco_721ca1a574fa49f5810a3c7bb361f0fa">
      <tp>
        <v>2</v>
        <stp/>
        <stp>388ebe55-f81b-4946-8211-da9dd441c31d</stp>
        <tr r="E160" s="8"/>
      </tp>
    </main>
    <main first="rtdsrv_eco_721ca1a574fa49f5810a3c7bb361f0fa">
      <tp>
        <v>2</v>
        <stp/>
        <stp>a65409cc-c7f9-48d5-bbdf-74d30ca88057</stp>
        <tr r="E87" s="8"/>
      </tp>
    </main>
    <main first="rtdsrv_eco_721ca1a574fa49f5810a3c7bb361f0fa">
      <tp>
        <v>2</v>
        <stp/>
        <stp>a6a88b09-85fb-4dca-b82d-0304d3a97ef7</stp>
        <tr r="E190" s="8"/>
      </tp>
      <tp>
        <v>2</v>
        <stp/>
        <stp>2ac91392-e958-4168-964f-7dec5abe8d65</stp>
        <tr r="E73" s="8"/>
      </tp>
      <tp>
        <v>2</v>
        <stp/>
        <stp>cc89e124-525b-43b3-9b19-e548481ee212</stp>
        <tr r="D99" s="8"/>
      </tp>
      <tp>
        <v>2</v>
        <stp/>
        <stp>550a888c-4515-4674-bdd5-15a2f198c7e7</stp>
        <tr r="E170" s="8"/>
      </tp>
    </main>
    <main first="rtdsrv_eco_721ca1a574fa49f5810a3c7bb361f0fa">
      <tp>
        <v>2</v>
        <stp/>
        <stp>e43e2d96-0afc-4533-9ebc-60a03b9fe9b4</stp>
        <tr r="E127" s="8"/>
      </tp>
    </main>
    <main first="rtdsrv_eco_721ca1a574fa49f5810a3c7bb361f0fa">
      <tp>
        <v>2</v>
        <stp/>
        <stp>a12fba8f-38a0-4119-8bf8-f57481fe8c4e</stp>
        <tr r="D263" s="8"/>
      </tp>
    </main>
    <main first="rtdsrv_eco_721ca1a574fa49f5810a3c7bb361f0fa">
      <tp>
        <v>2</v>
        <stp/>
        <stp>76178e2c-e430-46b7-94c1-58d21278938c</stp>
        <tr r="F52" s="8"/>
      </tp>
      <tp>
        <v>2</v>
        <stp/>
        <stp>21da5a96-86c8-4147-bcd5-e2e1837ecafa</stp>
        <tr r="D136" s="8"/>
      </tp>
      <tp>
        <v>2</v>
        <stp/>
        <stp>7ec59a32-8bb5-40b8-8c89-4fada1ace0a3</stp>
        <tr r="E115" s="8"/>
      </tp>
    </main>
    <main first="rtdsrv_eco_721ca1a574fa49f5810a3c7bb361f0fa">
      <tp>
        <v>2</v>
        <stp/>
        <stp>388a5c17-6e16-428d-aa7a-a5bdfb08b263</stp>
        <tr r="F209" s="8"/>
      </tp>
    </main>
    <main first="rtdsrv_eco_721ca1a574fa49f5810a3c7bb361f0fa">
      <tp>
        <v>2</v>
        <stp/>
        <stp>3c3a5bbd-1f58-4d0f-b0b2-b8284fa1f112</stp>
        <tr r="F182" s="8"/>
      </tp>
    </main>
    <main first="rtdsrv_eco_721ca1a574fa49f5810a3c7bb361f0fa">
      <tp>
        <v>2</v>
        <stp/>
        <stp>25e63474-2926-4df7-a0fa-70c37893614f</stp>
        <tr r="F223" s="8"/>
      </tp>
    </main>
    <main first="rtdsrv_eco_721ca1a574fa49f5810a3c7bb361f0fa">
      <tp>
        <v>2</v>
        <stp/>
        <stp>f8cc0a11-c236-4f98-b632-caaf1232c9bd</stp>
        <tr r="D118" s="8"/>
      </tp>
      <tp>
        <v>2</v>
        <stp/>
        <stp>8e31c32e-53a2-40e6-b1eb-0ed836ba8858</stp>
        <tr r="F50" s="8"/>
      </tp>
      <tp>
        <v>2</v>
        <stp/>
        <stp>04a5b3c8-6236-4f8d-8bc0-282d7fd1b36f</stp>
        <tr r="D70" s="8"/>
      </tp>
    </main>
    <main first="rtdsrv_eco_721ca1a574fa49f5810a3c7bb361f0fa">
      <tp>
        <v>2</v>
        <stp/>
        <stp>e66ecc1d-b270-49ad-acae-b2185ba239a2</stp>
        <tr r="E33" s="8"/>
      </tp>
      <tp>
        <v>2</v>
        <stp/>
        <stp>ed39e701-90b1-473e-85aa-c40e8178d04e</stp>
        <tr r="F235" s="8"/>
      </tp>
      <tp>
        <v>2</v>
        <stp/>
        <stp>2fbc2e5b-d7dd-4a86-83a4-299d80706bed</stp>
        <tr r="F265" s="8"/>
      </tp>
      <tp>
        <v>2</v>
        <stp/>
        <stp>37299529-f400-44fa-a798-61e990ac4f7d</stp>
        <tr r="E119" s="8"/>
      </tp>
    </main>
    <main first="rtdsrv_eco_721ca1a574fa49f5810a3c7bb361f0fa">
      <tp>
        <v>2</v>
        <stp/>
        <stp>f54c21f3-16f8-464b-ac24-194b9ead5b29</stp>
        <tr r="E139" s="8"/>
      </tp>
      <tp>
        <v>2</v>
        <stp/>
        <stp>e6a444aa-debf-41b2-b943-095e56ef442c</stp>
        <tr r="E78" s="8"/>
      </tp>
    </main>
    <main first="rtdsrv_eco_721ca1a574fa49f5810a3c7bb361f0fa">
      <tp>
        <v>2</v>
        <stp/>
        <stp>a7ca10b1-5d4e-489f-903d-0dd49941dabb</stp>
        <tr r="E93" s="8"/>
      </tp>
      <tp>
        <v>2</v>
        <stp/>
        <stp>440c61cc-b014-41c7-ba0f-1acbcc0479e8</stp>
        <tr r="E206" s="8"/>
      </tp>
    </main>
    <main first="rtdsrv_eco_721ca1a574fa49f5810a3c7bb361f0fa">
      <tp>
        <v>2</v>
        <stp/>
        <stp>c381380a-8e1d-49c8-9a2e-e7b927ec0ea5</stp>
        <tr r="E116" s="8"/>
      </tp>
    </main>
    <main first="rtdsrv_eco_721ca1a574fa49f5810a3c7bb361f0fa">
      <tp>
        <v>2</v>
        <stp/>
        <stp>06fa01af-d7e9-42a3-94e3-ae0758f0049b</stp>
        <tr r="E250" s="8"/>
      </tp>
    </main>
    <main first="rtdsrv_eco_721ca1a574fa49f5810a3c7bb361f0fa">
      <tp>
        <v>2</v>
        <stp/>
        <stp>abd4e38f-3957-4dc8-ae38-a66f35e526c5</stp>
        <tr r="D207" s="8"/>
      </tp>
      <tp>
        <v>2</v>
        <stp/>
        <stp>8d6e2fe8-0985-4c4d-9285-3f119a777545</stp>
        <tr r="D90" s="8"/>
      </tp>
    </main>
    <main first="rtdsrv_eco_721ca1a574fa49f5810a3c7bb361f0fa">
      <tp>
        <v>2</v>
        <stp/>
        <stp>d04e23dc-916e-4378-a878-fa73e02f881c</stp>
        <tr r="D208" s="8"/>
      </tp>
      <tp>
        <v>2</v>
        <stp/>
        <stp>5ceb39b5-72f0-451e-8475-f58cde6183c7</stp>
        <tr r="D58" s="8"/>
      </tp>
    </main>
    <main first="rtdsrv_eco_721ca1a574fa49f5810a3c7bb361f0fa">
      <tp>
        <v>2</v>
        <stp/>
        <stp>95d0a98f-66bb-4a53-8c67-e6d524e55a43</stp>
        <tr r="D253" s="8"/>
      </tp>
      <tp>
        <v>2</v>
        <stp/>
        <stp>65e8d9b2-18b5-4e6a-9a01-cebfbc30a678</stp>
        <tr r="D137" s="8"/>
      </tp>
    </main>
    <main first="rtdsrv_eco_721ca1a574fa49f5810a3c7bb361f0fa">
      <tp>
        <v>2</v>
        <stp/>
        <stp>440598da-e769-4c2b-b6f5-dfbef3ed2d71</stp>
        <tr r="D138" s="8"/>
      </tp>
    </main>
    <main first="rtdsrv_eco_721ca1a574fa49f5810a3c7bb361f0fa">
      <tp>
        <v>2</v>
        <stp/>
        <stp>2896adf9-3fab-4921-9ed6-b6734f8ce6c9</stp>
        <tr r="D85" s="8"/>
      </tp>
      <tp>
        <v>2</v>
        <stp/>
        <stp>a0db1158-19ac-4c9d-9b99-0aa5a6b4df2e</stp>
        <tr r="F49" s="8"/>
      </tp>
      <tp>
        <v>2</v>
        <stp/>
        <stp>2af2e1fc-adc8-4bbe-84fc-88ecf7878ada</stp>
        <tr r="E204" s="8"/>
      </tp>
      <tp>
        <v>2</v>
        <stp/>
        <stp>c957ef32-5741-4efa-aabb-a4467da42e9a</stp>
        <tr r="D28" s="8"/>
      </tp>
      <tp>
        <v>2</v>
        <stp/>
        <stp>22329029-49c0-4075-bd3a-43bdf9c1afd5</stp>
        <tr r="E143" s="8"/>
      </tp>
    </main>
    <main first="rtdsrv_eco_721ca1a574fa49f5810a3c7bb361f0fa">
      <tp>
        <v>2</v>
        <stp/>
        <stp>f114129d-b7de-41eb-9d7c-1dfe2581c99d</stp>
        <tr r="D179" s="8"/>
      </tp>
      <tp>
        <v>2</v>
        <stp/>
        <stp>3e63664f-3c29-453f-abee-6613309c2973</stp>
        <tr r="D202" s="8"/>
      </tp>
    </main>
    <main first="rtdsrv_eco_721ca1a574fa49f5810a3c7bb361f0fa">
      <tp>
        <v>2</v>
        <stp/>
        <stp>90fe60d3-3726-4e06-aed9-e81b6a332d75</stp>
        <tr r="E240" s="8"/>
      </tp>
    </main>
    <main first="rtdsrv_eco_721ca1a574fa49f5810a3c7bb361f0fa">
      <tp>
        <v>2</v>
        <stp/>
        <stp>34eea053-9130-4bed-86a4-dc3e76bf7122</stp>
        <tr r="D94" s="8"/>
      </tp>
    </main>
    <main first="rtdsrv_eco_721ca1a574fa49f5810a3c7bb361f0fa">
      <tp>
        <v>2</v>
        <stp/>
        <stp>155cac4a-5316-4627-ac8f-3e2fa3066fb4</stp>
        <tr r="F207" s="8"/>
      </tp>
    </main>
    <main first="rtdsrv_eco_721ca1a574fa49f5810a3c7bb361f0fa">
      <tp>
        <v>2</v>
        <stp/>
        <stp>3518fe78-8c54-4ae7-9cca-bffd9efa7c0c</stp>
        <tr r="E218" s="8"/>
      </tp>
      <tp>
        <v>2</v>
        <stp/>
        <stp>0e5811a0-1c34-423a-b3c1-ff1c086e6e58</stp>
        <tr r="E122" s="8"/>
      </tp>
      <tp>
        <v>2</v>
        <stp/>
        <stp>0519d2be-fa51-47b8-a1bf-11df85284c7a</stp>
        <tr r="D246" s="8"/>
      </tp>
      <tp>
        <v>2</v>
        <stp/>
        <stp>13ac0f19-f699-4bbd-81ed-e80442e8bdb6</stp>
        <tr r="F162" s="8"/>
      </tp>
    </main>
    <main first="rtdsrv_eco_721ca1a574fa49f5810a3c7bb361f0fa">
      <tp>
        <v>2</v>
        <stp/>
        <stp>e2a0fafc-36d1-4613-bb5a-1b7669be1a0d</stp>
        <tr r="E251" s="8"/>
      </tp>
    </main>
    <main first="rtdsrv_eco_721ca1a574fa49f5810a3c7bb361f0fa">
      <tp>
        <v>2</v>
        <stp/>
        <stp>6c600bb0-752a-4855-a13f-7cdc965239dc</stp>
        <tr r="D78" s="8"/>
      </tp>
    </main>
    <main first="rtdsrv_eco_721ca1a574fa49f5810a3c7bb361f0fa">
      <tp>
        <v>2</v>
        <stp/>
        <stp>1567edff-b012-447d-afee-a96aff5d0161</stp>
        <tr r="F75" s="8"/>
      </tp>
    </main>
    <main first="rtdsrv_eco_721ca1a574fa49f5810a3c7bb361f0fa">
      <tp>
        <v>2</v>
        <stp/>
        <stp>cbacf13d-6f71-4fa0-ab02-b96dfe9d6e89</stp>
        <tr r="E80" s="8"/>
      </tp>
      <tp>
        <v>2</v>
        <stp/>
        <stp>bd48d51b-ea39-4869-8434-e01b8bde7046</stp>
        <tr r="D22" s="8"/>
      </tp>
      <tp>
        <v>2</v>
        <stp/>
        <stp>023723c6-f674-4bb7-85a1-78947c24870d</stp>
        <tr r="D233" s="8"/>
      </tp>
      <tp>
        <v>2</v>
        <stp/>
        <stp>7ffaf9dc-4471-4ffc-9468-5a5336f79410</stp>
        <tr r="E162" s="8"/>
      </tp>
    </main>
    <main first="rtdsrv_eco_721ca1a574fa49f5810a3c7bb361f0fa">
      <tp>
        <v>2</v>
        <stp/>
        <stp>b000d700-f02f-4539-b249-752e7e28baa9</stp>
        <tr r="D117" s="8"/>
      </tp>
    </main>
    <main first="rtdsrv_eco_721ca1a574fa49f5810a3c7bb361f0fa">
      <tp>
        <v>2</v>
        <stp/>
        <stp>d99f2a37-a354-4ad3-8092-62dffd2cf896</stp>
        <tr r="D42" s="8"/>
      </tp>
      <tp>
        <v>2</v>
        <stp/>
        <stp>51250970-f1fe-4249-9280-0eb834cb6cf8</stp>
        <tr r="F233" s="8"/>
      </tp>
    </main>
    <main first="rtdsrv_eco_721ca1a574fa49f5810a3c7bb361f0fa">
      <tp>
        <v>2</v>
        <stp/>
        <stp>d6d6ba91-b4ba-4ecf-8d80-3cdc63abafb5</stp>
        <tr r="E258" s="8"/>
      </tp>
      <tp>
        <v>2</v>
        <stp/>
        <stp>e2a1c40b-4f37-41ff-a6fb-190d12b25d96</stp>
        <tr r="D258" s="8"/>
      </tp>
      <tp>
        <v>2</v>
        <stp/>
        <stp>c11f213b-5e26-4857-858a-2f83906ee17b</stp>
        <tr r="F260" s="8"/>
      </tp>
    </main>
    <main first="rtdsrv_eco_721ca1a574fa49f5810a3c7bb361f0fa">
      <tp>
        <v>2</v>
        <stp/>
        <stp>968c68a2-0d27-4094-a372-86c592c75d48</stp>
        <tr r="D251" s="8"/>
      </tp>
      <tp>
        <v>2</v>
        <stp/>
        <stp>34d3aee5-e0a3-4643-a4c9-de7de9f30eb0</stp>
        <tr r="F122" s="8"/>
      </tp>
    </main>
    <main first="rtdsrv_eco_721ca1a574fa49f5810a3c7bb361f0fa">
      <tp>
        <v>2</v>
        <stp/>
        <stp>78b529d2-db8d-4575-91b3-b33a2904deb6</stp>
        <tr r="F212" s="8"/>
      </tp>
      <tp>
        <v>2</v>
        <stp/>
        <stp>596bab0f-cc93-428f-a523-a7acc276a46f</stp>
        <tr r="F31" s="8"/>
      </tp>
      <tp>
        <v>2</v>
        <stp/>
        <stp>0bb84da0-a1fe-4c00-a4a6-64353f5ed95f</stp>
        <tr r="E44" s="8"/>
      </tp>
    </main>
    <main first="rtdsrv_eco_721ca1a574fa49f5810a3c7bb361f0fa">
      <tp>
        <v>2</v>
        <stp/>
        <stp>51a10813-ca71-4d4e-a165-89387d58c96b</stp>
        <tr r="F97" s="8"/>
      </tp>
    </main>
    <main first="rtdsrv_eco_721ca1a574fa49f5810a3c7bb361f0fa">
      <tp>
        <v>2</v>
        <stp/>
        <stp>86f3cb8d-db85-4ddc-b3c6-899a87226c4c</stp>
        <tr r="F236" s="8"/>
      </tp>
      <tp>
        <v>2</v>
        <stp/>
        <stp>4c9d62ce-8060-47e0-8ac6-cfdd458ca422</stp>
        <tr r="F221" s="8"/>
      </tp>
    </main>
    <main first="rtdsrv_eco_721ca1a574fa49f5810a3c7bb361f0fa">
      <tp>
        <v>2</v>
        <stp/>
        <stp>b289d9da-19a1-4bff-a23b-bf56e2189f0a</stp>
        <tr r="D173" s="8"/>
      </tp>
    </main>
    <main first="rtdsrv_eco_721ca1a574fa49f5810a3c7bb361f0fa">
      <tp>
        <v>2</v>
        <stp/>
        <stp>8c661d54-9f42-4445-ae41-cbe8ca834bfe</stp>
        <tr r="F23" s="8"/>
      </tp>
    </main>
    <main first="rtdsrv_eco_721ca1a574fa49f5810a3c7bb361f0fa">
      <tp>
        <v>2</v>
        <stp/>
        <stp>70eefc4b-938b-47c3-a825-f75f9d6e6f8e</stp>
        <tr r="E79" s="8"/>
      </tp>
    </main>
    <main first="rtdsrv_eco_721ca1a574fa49f5810a3c7bb361f0fa">
      <tp>
        <v>2</v>
        <stp/>
        <stp>14198829-790e-40eb-98c6-e15181db2d0e</stp>
        <tr r="E91" s="8"/>
      </tp>
      <tp>
        <v>2</v>
        <stp/>
        <stp>581727e5-de19-4701-978a-2584a134981e</stp>
        <tr r="E175" s="8"/>
      </tp>
      <tp>
        <v>2</v>
        <stp/>
        <stp>11bdc124-96c2-45c0-80bf-e394f4e3126b</stp>
        <tr r="F26" s="8"/>
      </tp>
      <tp>
        <v>2</v>
        <stp/>
        <stp>4b2268eb-4bda-4a4b-b5ee-a6b786ac2798</stp>
        <tr r="F48" s="8"/>
      </tp>
    </main>
    <main first="rtdsrv_eco_721ca1a574fa49f5810a3c7bb361f0fa">
      <tp>
        <v>2</v>
        <stp/>
        <stp>04284d1f-880a-4b62-a34c-cd0c9c64f77d</stp>
        <tr r="E117" s="8"/>
      </tp>
    </main>
    <main first="rtdsrv_eco_721ca1a574fa49f5810a3c7bb361f0fa">
      <tp>
        <v>2</v>
        <stp/>
        <stp>84ca4cc8-cf4d-4a58-aa24-81529284ec82</stp>
        <tr r="E261" s="8"/>
      </tp>
    </main>
    <main first="rtdsrv_eco_721ca1a574fa49f5810a3c7bb361f0fa">
      <tp>
        <v>2</v>
        <stp/>
        <stp>783a1c52-250e-437b-947b-f321efc3b7d4</stp>
        <tr r="D177" s="8"/>
      </tp>
    </main>
    <main first="rtdsrv_eco_721ca1a574fa49f5810a3c7bb361f0fa">
      <tp>
        <v>2</v>
        <stp/>
        <stp>25c6d983-5290-41a0-9a75-958e9c00664f</stp>
        <tr r="F176" s="8"/>
      </tp>
      <tp>
        <v>2</v>
        <stp/>
        <stp>fe8a10fb-99fa-4f45-a50e-f0391cc64d2c</stp>
        <tr r="F154" s="8"/>
      </tp>
    </main>
    <main first="rtdsrv_eco_721ca1a574fa49f5810a3c7bb361f0fa">
      <tp>
        <v>2</v>
        <stp/>
        <stp>97c61566-524d-4097-ad94-118442e61d6f</stp>
        <tr r="E265" s="8"/>
      </tp>
    </main>
    <main first="rtdsrv_eco_721ca1a574fa49f5810a3c7bb361f0fa">
      <tp>
        <v>2</v>
        <stp/>
        <stp>8fa3acc2-162e-49ae-a24f-3aa138ca1bb5</stp>
        <tr r="E145" s="8"/>
      </tp>
      <tp>
        <v>2</v>
        <stp/>
        <stp>351144fd-d2c0-44b5-ae93-046d767ad5e4</stp>
        <tr r="E130" s="8"/>
      </tp>
      <tp>
        <v>2</v>
        <stp/>
        <stp>58ac5df3-23c5-4a54-9cea-b5150f0c62fb</stp>
        <tr r="E70" s="8"/>
      </tp>
    </main>
    <main first="rtdsrv_eco_721ca1a574fa49f5810a3c7bb361f0fa">
      <tp>
        <v>2</v>
        <stp/>
        <stp>3929ff5b-a0b3-4e80-b767-bf6148c608e9</stp>
        <tr r="D130" s="8"/>
      </tp>
      <tp>
        <v>2</v>
        <stp/>
        <stp>a6547187-779d-4e4c-8574-c82de496c656</stp>
        <tr r="E14" s="8"/>
      </tp>
    </main>
    <main first="rtdsrv_eco_721ca1a574fa49f5810a3c7bb361f0fa">
      <tp>
        <v>2</v>
        <stp/>
        <stp>698f2d10-35b3-411f-8678-f3653f706453</stp>
        <tr r="F148" s="8"/>
      </tp>
      <tp>
        <v>2</v>
        <stp/>
        <stp>3cc48550-6516-4e2e-ae12-d3184ac8e821</stp>
        <tr r="D181" s="8"/>
      </tp>
    </main>
    <main first="rtdsrv_eco_721ca1a574fa49f5810a3c7bb361f0fa">
      <tp>
        <v>2</v>
        <stp/>
        <stp>6993497c-cbc1-4278-833e-d1ec13eac5e9</stp>
        <tr r="D56" s="8"/>
      </tp>
    </main>
    <main first="rtdsrv_eco_721ca1a574fa49f5810a3c7bb361f0fa">
      <tp>
        <v>2</v>
        <stp/>
        <stp>d231fa5a-8526-4fbe-a5b5-d4a636984132</stp>
        <tr r="E60" s="8"/>
      </tp>
    </main>
    <main first="rtdsrv_eco_721ca1a574fa49f5810a3c7bb361f0fa">
      <tp>
        <v>2</v>
        <stp/>
        <stp>b066c07e-1cf4-4986-be17-393a0f9a967f</stp>
        <tr r="F40" s="8"/>
      </tp>
    </main>
    <main first="rtdsrv_eco_721ca1a574fa49f5810a3c7bb361f0fa">
      <tp>
        <v>2</v>
        <stp/>
        <stp>bb4750b4-a458-4808-b94a-411aaaa32058</stp>
        <tr r="E257" s="8"/>
      </tp>
    </main>
    <main first="rtdsrv_eco_721ca1a574fa49f5810a3c7bb361f0fa">
      <tp>
        <v>2</v>
        <stp/>
        <stp>a764e06d-8e0a-4aee-8ae1-8cf56e065fd0</stp>
        <tr r="F71" s="8"/>
      </tp>
    </main>
    <main first="rtdsrv_eco_721ca1a574fa49f5810a3c7bb361f0fa">
      <tp>
        <v>2</v>
        <stp/>
        <stp>089d36fb-b9a1-4303-94fc-9150f1cbdf03</stp>
        <tr r="F184" s="8"/>
      </tp>
    </main>
    <main first="rtdsrv_eco_721ca1a574fa49f5810a3c7bb361f0fa">
      <tp>
        <v>2</v>
        <stp/>
        <stp>ae1a89cd-610a-455d-bf96-8152a83b2a35</stp>
        <tr r="F34" s="8"/>
      </tp>
      <tp>
        <v>2</v>
        <stp/>
        <stp>334df8fc-a5f5-4414-aaa1-3e30a13d5465</stp>
        <tr r="D160" s="8"/>
      </tp>
      <tp>
        <v>2</v>
        <stp/>
        <stp>54bc4de8-d60e-4119-b164-b9cdde123872</stp>
        <tr r="F17" s="8"/>
      </tp>
    </main>
    <main first="rtdsrv_eco_721ca1a574fa49f5810a3c7bb361f0fa">
      <tp>
        <v>2</v>
        <stp/>
        <stp>b4906a9f-b34b-41a9-b3d0-f2fec4a2b389</stp>
        <tr r="F190" s="8"/>
      </tp>
    </main>
    <main first="rtdsrv_eco_721ca1a574fa49f5810a3c7bb361f0fa">
      <tp>
        <v>2</v>
        <stp/>
        <stp>6a7220fe-dd28-42b5-8aca-49637cfd2f3f</stp>
        <tr r="E89" s="8"/>
      </tp>
    </main>
    <main first="rtdsrv_eco_721ca1a574fa49f5810a3c7bb361f0fa">
      <tp>
        <v>2</v>
        <stp/>
        <stp>26342be7-6765-4113-9cad-61b3f8099fb1</stp>
        <tr r="E132" s="8"/>
      </tp>
      <tp>
        <v>2</v>
        <stp/>
        <stp>c9ca35b0-90ea-48f7-9dbe-bbd8fd036952</stp>
        <tr r="E18" s="8"/>
      </tp>
      <tp>
        <v>2</v>
        <stp/>
        <stp>1025fa22-9502-4f2d-bcf1-704f30764524</stp>
        <tr r="E161" s="8"/>
      </tp>
      <tp>
        <v>2</v>
        <stp/>
        <stp>67587368-9183-4d5c-9488-69350b501b90</stp>
        <tr r="E215" s="8"/>
      </tp>
      <tp>
        <v>2</v>
        <stp/>
        <stp>f963cdae-1aa8-4557-bbaa-157dc4c3ad6d</stp>
        <tr r="E211" s="8"/>
      </tp>
      <tp>
        <v>2</v>
        <stp/>
        <stp>49ecc9ec-b1fa-4beb-bb9a-502b9dd7824e</stp>
        <tr r="E189" s="8"/>
      </tp>
    </main>
    <main first="rtdsrv_eco_721ca1a574fa49f5810a3c7bb361f0fa">
      <tp>
        <v>2</v>
        <stp/>
        <stp>99b8761c-f685-4a7b-b641-25f00663ac5b</stp>
        <tr r="E55" s="8"/>
      </tp>
      <tp>
        <v>2</v>
        <stp/>
        <stp>6a928779-895f-4419-bbfc-3f6cbd886c44</stp>
        <tr r="D231" s="8"/>
      </tp>
      <tp>
        <v>2</v>
        <stp/>
        <stp>8cb9bb0d-ec2e-48b3-80b3-852776f35f89</stp>
        <tr r="F131" s="8"/>
      </tp>
      <tp>
        <v>2</v>
        <stp/>
        <stp>e1f3b09b-c639-481c-8ad7-dfdb37e75d01</stp>
        <tr r="F105" s="8"/>
      </tp>
    </main>
    <main first="rtdsrv_eco_721ca1a574fa49f5810a3c7bb361f0fa">
      <tp>
        <v>2</v>
        <stp/>
        <stp>9d83785f-30de-4182-9abf-b726ba0c994a</stp>
        <tr r="F72" s="8"/>
      </tp>
      <tp>
        <v>2</v>
        <stp/>
        <stp>8d900f98-70b8-41e3-a7c8-d11b32f5c62e</stp>
        <tr r="E166" s="8"/>
      </tp>
    </main>
    <main first="rtdsrv_eco_721ca1a574fa49f5810a3c7bb361f0fa">
      <tp>
        <v>2</v>
        <stp/>
        <stp>6b7db06a-e045-40d1-a333-cfca0a933b0f</stp>
        <tr r="E92" s="8"/>
      </tp>
      <tp>
        <v>2</v>
        <stp/>
        <stp>edb1d7e1-1c01-4a76-a88f-792f526ff7ae</stp>
        <tr r="D40" s="8"/>
      </tp>
    </main>
    <main first="rtdsrv_eco_721ca1a574fa49f5810a3c7bb361f0fa">
      <tp>
        <v>2</v>
        <stp/>
        <stp>5d6cbd1c-178d-4cbd-99ff-47c7022d8fcc</stp>
        <tr r="D159" s="8"/>
      </tp>
    </main>
    <main first="rtdsrv_eco_721ca1a574fa49f5810a3c7bb361f0fa">
      <tp>
        <v>2</v>
        <stp/>
        <stp>ed326090-d9c8-4cce-8152-e11b587bc9e0</stp>
        <tr r="F120" s="8"/>
      </tp>
      <tp>
        <v>2</v>
        <stp/>
        <stp>34764ba0-d44c-445f-b60f-e33253f6b430</stp>
        <tr r="E110" s="8"/>
      </tp>
      <tp>
        <v>2</v>
        <stp/>
        <stp>2c567ade-03b9-4599-971e-58ad76414d07</stp>
        <tr r="F59" s="8"/>
      </tp>
      <tp>
        <v>2</v>
        <stp/>
        <stp>b04942be-628e-49bc-a9c4-7da2070037cf</stp>
        <tr r="F85" s="8"/>
      </tp>
      <tp>
        <v>2</v>
        <stp/>
        <stp>65550af5-14ea-4902-8135-a82834e068ec</stp>
        <tr r="E24" s="8"/>
      </tp>
      <tp>
        <v>2</v>
        <stp/>
        <stp>30378a27-5e9d-46ee-be65-a37eed0c306a</stp>
        <tr r="D100" s="8"/>
      </tp>
      <tp>
        <v>2</v>
        <stp/>
        <stp>5c7ab39c-a25c-497b-b8e8-2ad54d210c27</stp>
        <tr r="E52" s="8"/>
      </tp>
      <tp>
        <v>2</v>
        <stp/>
        <stp>9b5dde07-bb04-4acf-b160-9c5a6c2f4e1b</stp>
        <tr r="D97" s="8"/>
      </tp>
      <tp>
        <v>2</v>
        <stp/>
        <stp>a02451e0-b36b-4c37-bb2f-ccc7d10eed01</stp>
        <tr r="E207" s="8"/>
      </tp>
    </main>
    <main first="rtdsrv_eco_721ca1a574fa49f5810a3c7bb361f0fa">
      <tp>
        <v>2</v>
        <stp/>
        <stp>a3c1221a-53c6-40e5-bf12-750921306d17</stp>
        <tr r="D89" s="8"/>
      </tp>
    </main>
    <main first="rtdsrv_eco_721ca1a574fa49f5810a3c7bb361f0fa">
      <tp>
        <v>2</v>
        <stp/>
        <stp>ab703431-9c23-4168-9370-b99c41b31838</stp>
        <tr r="F117" s="8"/>
      </tp>
    </main>
    <main first="rtdsrv_eco_721ca1a574fa49f5810a3c7bb361f0fa">
      <tp>
        <v>2</v>
        <stp/>
        <stp>534cb0da-27ef-4545-9efb-479df53e2056</stp>
        <tr r="F205" s="8"/>
      </tp>
    </main>
    <main first="rtdsrv_eco_721ca1a574fa49f5810a3c7bb361f0fa">
      <tp>
        <v>2</v>
        <stp/>
        <stp>bb2afeac-8ee4-40dc-b0b4-233838384e4a</stp>
        <tr r="F65" s="8"/>
      </tp>
    </main>
    <main first="rtdsrv_eco_721ca1a574fa49f5810a3c7bb361f0fa">
      <tp>
        <v>2</v>
        <stp/>
        <stp>e6d0211e-5441-456a-8cf5-d4f5ab28b327</stp>
        <tr r="E32" s="8"/>
      </tp>
      <tp>
        <v>2</v>
        <stp/>
        <stp>323bb099-f742-4961-b24d-0f9a76ac5a28</stp>
        <tr r="E41" s="8"/>
      </tp>
    </main>
    <main first="rtdsrv_eco_721ca1a574fa49f5810a3c7bb361f0fa">
      <tp>
        <v>2</v>
        <stp/>
        <stp>51a98bae-572b-41db-abe1-fbdd6e5966d7</stp>
        <tr r="F156" s="8"/>
      </tp>
      <tp>
        <v>2</v>
        <stp/>
        <stp>15d08dfc-0c25-4419-b176-98addd124c41</stp>
        <tr r="F185" s="8"/>
      </tp>
      <tp>
        <v>2</v>
        <stp/>
        <stp>36aa5bfc-87a2-4dd2-a180-865e3d44ed10</stp>
        <tr r="F213" s="8"/>
      </tp>
      <tp>
        <v>2</v>
        <stp/>
        <stp>da315295-5ac0-44bc-a67f-fc9016a567e9</stp>
        <tr r="E29" s="8"/>
      </tp>
    </main>
    <main first="rtdsrv_eco_721ca1a574fa49f5810a3c7bb361f0fa">
      <tp>
        <v>2</v>
        <stp/>
        <stp>81389bd7-ef41-410d-a8af-404bdf4e35fa</stp>
        <tr r="D149" s="8"/>
      </tp>
    </main>
    <main first="rtdsrv_eco_721ca1a574fa49f5810a3c7bb361f0fa">
      <tp>
        <v>2</v>
        <stp/>
        <stp>b774b1c3-25cf-483e-89e6-3d99362ce73f</stp>
        <tr r="F119" s="8"/>
      </tp>
    </main>
    <main first="rtdsrv_eco_721ca1a574fa49f5810a3c7bb361f0fa">
      <tp>
        <v>2</v>
        <stp/>
        <stp>6e9758e1-352a-4ead-be81-5e0056f2c0cf</stp>
        <tr r="D76" s="8"/>
      </tp>
      <tp>
        <v>2</v>
        <stp/>
        <stp>5ce05d1a-3711-43c0-9aeb-5069f1dfa192</stp>
        <tr r="D255" s="8"/>
      </tp>
    </main>
    <main first="rtdsrv_eco_721ca1a574fa49f5810a3c7bb361f0fa">
      <tp>
        <v>2</v>
        <stp/>
        <stp>de4f14b2-5d19-4bdf-b78b-2b8ae09e9988</stp>
        <tr r="E69" s="8"/>
      </tp>
      <tp>
        <v>2</v>
        <stp/>
        <stp>53d775b1-3878-40b2-b868-ded94307864f</stp>
        <tr r="F78" s="8"/>
      </tp>
      <tp>
        <v>2</v>
        <stp/>
        <stp>409487d3-22a8-4e2d-97f8-d75efe4f9410</stp>
        <tr r="F255" s="8"/>
      </tp>
      <tp>
        <v>2</v>
        <stp/>
        <stp>f35a3a4b-3abe-482d-ab5d-c04893597bb3</stp>
        <tr r="E262" s="8"/>
      </tp>
    </main>
    <main first="rtdsrv_eco_721ca1a574fa49f5810a3c7bb361f0fa">
      <tp>
        <v>2</v>
        <stp/>
        <stp>86cc11fe-f4ed-44fb-8b75-8769bd3e16c7</stp>
        <tr r="E254" s="8"/>
      </tp>
    </main>
    <main first="rtdsrv_eco_721ca1a574fa49f5810a3c7bb361f0fa">
      <tp>
        <v>2</v>
        <stp/>
        <stp>08047872-567b-49e1-b944-41a48e37c542</stp>
        <tr r="F136" s="8"/>
      </tp>
    </main>
    <main first="rtdsrv_eco_721ca1a574fa49f5810a3c7bb361f0fa">
      <tp>
        <v>2</v>
        <stp/>
        <stp>c5408ddd-d5c1-4f44-aac4-fd283f60f141</stp>
        <tr r="E148" s="8"/>
      </tp>
    </main>
    <main first="rtdsrv_eco_721ca1a574fa49f5810a3c7bb361f0fa">
      <tp>
        <v>2</v>
        <stp/>
        <stp>8cc207d3-c3e7-4314-8959-104e4a62060c</stp>
        <tr r="D247" s="8"/>
      </tp>
      <tp>
        <v>2</v>
        <stp/>
        <stp>72b55e17-35d6-4c75-8ca2-bb96eedf4f58</stp>
        <tr r="E81" s="8"/>
      </tp>
    </main>
    <main first="rtdsrv_eco_721ca1a574fa49f5810a3c7bb361f0fa">
      <tp>
        <v>2</v>
        <stp/>
        <stp>c06c7d1c-aac3-4b35-a929-1bd4471ef601</stp>
        <tr r="D267" s="8"/>
      </tp>
      <tp>
        <v>2</v>
        <stp/>
        <stp>3cdf4a16-727e-4207-a333-8669fca5f59a</stp>
        <tr r="D163" s="8"/>
      </tp>
      <tp>
        <v>2</v>
        <stp/>
        <stp>a970093c-7d4a-4260-9876-46c81b8ab56e</stp>
        <tr r="D161" s="8"/>
      </tp>
    </main>
    <main first="rtdsrv_eco_721ca1a574fa49f5810a3c7bb361f0fa">
      <tp>
        <v>2</v>
        <stp/>
        <stp>6b63e3a5-c64a-4e58-b3c3-cde2b88e3d9a</stp>
        <tr r="D120" s="8"/>
      </tp>
    </main>
    <main first="rtdsrv_eco_721ca1a574fa49f5810a3c7bb361f0fa">
      <tp>
        <v>2</v>
        <stp/>
        <stp>450eb0f2-204b-46e1-9057-0db520b486da</stp>
        <tr r="D66" s="8"/>
      </tp>
      <tp>
        <v>2</v>
        <stp/>
        <stp>5afbf703-b193-4cad-abdb-3471af207756</stp>
        <tr r="F267" s="8"/>
      </tp>
    </main>
    <main first="rtdsrv_eco_721ca1a574fa49f5810a3c7bb361f0fa">
      <tp>
        <v>2</v>
        <stp/>
        <stp>70a966a7-b083-4b95-b85e-338ce0dc068e</stp>
        <tr r="F159" s="8"/>
      </tp>
    </main>
    <main first="rtdsrv_eco_721ca1a574fa49f5810a3c7bb361f0fa">
      <tp>
        <v>2</v>
        <stp/>
        <stp>80309270-5c75-4f22-b3f4-d7d0358b23ca</stp>
        <tr r="D128" s="8"/>
      </tp>
      <tp>
        <v>2</v>
        <stp/>
        <stp>9e328d55-09dd-44e3-801d-c8072aedf8cf</stp>
        <tr r="E53" s="8"/>
      </tp>
    </main>
    <main first="rtdsrv_eco_721ca1a574fa49f5810a3c7bb361f0fa">
      <tp>
        <v>2</v>
        <stp/>
        <stp>999a1da1-8787-425a-a5c1-62afeaa59f68</stp>
        <tr r="D204" s="8"/>
      </tp>
      <tp>
        <v>2</v>
        <stp/>
        <stp>6b5cbd62-d5e6-4ec6-bf49-9b4f9b4372f5</stp>
        <tr r="E36" s="8"/>
      </tp>
    </main>
    <main first="rtdsrv_eco_721ca1a574fa49f5810a3c7bb361f0fa">
      <tp>
        <v>2</v>
        <stp/>
        <stp>c95fef64-7261-40d4-89fc-f82e6a5e013e</stp>
        <tr r="F242" s="8"/>
      </tp>
    </main>
    <main first="rtdsrv_eco_721ca1a574fa49f5810a3c7bb361f0fa">
      <tp>
        <v>2</v>
        <stp/>
        <stp>45ea2ad8-6b23-4e96-8457-30dd4b236ae3</stp>
        <tr r="D101" s="8"/>
      </tp>
      <tp>
        <v>2</v>
        <stp/>
        <stp>2b1936ea-cce8-43b1-bba1-d372bcd40e21</stp>
        <tr r="E88" s="8"/>
      </tp>
    </main>
    <main first="rtdsrv_eco_721ca1a574fa49f5810a3c7bb361f0fa">
      <tp>
        <v>2</v>
        <stp/>
        <stp>d9da7841-6dae-404d-ae89-c841d6d75789</stp>
        <tr r="C3" s="8"/>
      </tp>
    </main>
    <main first="rtdsrv_eco_721ca1a574fa49f5810a3c7bb361f0fa">
      <tp>
        <v>2</v>
        <stp/>
        <stp>42c24990-8b36-4943-a821-7b90a6d76479</stp>
        <tr r="D108" s="8"/>
      </tp>
    </main>
    <main first="rtdsrv_eco_721ca1a574fa49f5810a3c7bb361f0fa">
      <tp>
        <v>2</v>
        <stp/>
        <stp>9ef109bb-b6ef-4fe1-9197-21ef47b03bb7</stp>
        <tr r="F66" s="8"/>
      </tp>
    </main>
    <main first="rtdsrv_eco_721ca1a574fa49f5810a3c7bb361f0fa">
      <tp>
        <v>2</v>
        <stp/>
        <stp>da56207d-8bfd-4742-86a1-ce1129ca14bd</stp>
        <tr r="E155" s="8"/>
      </tp>
      <tp>
        <v>2</v>
        <stp/>
        <stp>9632c9a6-ff50-4ab6-83d1-c4f458083e21</stp>
        <tr r="E243" s="8"/>
      </tp>
    </main>
    <main first="rtdsrv_eco_721ca1a574fa49f5810a3c7bb361f0fa">
      <tp>
        <v>2</v>
        <stp/>
        <stp>b1b4d0e2-d7b9-4049-8973-8392d93cc36f</stp>
        <tr r="D252" s="8"/>
      </tp>
    </main>
    <main first="rtdsrv_eco_721ca1a574fa49f5810a3c7bb361f0fa">
      <tp>
        <v>2</v>
        <stp/>
        <stp>7af13e8e-f585-4ee2-a410-b12784ca0618</stp>
        <tr r="F246" s="8"/>
      </tp>
    </main>
    <main first="rtdsrv_eco_721ca1a574fa49f5810a3c7bb361f0fa">
      <tp>
        <v>2</v>
        <stp/>
        <stp>fadbfd8c-dd3a-4028-93d0-4b4fa5072878</stp>
        <tr r="E90" s="8"/>
      </tp>
      <tp>
        <v>2</v>
        <stp/>
        <stp>3214aa9f-fdd4-424e-951f-66dd23dc361f</stp>
        <tr r="E45" s="8"/>
      </tp>
    </main>
    <main first="rtdsrv_eco_721ca1a574fa49f5810a3c7bb361f0fa">
      <tp>
        <v>2</v>
        <stp/>
        <stp>2047a94c-9e1f-40e6-bde0-271b75dca389</stp>
        <tr r="D259" s="8"/>
      </tp>
      <tp>
        <v>2</v>
        <stp/>
        <stp>631cb853-3760-48c8-bc22-c06c3b8c927e</stp>
        <tr r="D229" s="8"/>
      </tp>
    </main>
    <main first="rtdsrv_eco_721ca1a574fa49f5810a3c7bb361f0fa">
      <tp>
        <v>2</v>
        <stp/>
        <stp>83b95f27-e715-4866-9a67-87b3ec85e638</stp>
        <tr r="D96" s="8"/>
      </tp>
      <tp>
        <v>2</v>
        <stp/>
        <stp>cce46769-46f1-48ed-a8a1-8ce28e8a0104</stp>
        <tr r="E177" s="8"/>
      </tp>
      <tp>
        <v>2</v>
        <stp/>
        <stp>e27795ba-0a18-42ee-af11-8a879d97342b</stp>
        <tr r="F79" s="8"/>
      </tp>
    </main>
    <main first="rtdsrv_eco_721ca1a574fa49f5810a3c7bb361f0fa">
      <tp>
        <v>2</v>
        <stp/>
        <stp>9e5ffbf3-131b-4952-b93b-c0e307684be7</stp>
        <tr r="E126" s="8"/>
      </tp>
      <tp>
        <v>2</v>
        <stp/>
        <stp>2b5d2413-db1a-4ef4-adbf-1830f804d67e</stp>
        <tr r="D178" s="8"/>
      </tp>
      <tp>
        <v>2</v>
        <stp/>
        <stp>e143844e-7658-4930-a0cd-46a14267f710</stp>
        <tr r="D180" s="8"/>
      </tp>
    </main>
    <main first="rtdsrv_eco_721ca1a574fa49f5810a3c7bb361f0fa">
      <tp>
        <v>2</v>
        <stp/>
        <stp>26e2e4bc-6641-4efe-933d-67099ca63d14</stp>
        <tr r="D29" s="8"/>
      </tp>
    </main>
    <main first="rtdsrv_eco_721ca1a574fa49f5810a3c7bb361f0fa">
      <tp>
        <v>2</v>
        <stp/>
        <stp>22c4b445-f1c7-4950-8ec6-9d05c31dd6da</stp>
        <tr r="E249" s="8"/>
      </tp>
    </main>
    <main first="rtdsrv_eco_721ca1a574fa49f5810a3c7bb361f0fa">
      <tp>
        <v>2</v>
        <stp/>
        <stp>75dd9e43-2e60-450a-80d4-a55e3e408e22</stp>
        <tr r="D30" s="8"/>
      </tp>
    </main>
    <main first="rtdsrv_eco_721ca1a574fa49f5810a3c7bb361f0fa">
      <tp>
        <v>2</v>
        <stp/>
        <stp>330ead0c-5713-4dcc-9ce3-4cb1bdbe2165</stp>
        <tr r="D170" s="8"/>
      </tp>
    </main>
    <main first="rtdsrv_eco_721ca1a574fa49f5810a3c7bb361f0fa">
      <tp>
        <v>2</v>
        <stp/>
        <stp>e8cb844e-b274-4c93-bbd1-98e186725e64</stp>
        <tr r="F215" s="8"/>
      </tp>
      <tp>
        <v>2</v>
        <stp/>
        <stp>c3d5a1f2-76c6-4343-a53f-11132bd55469</stp>
        <tr r="E179" s="8"/>
      </tp>
      <tp>
        <v>2</v>
        <stp/>
        <stp>acf1022b-1a95-4054-9a4c-e6aace0f5a60</stp>
        <tr r="F55" s="8"/>
      </tp>
    </main>
    <main first="rtdsrv_eco_721ca1a574fa49f5810a3c7bb361f0fa">
      <tp>
        <v>2</v>
        <stp/>
        <stp>5a819266-25af-48ee-8a65-fc5b31aa2348</stp>
        <tr r="E253" s="8"/>
      </tp>
    </main>
    <main first="rtdsrv_eco_721ca1a574fa49f5810a3c7bb361f0fa">
      <tp>
        <v>2</v>
        <stp/>
        <stp>d5e928ab-0b62-45b0-ace2-7a8e18c2abbb</stp>
        <tr r="E165" s="8"/>
      </tp>
      <tp>
        <v>2</v>
        <stp/>
        <stp>d10bd4d3-dc31-497a-9af9-310be17835d6</stp>
        <tr r="E99" s="8"/>
      </tp>
      <tp>
        <v>2</v>
        <stp/>
        <stp>aebe5a4d-7b69-4e1a-98fd-303813656d80</stp>
        <tr r="E72" s="8"/>
      </tp>
      <tp>
        <v>2</v>
        <stp/>
        <stp>4b3689ac-2a39-490b-bee8-7837637816d4</stp>
        <tr r="E107" s="8"/>
      </tp>
    </main>
    <main first="rtdsrv_eco_721ca1a574fa49f5810a3c7bb361f0fa">
      <tp>
        <v>2</v>
        <stp/>
        <stp>16d192a0-0208-4197-9e20-3415f7250abd</stp>
        <tr r="E67" s="8"/>
      </tp>
    </main>
    <main first="rtdsrv_eco_721ca1a574fa49f5810a3c7bb361f0fa">
      <tp>
        <v>2</v>
        <stp/>
        <stp>4795056a-1faa-432f-b8a9-37ffa27a7bfd</stp>
        <tr r="E94" s="8"/>
      </tp>
      <tp>
        <v>2</v>
        <stp/>
        <stp>375f2742-ec43-4534-96e4-04d462a5aa45</stp>
        <tr r="E125" s="8"/>
      </tp>
    </main>
    <main first="rtdsrv_eco_721ca1a574fa49f5810a3c7bb361f0fa">
      <tp>
        <v>2</v>
        <stp/>
        <stp>462f6944-ffd4-4770-a494-3b603ea944f8</stp>
        <tr r="F143" s="8"/>
      </tp>
    </main>
    <main first="rtdsrv_eco_721ca1a574fa49f5810a3c7bb361f0fa">
      <tp>
        <v>2</v>
        <stp/>
        <stp>5c0b4ff3-f0c7-4663-93fb-575011f33c4c</stp>
        <tr r="F252" s="8"/>
      </tp>
      <tp>
        <v>2</v>
        <stp/>
        <stp>53a7bccc-7a65-4440-a61a-017eca38fef7</stp>
        <tr r="E176" s="8"/>
      </tp>
    </main>
    <main first="rtdsrv_eco_721ca1a574fa49f5810a3c7bb361f0fa">
      <tp>
        <v>2</v>
        <stp/>
        <stp>2952222f-d3cf-4398-9758-362c855f027d</stp>
        <tr r="E223" s="8"/>
      </tp>
      <tp>
        <v>2</v>
        <stp/>
        <stp>6675c334-39c5-424d-9803-6bb9453b0fb6</stp>
        <tr r="D79" s="8"/>
      </tp>
      <tp>
        <v>2</v>
        <stp/>
        <stp>5de6ecb4-4ba2-4387-9ef8-1d04362a1cb2</stp>
        <tr r="D84" s="8"/>
      </tp>
      <tp>
        <v>2</v>
        <stp/>
        <stp>104021eb-4600-4717-9d33-768d55507acd</stp>
        <tr r="E114" s="8"/>
      </tp>
    </main>
    <main first="rtdsrv_eco_721ca1a574fa49f5810a3c7bb361f0fa">
      <tp>
        <v>2</v>
        <stp/>
        <stp>92a5ecf2-ad5f-4b90-83e5-43ba409fc54c</stp>
        <tr r="F259" s="8"/>
      </tp>
      <tp>
        <v>2</v>
        <stp/>
        <stp>298f7d65-5ec1-4319-b06a-d1de5041b5cc</stp>
        <tr r="E222" s="8"/>
      </tp>
    </main>
    <main first="rtdsrv_eco_721ca1a574fa49f5810a3c7bb361f0fa">
      <tp>
        <v>2</v>
        <stp/>
        <stp>cadfcb20-bd04-4db9-afb1-f6f419221fcc</stp>
        <tr r="F175" s="8"/>
      </tp>
    </main>
    <main first="rtdsrv_eco_721ca1a574fa49f5810a3c7bb361f0fa">
      <tp>
        <v>2</v>
        <stp/>
        <stp>80efe465-93f4-4356-855c-795e8503aa3f</stp>
        <tr r="F113" s="8"/>
      </tp>
    </main>
    <main first="rtdsrv_eco_721ca1a574fa49f5810a3c7bb361f0fa">
      <tp>
        <v>2</v>
        <stp/>
        <stp>7ee064b6-d987-485e-8b88-ef7a8efd18d6</stp>
        <tr r="D156" s="8"/>
      </tp>
      <tp>
        <v>2</v>
        <stp/>
        <stp>45037e89-5713-4017-bc18-501a71ae01dd</stp>
        <tr r="D18" s="8"/>
      </tp>
      <tp>
        <v>2</v>
        <stp/>
        <stp>4c1c6fc7-0ad9-42e1-9340-327457b06fe5</stp>
        <tr r="E131" s="8"/>
      </tp>
    </main>
    <main first="rtdsrv_eco_721ca1a574fa49f5810a3c7bb361f0fa">
      <tp>
        <v>2</v>
        <stp/>
        <stp>adf01c3c-5bbb-4992-8c4c-9a2811dc172d</stp>
        <tr r="F229" s="8"/>
      </tp>
      <tp>
        <v>2</v>
        <stp/>
        <stp>61551f4d-07bf-4686-b04b-003390c54644</stp>
        <tr r="F116" s="8"/>
      </tp>
    </main>
    <main first="rtdsrv_eco_721ca1a574fa49f5810a3c7bb361f0fa">
      <tp>
        <v>2</v>
        <stp/>
        <stp>f748e7e6-b54b-4c5e-a9d6-f32d21df4257</stp>
        <tr r="F60" s="8"/>
      </tp>
    </main>
    <main first="rtdsrv_eco_721ca1a574fa49f5810a3c7bb361f0fa">
      <tp>
        <v>2</v>
        <stp/>
        <stp>b0829390-73c7-4040-a7da-9010cb4dff82</stp>
        <tr r="F263" s="8"/>
      </tp>
      <tp>
        <v>2</v>
        <stp/>
        <stp>2f212c9b-714e-4eec-b106-add295155d5c</stp>
        <tr r="D215" s="8"/>
      </tp>
    </main>
    <main first="rtdsrv_eco_721ca1a574fa49f5810a3c7bb361f0fa">
      <tp>
        <v>2</v>
        <stp/>
        <stp>64a7217b-41c2-43d1-b1a6-5b84f322bd6c</stp>
        <tr r="D111" s="8"/>
      </tp>
      <tp>
        <v>2</v>
        <stp/>
        <stp>aee6264f-6263-4a21-9059-d4cd6ef64d27</stp>
        <tr r="E246" s="8"/>
      </tp>
      <tp>
        <v>2</v>
        <stp/>
        <stp>5679d08f-4a27-4b67-971e-6ecca714a22d</stp>
        <tr r="E141" s="8"/>
      </tp>
      <tp>
        <v>2</v>
        <stp/>
        <stp>24f75c5f-609a-4fcb-a928-0ee1f1e8d109</stp>
        <tr r="F240" s="8"/>
      </tp>
    </main>
    <main first="rtdsrv_eco_721ca1a574fa49f5810a3c7bb361f0fa">
      <tp>
        <v>2</v>
        <stp/>
        <stp>b9969bff-874d-4d7e-9a35-50535026ca2a</stp>
        <tr r="E103" s="8"/>
      </tp>
    </main>
    <main first="rtdsrv_eco_721ca1a574fa49f5810a3c7bb361f0fa">
      <tp>
        <v>2</v>
        <stp/>
        <stp>6f6a0234-6433-4abc-aa14-1d8c279ae7bd</stp>
        <tr r="F39" s="8"/>
      </tp>
    </main>
    <main first="rtdsrv_eco_721ca1a574fa49f5810a3c7bb361f0fa">
      <tp>
        <v>2</v>
        <stp/>
        <stp>50326b2d-b85e-47ae-875b-a51a1389e25f</stp>
        <tr r="D75" s="8"/>
      </tp>
      <tp>
        <v>2</v>
        <stp/>
        <stp>c1279a53-a045-471d-81e3-7eae3011a134</stp>
        <tr r="D150" s="8"/>
      </tp>
      <tp>
        <v>2</v>
        <stp/>
        <stp>62c5c6d4-b305-4747-97bd-ad3c5541a603</stp>
        <tr r="E241" s="8"/>
      </tp>
      <tp>
        <v>2</v>
        <stp/>
        <stp>c095acaa-34ba-4cdb-8caa-e721b3cde386</stp>
        <tr r="E65" s="8"/>
      </tp>
    </main>
    <main first="rtdsrv_eco_721ca1a574fa49f5810a3c7bb361f0fa">
      <tp>
        <v>2</v>
        <stp/>
        <stp>d859564a-9ba0-43ea-a010-6f353c4c160f</stp>
        <tr r="F256" s="8"/>
      </tp>
      <tp>
        <v>2</v>
        <stp/>
        <stp>f0b1cfb2-5ec9-46f3-b6c7-8f316535b475</stp>
        <tr r="F64" s="8"/>
      </tp>
    </main>
    <main first="rtdsrv_eco_721ca1a574fa49f5810a3c7bb361f0fa">
      <tp>
        <v>2</v>
        <stp/>
        <stp>0ab9b2b8-73ad-439a-b015-a19e12c5dc98</stp>
        <tr r="D115" s="8"/>
      </tp>
      <tp>
        <v>2</v>
        <stp/>
        <stp>5e7a7470-ad88-4195-b566-abb3023837a3</stp>
        <tr r="D51" s="8"/>
      </tp>
      <tp>
        <v>2</v>
        <stp/>
        <stp>4096e58c-d645-422a-9c42-95ff7b226734</stp>
        <tr r="D113" s="8"/>
      </tp>
    </main>
    <main first="rtdsrv_eco_721ca1a574fa49f5810a3c7bb361f0fa">
      <tp>
        <v>2</v>
        <stp/>
        <stp>d5db7479-2733-4c5c-871a-f430740055f9</stp>
        <tr r="D250" s="8"/>
      </tp>
      <tp>
        <v>2</v>
        <stp/>
        <stp>4af9f286-c8fc-433a-8528-ab4c20960e3b</stp>
        <tr r="D262" s="8"/>
      </tp>
    </main>
    <main first="rtdsrv_eco_721ca1a574fa49f5810a3c7bb361f0fa">
      <tp>
        <v>2</v>
        <stp/>
        <stp>8a60bf13-e055-4498-a938-7722290df312</stp>
        <tr r="F181" s="8"/>
      </tp>
    </main>
    <main first="rtdsrv_eco_721ca1a574fa49f5810a3c7bb361f0fa">
      <tp>
        <v>2</v>
        <stp/>
        <stp>d4418652-8e7e-4a41-8438-89042751dbc7</stp>
        <tr r="D133" s="8"/>
      </tp>
      <tp>
        <v>2</v>
        <stp/>
        <stp>94e63680-fd98-47ac-997d-86cd8bd480b7</stp>
        <tr r="D165" s="8"/>
      </tp>
      <tp>
        <v>2</v>
        <stp/>
        <stp>50a39c47-c60c-437e-a108-2fdbe6bc5ae7</stp>
        <tr r="E154" s="8"/>
      </tp>
      <tp>
        <v>2</v>
        <stp/>
        <stp>8b3f2d3e-6538-4ab0-86ad-1207e79f40a4</stp>
        <tr r="F108" s="8"/>
      </tp>
    </main>
    <main first="rtdsrv_eco_721ca1a574fa49f5810a3c7bb361f0fa">
      <tp>
        <v>2</v>
        <stp/>
        <stp>2c0f54eb-ce18-4751-bcc5-5c2884405e43</stp>
        <tr r="F87" s="8"/>
      </tp>
    </main>
    <main first="rtdsrv_eco_721ca1a574fa49f5810a3c7bb361f0fa">
      <tp>
        <v>2</v>
        <stp/>
        <stp>debc9d88-3879-49c6-85f2-1f30a64c4fc3</stp>
        <tr r="D77" s="8"/>
      </tp>
      <tp>
        <v>2</v>
        <stp/>
        <stp>2ada4f50-bbb5-4342-a7f0-4fe6b6c72514</stp>
        <tr r="F248" s="8"/>
      </tp>
      <tp>
        <v>2</v>
        <stp/>
        <stp>cda005c0-1758-411b-8913-40a703676def</stp>
        <tr r="D45" s="8"/>
      </tp>
    </main>
    <main first="rtdsrv_eco_721ca1a574fa49f5810a3c7bb361f0fa">
      <tp>
        <v>2</v>
        <stp/>
        <stp>59f1a8d7-1eb9-4d0f-819d-8803443b8759</stp>
        <tr r="D39" s="8"/>
      </tp>
    </main>
    <main first="rtdsrv_eco_721ca1a574fa49f5810a3c7bb361f0fa">
      <tp>
        <v>2</v>
        <stp/>
        <stp>44678b5c-9fd5-44e7-bda6-1fbb8313383c</stp>
        <tr r="D33" s="8"/>
      </tp>
      <tp>
        <v>2</v>
        <stp/>
        <stp>dc3cafb3-2d3a-4dd4-b694-71d5dffde90f</stp>
        <tr r="F67" s="8"/>
      </tp>
    </main>
    <main first="rtdsrv_eco_721ca1a574fa49f5810a3c7bb361f0fa">
      <tp>
        <v>2</v>
        <stp/>
        <stp>218fead8-3d76-4187-9852-c3314269c5a9</stp>
        <tr r="F76" s="8"/>
      </tp>
    </main>
    <main first="rtdsrv_eco_721ca1a574fa49f5810a3c7bb361f0fa">
      <tp>
        <v>2</v>
        <stp/>
        <stp>54129782-6963-429c-b24b-20eef397a4ab</stp>
        <tr r="E106" s="8"/>
      </tp>
    </main>
    <main first="rtdsrv_eco_721ca1a574fa49f5810a3c7bb361f0fa">
      <tp>
        <v>2</v>
        <stp/>
        <stp>009a4c2b-17b1-49db-9aa4-bf400c0221e8</stp>
        <tr r="E174" s="8"/>
      </tp>
      <tp>
        <v>2</v>
        <stp/>
        <stp>adbc2959-c350-4e43-9897-919b7246cb8a</stp>
        <tr r="E150" s="8"/>
      </tp>
    </main>
    <main first="rtdsrv_eco_721ca1a574fa49f5810a3c7bb361f0fa">
      <tp>
        <v>2</v>
        <stp/>
        <stp>bc5abcf0-ba7d-47b3-b127-03e3903ff54c</stp>
        <tr r="F42" s="8"/>
      </tp>
    </main>
    <main first="rtdsrv_eco_721ca1a574fa49f5810a3c7bb361f0fa">
      <tp>
        <v>2</v>
        <stp/>
        <stp>68701e5e-5e1b-47a9-b947-af54ca03b707</stp>
        <tr r="E213" s="8"/>
      </tp>
    </main>
    <main first="rtdsrv_eco_721ca1a574fa49f5810a3c7bb361f0fa">
      <tp>
        <v>2</v>
        <stp/>
        <stp>e23d40f3-6eca-45e7-974b-1dc3411e97b8</stp>
        <tr r="F51" s="8"/>
      </tp>
    </main>
    <main first="rtdsrv_eco_721ca1a574fa49f5810a3c7bb361f0fa">
      <tp>
        <v>2</v>
        <stp/>
        <stp>2c0a148b-c85e-4c50-89f8-51892e579cda</stp>
        <tr r="D31" s="8"/>
      </tp>
    </main>
    <main first="rtdsrv_eco_721ca1a574fa49f5810a3c7bb361f0fa">
      <tp>
        <v>2</v>
        <stp/>
        <stp>2b8557c2-a8f8-435e-a518-edece4c74ea2</stp>
        <tr r="F266" s="8"/>
      </tp>
      <tp>
        <v>2</v>
        <stp/>
        <stp>b97c66cf-608f-40cd-b9a2-b968158dfeda</stp>
        <tr r="E102" s="8"/>
      </tp>
      <tp>
        <v>2</v>
        <stp/>
        <stp>811ae98a-3c43-4fc0-84ac-d9109271f430</stp>
        <tr r="E252" s="8"/>
      </tp>
    </main>
    <main first="rtdsrv_eco_721ca1a574fa49f5810a3c7bb361f0fa">
      <tp>
        <v>2</v>
        <stp/>
        <stp>b51758f2-56da-40ea-b618-eaa3984eed43</stp>
        <tr r="F86" s="8"/>
      </tp>
    </main>
    <main first="rtdsrv_eco_721ca1a574fa49f5810a3c7bb361f0fa">
      <tp>
        <v>2</v>
        <stp/>
        <stp>5ed90192-c0e1-4b88-a08b-13112da475f8</stp>
        <tr r="E20" s="8"/>
      </tp>
    </main>
    <main first="rtdsrv_eco_721ca1a574fa49f5810a3c7bb361f0fa">
      <tp>
        <v>2</v>
        <stp/>
        <stp>4eb78b50-34fa-489c-997c-4cd647655ad1</stp>
        <tr r="F257" s="8"/>
      </tp>
    </main>
    <main first="rtdsrv_eco_721ca1a574fa49f5810a3c7bb361f0fa">
      <tp>
        <v>2</v>
        <stp/>
        <stp>5851367b-a0ec-4818-ae06-8729b06cc57f</stp>
        <tr r="D223" s="8"/>
      </tp>
    </main>
    <main first="rtdsrv_eco_721ca1a574fa49f5810a3c7bb361f0fa">
      <tp>
        <v>2</v>
        <stp/>
        <stp>d5e4fca3-7368-434c-9e91-f8788e74532d</stp>
        <tr r="E217" s="8"/>
      </tp>
    </main>
    <main first="rtdsrv_eco_721ca1a574fa49f5810a3c7bb361f0fa">
      <tp>
        <v>2</v>
        <stp/>
        <stp>349ddd07-5710-4dca-b1cb-f7863306b6f5</stp>
        <tr r="D139" s="8"/>
      </tp>
    </main>
    <main first="rtdsrv_eco_721ca1a574fa49f5810a3c7bb361f0fa">
      <tp>
        <v>2</v>
        <stp/>
        <stp>7c62f36e-ddd6-4ce1-b400-4d533a281ecb</stp>
        <tr r="F204" s="8"/>
      </tp>
      <tp>
        <v>2</v>
        <stp/>
        <stp>8a504374-fb49-4502-a52b-914fb36cbc14</stp>
        <tr r="E171" s="8"/>
      </tp>
      <tp>
        <v>2</v>
        <stp/>
        <stp>16f913cb-de85-49d1-a0d7-ba9466023514</stp>
        <tr r="F92" s="8"/>
      </tp>
    </main>
    <main first="rtdsrv_eco_721ca1a574fa49f5810a3c7bb361f0fa">
      <tp>
        <v>2</v>
        <stp/>
        <stp>22f196df-7dbc-4320-817e-ec47d09dd1a4</stp>
        <tr r="D17" s="8"/>
      </tp>
      <tp>
        <v>2</v>
        <stp/>
        <stp>29a70210-8dc3-49be-a1f4-34e86f940408</stp>
        <tr r="D52" s="8"/>
      </tp>
    </main>
    <main first="rtdsrv_eco_721ca1a574fa49f5810a3c7bb361f0fa">
      <tp>
        <v>2</v>
        <stp/>
        <stp>83266c81-c267-415d-a76f-e0519e13bb09</stp>
        <tr r="D54" s="8"/>
      </tp>
    </main>
    <main first="rtdsrv_eco_721ca1a574fa49f5810a3c7bb361f0fa">
      <tp>
        <v>2</v>
        <stp/>
        <stp>60f37039-cd08-4b59-91d2-cb96d83352b7</stp>
        <tr r="D95" s="8"/>
      </tp>
    </main>
    <main first="rtdsrv_eco_721ca1a574fa49f5810a3c7bb361f0fa">
      <tp>
        <v>2</v>
        <stp/>
        <stp>95a34d49-e3dc-4d84-8278-a7508753ea7f</stp>
        <tr r="E37" s="8"/>
      </tp>
      <tp>
        <v>2</v>
        <stp/>
        <stp>fc7fdb7a-2712-47c5-b4b6-a7c0271e7253</stp>
        <tr r="F121" s="8"/>
      </tp>
    </main>
    <main first="rtdsrv_eco_721ca1a574fa49f5810a3c7bb361f0fa">
      <tp>
        <v>2</v>
        <stp/>
        <stp>67e8696b-bdc8-48e6-bcae-db43e9d856d6</stp>
        <tr r="E54" s="8"/>
      </tp>
    </main>
    <main first="rtdsrv_eco_721ca1a574fa49f5810a3c7bb361f0fa">
      <tp>
        <v>2</v>
        <stp/>
        <stp>48246cc0-c8a6-46b6-be99-53557cc671bc</stp>
        <tr r="D224" s="8"/>
      </tp>
    </main>
    <main first="rtdsrv_eco_721ca1a574fa49f5810a3c7bb361f0fa">
      <tp>
        <v>2</v>
        <stp/>
        <stp>ddc1a649-b1a8-4006-8aa4-44a9d67fe3a6</stp>
        <tr r="D155" s="8"/>
      </tp>
      <tp>
        <v>2</v>
        <stp/>
        <stp>76e2d5fe-e2a3-43a3-a741-b26c2cafef24</stp>
        <tr r="F21" s="8"/>
      </tp>
      <tp>
        <v>2</v>
        <stp/>
        <stp>6bf58ccc-a2b7-43b3-bb1e-c7f4d0e63342</stp>
        <tr r="D239" s="8"/>
      </tp>
      <tp>
        <v>2</v>
        <stp/>
        <stp>4ff033fd-ba4f-4b0e-87ee-6701ac3525bd</stp>
        <tr r="F57" s="8"/>
      </tp>
      <tp>
        <v>2</v>
        <stp/>
        <stp>92d1eaae-bd3f-4200-a261-922fbd1a9705</stp>
        <tr r="F142" s="8"/>
      </tp>
      <tp>
        <v>2</v>
        <stp/>
        <stp>ffe1841e-ebad-4ad7-8176-e4d5404aee3b</stp>
        <tr r="F84" s="8"/>
      </tp>
    </main>
    <main first="rtdsrv_eco_721ca1a574fa49f5810a3c7bb361f0fa">
      <tp>
        <v>2</v>
        <stp/>
        <stp>a0790341-cba7-47ab-8401-738d4f40c1b2</stp>
        <tr r="F112" s="8"/>
      </tp>
      <tp>
        <v>2</v>
        <stp/>
        <stp>976f7d30-396a-4822-b0ad-2ec72a19fa62</stp>
        <tr r="F194" s="8"/>
      </tp>
    </main>
    <main first="rtdsrv_eco_721ca1a574fa49f5810a3c7bb361f0fa">
      <tp>
        <v>2</v>
        <stp/>
        <stp>4e6f31d7-d983-4e28-b09c-f7cdcca49331</stp>
        <tr r="E153" s="8"/>
      </tp>
    </main>
    <main first="rtdsrv_eco_721ca1a574fa49f5810a3c7bb361f0fa">
      <tp>
        <v>2</v>
        <stp/>
        <stp>0cc59ce5-f4a2-4b73-87ba-f19936262fae</stp>
        <tr r="D124" s="8"/>
      </tp>
    </main>
    <main first="rtdsrv_eco_721ca1a574fa49f5810a3c7bb361f0fa">
      <tp>
        <v>2</v>
        <stp/>
        <stp>0617304c-47ed-4027-b30c-0c273dba1d6f</stp>
        <tr r="D190" s="8"/>
      </tp>
    </main>
    <main first="rtdsrv_eco_721ca1a574fa49f5810a3c7bb361f0fa">
      <tp>
        <v>2</v>
        <stp/>
        <stp>d906cd47-ebf9-4a48-a9af-414a908b3685</stp>
        <tr r="D217" s="8"/>
      </tp>
    </main>
    <main first="rtdsrv_eco_721ca1a574fa49f5810a3c7bb361f0fa">
      <tp>
        <v>2</v>
        <stp/>
        <stp>38215b7a-9ebf-4b0e-bd46-7ff4e1a783cb</stp>
        <tr r="E267" s="8"/>
      </tp>
      <tp>
        <v>2</v>
        <stp/>
        <stp>21a99de6-a044-42e3-805c-dce67189668e</stp>
        <tr r="F94" s="8"/>
      </tp>
      <tp>
        <v>2</v>
        <stp/>
        <stp>227323db-7407-4881-9cca-6fdf9bac162e</stp>
        <tr r="E25" s="8"/>
      </tp>
      <tp>
        <v>2</v>
        <stp/>
        <stp>1b8f877b-7b40-4706-a917-5a7aec85c1d0</stp>
        <tr r="F41" s="8"/>
      </tp>
    </main>
    <main first="rtdsrv_eco_721ca1a574fa49f5810a3c7bb361f0fa">
      <tp>
        <v>2</v>
        <stp/>
        <stp>63edac2a-f7d1-484c-b772-ac521582dc1b</stp>
        <tr r="D249" s="8"/>
      </tp>
      <tp>
        <v>2</v>
        <stp/>
        <stp>ec48ca89-1509-4233-b460-6b3643c1305c</stp>
        <tr r="F174" s="8"/>
      </tp>
      <tp>
        <v>2</v>
        <stp/>
        <stp>54a4b6b4-e908-4b49-8a14-27b906db39d5</stp>
        <tr r="F90" s="8"/>
      </tp>
    </main>
    <main first="rtdsrv_eco_721ca1a574fa49f5810a3c7bb361f0fa">
      <tp>
        <v>2</v>
        <stp/>
        <stp>3ac36aa8-f0a8-468f-a0ed-fc6654502e80</stp>
        <tr r="F180" s="8"/>
      </tp>
      <tp>
        <v>2</v>
        <stp/>
        <stp>27c3f130-af8f-460e-991c-eaec90b87592</stp>
        <tr r="F29" s="8"/>
      </tp>
    </main>
    <main first="rtdsrv_eco_721ca1a574fa49f5810a3c7bb361f0fa">
      <tp>
        <v>2</v>
        <stp/>
        <stp>e5fe07ab-06eb-410c-bb51-a5f70510a309</stp>
        <tr r="E84" s="8"/>
      </tp>
      <tp>
        <v>2</v>
        <stp/>
        <stp>43a5ac19-57b2-46b8-b23f-822f53c3e850</stp>
        <tr r="E191" s="8"/>
      </tp>
    </main>
    <main first="rtdsrv_eco_721ca1a574fa49f5810a3c7bb361f0fa">
      <tp>
        <v>2</v>
        <stp/>
        <stp>3585aad0-026c-4baf-a9f7-868e141e0128</stp>
        <tr r="D38" s="8"/>
      </tp>
    </main>
    <main first="rtdsrv_eco_721ca1a574fa49f5810a3c7bb361f0fa">
      <tp>
        <v>2</v>
        <stp/>
        <stp>8dbbcec2-9aa0-46da-95d4-ab1c31196962</stp>
        <tr r="D244" s="8"/>
      </tp>
    </main>
    <main first="rtdsrv_eco_721ca1a574fa49f5810a3c7bb361f0fa">
      <tp>
        <v>2</v>
        <stp/>
        <stp>9f14f9e3-93c7-476b-a77a-54a55c53c31a</stp>
        <tr r="E184" s="8"/>
      </tp>
    </main>
    <main first="rtdsrv_eco_721ca1a574fa49f5810a3c7bb361f0fa">
      <tp>
        <v>2</v>
        <stp/>
        <stp>2ce9036d-11e1-48f3-8b51-6c0ea03c4c16</stp>
        <tr r="E149" s="8"/>
      </tp>
    </main>
    <main first="rtdsrv_eco_721ca1a574fa49f5810a3c7bb361f0fa">
      <tp>
        <v>2</v>
        <stp/>
        <stp>721437ea-18e9-46b2-961e-2ddfafc7fb18</stp>
        <tr r="E62" s="8"/>
      </tp>
      <tp>
        <v>2</v>
        <stp/>
        <stp>2222b915-ac58-4088-b279-42c9be60ae01</stp>
        <tr r="E146" s="8"/>
      </tp>
    </main>
    <main first="rtdsrv_eco_721ca1a574fa49f5810a3c7bb361f0fa">
      <tp>
        <v>2</v>
        <stp/>
        <stp>4a59a071-1519-43bc-a6ca-136181aac592</stp>
        <tr r="F208" s="8"/>
      </tp>
      <tp>
        <v>2</v>
        <stp/>
        <stp>49f23ebb-e743-46b0-a0a4-a28d799d1404</stp>
        <tr r="D243" s="8"/>
      </tp>
    </main>
    <main first="rtdsrv_eco_721ca1a574fa49f5810a3c7bb361f0fa">
      <tp>
        <v>2</v>
        <stp/>
        <stp>37c5edfc-35ff-4954-99e6-1ac8b4c96329</stp>
        <tr r="F74" s="8"/>
      </tp>
    </main>
    <main first="rtdsrv_eco_721ca1a574fa49f5810a3c7bb361f0fa">
      <tp>
        <v>2</v>
        <stp/>
        <stp>0a94a4dc-c9f5-4dab-a89b-d300780d9139</stp>
        <tr r="D187" s="8"/>
      </tp>
      <tp>
        <v>2</v>
        <stp/>
        <stp>55f3f4ec-7265-4a88-acde-f07bb5e6d844</stp>
        <tr r="E205" s="8"/>
      </tp>
    </main>
    <main first="rtdsrv_eco_721ca1a574fa49f5810a3c7bb361f0fa">
      <tp>
        <v>2</v>
        <stp/>
        <stp>4778e8cb-0ee8-4adf-b365-186390f430f0</stp>
        <tr r="F139" s="8"/>
      </tp>
    </main>
    <main first="rtdsrv_eco_721ca1a574fa49f5810a3c7bb361f0fa">
      <tp>
        <v>2</v>
        <stp/>
        <stp>664d1dd2-4da0-4ac4-af18-2088b76c2300</stp>
        <tr r="E142" s="8"/>
      </tp>
    </main>
    <main first="rtdsrv_eco_721ca1a574fa49f5810a3c7bb361f0fa">
      <tp>
        <v>2</v>
        <stp/>
        <stp>2a1486fa-12d8-43a2-87c3-d624c02fcfed</stp>
        <tr r="E71" s="8"/>
      </tp>
      <tp>
        <v>2</v>
        <stp/>
        <stp>185ca486-17c9-4f93-82f2-65a5d2cf3894</stp>
        <tr r="F125" s="8"/>
      </tp>
    </main>
    <main first="rtdsrv_eco_721ca1a574fa49f5810a3c7bb361f0fa">
      <tp>
        <v>2</v>
        <stp/>
        <stp>67da4472-2238-4f93-9ec9-2f731ede6584</stp>
        <tr r="D189" s="8"/>
      </tp>
    </main>
    <main first="rtdsrv_eco_721ca1a574fa49f5810a3c7bb361f0fa">
      <tp>
        <v>2</v>
        <stp/>
        <stp>d598616b-e4fe-4f14-a510-b4e4839a54fd</stp>
        <tr r="D126" s="8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'Base CVM'!$C$9" lockText="1" noThreeD="1"/>
</file>

<file path=xl/ctrlProps/ctrlProp2.xml><?xml version="1.0" encoding="utf-8"?>
<formControlPr xmlns="http://schemas.microsoft.com/office/spreadsheetml/2009/9/main" objectType="Radio" checked="Checked" firstButton="1" fmlaLink="'Base CVM'!$D$9" lockText="1"/>
</file>

<file path=xl/ctrlProps/ctrlProp3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1973580</xdr:colOff>
          <xdr:row>8</xdr:row>
          <xdr:rowOff>53340</xdr:rowOff>
        </xdr:from>
        <xdr:to>
          <xdr:col>3</xdr:col>
          <xdr:colOff>952500</xdr:colOff>
          <xdr:row>9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D8DB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Sazonal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1706880</xdr:colOff>
          <xdr:row>8</xdr:row>
          <xdr:rowOff>53340</xdr:rowOff>
        </xdr:from>
        <xdr:to>
          <xdr:col>2</xdr:col>
          <xdr:colOff>504825</xdr:colOff>
          <xdr:row>9</xdr:row>
          <xdr:rowOff>114300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D8DB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Consolidado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601980</xdr:colOff>
          <xdr:row>8</xdr:row>
          <xdr:rowOff>60960</xdr:rowOff>
        </xdr:from>
        <xdr:to>
          <xdr:col>2</xdr:col>
          <xdr:colOff>1895475</xdr:colOff>
          <xdr:row>9</xdr:row>
          <xdr:rowOff>104775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D8DB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Individual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184309</xdr:colOff>
      <xdr:row>0</xdr:row>
      <xdr:rowOff>95249</xdr:rowOff>
    </xdr:from>
    <xdr:to>
      <xdr:col>1</xdr:col>
      <xdr:colOff>2326904</xdr:colOff>
      <xdr:row>0</xdr:row>
      <xdr:rowOff>706592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0494B04-1405-4BF4-BF23-E692B40B3E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184309" y="95249"/>
          <a:ext cx="2333095" cy="598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26CD-42F4-4ED8-A6D4-DB5BC030D66B}">
  <sheetPr codeName="Planilha7">
    <tabColor rgb="FF023A4A"/>
    <outlinePr summaryBelow="0" showOutlineSymbols="0"/>
  </sheetPr>
  <dimension ref="A1:L267"/>
  <sheetViews>
    <sheetView showGridLines="0" tabSelected="1" showOutlineSymbols="0" zoomScale="80" zoomScaleNormal="80" workbookViewId="0"/>
  </sheetViews>
  <sheetFormatPr defaultColWidth="9.21875" defaultRowHeight="13.8" outlineLevelRow="7" x14ac:dyDescent="0.3"/>
  <cols>
    <col min="1" max="1" width="2.77734375" style="2" customWidth="1"/>
    <col min="2" max="6" width="35.77734375" style="2" customWidth="1"/>
    <col min="7" max="16384" width="9.21875" style="2"/>
  </cols>
  <sheetData>
    <row r="1" spans="1:12" s="3" customFormat="1" ht="60" customHeight="1" x14ac:dyDescent="0.3">
      <c r="B1" s="2"/>
      <c r="C1" s="16" t="s">
        <v>245</v>
      </c>
      <c r="E1" s="15"/>
      <c r="F1" s="17"/>
      <c r="G1" s="17"/>
      <c r="H1" s="17"/>
      <c r="I1" s="17"/>
      <c r="J1" s="17"/>
    </row>
    <row r="2" spans="1:12" ht="12" customHeight="1" x14ac:dyDescent="0.3">
      <c r="B2" s="13" t="b">
        <v>0</v>
      </c>
      <c r="C2" s="4"/>
    </row>
    <row r="3" spans="1:12" ht="14.1" customHeight="1" x14ac:dyDescent="0.3">
      <c r="B3" s="18" t="s">
        <v>246</v>
      </c>
      <c r="C3" s="114">
        <f>IF($E$3="",_xll.ECONOMATICA("PETR4","Fin Statm Date"),$E$3)</f>
        <v>45473</v>
      </c>
      <c r="D3" s="9" t="s">
        <v>247</v>
      </c>
      <c r="J3" s="9"/>
    </row>
    <row r="4" spans="1:12" ht="14.1" customHeight="1" outlineLevel="1" x14ac:dyDescent="0.3">
      <c r="B4" s="19" t="s">
        <v>248</v>
      </c>
      <c r="C4" s="20"/>
      <c r="D4" s="9" t="s">
        <v>252</v>
      </c>
      <c r="J4" s="9"/>
    </row>
    <row r="5" spans="1:12" ht="14.1" customHeight="1" outlineLevel="1" x14ac:dyDescent="0.3">
      <c r="B5" s="18" t="s">
        <v>0</v>
      </c>
      <c r="C5" s="22" t="s">
        <v>228</v>
      </c>
      <c r="D5" s="10" t="s">
        <v>251</v>
      </c>
      <c r="J5" s="9"/>
    </row>
    <row r="6" spans="1:12" ht="14.1" customHeight="1" x14ac:dyDescent="0.3">
      <c r="B6" s="18" t="s">
        <v>1</v>
      </c>
      <c r="C6" s="22" t="str">
        <f>_xll.ECONOMATICA($C$5,"NAME")</f>
        <v>Petrobras</v>
      </c>
      <c r="D6" s="9" t="s">
        <v>247</v>
      </c>
      <c r="J6" s="9"/>
    </row>
    <row r="7" spans="1:12" ht="12.75" customHeight="1" x14ac:dyDescent="0.3">
      <c r="B7" s="18" t="s">
        <v>249</v>
      </c>
      <c r="C7" s="22" t="s">
        <v>35</v>
      </c>
      <c r="D7" s="10" t="s">
        <v>250</v>
      </c>
      <c r="J7" s="10"/>
    </row>
    <row r="8" spans="1:12" ht="15.6" x14ac:dyDescent="0.3">
      <c r="B8" s="18" t="s">
        <v>227</v>
      </c>
      <c r="C8" s="22" t="str">
        <f>IF($D$9=1,"Consolidado","Individual")</f>
        <v>Consolidado</v>
      </c>
      <c r="D8" s="9" t="s">
        <v>247</v>
      </c>
      <c r="F8" s="11"/>
      <c r="J8" s="9"/>
    </row>
    <row r="9" spans="1:12" ht="15.6" x14ac:dyDescent="0.3">
      <c r="A9" s="12">
        <v>1</v>
      </c>
      <c r="B9" s="21" t="s">
        <v>224</v>
      </c>
      <c r="C9" s="23" t="b">
        <v>0</v>
      </c>
      <c r="D9" s="14">
        <v>1</v>
      </c>
    </row>
    <row r="10" spans="1:12" x14ac:dyDescent="0.3">
      <c r="B10" s="1"/>
    </row>
    <row r="11" spans="1:12" ht="15" customHeight="1" thickBot="1" x14ac:dyDescent="0.35">
      <c r="B11" s="103" t="s">
        <v>38</v>
      </c>
      <c r="C11" s="103"/>
      <c r="D11" s="103"/>
      <c r="E11" s="103"/>
      <c r="F11" s="103"/>
    </row>
    <row r="12" spans="1:12" ht="15" customHeight="1" thickTop="1" x14ac:dyDescent="0.3">
      <c r="B12" s="108" t="s">
        <v>232</v>
      </c>
      <c r="C12" s="109"/>
      <c r="D12" s="25" t="str">
        <f>HYPERLINK(_xll.ECONOMATICA($C$5,"LinkFENotes",,D16),"Notas Explicativas")</f>
        <v>Notas Explicativas</v>
      </c>
      <c r="E12" s="26" t="str">
        <f>HYPERLINK(_xll.ECONOMATICA($C$5,"LinkFENotes",,E16),"Notas Explicativas")</f>
        <v>Notas Explicativas</v>
      </c>
      <c r="F12" s="27" t="str">
        <f>HYPERLINK(_xll.ECONOMATICA($C$5,"LinkFENotes",,F16),"Notas Explicativas")</f>
        <v>Notas Explicativas</v>
      </c>
    </row>
    <row r="13" spans="1:12" ht="15" customHeight="1" x14ac:dyDescent="0.3">
      <c r="B13" s="110" t="s">
        <v>231</v>
      </c>
      <c r="C13" s="111"/>
      <c r="D13" s="30" t="str">
        <f>_xll.ECONOMATICA($C$5,"Consol",,D16)</f>
        <v>Sim</v>
      </c>
      <c r="E13" s="30" t="str">
        <f>_xll.ECONOMATICA($C$5,"Consol",,E16)</f>
        <v>Sim</v>
      </c>
      <c r="F13" s="31" t="str">
        <f>_xll.ECONOMATICA($C$5,"Consol",,F16)</f>
        <v>Sim</v>
      </c>
    </row>
    <row r="14" spans="1:12" ht="15" customHeight="1" x14ac:dyDescent="0.3">
      <c r="B14" s="112" t="s">
        <v>230</v>
      </c>
      <c r="C14" s="113"/>
      <c r="D14" s="28" t="str">
        <f>_xll.ECONOMATICA($C$5,"AccMet",,D16)</f>
        <v>IFRS</v>
      </c>
      <c r="E14" s="28" t="str">
        <f>_xll.ECONOMATICA($C$5,"AccMet",,E16)</f>
        <v>IFRS</v>
      </c>
      <c r="F14" s="29" t="str">
        <f>_xll.ECONOMATICA($C$5,"AccMet",,F16)</f>
        <v>IFRS</v>
      </c>
      <c r="L14" s="7"/>
    </row>
    <row r="15" spans="1:12" ht="16.05" customHeight="1" x14ac:dyDescent="0.3">
      <c r="B15" s="24"/>
      <c r="C15" s="24"/>
      <c r="D15" s="4"/>
    </row>
    <row r="16" spans="1:12" s="5" customFormat="1" ht="15" customHeight="1" thickBot="1" x14ac:dyDescent="0.35">
      <c r="B16" s="104" t="s">
        <v>2</v>
      </c>
      <c r="C16" s="105"/>
      <c r="D16" s="32">
        <f>IF($C$9=TRUE,EOMONTH(E16,-12),DATE(YEAR(F16)-2,12,31))</f>
        <v>44926</v>
      </c>
      <c r="E16" s="32">
        <f>IF($C$9=TRUE,EOMONTH(F16,-12),DATE(YEAR(F16)-1,12,31))</f>
        <v>45291</v>
      </c>
      <c r="F16" s="33">
        <f>$C$3</f>
        <v>45473</v>
      </c>
      <c r="G16" s="9"/>
    </row>
    <row r="17" spans="2:6" ht="15" customHeight="1" outlineLevel="7" thickTop="1" x14ac:dyDescent="0.3">
      <c r="B17" s="69" t="s">
        <v>229</v>
      </c>
      <c r="C17" s="70"/>
      <c r="D17" s="40">
        <f>IFERROR(_xll.ECONOMATICA($C$5,"Total Assets",,D$16,,,,$C$7,,,,IF($D$9=1,{"jtb.opcconscontr=2"},{"jtb.opcconscontr=3"})),"-")</f>
        <v>976709000</v>
      </c>
      <c r="E17" s="34">
        <f>IFERROR(_xll.ECONOMATICA($C$5,"Total Assets",,E$16,,,,$C$7,,,,IF($D$9=1,{"jtb.opcconscontr=2"},{"jtb.opcconscontr=3"})),"-")</f>
        <v>1050888000</v>
      </c>
      <c r="F17" s="35">
        <f>IFERROR(_xll.ECONOMATICA($C$5,"Total Assets",,F$16,,,,$C$7,,,,IF($D$9=1,{"jtb.opcconscontr=2"},{"jtb.opcconscontr=3"})),"-")</f>
        <v>1058688000</v>
      </c>
    </row>
    <row r="18" spans="2:6" ht="15" customHeight="1" outlineLevel="7" x14ac:dyDescent="0.3">
      <c r="B18" s="71" t="s">
        <v>236</v>
      </c>
      <c r="C18" s="72"/>
      <c r="D18" s="43">
        <f>IFERROR(_xll.ECONOMATICA($C$5,"Curr Assets",,D$16,,,,$C$7,,,,IF($D$9=1,{"jtb.opcconscontr=2"},{"jtb.opcconscontr=3"})),"-")</f>
        <v>163052000</v>
      </c>
      <c r="E18" s="44">
        <f>IFERROR(_xll.ECONOMATICA($C$5,"Curr Assets",,E$16,,,,$C$7,,,,IF($D$9=1,{"jtb.opcconscontr=2"},{"jtb.opcconscontr=3"})),"-")</f>
        <v>157079000</v>
      </c>
      <c r="F18" s="45">
        <f>IFERROR(_xll.ECONOMATICA($C$5,"Curr Assets",,F$16,,,,$C$7,,,,IF($D$9=1,{"jtb.opcconscontr=2"},{"jtb.opcconscontr=3"})),"-")</f>
        <v>159310000</v>
      </c>
    </row>
    <row r="19" spans="2:6" ht="15" customHeight="1" outlineLevel="7" x14ac:dyDescent="0.3">
      <c r="B19" s="73" t="s">
        <v>237</v>
      </c>
      <c r="C19" s="74"/>
      <c r="D19" s="41">
        <f>IFERROR(_xll.ECONOMATICA($C$5,"Cash&amp;EqCa",,D$16,,,,$C$7,,,,IF($D$9=1,{"jtb.opcconscontr=2"},{"jtb.opcconscontr=3"})),"-")</f>
        <v>41723000</v>
      </c>
      <c r="E19" s="36">
        <f>IFERROR(_xll.ECONOMATICA($C$5,"Cash&amp;EqCa",,E$16,,,,$C$7,,,,IF($D$9=1,{"jtb.opcconscontr=2"},{"jtb.opcconscontr=3"})),"-")</f>
        <v>61613000</v>
      </c>
      <c r="F19" s="37">
        <f>IFERROR(_xll.ECONOMATICA($C$5,"Cash&amp;EqCa",,F$16,,,,$C$7,,,,IF($D$9=1,{"jtb.opcconscontr=2"},{"jtb.opcconscontr=3"})),"-")</f>
        <v>43829000</v>
      </c>
    </row>
    <row r="20" spans="2:6" ht="15" customHeight="1" outlineLevel="7" x14ac:dyDescent="0.3">
      <c r="B20" s="75" t="s">
        <v>238</v>
      </c>
      <c r="C20" s="76"/>
      <c r="D20" s="43">
        <f>IFERROR(_xll.ECONOMATICA($C$5,"Investmen",,D$16,,,,$C$7,,,,IF($D$9=1,{"jtb.opcconscontr=2"},{"jtb.opcconscontr=3"})),"-")</f>
        <v>14470000</v>
      </c>
      <c r="E20" s="44">
        <f>IFERROR(_xll.ECONOMATICA($C$5,"Investmen",,E$16,,,,$C$7,,,,IF($D$9=1,{"jtb.opcconscontr=2"},{"jtb.opcconscontr=3"})),"-")</f>
        <v>13650000</v>
      </c>
      <c r="F20" s="45">
        <f>IFERROR(_xll.ECONOMATICA($C$5,"Investmen",,F$16,,,,$C$7,,,,IF($D$9=1,{"jtb.opcconscontr=2"},{"jtb.opcconscontr=3"})),"-")</f>
        <v>23848000</v>
      </c>
    </row>
    <row r="21" spans="2:6" ht="15" customHeight="1" outlineLevel="7" x14ac:dyDescent="0.3">
      <c r="B21" s="61" t="s">
        <v>239</v>
      </c>
      <c r="C21" s="62"/>
      <c r="D21" s="41" t="str">
        <f>IFERROR(_xll.ECONOMATICA($C$5,"FiAsFaVaST",,D$16,,,,$C$7,,,,IF($D$9=1,{"jtb.opcconscontr=2"},{"jtb.opcconscontr=3"})),"-")</f>
        <v>-</v>
      </c>
      <c r="E21" s="36" t="str">
        <f>IFERROR(_xll.ECONOMATICA($C$5,"FiAsFaVaST",,E$16,,,,$C$7,,,,IF($D$9=1,{"jtb.opcconscontr=2"},{"jtb.opcconscontr=3"})),"-")</f>
        <v>-</v>
      </c>
      <c r="F21" s="37" t="str">
        <f>IFERROR(_xll.ECONOMATICA($C$5,"FiAsFaVaST",,F$16,,,,$C$7,,,,IF($D$9=1,{"jtb.opcconscontr=2"},{"jtb.opcconscontr=3"})),"-")</f>
        <v>-</v>
      </c>
    </row>
    <row r="22" spans="2:6" ht="15.6" outlineLevel="7" x14ac:dyDescent="0.3">
      <c r="B22" s="65" t="s">
        <v>240</v>
      </c>
      <c r="C22" s="66"/>
      <c r="D22" s="43" t="str">
        <f>IFERROR(_xll.ECONOMATICA($C$5,"FiAstFVThProLosST",,D$16,,,,$C$7,,,,IF($D$9=1,{"jtb.opcconscontr=2"},{"jtb.opcconscontr=3"})),"-")</f>
        <v>-</v>
      </c>
      <c r="E22" s="44" t="str">
        <f>IFERROR(_xll.ECONOMATICA($C$5,"FiAstFVThProLosST",,E$16,,,,$C$7,,,,IF($D$9=1,{"jtb.opcconscontr=2"},{"jtb.opcconscontr=3"})),"-")</f>
        <v>-</v>
      </c>
      <c r="F22" s="45" t="str">
        <f>IFERROR(_xll.ECONOMATICA($C$5,"FiAstFVThProLosST",,F$16,,,,$C$7,,,,IF($D$9=1,{"jtb.opcconscontr=2"},{"jtb.opcconscontr=3"})),"-")</f>
        <v>-</v>
      </c>
    </row>
    <row r="23" spans="2:6" ht="15" customHeight="1" outlineLevel="7" x14ac:dyDescent="0.3">
      <c r="B23" s="61" t="s">
        <v>233</v>
      </c>
      <c r="C23" s="62"/>
      <c r="D23" s="41" t="str">
        <f>IFERROR(_xll.ECONOMATICA($C$5,"FinAstForTradST",,D$16,,,,$C$7,,,,IF($D$9=1,{"jtb.opcconscontr=2"},{"jtb.opcconscontr=3"})),"-")</f>
        <v>-</v>
      </c>
      <c r="E23" s="36" t="str">
        <f>IFERROR(_xll.ECONOMATICA($C$5,"FinAstForTradST",,E$16,,,,$C$7,,,,IF($D$9=1,{"jtb.opcconscontr=2"},{"jtb.opcconscontr=3"})),"-")</f>
        <v>-</v>
      </c>
      <c r="F23" s="37" t="str">
        <f>IFERROR(_xll.ECONOMATICA($C$5,"FinAstForTradST",,F$16,,,,$C$7,,,,IF($D$9=1,{"jtb.opcconscontr=2"},{"jtb.opcconscontr=3"})),"-")</f>
        <v>-</v>
      </c>
    </row>
    <row r="24" spans="2:6" ht="15" customHeight="1" outlineLevel="7" x14ac:dyDescent="0.3">
      <c r="B24" s="63" t="s">
        <v>234</v>
      </c>
      <c r="C24" s="64"/>
      <c r="D24" s="43" t="str">
        <f>IFERROR(_xll.ECONOMATICA($C$5,"FinAstFaValST",,D$16,,,,$C$7,,,,IF($D$9=1,{"jtb.opcconscontr=2"},{"jtb.opcconscontr=3"})),"-")</f>
        <v>-</v>
      </c>
      <c r="E24" s="44" t="str">
        <f>IFERROR(_xll.ECONOMATICA($C$5,"FinAstFaValST",,E$16,,,,$C$7,,,,IF($D$9=1,{"jtb.opcconscontr=2"},{"jtb.opcconscontr=3"})),"-")</f>
        <v>-</v>
      </c>
      <c r="F24" s="45" t="str">
        <f>IFERROR(_xll.ECONOMATICA($C$5,"FinAstFaValST",,F$16,,,,$C$7,,,,IF($D$9=1,{"jtb.opcconscontr=2"},{"jtb.opcconscontr=3"})),"-")</f>
        <v>-</v>
      </c>
    </row>
    <row r="25" spans="2:6" ht="15" customHeight="1" outlineLevel="7" x14ac:dyDescent="0.3">
      <c r="B25" s="61" t="s">
        <v>235</v>
      </c>
      <c r="C25" s="62"/>
      <c r="D25" s="41" t="str">
        <f>IFERROR(_xll.ECONOMATICA($C$5,"OthFinAstPrLoST",,D$16,,,,$C$7,,,,IF($D$9=1,{"jtb.opcconscontr=2"},{"jtb.opcconscontr=3"})),"-")</f>
        <v>-</v>
      </c>
      <c r="E25" s="36" t="str">
        <f>IFERROR(_xll.ECONOMATICA($C$5,"OthFinAstPrLoST",,E$16,,,,$C$7,,,,IF($D$9=1,{"jtb.opcconscontr=2"},{"jtb.opcconscontr=3"})),"-")</f>
        <v>-</v>
      </c>
      <c r="F25" s="37" t="str">
        <f>IFERROR(_xll.ECONOMATICA($C$5,"OthFinAstPrLoST",,F$16,,,,$C$7,,,,IF($D$9=1,{"jtb.opcconscontr=2"},{"jtb.opcconscontr=3"})),"-")</f>
        <v>-</v>
      </c>
    </row>
    <row r="26" spans="2:6" ht="15.6" outlineLevel="7" x14ac:dyDescent="0.3">
      <c r="B26" s="65" t="s">
        <v>241</v>
      </c>
      <c r="C26" s="66"/>
      <c r="D26" s="43" t="str">
        <f>IFERROR(_xll.ECONOMATICA($C$5,"FiAstFVThOtComIncST",,D$16,,,,$C$7,,,,IF($D$9=1,{"jtb.opcconscontr=2"},{"jtb.opcconscontr=3"})),"-")</f>
        <v>-</v>
      </c>
      <c r="E26" s="44" t="str">
        <f>IFERROR(_xll.ECONOMATICA($C$5,"FiAstFVThOtComIncST",,E$16,,,,$C$7,,,,IF($D$9=1,{"jtb.opcconscontr=2"},{"jtb.opcconscontr=3"})),"-")</f>
        <v>-</v>
      </c>
      <c r="F26" s="45" t="str">
        <f>IFERROR(_xll.ECONOMATICA($C$5,"FiAstFVThOtComIncST",,F$16,,,,$C$7,,,,IF($D$9=1,{"jtb.opcconscontr=2"},{"jtb.opcconscontr=3"})),"-")</f>
        <v>-</v>
      </c>
    </row>
    <row r="27" spans="2:6" ht="15" customHeight="1" outlineLevel="7" x14ac:dyDescent="0.3">
      <c r="B27" s="61" t="s">
        <v>242</v>
      </c>
      <c r="C27" s="62"/>
      <c r="D27" s="41" t="str">
        <f>IFERROR(_xll.ECONOMATICA($C$5,"AFAvCAmCP",,D$16,,,,$C$7,,,,IF($D$9=1,{"jtb.opcconscontr=2"},{"jtb.opcconscontr=3"})),"-")</f>
        <v>-</v>
      </c>
      <c r="E27" s="36" t="str">
        <f>IFERROR(_xll.ECONOMATICA($C$5,"AFAvCAmCP",,E$16,,,,$C$7,,,,IF($D$9=1,{"jtb.opcconscontr=2"},{"jtb.opcconscontr=3"})),"-")</f>
        <v>-</v>
      </c>
      <c r="F27" s="37" t="str">
        <f>IFERROR(_xll.ECONOMATICA($C$5,"AFAvCAmCP",,F$16,,,,$C$7,,,,IF($D$9=1,{"jtb.opcconscontr=2"},{"jtb.opcconscontr=3"})),"-")</f>
        <v>-</v>
      </c>
    </row>
    <row r="28" spans="2:6" ht="15" customHeight="1" outlineLevel="7" x14ac:dyDescent="0.3">
      <c r="B28" s="67" t="s">
        <v>243</v>
      </c>
      <c r="C28" s="68"/>
      <c r="D28" s="43">
        <f>IFERROR(_xll.ECONOMATICA($C$5,"AccRecST",,D$16,,,,$C$7,,,,IF($D$9=1,{"jtb.opcconscontr=2"},{"jtb.opcconscontr=3"})),"-")</f>
        <v>26142000</v>
      </c>
      <c r="E28" s="44">
        <f>IFERROR(_xll.ECONOMATICA($C$5,"AccRecST",,E$16,,,,$C$7,,,,IF($D$9=1,{"jtb.opcconscontr=2"},{"jtb.opcconscontr=3"})),"-")</f>
        <v>29702000</v>
      </c>
      <c r="F28" s="45">
        <f>IFERROR(_xll.ECONOMATICA($C$5,"AccRecST",,F$16,,,,$C$7,,,,IF($D$9=1,{"jtb.opcconscontr=2"},{"jtb.opcconscontr=3"})),"-")</f>
        <v>24489000</v>
      </c>
    </row>
    <row r="29" spans="2:6" ht="15" customHeight="1" outlineLevel="7" x14ac:dyDescent="0.3">
      <c r="B29" s="79" t="s">
        <v>244</v>
      </c>
      <c r="C29" s="62"/>
      <c r="D29" s="41" t="str">
        <f>IFERROR(_xll.ECONOMATICA($C$5,"Acc Receiv Net",,D$16,,,,$C$7,,,,IF($D$9=1,{"jtb.opcconscontr=2"},{"jtb.opcconscontr=3"})),"-")</f>
        <v>-</v>
      </c>
      <c r="E29" s="36" t="str">
        <f>IFERROR(_xll.ECONOMATICA($C$5,"Acc Receiv Net",,E$16,,,,$C$7,,,,IF($D$9=1,{"jtb.opcconscontr=2"},{"jtb.opcconscontr=3"})),"-")</f>
        <v>-</v>
      </c>
      <c r="F29" s="37" t="str">
        <f>IFERROR(_xll.ECONOMATICA($C$5,"Acc Receiv Net",,F$16,,,,$C$7,,,,IF($D$9=1,{"jtb.opcconscontr=2"},{"jtb.opcconscontr=3"})),"-")</f>
        <v>-</v>
      </c>
    </row>
    <row r="30" spans="2:6" ht="15" customHeight="1" outlineLevel="7" x14ac:dyDescent="0.3">
      <c r="B30" s="80" t="s">
        <v>40</v>
      </c>
      <c r="C30" s="64"/>
      <c r="D30" s="43" t="str">
        <f>IFERROR(_xll.ECONOMATICA($C$5,"OtAccRecST",,D$16,,,,$C$7,,,,IF($D$9=1,{"jtb.opcconscontr=2"},{"jtb.opcconscontr=3"})),"-")</f>
        <v>-</v>
      </c>
      <c r="E30" s="44" t="str">
        <f>IFERROR(_xll.ECONOMATICA($C$5,"OtAccRecST",,E$16,,,,$C$7,,,,IF($D$9=1,{"jtb.opcconscontr=2"},{"jtb.opcconscontr=3"})),"-")</f>
        <v>-</v>
      </c>
      <c r="F30" s="45" t="str">
        <f>IFERROR(_xll.ECONOMATICA($C$5,"OtAccRecST",,F$16,,,,$C$7,,,,IF($D$9=1,{"jtb.opcconscontr=2"},{"jtb.opcconscontr=3"})),"-")</f>
        <v>-</v>
      </c>
    </row>
    <row r="31" spans="2:6" ht="15" customHeight="1" outlineLevel="7" x14ac:dyDescent="0.3">
      <c r="B31" s="77" t="s">
        <v>41</v>
      </c>
      <c r="C31" s="78"/>
      <c r="D31" s="41">
        <f>IFERROR(_xll.ECONOMATICA($C$5,"Inventories",,D$16,,,,$C$7,,,,IF($D$9=1,{"jtb.opcconscontr=2"},{"jtb.opcconscontr=3"})),"-")</f>
        <v>45804000</v>
      </c>
      <c r="E31" s="36">
        <f>IFERROR(_xll.ECONOMATICA($C$5,"Inventories",,E$16,,,,$C$7,,,,IF($D$9=1,{"jtb.opcconscontr=2"},{"jtb.opcconscontr=3"})),"-")</f>
        <v>37184000</v>
      </c>
      <c r="F31" s="37">
        <f>IFERROR(_xll.ECONOMATICA($C$5,"Inventories",,F$16,,,,$C$7,,,,IF($D$9=1,{"jtb.opcconscontr=2"},{"jtb.opcconscontr=3"})),"-")</f>
        <v>40796000</v>
      </c>
    </row>
    <row r="32" spans="2:6" ht="15" customHeight="1" outlineLevel="7" x14ac:dyDescent="0.3">
      <c r="B32" s="67" t="s">
        <v>42</v>
      </c>
      <c r="C32" s="68"/>
      <c r="D32" s="43">
        <f>IFERROR(_xll.ECONOMATICA($C$5,"BioAstST",,D$16,,,,$C$7,,,,IF($D$9=1,{"jtb.opcconscontr=2"},{"jtb.opcconscontr=3"})),"-")</f>
        <v>0</v>
      </c>
      <c r="E32" s="44">
        <f>IFERROR(_xll.ECONOMATICA($C$5,"BioAstST",,E$16,,,,$C$7,,,,IF($D$9=1,{"jtb.opcconscontr=2"},{"jtb.opcconscontr=3"})),"-")</f>
        <v>0</v>
      </c>
      <c r="F32" s="45">
        <f>IFERROR(_xll.ECONOMATICA($C$5,"BioAstST",,F$16,,,,$C$7,,,,IF($D$9=1,{"jtb.opcconscontr=2"},{"jtb.opcconscontr=3"})),"-")</f>
        <v>0</v>
      </c>
    </row>
    <row r="33" spans="2:6" ht="15" customHeight="1" outlineLevel="7" x14ac:dyDescent="0.3">
      <c r="B33" s="77" t="s">
        <v>43</v>
      </c>
      <c r="C33" s="78"/>
      <c r="D33" s="41">
        <f>IFERROR(_xll.ECONOMATICA($C$5,"RcTxST",,D$16,,,,$C$7,,,,IF($D$9=1,{"jtb.opcconscontr=2"},{"jtb.opcconscontr=3"})),"-")</f>
        <v>6819000</v>
      </c>
      <c r="E33" s="36">
        <f>IFERROR(_xll.ECONOMATICA($C$5,"RcTxST",,E$16,,,,$C$7,,,,IF($D$9=1,{"jtb.opcconscontr=2"},{"jtb.opcconscontr=3"})),"-")</f>
        <v>5703000</v>
      </c>
      <c r="F33" s="37">
        <f>IFERROR(_xll.ECONOMATICA($C$5,"RcTxST",,F$16,,,,$C$7,,,,IF($D$9=1,{"jtb.opcconscontr=2"},{"jtb.opcconscontr=3"})),"-")</f>
        <v>15564000</v>
      </c>
    </row>
    <row r="34" spans="2:6" ht="15" customHeight="1" outlineLevel="7" x14ac:dyDescent="0.3">
      <c r="B34" s="80" t="s">
        <v>44</v>
      </c>
      <c r="C34" s="64"/>
      <c r="D34" s="43">
        <f>IFERROR(_xll.ECONOMATICA($C$5,"ImCoRec",,D$16,,,,$C$7,,,,IF($D$9=1,{"jtb.opcconscontr=2"},{"jtb.opcconscontr=3"})),"-")</f>
        <v>6819000</v>
      </c>
      <c r="E34" s="44">
        <f>IFERROR(_xll.ECONOMATICA($C$5,"ImCoRec",,E$16,,,,$C$7,,,,IF($D$9=1,{"jtb.opcconscontr=2"},{"jtb.opcconscontr=3"})),"-")</f>
        <v>5703000</v>
      </c>
      <c r="F34" s="45">
        <f>IFERROR(_xll.ECONOMATICA($C$5,"ImCoRec",,F$16,,,,$C$7,,,,IF($D$9=1,{"jtb.opcconscontr=2"},{"jtb.opcconscontr=3"})),"-")</f>
        <v>15564000</v>
      </c>
    </row>
    <row r="35" spans="2:6" ht="15" customHeight="1" outlineLevel="7" x14ac:dyDescent="0.3">
      <c r="B35" s="77" t="s">
        <v>45</v>
      </c>
      <c r="C35" s="78"/>
      <c r="D35" s="41">
        <f>IFERROR(_xll.ECONOMATICA($C$5,"ST Prep Expen",,D$16,,,,$C$7,,,,IF($D$9=1,{"jtb.opcconscontr=2"},{"jtb.opcconscontr=3"})),"-")</f>
        <v>0</v>
      </c>
      <c r="E35" s="36">
        <f>IFERROR(_xll.ECONOMATICA($C$5,"ST Prep Expen",,E$16,,,,$C$7,,,,IF($D$9=1,{"jtb.opcconscontr=2"},{"jtb.opcconscontr=3"})),"-")</f>
        <v>0</v>
      </c>
      <c r="F35" s="37">
        <f>IFERROR(_xll.ECONOMATICA($C$5,"ST Prep Expen",,F$16,,,,$C$7,,,,IF($D$9=1,{"jtb.opcconscontr=2"},{"jtb.opcconscontr=3"})),"-")</f>
        <v>0</v>
      </c>
    </row>
    <row r="36" spans="2:6" ht="15" customHeight="1" outlineLevel="7" x14ac:dyDescent="0.3">
      <c r="B36" s="67" t="s">
        <v>46</v>
      </c>
      <c r="C36" s="68"/>
      <c r="D36" s="43">
        <f>IFERROR(_xll.ECONOMATICA($C$5,"OtCurAst",,D$16,,,,$C$7,,,,IF($D$9=1,{"jtb.opcconscontr=2"},{"jtb.opcconscontr=3"})),"-")</f>
        <v>28094000</v>
      </c>
      <c r="E36" s="44">
        <f>IFERROR(_xll.ECONOMATICA($C$5,"OtCurAst",,E$16,,,,$C$7,,,,IF($D$9=1,{"jtb.opcconscontr=2"},{"jtb.opcconscontr=3"})),"-")</f>
        <v>9227000</v>
      </c>
      <c r="F36" s="45">
        <f>IFERROR(_xll.ECONOMATICA($C$5,"OtCurAst",,F$16,,,,$C$7,,,,IF($D$9=1,{"jtb.opcconscontr=2"},{"jtb.opcconscontr=3"})),"-")</f>
        <v>10784000</v>
      </c>
    </row>
    <row r="37" spans="2:6" ht="15" customHeight="1" outlineLevel="7" x14ac:dyDescent="0.3">
      <c r="B37" s="79" t="s">
        <v>47</v>
      </c>
      <c r="C37" s="62"/>
      <c r="D37" s="41">
        <f>IFERROR(_xll.ECONOMATICA($C$5,"NCHFSAst",,D$16,,,,$C$7,,,,IF($D$9=1,{"jtb.opcconscontr=2"},{"jtb.opcconscontr=3"})),"-")</f>
        <v>18823000</v>
      </c>
      <c r="E37" s="36">
        <f>IFERROR(_xll.ECONOMATICA($C$5,"NCHFSAst",,E$16,,,,$C$7,,,,IF($D$9=1,{"jtb.opcconscontr=2"},{"jtb.opcconscontr=3"})),"-")</f>
        <v>1624000</v>
      </c>
      <c r="F37" s="37">
        <f>IFERROR(_xll.ECONOMATICA($C$5,"NCHFSAst",,F$16,,,,$C$7,,,,IF($D$9=1,{"jtb.opcconscontr=2"},{"jtb.opcconscontr=3"})),"-")</f>
        <v>2347000</v>
      </c>
    </row>
    <row r="38" spans="2:6" ht="15" customHeight="1" outlineLevel="7" x14ac:dyDescent="0.3">
      <c r="B38" s="80" t="s">
        <v>48</v>
      </c>
      <c r="C38" s="64"/>
      <c r="D38" s="43">
        <f>IFERROR(_xll.ECONOMATICA($C$5,"DiscOpsST",,D$16,,,,$C$7,,,,IF($D$9=1,{"jtb.opcconscontr=2"},{"jtb.opcconscontr=3"})),"-")</f>
        <v>0</v>
      </c>
      <c r="E38" s="44">
        <f>IFERROR(_xll.ECONOMATICA($C$5,"DiscOpsST",,E$16,,,,$C$7,,,,IF($D$9=1,{"jtb.opcconscontr=2"},{"jtb.opcconscontr=3"})),"-")</f>
        <v>0</v>
      </c>
      <c r="F38" s="45">
        <f>IFERROR(_xll.ECONOMATICA($C$5,"DiscOpsST",,F$16,,,,$C$7,,,,IF($D$9=1,{"jtb.opcconscontr=2"},{"jtb.opcconscontr=3"})),"-")</f>
        <v>0</v>
      </c>
    </row>
    <row r="39" spans="2:6" ht="15" customHeight="1" outlineLevel="7" x14ac:dyDescent="0.3">
      <c r="B39" s="79" t="s">
        <v>49</v>
      </c>
      <c r="C39" s="62"/>
      <c r="D39" s="41">
        <f>IFERROR(_xll.ECONOMATICA($C$5,"OtAs",,D$16,,,,$C$7,,,,IF($D$9=1,{"jtb.opcconscontr=2"},{"jtb.opcconscontr=3"})),"-")</f>
        <v>9271000</v>
      </c>
      <c r="E39" s="36">
        <f>IFERROR(_xll.ECONOMATICA($C$5,"OtAs",,E$16,,,,$C$7,,,,IF($D$9=1,{"jtb.opcconscontr=2"},{"jtb.opcconscontr=3"})),"-")</f>
        <v>7603000</v>
      </c>
      <c r="F39" s="37">
        <f>IFERROR(_xll.ECONOMATICA($C$5,"OtAs",,F$16,,,,$C$7,,,,IF($D$9=1,{"jtb.opcconscontr=2"},{"jtb.opcconscontr=3"})),"-")</f>
        <v>8437000</v>
      </c>
    </row>
    <row r="40" spans="2:6" ht="15" customHeight="1" outlineLevel="7" x14ac:dyDescent="0.3">
      <c r="B40" s="80" t="s">
        <v>50</v>
      </c>
      <c r="C40" s="64"/>
      <c r="D40" s="43">
        <f>IFERROR(_xll.ECONOMATICA($C$5,"Non Curr Assets",,D$16,,,,$C$7,,,,IF($D$9=1,{"jtb.opcconscontr=2"},{"jtb.opcconscontr=3"})),"-")</f>
        <v>813657000</v>
      </c>
      <c r="E40" s="44">
        <f>IFERROR(_xll.ECONOMATICA($C$5,"Non Curr Assets",,E$16,,,,$C$7,,,,IF($D$9=1,{"jtb.opcconscontr=2"},{"jtb.opcconscontr=3"})),"-")</f>
        <v>893809000</v>
      </c>
      <c r="F40" s="45">
        <f>IFERROR(_xll.ECONOMATICA($C$5,"Non Curr Assets",,F$16,,,,$C$7,,,,IF($D$9=1,{"jtb.opcconscontr=2"},{"jtb.opcconscontr=3"})),"-")</f>
        <v>899378000</v>
      </c>
    </row>
    <row r="41" spans="2:6" ht="15" customHeight="1" outlineLevel="7" x14ac:dyDescent="0.3">
      <c r="B41" s="77" t="s">
        <v>51</v>
      </c>
      <c r="C41" s="78"/>
      <c r="D41" s="41">
        <f>IFERROR(_xll.ECONOMATICA($C$5,"ltAsst",,D$16,,,,$C$7,,,,IF($D$9=1,{"jtb.opcconscontr=2"},{"jtb.opcconscontr=3"})),"-")</f>
        <v>110722000</v>
      </c>
      <c r="E41" s="36">
        <f>IFERROR(_xll.ECONOMATICA($C$5,"ltAsst",,E$16,,,,$C$7,,,,IF($D$9=1,{"jtb.opcconscontr=2"},{"jtb.opcconscontr=3"})),"-")</f>
        <v>129735000</v>
      </c>
      <c r="F41" s="37">
        <f>IFERROR(_xll.ECONOMATICA($C$5,"ltAsst",,F$16,,,,$C$7,,,,IF($D$9=1,{"jtb.opcconscontr=2"},{"jtb.opcconscontr=3"})),"-")</f>
        <v>123216000</v>
      </c>
    </row>
    <row r="42" spans="2:6" ht="15" customHeight="1" outlineLevel="7" x14ac:dyDescent="0.3">
      <c r="B42" s="80" t="s">
        <v>52</v>
      </c>
      <c r="C42" s="64"/>
      <c r="D42" s="43">
        <f>IFERROR(_xll.ECONOMATICA($C$5,"FiAsFaVaLT",,D$16,,,,$C$7,,,,IF($D$9=1,{"jtb.opcconscontr=2"},{"jtb.opcconscontr=3"})),"-")</f>
        <v>0</v>
      </c>
      <c r="E42" s="44">
        <f>IFERROR(_xll.ECONOMATICA($C$5,"FiAsFaVaLT",,E$16,,,,$C$7,,,,IF($D$9=1,{"jtb.opcconscontr=2"},{"jtb.opcconscontr=3"})),"-")</f>
        <v>0</v>
      </c>
      <c r="F42" s="45">
        <f>IFERROR(_xll.ECONOMATICA($C$5,"FiAsFaVaLT",,F$16,,,,$C$7,,,,IF($D$9=1,{"jtb.opcconscontr=2"},{"jtb.opcconscontr=3"})),"-")</f>
        <v>0</v>
      </c>
    </row>
    <row r="43" spans="2:6" ht="15.6" outlineLevel="7" x14ac:dyDescent="0.3">
      <c r="B43" s="85" t="s">
        <v>225</v>
      </c>
      <c r="C43" s="86"/>
      <c r="D43" s="41">
        <f>IFERROR(_xll.ECONOMATICA($C$5,"FiAstFVThProLosLT",,D$16,,,,$C$7,,,,IF($D$9=1,{"jtb.opcconscontr=2"},{"jtb.opcconscontr=3"})),"-")</f>
        <v>0</v>
      </c>
      <c r="E43" s="36">
        <f>IFERROR(_xll.ECONOMATICA($C$5,"FiAstFVThProLosLT",,E$16,,,,$C$7,,,,IF($D$9=1,{"jtb.opcconscontr=2"},{"jtb.opcconscontr=3"})),"-")</f>
        <v>0</v>
      </c>
      <c r="F43" s="37">
        <f>IFERROR(_xll.ECONOMATICA($C$5,"FiAstFVThProLosLT",,F$16,,,,$C$7,,,,IF($D$9=1,{"jtb.opcconscontr=2"},{"jtb.opcconscontr=3"})),"-")</f>
        <v>0</v>
      </c>
    </row>
    <row r="44" spans="2:6" ht="15" customHeight="1" outlineLevel="7" x14ac:dyDescent="0.3">
      <c r="B44" s="80" t="s">
        <v>53</v>
      </c>
      <c r="C44" s="64"/>
      <c r="D44" s="43">
        <f>IFERROR(_xll.ECONOMATICA($C$5,"FinAstFaVaLT",,D$16,,,,$C$7,,,,IF($D$9=1,{"jtb.opcconscontr=2"},{"jtb.opcconscontr=3"})),"-")</f>
        <v>0</v>
      </c>
      <c r="E44" s="44">
        <f>IFERROR(_xll.ECONOMATICA($C$5,"FinAstFaVaLT",,E$16,,,,$C$7,,,,IF($D$9=1,{"jtb.opcconscontr=2"},{"jtb.opcconscontr=3"})),"-")</f>
        <v>0</v>
      </c>
      <c r="F44" s="45">
        <f>IFERROR(_xll.ECONOMATICA($C$5,"FinAstFaVaLT",,F$16,,,,$C$7,,,,IF($D$9=1,{"jtb.opcconscontr=2"},{"jtb.opcconscontr=3"})),"-")</f>
        <v>0</v>
      </c>
    </row>
    <row r="45" spans="2:6" ht="15" customHeight="1" outlineLevel="7" x14ac:dyDescent="0.3">
      <c r="B45" s="79" t="s">
        <v>39</v>
      </c>
      <c r="C45" s="62"/>
      <c r="D45" s="41">
        <f>IFERROR(_xll.ECONOMATICA($C$5,"OthFinAstPrLoLT",,D$16,,,,$C$7,,,,IF($D$9=1,{"jtb.opcconscontr=2"},{"jtb.opcconscontr=3"})),"-")</f>
        <v>0</v>
      </c>
      <c r="E45" s="36">
        <f>IFERROR(_xll.ECONOMATICA($C$5,"OthFinAstPrLoLT",,E$16,,,,$C$7,,,,IF($D$9=1,{"jtb.opcconscontr=2"},{"jtb.opcconscontr=3"})),"-")</f>
        <v>0</v>
      </c>
      <c r="F45" s="37">
        <f>IFERROR(_xll.ECONOMATICA($C$5,"OthFinAstPrLoLT",,F$16,,,,$C$7,,,,IF($D$9=1,{"jtb.opcconscontr=2"},{"jtb.opcconscontr=3"})),"-")</f>
        <v>0</v>
      </c>
    </row>
    <row r="46" spans="2:6" ht="15.6" outlineLevel="7" x14ac:dyDescent="0.3">
      <c r="B46" s="87" t="s">
        <v>226</v>
      </c>
      <c r="C46" s="88"/>
      <c r="D46" s="43">
        <f>IFERROR(_xll.ECONOMATICA($C$5,"FiAstFVThOtComIncLT",,D$16,,,,$C$7,,,,IF($D$9=1,{"jtb.opcconscontr=2"},{"jtb.opcconscontr=3"})),"-")</f>
        <v>0</v>
      </c>
      <c r="E46" s="44">
        <f>IFERROR(_xll.ECONOMATICA($C$5,"FiAstFVThOtComIncLT",,E$16,,,,$C$7,,,,IF($D$9=1,{"jtb.opcconscontr=2"},{"jtb.opcconscontr=3"})),"-")</f>
        <v>0</v>
      </c>
      <c r="F46" s="45">
        <f>IFERROR(_xll.ECONOMATICA($C$5,"FiAstFVThOtComIncLT",,F$16,,,,$C$7,,,,IF($D$9=1,{"jtb.opcconscontr=2"},{"jtb.opcconscontr=3"})),"-")</f>
        <v>0</v>
      </c>
    </row>
    <row r="47" spans="2:6" ht="15" customHeight="1" outlineLevel="7" x14ac:dyDescent="0.3">
      <c r="B47" s="79" t="s">
        <v>54</v>
      </c>
      <c r="C47" s="62"/>
      <c r="D47" s="41">
        <f>IFERROR(_xll.ECONOMATICA($C$5,"AFAvCAmLP",,D$16,,,,$C$7,,,,IF($D$9=1,{"jtb.opcconscontr=2"},{"jtb.opcconscontr=3"})),"-")</f>
        <v>8159000</v>
      </c>
      <c r="E47" s="36">
        <f>IFERROR(_xll.ECONOMATICA($C$5,"AFAvCAmLP",,E$16,,,,$C$7,,,,IF($D$9=1,{"jtb.opcconscontr=2"},{"jtb.opcconscontr=3"})),"-")</f>
        <v>11661000</v>
      </c>
      <c r="F47" s="37">
        <f>IFERROR(_xll.ECONOMATICA($C$5,"AFAvCAmLP",,F$16,,,,$C$7,,,,IF($D$9=1,{"jtb.opcconscontr=2"},{"jtb.opcconscontr=3"})),"-")</f>
        <v>7469000</v>
      </c>
    </row>
    <row r="48" spans="2:6" ht="15" customHeight="1" outlineLevel="7" x14ac:dyDescent="0.3">
      <c r="B48" s="80" t="s">
        <v>55</v>
      </c>
      <c r="C48" s="64"/>
      <c r="D48" s="43">
        <f>IFERROR(_xll.ECONOMATICA($C$5,"AccRecLT",,D$16,,,,$C$7,,,,IF($D$9=1,{"jtb.opcconscontr=2"},{"jtb.opcconscontr=3"})),"-")</f>
        <v>12729000</v>
      </c>
      <c r="E48" s="44">
        <f>IFERROR(_xll.ECONOMATICA($C$5,"AccRecLT",,E$16,,,,$C$7,,,,IF($D$9=1,{"jtb.opcconscontr=2"},{"jtb.opcconscontr=3"})),"-")</f>
        <v>8942000</v>
      </c>
      <c r="F48" s="45">
        <f>IFERROR(_xll.ECONOMATICA($C$5,"AccRecLT",,F$16,,,,$C$7,,,,IF($D$9=1,{"jtb.opcconscontr=2"},{"jtb.opcconscontr=3"})),"-")</f>
        <v>6533000</v>
      </c>
    </row>
    <row r="49" spans="2:6" ht="15" customHeight="1" outlineLevel="7" x14ac:dyDescent="0.3">
      <c r="B49" s="81" t="s">
        <v>56</v>
      </c>
      <c r="C49" s="82"/>
      <c r="D49" s="41" t="str">
        <f>IFERROR(_xll.ECONOMATICA($C$5,"ReceLT",,D$16,,,,$C$7,,,,IF($D$9=1,{"jtb.opcconscontr=2"},{"jtb.opcconscontr=3"})),"-")</f>
        <v>-</v>
      </c>
      <c r="E49" s="36" t="str">
        <f>IFERROR(_xll.ECONOMATICA($C$5,"ReceLT",,E$16,,,,$C$7,,,,IF($D$9=1,{"jtb.opcconscontr=2"},{"jtb.opcconscontr=3"})),"-")</f>
        <v>-</v>
      </c>
      <c r="F49" s="37" t="str">
        <f>IFERROR(_xll.ECONOMATICA($C$5,"ReceLT",,F$16,,,,$C$7,,,,IF($D$9=1,{"jtb.opcconscontr=2"},{"jtb.opcconscontr=3"})),"-")</f>
        <v>-</v>
      </c>
    </row>
    <row r="50" spans="2:6" ht="15" customHeight="1" outlineLevel="7" x14ac:dyDescent="0.3">
      <c r="B50" s="83" t="s">
        <v>57</v>
      </c>
      <c r="C50" s="84"/>
      <c r="D50" s="43" t="str">
        <f>IFERROR(_xll.ECONOMATICA($C$5,"OtReLT",,D$16,,,,$C$7,,,,IF($D$9=1,{"jtb.opcconscontr=2"},{"jtb.opcconscontr=3"})),"-")</f>
        <v>-</v>
      </c>
      <c r="E50" s="44" t="str">
        <f>IFERROR(_xll.ECONOMATICA($C$5,"OtReLT",,E$16,,,,$C$7,,,,IF($D$9=1,{"jtb.opcconscontr=2"},{"jtb.opcconscontr=3"})),"-")</f>
        <v>-</v>
      </c>
      <c r="F50" s="45" t="str">
        <f>IFERROR(_xll.ECONOMATICA($C$5,"OtReLT",,F$16,,,,$C$7,,,,IF($D$9=1,{"jtb.opcconscontr=2"},{"jtb.opcconscontr=3"})),"-")</f>
        <v>-</v>
      </c>
    </row>
    <row r="51" spans="2:6" ht="15" customHeight="1" outlineLevel="7" x14ac:dyDescent="0.3">
      <c r="B51" s="79" t="s">
        <v>58</v>
      </c>
      <c r="C51" s="62"/>
      <c r="D51" s="41">
        <f>IFERROR(_xll.ECONOMATICA($C$5,"InveLT",,D$16,,,,$C$7,,,,IF($D$9=1,{"jtb.opcconscontr=2"},{"jtb.opcconscontr=3"})),"-")</f>
        <v>0</v>
      </c>
      <c r="E51" s="36">
        <f>IFERROR(_xll.ECONOMATICA($C$5,"InveLT",,E$16,,,,$C$7,,,,IF($D$9=1,{"jtb.opcconscontr=2"},{"jtb.opcconscontr=3"})),"-")</f>
        <v>0</v>
      </c>
      <c r="F51" s="37">
        <f>IFERROR(_xll.ECONOMATICA($C$5,"InveLT",,F$16,,,,$C$7,,,,IF($D$9=1,{"jtb.opcconscontr=2"},{"jtb.opcconscontr=3"})),"-")</f>
        <v>0</v>
      </c>
    </row>
    <row r="52" spans="2:6" ht="15" customHeight="1" outlineLevel="7" x14ac:dyDescent="0.3">
      <c r="B52" s="80" t="s">
        <v>59</v>
      </c>
      <c r="C52" s="64"/>
      <c r="D52" s="43">
        <f>IFERROR(_xll.ECONOMATICA($C$5,"BioAstLT",,D$16,,,,$C$7,,,,IF($D$9=1,{"jtb.opcconscontr=2"},{"jtb.opcconscontr=3"})),"-")</f>
        <v>0</v>
      </c>
      <c r="E52" s="44">
        <f>IFERROR(_xll.ECONOMATICA($C$5,"BioAstLT",,E$16,,,,$C$7,,,,IF($D$9=1,{"jtb.opcconscontr=2"},{"jtb.opcconscontr=3"})),"-")</f>
        <v>0</v>
      </c>
      <c r="F52" s="45">
        <f>IFERROR(_xll.ECONOMATICA($C$5,"BioAstLT",,F$16,,,,$C$7,,,,IF($D$9=1,{"jtb.opcconscontr=2"},{"jtb.opcconscontr=3"})),"-")</f>
        <v>0</v>
      </c>
    </row>
    <row r="53" spans="2:6" ht="15" customHeight="1" outlineLevel="7" x14ac:dyDescent="0.3">
      <c r="B53" s="79" t="s">
        <v>60</v>
      </c>
      <c r="C53" s="62"/>
      <c r="D53" s="41">
        <f>IFERROR(_xll.ECONOMATICA($C$5,"DfTxST",,D$16,,,,$C$7,,,,IF($D$9=1,{"jtb.opcconscontr=2"},{"jtb.opcconscontr=3"})),"-")</f>
        <v>24057000</v>
      </c>
      <c r="E53" s="36">
        <f>IFERROR(_xll.ECONOMATICA($C$5,"DfTxST",,E$16,,,,$C$7,,,,IF($D$9=1,{"jtb.opcconscontr=2"},{"jtb.opcconscontr=3"})),"-")</f>
        <v>26533000</v>
      </c>
      <c r="F53" s="37">
        <f>IFERROR(_xll.ECONOMATICA($C$5,"DfTxST",,F$16,,,,$C$7,,,,IF($D$9=1,{"jtb.opcconscontr=2"},{"jtb.opcconscontr=3"})),"-")</f>
        <v>28166000</v>
      </c>
    </row>
    <row r="54" spans="2:6" ht="15" customHeight="1" outlineLevel="7" x14ac:dyDescent="0.3">
      <c r="B54" s="83" t="s">
        <v>61</v>
      </c>
      <c r="C54" s="84"/>
      <c r="D54" s="43">
        <f>IFERROR(_xll.ECONOMATICA($C$5,"InTx&amp;SoCoDef",,D$16,,,,$C$7,,,,IF($D$9=1,{"jtb.opcconscontr=2"},{"jtb.opcconscontr=3"})),"-")</f>
        <v>4342000</v>
      </c>
      <c r="E54" s="44">
        <f>IFERROR(_xll.ECONOMATICA($C$5,"InTx&amp;SoCoDef",,E$16,,,,$C$7,,,,IF($D$9=1,{"jtb.opcconscontr=2"},{"jtb.opcconscontr=3"})),"-")</f>
        <v>4672000</v>
      </c>
      <c r="F54" s="45">
        <f>IFERROR(_xll.ECONOMATICA($C$5,"InTx&amp;SoCoDef",,F$16,,,,$C$7,,,,IF($D$9=1,{"jtb.opcconscontr=2"},{"jtb.opcconscontr=3"})),"-")</f>
        <v>6096000</v>
      </c>
    </row>
    <row r="55" spans="2:6" ht="15" customHeight="1" outlineLevel="7" x14ac:dyDescent="0.3">
      <c r="B55" s="81" t="s">
        <v>39</v>
      </c>
      <c r="C55" s="82"/>
      <c r="D55" s="41">
        <f>IFERROR(_xll.ECONOMATICA($C$5,"OtherDTST",,D$16,,,,$C$7,,,,IF($D$9=1,{"jtb.opcconscontr=2"},{"jtb.opcconscontr=3"})),"-")</f>
        <v>19715000</v>
      </c>
      <c r="E55" s="36">
        <f>IFERROR(_xll.ECONOMATICA($C$5,"OtherDTST",,E$16,,,,$C$7,,,,IF($D$9=1,{"jtb.opcconscontr=2"},{"jtb.opcconscontr=3"})),"-")</f>
        <v>21861000</v>
      </c>
      <c r="F55" s="37">
        <f>IFERROR(_xll.ECONOMATICA($C$5,"OtherDTST",,F$16,,,,$C$7,,,,IF($D$9=1,{"jtb.opcconscontr=2"},{"jtb.opcconscontr=3"})),"-")</f>
        <v>22070000</v>
      </c>
    </row>
    <row r="56" spans="2:6" ht="15" customHeight="1" outlineLevel="7" x14ac:dyDescent="0.3">
      <c r="B56" s="80" t="s">
        <v>62</v>
      </c>
      <c r="C56" s="64"/>
      <c r="D56" s="43">
        <f>IFERROR(_xll.ECONOMATICA($C$5,"PpEx",,D$16,,,,$C$7,,,,IF($D$9=1,{"jtb.opcconscontr=2"},{"jtb.opcconscontr=3"})),"-")</f>
        <v>0</v>
      </c>
      <c r="E56" s="44">
        <f>IFERROR(_xll.ECONOMATICA($C$5,"PpEx",,E$16,,,,$C$7,,,,IF($D$9=1,{"jtb.opcconscontr=2"},{"jtb.opcconscontr=3"})),"-")</f>
        <v>0</v>
      </c>
      <c r="F56" s="45">
        <f>IFERROR(_xll.ECONOMATICA($C$5,"PpEx",,F$16,,,,$C$7,,,,IF($D$9=1,{"jtb.opcconscontr=2"},{"jtb.opcconscontr=3"})),"-")</f>
        <v>0</v>
      </c>
    </row>
    <row r="57" spans="2:6" ht="15" customHeight="1" outlineLevel="7" x14ac:dyDescent="0.3">
      <c r="B57" s="79" t="s">
        <v>63</v>
      </c>
      <c r="C57" s="62"/>
      <c r="D57" s="41">
        <f>IFERROR(_xll.ECONOMATICA($C$5,"ReRelPa",,D$16,,,,$C$7,,,,IF($D$9=1,{"jtb.opcconscontr=2"},{"jtb.opcconscontr=3"})),"-")</f>
        <v>0</v>
      </c>
      <c r="E57" s="36">
        <f>IFERROR(_xll.ECONOMATICA($C$5,"ReRelPa",,E$16,,,,$C$7,,,,IF($D$9=1,{"jtb.opcconscontr=2"},{"jtb.opcconscontr=3"})),"-")</f>
        <v>0</v>
      </c>
      <c r="F57" s="37">
        <f>IFERROR(_xll.ECONOMATICA($C$5,"ReRelPa",,F$16,,,,$C$7,,,,IF($D$9=1,{"jtb.opcconscontr=2"},{"jtb.opcconscontr=3"})),"-")</f>
        <v>0</v>
      </c>
    </row>
    <row r="58" spans="2:6" ht="15" customHeight="1" outlineLevel="7" x14ac:dyDescent="0.3">
      <c r="B58" s="83" t="s">
        <v>64</v>
      </c>
      <c r="C58" s="84"/>
      <c r="D58" s="43">
        <f>IFERROR(_xll.ECONOMATICA($C$5,"fr Assoc",,D$16,,,,$C$7,,,,IF($D$9=1,{"jtb.opcconscontr=2"},{"jtb.opcconscontr=3"})),"-")</f>
        <v>0</v>
      </c>
      <c r="E58" s="44">
        <f>IFERROR(_xll.ECONOMATICA($C$5,"fr Assoc",,E$16,,,,$C$7,,,,IF($D$9=1,{"jtb.opcconscontr=2"},{"jtb.opcconscontr=3"})),"-")</f>
        <v>0</v>
      </c>
      <c r="F58" s="45">
        <f>IFERROR(_xll.ECONOMATICA($C$5,"fr Assoc",,F$16,,,,$C$7,,,,IF($D$9=1,{"jtb.opcconscontr=2"},{"jtb.opcconscontr=3"})),"-")</f>
        <v>0</v>
      </c>
    </row>
    <row r="59" spans="2:6" ht="15" customHeight="1" outlineLevel="7" x14ac:dyDescent="0.3">
      <c r="B59" s="81" t="s">
        <v>65</v>
      </c>
      <c r="C59" s="82"/>
      <c r="D59" s="41">
        <f>IFERROR(_xll.ECONOMATICA($C$5,"fr Subs",,D$16,,,,$C$7,,,,IF($D$9=1,{"jtb.opcconscontr=2"},{"jtb.opcconscontr=3"})),"-")</f>
        <v>0</v>
      </c>
      <c r="E59" s="36">
        <f>IFERROR(_xll.ECONOMATICA($C$5,"fr Subs",,E$16,,,,$C$7,,,,IF($D$9=1,{"jtb.opcconscontr=2"},{"jtb.opcconscontr=3"})),"-")</f>
        <v>0</v>
      </c>
      <c r="F59" s="37">
        <f>IFERROR(_xll.ECONOMATICA($C$5,"fr Subs",,F$16,,,,$C$7,,,,IF($D$9=1,{"jtb.opcconscontr=2"},{"jtb.opcconscontr=3"})),"-")</f>
        <v>0</v>
      </c>
    </row>
    <row r="60" spans="2:6" ht="15" customHeight="1" outlineLevel="7" x14ac:dyDescent="0.3">
      <c r="B60" s="83" t="s">
        <v>66</v>
      </c>
      <c r="C60" s="84"/>
      <c r="D60" s="43">
        <f>IFERROR(_xll.ECONOMATICA($C$5,"ReFrParCo",,D$16,,,,$C$7,,,,IF($D$9=1,{"jtb.opcconscontr=2"},{"jtb.opcconscontr=3"})),"-")</f>
        <v>0</v>
      </c>
      <c r="E60" s="44">
        <f>IFERROR(_xll.ECONOMATICA($C$5,"ReFrParCo",,E$16,,,,$C$7,,,,IF($D$9=1,{"jtb.opcconscontr=2"},{"jtb.opcconscontr=3"})),"-")</f>
        <v>0</v>
      </c>
      <c r="F60" s="45">
        <f>IFERROR(_xll.ECONOMATICA($C$5,"ReFrParCo",,F$16,,,,$C$7,,,,IF($D$9=1,{"jtb.opcconscontr=2"},{"jtb.opcconscontr=3"})),"-")</f>
        <v>0</v>
      </c>
    </row>
    <row r="61" spans="2:6" ht="15" customHeight="1" outlineLevel="7" x14ac:dyDescent="0.3">
      <c r="B61" s="81" t="s">
        <v>67</v>
      </c>
      <c r="C61" s="82"/>
      <c r="D61" s="41">
        <f>IFERROR(_xll.ECONOMATICA($C$5,"ReOtRePa",,D$16,,,,$C$7,,,,IF($D$9=1,{"jtb.opcconscontr=2"},{"jtb.opcconscontr=3"})),"-")</f>
        <v>0</v>
      </c>
      <c r="E61" s="36">
        <f>IFERROR(_xll.ECONOMATICA($C$5,"ReOtRePa",,E$16,,,,$C$7,,,,IF($D$9=1,{"jtb.opcconscontr=2"},{"jtb.opcconscontr=3"})),"-")</f>
        <v>0</v>
      </c>
      <c r="F61" s="37">
        <f>IFERROR(_xll.ECONOMATICA($C$5,"ReOtRePa",,F$16,,,,$C$7,,,,IF($D$9=1,{"jtb.opcconscontr=2"},{"jtb.opcconscontr=3"})),"-")</f>
        <v>0</v>
      </c>
    </row>
    <row r="62" spans="2:6" ht="15" customHeight="1" outlineLevel="7" x14ac:dyDescent="0.3">
      <c r="B62" s="80" t="s">
        <v>68</v>
      </c>
      <c r="C62" s="64"/>
      <c r="D62" s="43">
        <f>IFERROR(_xll.ECONOMATICA($C$5,"OtNCAst",,D$16,,,,$C$7,,,,IF($D$9=1,{"jtb.opcconscontr=2"},{"jtb.opcconscontr=3"})),"-")</f>
        <v>65777000</v>
      </c>
      <c r="E62" s="44">
        <f>IFERROR(_xll.ECONOMATICA($C$5,"OtNCAst",,E$16,,,,$C$7,,,,IF($D$9=1,{"jtb.opcconscontr=2"},{"jtb.opcconscontr=3"})),"-")</f>
        <v>82599000</v>
      </c>
      <c r="F62" s="45">
        <f>IFERROR(_xll.ECONOMATICA($C$5,"OtNCAst",,F$16,,,,$C$7,,,,IF($D$9=1,{"jtb.opcconscontr=2"},{"jtb.opcconscontr=3"})),"-")</f>
        <v>81048000</v>
      </c>
    </row>
    <row r="63" spans="2:6" ht="15" customHeight="1" outlineLevel="7" x14ac:dyDescent="0.3">
      <c r="B63" s="81" t="s">
        <v>69</v>
      </c>
      <c r="C63" s="82"/>
      <c r="D63" s="41">
        <f>IFERROR(_xll.ECONOMATICA($C$5,"NCHFSAsLT",,D$16,,,,$C$7,,,,IF($D$9=1,{"jtb.opcconscontr=2"},{"jtb.opcconscontr=3"})),"-")</f>
        <v>0</v>
      </c>
      <c r="E63" s="36">
        <f>IFERROR(_xll.ECONOMATICA($C$5,"NCHFSAsLT",,E$16,,,,$C$7,,,,IF($D$9=1,{"jtb.opcconscontr=2"},{"jtb.opcconscontr=3"})),"-")</f>
        <v>0</v>
      </c>
      <c r="F63" s="37">
        <f>IFERROR(_xll.ECONOMATICA($C$5,"NCHFSAsLT",,F$16,,,,$C$7,,,,IF($D$9=1,{"jtb.opcconscontr=2"},{"jtb.opcconscontr=3"})),"-")</f>
        <v>0</v>
      </c>
    </row>
    <row r="64" spans="2:6" ht="15" customHeight="1" outlineLevel="7" x14ac:dyDescent="0.3">
      <c r="B64" s="83" t="s">
        <v>70</v>
      </c>
      <c r="C64" s="84"/>
      <c r="D64" s="43">
        <f>IFERROR(_xll.ECONOMATICA($C$5,"DiscOpsLT",,D$16,,,,$C$7,,,,IF($D$9=1,{"jtb.opcconscontr=2"},{"jtb.opcconscontr=3"})),"-")</f>
        <v>0</v>
      </c>
      <c r="E64" s="44">
        <f>IFERROR(_xll.ECONOMATICA($C$5,"DiscOpsLT",,E$16,,,,$C$7,,,,IF($D$9=1,{"jtb.opcconscontr=2"},{"jtb.opcconscontr=3"})),"-")</f>
        <v>0</v>
      </c>
      <c r="F64" s="45">
        <f>IFERROR(_xll.ECONOMATICA($C$5,"DiscOpsLT",,F$16,,,,$C$7,,,,IF($D$9=1,{"jtb.opcconscontr=2"},{"jtb.opcconscontr=3"})),"-")</f>
        <v>0</v>
      </c>
    </row>
    <row r="65" spans="2:6" ht="15" customHeight="1" outlineLevel="7" x14ac:dyDescent="0.3">
      <c r="B65" s="81" t="s">
        <v>39</v>
      </c>
      <c r="C65" s="82"/>
      <c r="D65" s="41">
        <f>IFERROR(_xll.ECONOMATICA($C$5,"OtherONCA",,D$16,,,,$C$7,,,,IF($D$9=1,{"jtb.opcconscontr=2"},{"jtb.opcconscontr=3"})),"-")</f>
        <v>65777000</v>
      </c>
      <c r="E65" s="36">
        <f>IFERROR(_xll.ECONOMATICA($C$5,"OtherONCA",,E$16,,,,$C$7,,,,IF($D$9=1,{"jtb.opcconscontr=2"},{"jtb.opcconscontr=3"})),"-")</f>
        <v>82599000</v>
      </c>
      <c r="F65" s="37">
        <f>IFERROR(_xll.ECONOMATICA($C$5,"OtherONCA",,F$16,,,,$C$7,,,,IF($D$9=1,{"jtb.opcconscontr=2"},{"jtb.opcconscontr=3"})),"-")</f>
        <v>81048000</v>
      </c>
    </row>
    <row r="66" spans="2:6" ht="15" customHeight="1" outlineLevel="7" x14ac:dyDescent="0.3">
      <c r="B66" s="67" t="s">
        <v>71</v>
      </c>
      <c r="C66" s="68"/>
      <c r="D66" s="43">
        <f>IFERROR(_xll.ECONOMATICA($C$5,"Investm",,D$16,,,,$C$7,,,,IF($D$9=1,{"jtb.opcconscontr=2"},{"jtb.opcconscontr=3"})),"-")</f>
        <v>8172000</v>
      </c>
      <c r="E66" s="44">
        <f>IFERROR(_xll.ECONOMATICA($C$5,"Investm",,E$16,,,,$C$7,,,,IF($D$9=1,{"jtb.opcconscontr=2"},{"jtb.opcconscontr=3"})),"-")</f>
        <v>6574000</v>
      </c>
      <c r="F66" s="45">
        <f>IFERROR(_xll.ECONOMATICA($C$5,"Investm",,F$16,,,,$C$7,,,,IF($D$9=1,{"jtb.opcconscontr=2"},{"jtb.opcconscontr=3"})),"-")</f>
        <v>5480000</v>
      </c>
    </row>
    <row r="67" spans="2:6" ht="15" customHeight="1" outlineLevel="7" x14ac:dyDescent="0.3">
      <c r="B67" s="79" t="s">
        <v>72</v>
      </c>
      <c r="C67" s="62"/>
      <c r="D67" s="41" t="str">
        <f>IFERROR(_xll.ECONOMATICA($C$5,"InSuOt",,D$16,,,,$C$7,,,,IF($D$9=1,{"jtb.opcconscontr=2"},{"jtb.opcconscontr=3"})),"-")</f>
        <v>-</v>
      </c>
      <c r="E67" s="36" t="str">
        <f>IFERROR(_xll.ECONOMATICA($C$5,"InSuOt",,E$16,,,,$C$7,,,,IF($D$9=1,{"jtb.opcconscontr=2"},{"jtb.opcconscontr=3"})),"-")</f>
        <v>-</v>
      </c>
      <c r="F67" s="37" t="str">
        <f>IFERROR(_xll.ECONOMATICA($C$5,"InSuOt",,F$16,,,,$C$7,,,,IF($D$9=1,{"jtb.opcconscontr=2"},{"jtb.opcconscontr=3"})),"-")</f>
        <v>-</v>
      </c>
    </row>
    <row r="68" spans="2:6" ht="15" customHeight="1" outlineLevel="7" x14ac:dyDescent="0.3">
      <c r="B68" s="83" t="s">
        <v>73</v>
      </c>
      <c r="C68" s="84"/>
      <c r="D68" s="43" t="str">
        <f>IFERROR(_xll.ECONOMATICA($C$5,"InvAssocCos",,D$16,,,,$C$7,,,,IF($D$9=1,{"jtb.opcconscontr=2"},{"jtb.opcconscontr=3"})),"-")</f>
        <v>-</v>
      </c>
      <c r="E68" s="44" t="str">
        <f>IFERROR(_xll.ECONOMATICA($C$5,"InvAssocCos",,E$16,,,,$C$7,,,,IF($D$9=1,{"jtb.opcconscontr=2"},{"jtb.opcconscontr=3"})),"-")</f>
        <v>-</v>
      </c>
      <c r="F68" s="45" t="str">
        <f>IFERROR(_xll.ECONOMATICA($C$5,"InvAssocCos",,F$16,,,,$C$7,,,,IF($D$9=1,{"jtb.opcconscontr=2"},{"jtb.opcconscontr=3"})),"-")</f>
        <v>-</v>
      </c>
    </row>
    <row r="69" spans="2:6" ht="15" customHeight="1" outlineLevel="7" x14ac:dyDescent="0.3">
      <c r="B69" s="81" t="s">
        <v>74</v>
      </c>
      <c r="C69" s="82"/>
      <c r="D69" s="41" t="str">
        <f>IFERROR(_xll.ECONOMATICA($C$5,"InvSubs",,D$16,,,,$C$7,,,,IF($D$9=1,{"jtb.opcconscontr=2"},{"jtb.opcconscontr=3"})),"-")</f>
        <v>-</v>
      </c>
      <c r="E69" s="36" t="str">
        <f>IFERROR(_xll.ECONOMATICA($C$5,"InvSubs",,E$16,,,,$C$7,,,,IF($D$9=1,{"jtb.opcconscontr=2"},{"jtb.opcconscontr=3"})),"-")</f>
        <v>-</v>
      </c>
      <c r="F69" s="37" t="str">
        <f>IFERROR(_xll.ECONOMATICA($C$5,"InvSubs",,F$16,,,,$C$7,,,,IF($D$9=1,{"jtb.opcconscontr=2"},{"jtb.opcconscontr=3"})),"-")</f>
        <v>-</v>
      </c>
    </row>
    <row r="70" spans="2:6" ht="15" customHeight="1" outlineLevel="7" x14ac:dyDescent="0.3">
      <c r="B70" s="83" t="s">
        <v>75</v>
      </c>
      <c r="C70" s="84"/>
      <c r="D70" s="43" t="str">
        <f>IFERROR(_xll.ECONOMATICA($C$5,"InJoVen",,D$16,,,,$C$7,,,,IF($D$9=1,{"jtb.opcconscontr=2"},{"jtb.opcconscontr=3"})),"-")</f>
        <v>-</v>
      </c>
      <c r="E70" s="44" t="str">
        <f>IFERROR(_xll.ECONOMATICA($C$5,"InJoVen",,E$16,,,,$C$7,,,,IF($D$9=1,{"jtb.opcconscontr=2"},{"jtb.opcconscontr=3"})),"-")</f>
        <v>-</v>
      </c>
      <c r="F70" s="45" t="str">
        <f>IFERROR(_xll.ECONOMATICA($C$5,"InJoVen",,F$16,,,,$C$7,,,,IF($D$9=1,{"jtb.opcconscontr=2"},{"jtb.opcconscontr=3"})),"-")</f>
        <v>-</v>
      </c>
    </row>
    <row r="71" spans="2:6" ht="15" customHeight="1" outlineLevel="7" x14ac:dyDescent="0.3">
      <c r="B71" s="81" t="s">
        <v>76</v>
      </c>
      <c r="C71" s="82"/>
      <c r="D71" s="41" t="str">
        <f>IFERROR(_xll.ECONOMATICA($C$5,"OtInReCo",,D$16,,,,$C$7,,,,IF($D$9=1,{"jtb.opcconscontr=2"},{"jtb.opcconscontr=3"})),"-")</f>
        <v>-</v>
      </c>
      <c r="E71" s="36" t="str">
        <f>IFERROR(_xll.ECONOMATICA($C$5,"OtInReCo",,E$16,,,,$C$7,,,,IF($D$9=1,{"jtb.opcconscontr=2"},{"jtb.opcconscontr=3"})),"-")</f>
        <v>-</v>
      </c>
      <c r="F71" s="37" t="str">
        <f>IFERROR(_xll.ECONOMATICA($C$5,"OtInReCo",,F$16,,,,$C$7,,,,IF($D$9=1,{"jtb.opcconscontr=2"},{"jtb.opcconscontr=3"})),"-")</f>
        <v>-</v>
      </c>
    </row>
    <row r="72" spans="2:6" ht="15" customHeight="1" outlineLevel="7" x14ac:dyDescent="0.3">
      <c r="B72" s="80" t="s">
        <v>77</v>
      </c>
      <c r="C72" s="64"/>
      <c r="D72" s="43" t="str">
        <f>IFERROR(_xll.ECONOMATICA($C$5,"InvProp",,D$16,,,,$C$7,,,,IF($D$9=1,{"jtb.opcconscontr=2"},{"jtb.opcconscontr=3"})),"-")</f>
        <v>-</v>
      </c>
      <c r="E72" s="44" t="str">
        <f>IFERROR(_xll.ECONOMATICA($C$5,"InvProp",,E$16,,,,$C$7,,,,IF($D$9=1,{"jtb.opcconscontr=2"},{"jtb.opcconscontr=3"})),"-")</f>
        <v>-</v>
      </c>
      <c r="F72" s="45" t="str">
        <f>IFERROR(_xll.ECONOMATICA($C$5,"InvProp",,F$16,,,,$C$7,,,,IF($D$9=1,{"jtb.opcconscontr=2"},{"jtb.opcconscontr=3"})),"-")</f>
        <v>-</v>
      </c>
    </row>
    <row r="73" spans="2:6" ht="15" customHeight="1" outlineLevel="7" x14ac:dyDescent="0.3">
      <c r="B73" s="77" t="s">
        <v>78</v>
      </c>
      <c r="C73" s="78"/>
      <c r="D73" s="41">
        <f>IFERROR(_xll.ECONOMATICA($C$5,"PPE Net",,D$16,,,,$C$7,,,,IF($D$9=1,{"jtb.opcconscontr=2"},{"jtb.opcconscontr=3"})),"-")</f>
        <v>679182000</v>
      </c>
      <c r="E73" s="36">
        <f>IFERROR(_xll.ECONOMATICA($C$5,"PPE Net",,E$16,,,,$C$7,,,,IF($D$9=1,{"jtb.opcconscontr=2"},{"jtb.opcconscontr=3"})),"-")</f>
        <v>742774000</v>
      </c>
      <c r="F73" s="37">
        <f>IFERROR(_xll.ECONOMATICA($C$5,"PPE Net",,F$16,,,,$C$7,,,,IF($D$9=1,{"jtb.opcconscontr=2"},{"jtb.opcconscontr=3"})),"-")</f>
        <v>755739000</v>
      </c>
    </row>
    <row r="74" spans="2:6" ht="15" customHeight="1" outlineLevel="7" x14ac:dyDescent="0.3">
      <c r="B74" s="80" t="s">
        <v>79</v>
      </c>
      <c r="C74" s="64"/>
      <c r="D74" s="43" t="str">
        <f>IFERROR(_xll.ECONOMATICA($C$5,"InOper",,D$16,,,,$C$7,,,,IF($D$9=1,{"jtb.opcconscontr=2"},{"jtb.opcconscontr=3"})),"-")</f>
        <v>-</v>
      </c>
      <c r="E74" s="44" t="str">
        <f>IFERROR(_xll.ECONOMATICA($C$5,"InOper",,E$16,,,,$C$7,,,,IF($D$9=1,{"jtb.opcconscontr=2"},{"jtb.opcconscontr=3"})),"-")</f>
        <v>-</v>
      </c>
      <c r="F74" s="45" t="str">
        <f>IFERROR(_xll.ECONOMATICA($C$5,"InOper",,F$16,,,,$C$7,,,,IF($D$9=1,{"jtb.opcconscontr=2"},{"jtb.opcconscontr=3"})),"-")</f>
        <v>-</v>
      </c>
    </row>
    <row r="75" spans="2:6" ht="15" customHeight="1" outlineLevel="7" x14ac:dyDescent="0.3">
      <c r="B75" s="79" t="s">
        <v>80</v>
      </c>
      <c r="C75" s="62"/>
      <c r="D75" s="41" t="str">
        <f>IFERROR(_xll.ECONOMATICA($C$5,"Leased",,D$16,,,,$C$7,,,,IF($D$9=1,{"jtb.opcconscontr=2"},{"jtb.opcconscontr=3"})),"-")</f>
        <v>-</v>
      </c>
      <c r="E75" s="36" t="str">
        <f>IFERROR(_xll.ECONOMATICA($C$5,"Leased",,E$16,,,,$C$7,,,,IF($D$9=1,{"jtb.opcconscontr=2"},{"jtb.opcconscontr=3"})),"-")</f>
        <v>-</v>
      </c>
      <c r="F75" s="37" t="str">
        <f>IFERROR(_xll.ECONOMATICA($C$5,"Leased",,F$16,,,,$C$7,,,,IF($D$9=1,{"jtb.opcconscontr=2"},{"jtb.opcconscontr=3"})),"-")</f>
        <v>-</v>
      </c>
    </row>
    <row r="76" spans="2:6" ht="15" customHeight="1" outlineLevel="7" x14ac:dyDescent="0.3">
      <c r="B76" s="80" t="s">
        <v>81</v>
      </c>
      <c r="C76" s="64"/>
      <c r="D76" s="43" t="str">
        <f>IFERROR(_xll.ECONOMATICA($C$5,"InmCur",,D$16,,,,$C$7,,,,IF($D$9=1,{"jtb.opcconscontr=2"},{"jtb.opcconscontr=3"})),"-")</f>
        <v>-</v>
      </c>
      <c r="E76" s="44" t="str">
        <f>IFERROR(_xll.ECONOMATICA($C$5,"InmCur",,E$16,,,,$C$7,,,,IF($D$9=1,{"jtb.opcconscontr=2"},{"jtb.opcconscontr=3"})),"-")</f>
        <v>-</v>
      </c>
      <c r="F76" s="45" t="str">
        <f>IFERROR(_xll.ECONOMATICA($C$5,"InmCur",,F$16,,,,$C$7,,,,IF($D$9=1,{"jtb.opcconscontr=2"},{"jtb.opcconscontr=3"})),"-")</f>
        <v>-</v>
      </c>
    </row>
    <row r="77" spans="2:6" ht="15" customHeight="1" outlineLevel="7" x14ac:dyDescent="0.3">
      <c r="B77" s="77" t="s">
        <v>82</v>
      </c>
      <c r="C77" s="78"/>
      <c r="D77" s="41">
        <f>IFERROR(_xll.ECONOMATICA($C$5,"IntNet",,D$16,,,,$C$7,,,,IF($D$9=1,{"jtb.opcconscontr=2"},{"jtb.opcconscontr=3"})),"-")</f>
        <v>15581000</v>
      </c>
      <c r="E77" s="36">
        <f>IFERROR(_xll.ECONOMATICA($C$5,"IntNet",,E$16,,,,$C$7,,,,IF($D$9=1,{"jtb.opcconscontr=2"},{"jtb.opcconscontr=3"})),"-")</f>
        <v>14726000</v>
      </c>
      <c r="F77" s="37">
        <f>IFERROR(_xll.ECONOMATICA($C$5,"IntNet",,F$16,,,,$C$7,,,,IF($D$9=1,{"jtb.opcconscontr=2"},{"jtb.opcconscontr=3"})),"-")</f>
        <v>14943000</v>
      </c>
    </row>
    <row r="78" spans="2:6" ht="15" customHeight="1" outlineLevel="7" x14ac:dyDescent="0.3">
      <c r="B78" s="80" t="s">
        <v>83</v>
      </c>
      <c r="C78" s="64"/>
      <c r="D78" s="43" t="str">
        <f>IFERROR(_xll.ECONOMATICA($C$5,"Intang",,D$16,,,,$C$7,,,,IF($D$9=1,{"jtb.opcconscontr=2"},{"jtb.opcconscontr=3"})),"-")</f>
        <v>-</v>
      </c>
      <c r="E78" s="44" t="str">
        <f>IFERROR(_xll.ECONOMATICA($C$5,"Intang",,E$16,,,,$C$7,,,,IF($D$9=1,{"jtb.opcconscontr=2"},{"jtb.opcconscontr=3"})),"-")</f>
        <v>-</v>
      </c>
      <c r="F78" s="45" t="str">
        <f>IFERROR(_xll.ECONOMATICA($C$5,"Intang",,F$16,,,,$C$7,,,,IF($D$9=1,{"jtb.opcconscontr=2"},{"jtb.opcconscontr=3"})),"-")</f>
        <v>-</v>
      </c>
    </row>
    <row r="79" spans="2:6" ht="15" customHeight="1" outlineLevel="7" x14ac:dyDescent="0.3">
      <c r="B79" s="81" t="s">
        <v>84</v>
      </c>
      <c r="C79" s="82"/>
      <c r="D79" s="41" t="str">
        <f>IFERROR(_xll.ECONOMATICA($C$5,"ConArrang",,D$16,,,,$C$7,,,,IF($D$9=1,{"jtb.opcconscontr=2"},{"jtb.opcconscontr=3"})),"-")</f>
        <v>-</v>
      </c>
      <c r="E79" s="36" t="str">
        <f>IFERROR(_xll.ECONOMATICA($C$5,"ConArrang",,E$16,,,,$C$7,,,,IF($D$9=1,{"jtb.opcconscontr=2"},{"jtb.opcconscontr=3"})),"-")</f>
        <v>-</v>
      </c>
      <c r="F79" s="37" t="str">
        <f>IFERROR(_xll.ECONOMATICA($C$5,"ConArrang",,F$16,,,,$C$7,,,,IF($D$9=1,{"jtb.opcconscontr=2"},{"jtb.opcconscontr=3"})),"-")</f>
        <v>-</v>
      </c>
    </row>
    <row r="80" spans="2:6" ht="15" customHeight="1" outlineLevel="7" x14ac:dyDescent="0.3">
      <c r="B80" s="83" t="s">
        <v>39</v>
      </c>
      <c r="C80" s="84"/>
      <c r="D80" s="43" t="str">
        <f>IFERROR(_xll.ECONOMATICA($C$5,"OtherIntan",,D$16,,,,$C$7,,,,IF($D$9=1,{"jtb.opcconscontr=2"},{"jtb.opcconscontr=3"})),"-")</f>
        <v>-</v>
      </c>
      <c r="E80" s="44" t="str">
        <f>IFERROR(_xll.ECONOMATICA($C$5,"OtherIntan",,E$16,,,,$C$7,,,,IF($D$9=1,{"jtb.opcconscontr=2"},{"jtb.opcconscontr=3"})),"-")</f>
        <v>-</v>
      </c>
      <c r="F80" s="45" t="str">
        <f>IFERROR(_xll.ECONOMATICA($C$5,"OtherIntan",,F$16,,,,$C$7,,,,IF($D$9=1,{"jtb.opcconscontr=2"},{"jtb.opcconscontr=3"})),"-")</f>
        <v>-</v>
      </c>
    </row>
    <row r="81" spans="2:6" ht="15" customHeight="1" outlineLevel="7" x14ac:dyDescent="0.3">
      <c r="B81" s="89" t="s">
        <v>85</v>
      </c>
      <c r="C81" s="90"/>
      <c r="D81" s="42" t="str">
        <f>IFERROR(_xll.ECONOMATICA($C$5,"Goodwill",,D$16,,,,$C$7,,,,IF($D$9=1,{"jtb.opcconscontr=2"},{"jtb.opcconscontr=3"})),"-")</f>
        <v>-</v>
      </c>
      <c r="E81" s="38" t="str">
        <f>IFERROR(_xll.ECONOMATICA($C$5,"Goodwill",,E$16,,,,$C$7,,,,IF($D$9=1,{"jtb.opcconscontr=2"},{"jtb.opcconscontr=3"})),"-")</f>
        <v>-</v>
      </c>
      <c r="F81" s="39" t="str">
        <f>IFERROR(_xll.ECONOMATICA($C$5,"Goodwill",,F$16,,,,$C$7,,,,IF($D$9=1,{"jtb.opcconscontr=2"},{"jtb.opcconscontr=3"})),"-")</f>
        <v>-</v>
      </c>
    </row>
    <row r="82" spans="2:6" s="3" customFormat="1" ht="15" customHeight="1" x14ac:dyDescent="0.3"/>
    <row r="83" spans="2:6" ht="15" customHeight="1" outlineLevel="2" thickBot="1" x14ac:dyDescent="0.35">
      <c r="B83" s="104" t="s">
        <v>3</v>
      </c>
      <c r="C83" s="105"/>
      <c r="D83" s="32">
        <f>$D$16</f>
        <v>44926</v>
      </c>
      <c r="E83" s="32">
        <f>$E$16</f>
        <v>45291</v>
      </c>
      <c r="F83" s="33">
        <f>$F$16</f>
        <v>45473</v>
      </c>
    </row>
    <row r="84" spans="2:6" ht="15" customHeight="1" outlineLevel="2" thickTop="1" x14ac:dyDescent="0.3">
      <c r="B84" s="91" t="s">
        <v>86</v>
      </c>
      <c r="C84" s="92"/>
      <c r="D84" s="48">
        <f>IFERROR(_xll.ECONOMATICA($C$5,"Liability+Equity",,D$83,,,,$C$7,,,,IF($D$9=1,{"jtb.opcconscontr=2"},{"jtb.opcconscontr=3"})),"-")</f>
        <v>976709000</v>
      </c>
      <c r="E84" s="46">
        <f>IFERROR(_xll.ECONOMATICA($C$5,"Liability+Equity",,E$83,,,,$C$7,,,,IF($D$9=1,{"jtb.opcconscontr=2"},{"jtb.opcconscontr=3"})),"-")</f>
        <v>1050888000</v>
      </c>
      <c r="F84" s="47">
        <f>IFERROR(_xll.ECONOMATICA($C$5,"Liability+Equity",,F$83,,,,$C$7,,,,IF($D$9=1,{"jtb.opcconscontr=2"},{"jtb.opcconscontr=3"})),"-")</f>
        <v>1058688000</v>
      </c>
    </row>
    <row r="85" spans="2:6" ht="15" customHeight="1" outlineLevel="2" x14ac:dyDescent="0.3">
      <c r="B85" s="80" t="s">
        <v>87</v>
      </c>
      <c r="C85" s="64"/>
      <c r="D85" s="43">
        <f>IFERROR(_xll.ECONOMATICA($C$5,"Curr Liab",,D$83,,,,$C$7,,,,IF($D$9=1,{"jtb.opcconscontr=2"},{"jtb.opcconscontr=3"})),"-")</f>
        <v>163731000</v>
      </c>
      <c r="E85" s="44">
        <f>IFERROR(_xll.ECONOMATICA($C$5,"Curr Liab",,E$83,,,,$C$7,,,,IF($D$9=1,{"jtb.opcconscontr=2"},{"jtb.opcconscontr=3"})),"-")</f>
        <v>163928000</v>
      </c>
      <c r="F85" s="45">
        <f>IFERROR(_xll.ECONOMATICA($C$5,"Curr Liab",,F$83,,,,$C$7,,,,IF($D$9=1,{"jtb.opcconscontr=2"},{"jtb.opcconscontr=3"})),"-")</f>
        <v>177972000</v>
      </c>
    </row>
    <row r="86" spans="2:6" ht="15" customHeight="1" outlineLevel="2" x14ac:dyDescent="0.3">
      <c r="B86" s="77" t="s">
        <v>88</v>
      </c>
      <c r="C86" s="78"/>
      <c r="D86" s="41">
        <f>IFERROR(_xll.ECONOMATICA($C$5,"Em&amp;SoReLi",,D$83,,,,$C$7,,,,IF($D$9=1,{"jtb.opcconscontr=2"},{"jtb.opcconscontr=3"})),"-")</f>
        <v>7805000</v>
      </c>
      <c r="E86" s="36">
        <f>IFERROR(_xll.ECONOMATICA($C$5,"Em&amp;SoReLi",,E$83,,,,$C$7,,,,IF($D$9=1,{"jtb.opcconscontr=2"},{"jtb.opcconscontr=3"})),"-")</f>
        <v>9802000</v>
      </c>
      <c r="F86" s="37">
        <f>IFERROR(_xll.ECONOMATICA($C$5,"Em&amp;SoReLi",,F$83,,,,$C$7,,,,IF($D$9=1,{"jtb.opcconscontr=2"},{"jtb.opcconscontr=3"})),"-")</f>
        <v>7860000</v>
      </c>
    </row>
    <row r="87" spans="2:6" ht="15" customHeight="1" outlineLevel="1" x14ac:dyDescent="0.3">
      <c r="B87" s="80" t="s">
        <v>89</v>
      </c>
      <c r="C87" s="64"/>
      <c r="D87" s="43" t="str">
        <f>IFERROR(_xll.ECONOMATICA($C$5,"SocReLia",,D$83,,,,$C$7,,,,IF($D$9=1,{"jtb.opcconscontr=2"},{"jtb.opcconscontr=3"})),"-")</f>
        <v>-</v>
      </c>
      <c r="E87" s="44" t="str">
        <f>IFERROR(_xll.ECONOMATICA($C$5,"SocReLia",,E$83,,,,$C$7,,,,IF($D$9=1,{"jtb.opcconscontr=2"},{"jtb.opcconscontr=3"})),"-")</f>
        <v>-</v>
      </c>
      <c r="F87" s="45" t="str">
        <f>IFERROR(_xll.ECONOMATICA($C$5,"SocReLia",,F$83,,,,$C$7,,,,IF($D$9=1,{"jtb.opcconscontr=2"},{"jtb.opcconscontr=3"})),"-")</f>
        <v>-</v>
      </c>
    </row>
    <row r="88" spans="2:6" ht="15" customHeight="1" outlineLevel="1" x14ac:dyDescent="0.3">
      <c r="B88" s="79" t="s">
        <v>90</v>
      </c>
      <c r="C88" s="62"/>
      <c r="D88" s="41" t="str">
        <f>IFERROR(_xll.ECONOMATICA($C$5,"EmReLiST",,D$83,,,,$C$7,,,,IF($D$9=1,{"jtb.opcconscontr=2"},{"jtb.opcconscontr=3"})),"-")</f>
        <v>-</v>
      </c>
      <c r="E88" s="36" t="str">
        <f>IFERROR(_xll.ECONOMATICA($C$5,"EmReLiST",,E$83,,,,$C$7,,,,IF($D$9=1,{"jtb.opcconscontr=2"},{"jtb.opcconscontr=3"})),"-")</f>
        <v>-</v>
      </c>
      <c r="F88" s="37" t="str">
        <f>IFERROR(_xll.ECONOMATICA($C$5,"EmReLiST",,F$83,,,,$C$7,,,,IF($D$9=1,{"jtb.opcconscontr=2"},{"jtb.opcconscontr=3"})),"-")</f>
        <v>-</v>
      </c>
    </row>
    <row r="89" spans="2:6" ht="15" customHeight="1" outlineLevel="1" x14ac:dyDescent="0.3">
      <c r="B89" s="67" t="s">
        <v>91</v>
      </c>
      <c r="C89" s="68"/>
      <c r="D89" s="43">
        <f>IFERROR(_xll.ECONOMATICA($C$5,"ST Acc Payable",,D$83,,,,$C$7,,,,IF($D$9=1,{"jtb.opcconscontr=2"},{"jtb.opcconscontr=3"})),"-")</f>
        <v>28507000</v>
      </c>
      <c r="E89" s="44">
        <f>IFERROR(_xll.ECONOMATICA($C$5,"ST Acc Payable",,E$83,,,,$C$7,,,,IF($D$9=1,{"jtb.opcconscontr=2"},{"jtb.opcconscontr=3"})),"-")</f>
        <v>23302000</v>
      </c>
      <c r="F89" s="45">
        <f>IFERROR(_xll.ECONOMATICA($C$5,"ST Acc Payable",,F$83,,,,$C$7,,,,IF($D$9=1,{"jtb.opcconscontr=2"},{"jtb.opcconscontr=3"})),"-")</f>
        <v>26752000</v>
      </c>
    </row>
    <row r="90" spans="2:6" ht="15" customHeight="1" outlineLevel="1" x14ac:dyDescent="0.3">
      <c r="B90" s="79" t="s">
        <v>92</v>
      </c>
      <c r="C90" s="62"/>
      <c r="D90" s="41" t="str">
        <f>IFERROR(_xll.ECONOMATICA($C$5,"Domest",,D$83,,,,$C$7,,,,IF($D$9=1,{"jtb.opcconscontr=2"},{"jtb.opcconscontr=3"})),"-")</f>
        <v>-</v>
      </c>
      <c r="E90" s="36" t="str">
        <f>IFERROR(_xll.ECONOMATICA($C$5,"Domest",,E$83,,,,$C$7,,,,IF($D$9=1,{"jtb.opcconscontr=2"},{"jtb.opcconscontr=3"})),"-")</f>
        <v>-</v>
      </c>
      <c r="F90" s="37" t="str">
        <f>IFERROR(_xll.ECONOMATICA($C$5,"Domest",,F$83,,,,$C$7,,,,IF($D$9=1,{"jtb.opcconscontr=2"},{"jtb.opcconscontr=3"})),"-")</f>
        <v>-</v>
      </c>
    </row>
    <row r="91" spans="2:6" ht="15" customHeight="1" outlineLevel="1" x14ac:dyDescent="0.3">
      <c r="B91" s="80" t="s">
        <v>93</v>
      </c>
      <c r="C91" s="64"/>
      <c r="D91" s="43" t="str">
        <f>IFERROR(_xll.ECONOMATICA($C$5,"Foreign",,D$83,,,,$C$7,,,,IF($D$9=1,{"jtb.opcconscontr=2"},{"jtb.opcconscontr=3"})),"-")</f>
        <v>-</v>
      </c>
      <c r="E91" s="44" t="str">
        <f>IFERROR(_xll.ECONOMATICA($C$5,"Foreign",,E$83,,,,$C$7,,,,IF($D$9=1,{"jtb.opcconscontr=2"},{"jtb.opcconscontr=3"})),"-")</f>
        <v>-</v>
      </c>
      <c r="F91" s="45" t="str">
        <f>IFERROR(_xll.ECONOMATICA($C$5,"Foreign",,F$83,,,,$C$7,,,,IF($D$9=1,{"jtb.opcconscontr=2"},{"jtb.opcconscontr=3"})),"-")</f>
        <v>-</v>
      </c>
    </row>
    <row r="92" spans="2:6" ht="15" customHeight="1" x14ac:dyDescent="0.3">
      <c r="B92" s="77" t="s">
        <v>94</v>
      </c>
      <c r="C92" s="78"/>
      <c r="D92" s="41">
        <f>IFERROR(_xll.ECONOMATICA($C$5,"Tax payb",,D$83,,,,$C$7,,,,IF($D$9=1,{"jtb.opcconscontr=2"},{"jtb.opcconscontr=3"})),"-")</f>
        <v>15045000</v>
      </c>
      <c r="E92" s="36">
        <f>IFERROR(_xll.ECONOMATICA($C$5,"Tax payb",,E$83,,,,$C$7,,,,IF($D$9=1,{"jtb.opcconscontr=2"},{"jtb.opcconscontr=3"})),"-")</f>
        <v>6295000</v>
      </c>
      <c r="F92" s="37">
        <f>IFERROR(_xll.ECONOMATICA($C$5,"Tax payb",,F$83,,,,$C$7,,,,IF($D$9=1,{"jtb.opcconscontr=2"},{"jtb.opcconscontr=3"})),"-")</f>
        <v>2075000</v>
      </c>
    </row>
    <row r="93" spans="2:6" ht="15" customHeight="1" outlineLevel="1" x14ac:dyDescent="0.3">
      <c r="B93" s="80" t="s">
        <v>95</v>
      </c>
      <c r="C93" s="64"/>
      <c r="D93" s="43">
        <f>IFERROR(_xll.ECONOMATICA($C$5,"Feder",,D$83,,,,$C$7,,,,IF($D$9=1,{"jtb.opcconscontr=2"},{"jtb.opcconscontr=3"})),"-")</f>
        <v>15045000</v>
      </c>
      <c r="E93" s="44">
        <f>IFERROR(_xll.ECONOMATICA($C$5,"Feder",,E$83,,,,$C$7,,,,IF($D$9=1,{"jtb.opcconscontr=2"},{"jtb.opcconscontr=3"})),"-")</f>
        <v>6295000</v>
      </c>
      <c r="F93" s="45">
        <f>IFERROR(_xll.ECONOMATICA($C$5,"Feder",,F$83,,,,$C$7,,,,IF($D$9=1,{"jtb.opcconscontr=2"},{"jtb.opcconscontr=3"})),"-")</f>
        <v>2075000</v>
      </c>
    </row>
    <row r="94" spans="2:6" ht="15" customHeight="1" outlineLevel="1" x14ac:dyDescent="0.3">
      <c r="B94" s="81" t="s">
        <v>96</v>
      </c>
      <c r="C94" s="82"/>
      <c r="D94" s="41">
        <f>IFERROR(_xll.ECONOMATICA($C$5,"IT&amp;SCPay",,D$83,,,,$C$7,,,,IF($D$9=1,{"jtb.opcconscontr=2"},{"jtb.opcconscontr=3"})),"-")</f>
        <v>15045000</v>
      </c>
      <c r="E94" s="36">
        <f>IFERROR(_xll.ECONOMATICA($C$5,"IT&amp;SCPay",,E$83,,,,$C$7,,,,IF($D$9=1,{"jtb.opcconscontr=2"},{"jtb.opcconscontr=3"})),"-")</f>
        <v>6295000</v>
      </c>
      <c r="F94" s="37">
        <f>IFERROR(_xll.ECONOMATICA($C$5,"IT&amp;SCPay",,F$83,,,,$C$7,,,,IF($D$9=1,{"jtb.opcconscontr=2"},{"jtb.opcconscontr=3"})),"-")</f>
        <v>2075000</v>
      </c>
    </row>
    <row r="95" spans="2:6" ht="15" customHeight="1" x14ac:dyDescent="0.3">
      <c r="B95" s="83" t="s">
        <v>39</v>
      </c>
      <c r="C95" s="84"/>
      <c r="D95" s="43">
        <f>IFERROR(_xll.ECONOMATICA($C$5,"OtherFed",,D$83,,,,$C$7,,,,IF($D$9=1,{"jtb.opcconscontr=2"},{"jtb.opcconscontr=3"})),"-")</f>
        <v>0</v>
      </c>
      <c r="E95" s="44">
        <f>IFERROR(_xll.ECONOMATICA($C$5,"OtherFed",,E$83,,,,$C$7,,,,IF($D$9=1,{"jtb.opcconscontr=2"},{"jtb.opcconscontr=3"})),"-")</f>
        <v>0</v>
      </c>
      <c r="F95" s="45">
        <f>IFERROR(_xll.ECONOMATICA($C$5,"OtherFed",,F$83,,,,$C$7,,,,IF($D$9=1,{"jtb.opcconscontr=2"},{"jtb.opcconscontr=3"})),"-")</f>
        <v>0</v>
      </c>
    </row>
    <row r="96" spans="2:6" ht="15" customHeight="1" outlineLevel="1" x14ac:dyDescent="0.3">
      <c r="B96" s="79" t="s">
        <v>97</v>
      </c>
      <c r="C96" s="62"/>
      <c r="D96" s="41">
        <f>IFERROR(_xll.ECONOMATICA($C$5,"Estate",,D$83,,,,$C$7,,,,IF($D$9=1,{"jtb.opcconscontr=2"},{"jtb.opcconscontr=3"})),"-")</f>
        <v>0</v>
      </c>
      <c r="E96" s="36">
        <f>IFERROR(_xll.ECONOMATICA($C$5,"Estate",,E$83,,,,$C$7,,,,IF($D$9=1,{"jtb.opcconscontr=2"},{"jtb.opcconscontr=3"})),"-")</f>
        <v>0</v>
      </c>
      <c r="F96" s="37">
        <f>IFERROR(_xll.ECONOMATICA($C$5,"Estate",,F$83,,,,$C$7,,,,IF($D$9=1,{"jtb.opcconscontr=2"},{"jtb.opcconscontr=3"})),"-")</f>
        <v>0</v>
      </c>
    </row>
    <row r="97" spans="2:6" ht="15" customHeight="1" outlineLevel="1" x14ac:dyDescent="0.3">
      <c r="B97" s="80" t="s">
        <v>98</v>
      </c>
      <c r="C97" s="64"/>
      <c r="D97" s="43">
        <f>IFERROR(_xll.ECONOMATICA($C$5,"Munic",,D$83,,,,$C$7,,,,IF($D$9=1,{"jtb.opcconscontr=2"},{"jtb.opcconscontr=3"})),"-")</f>
        <v>0</v>
      </c>
      <c r="E97" s="44">
        <f>IFERROR(_xll.ECONOMATICA($C$5,"Munic",,E$83,,,,$C$7,,,,IF($D$9=1,{"jtb.opcconscontr=2"},{"jtb.opcconscontr=3"})),"-")</f>
        <v>0</v>
      </c>
      <c r="F97" s="45">
        <f>IFERROR(_xll.ECONOMATICA($C$5,"Munic",,F$83,,,,$C$7,,,,IF($D$9=1,{"jtb.opcconscontr=2"},{"jtb.opcconscontr=3"})),"-")</f>
        <v>0</v>
      </c>
    </row>
    <row r="98" spans="2:6" ht="15" customHeight="1" outlineLevel="1" x14ac:dyDescent="0.3">
      <c r="B98" s="77" t="s">
        <v>99</v>
      </c>
      <c r="C98" s="78"/>
      <c r="D98" s="41">
        <f>IFERROR(_xll.ECONOMATICA($C$5,"TotDebtST",,D$83,,,,$C$7,,,,IF($D$9=1,{"jtb.opcconscontr=2"},{"jtb.opcconscontr=3"})),"-")</f>
        <v>47650000</v>
      </c>
      <c r="E98" s="36">
        <f>IFERROR(_xll.ECONOMATICA($C$5,"TotDebtST",,E$83,,,,$C$7,,,,IF($D$9=1,{"jtb.opcconscontr=2"},{"jtb.opcconscontr=3"})),"-")</f>
        <v>55781000</v>
      </c>
      <c r="F98" s="37">
        <f>IFERROR(_xll.ECONOMATICA($C$5,"TotDebtST",,F$83,,,,$C$7,,,,IF($D$9=1,{"jtb.opcconscontr=2"},{"jtb.opcconscontr=3"})),"-")</f>
        <v>67003000</v>
      </c>
    </row>
    <row r="99" spans="2:6" ht="15" customHeight="1" outlineLevel="1" x14ac:dyDescent="0.3">
      <c r="B99" s="80" t="s">
        <v>100</v>
      </c>
      <c r="C99" s="64"/>
      <c r="D99" s="43">
        <f>IFERROR(_xll.ECONOMATICA($C$5,"ST Debt",,D$83,,,,$C$7,,,,IF($D$9=1,{"jtb.opcconscontr=2"},{"jtb.opcconscontr=3"})),"-")</f>
        <v>18656000</v>
      </c>
      <c r="E99" s="44">
        <f>IFERROR(_xll.ECONOMATICA($C$5,"ST Debt",,E$83,,,,$C$7,,,,IF($D$9=1,{"jtb.opcconscontr=2"},{"jtb.opcconscontr=3"})),"-")</f>
        <v>20923000</v>
      </c>
      <c r="F99" s="45">
        <f>IFERROR(_xll.ECONOMATICA($C$5,"ST Debt",,F$83,,,,$C$7,,,,IF($D$9=1,{"jtb.opcconscontr=2"},{"jtb.opcconscontr=3"})),"-")</f>
        <v>25663000</v>
      </c>
    </row>
    <row r="100" spans="2:6" ht="15" customHeight="1" x14ac:dyDescent="0.3">
      <c r="B100" s="81" t="s">
        <v>101</v>
      </c>
      <c r="C100" s="82"/>
      <c r="D100" s="41" t="str">
        <f>IFERROR(_xll.ECONOMATICA($C$5,"STDebLocalCur",,D$83,,,,$C$7,,,,IF($D$9=1,{"jtb.opcconscontr=2"},{"jtb.opcconscontr=3"})),"-")</f>
        <v>-</v>
      </c>
      <c r="E100" s="36" t="str">
        <f>IFERROR(_xll.ECONOMATICA($C$5,"STDebLocalCur",,E$83,,,,$C$7,,,,IF($D$9=1,{"jtb.opcconscontr=2"},{"jtb.opcconscontr=3"})),"-")</f>
        <v>-</v>
      </c>
      <c r="F100" s="37" t="str">
        <f>IFERROR(_xll.ECONOMATICA($C$5,"STDebLocalCur",,F$83,,,,$C$7,,,,IF($D$9=1,{"jtb.opcconscontr=2"},{"jtb.opcconscontr=3"})),"-")</f>
        <v>-</v>
      </c>
    </row>
    <row r="101" spans="2:6" ht="15" customHeight="1" x14ac:dyDescent="0.3">
      <c r="B101" s="83" t="s">
        <v>102</v>
      </c>
      <c r="C101" s="84"/>
      <c r="D101" s="43" t="str">
        <f>IFERROR(_xll.ECONOMATICA($C$5,"STDebForgnCur",,D$83,,,,$C$7,,,,IF($D$9=1,{"jtb.opcconscontr=2"},{"jtb.opcconscontr=3"})),"-")</f>
        <v>-</v>
      </c>
      <c r="E101" s="44" t="str">
        <f>IFERROR(_xll.ECONOMATICA($C$5,"STDebForgnCur",,E$83,,,,$C$7,,,,IF($D$9=1,{"jtb.opcconscontr=2"},{"jtb.opcconscontr=3"})),"-")</f>
        <v>-</v>
      </c>
      <c r="F101" s="45" t="str">
        <f>IFERROR(_xll.ECONOMATICA($C$5,"STDebForgnCur",,F$83,,,,$C$7,,,,IF($D$9=1,{"jtb.opcconscontr=2"},{"jtb.opcconscontr=3"})),"-")</f>
        <v>-</v>
      </c>
    </row>
    <row r="102" spans="2:6" ht="15" customHeight="1" outlineLevel="1" x14ac:dyDescent="0.3">
      <c r="B102" s="79" t="s">
        <v>103</v>
      </c>
      <c r="C102" s="62"/>
      <c r="D102" s="41">
        <f>IFERROR(_xll.ECONOMATICA($C$5,"ST Debent",,D$83,,,,$C$7,,,,IF($D$9=1,{"jtb.opcconscontr=2"},{"jtb.opcconscontr=3"})),"-")</f>
        <v>0</v>
      </c>
      <c r="E102" s="36">
        <f>IFERROR(_xll.ECONOMATICA($C$5,"ST Debent",,E$83,,,,$C$7,,,,IF($D$9=1,{"jtb.opcconscontr=2"},{"jtb.opcconscontr=3"})),"-")</f>
        <v>0</v>
      </c>
      <c r="F102" s="37">
        <f>IFERROR(_xll.ECONOMATICA($C$5,"ST Debent",,F$83,,,,$C$7,,,,IF($D$9=1,{"jtb.opcconscontr=2"},{"jtb.opcconscontr=3"})),"-")</f>
        <v>0</v>
      </c>
    </row>
    <row r="103" spans="2:6" ht="15" customHeight="1" outlineLevel="1" x14ac:dyDescent="0.3">
      <c r="B103" s="80" t="s">
        <v>104</v>
      </c>
      <c r="C103" s="64"/>
      <c r="D103" s="43">
        <f>IFERROR(_xll.ECONOMATICA($C$5,"FiLeObl",,D$83,,,,$C$7,,,,IF($D$9=1,{"jtb.opcconscontr=2"},{"jtb.opcconscontr=3"})),"-")</f>
        <v>28994000</v>
      </c>
      <c r="E103" s="44">
        <f>IFERROR(_xll.ECONOMATICA($C$5,"FiLeObl",,E$83,,,,$C$7,,,,IF($D$9=1,{"jtb.opcconscontr=2"},{"jtb.opcconscontr=3"})),"-")</f>
        <v>34858000</v>
      </c>
      <c r="F103" s="45">
        <f>IFERROR(_xll.ECONOMATICA($C$5,"FiLeObl",,F$83,,,,$C$7,,,,IF($D$9=1,{"jtb.opcconscontr=2"},{"jtb.opcconscontr=3"})),"-")</f>
        <v>41340000</v>
      </c>
    </row>
    <row r="104" spans="2:6" ht="15" customHeight="1" outlineLevel="2" x14ac:dyDescent="0.3">
      <c r="B104" s="77" t="s">
        <v>105</v>
      </c>
      <c r="C104" s="78"/>
      <c r="D104" s="41">
        <f>IFERROR(_xll.ECONOMATICA($C$5,"OthOblST",,D$83,,,,$C$7,,,,IF($D$9=1,{"jtb.opcconscontr=2"},{"jtb.opcconscontr=3"})),"-")</f>
        <v>53328000</v>
      </c>
      <c r="E104" s="36">
        <f>IFERROR(_xll.ECONOMATICA($C$5,"OthOblST",,E$83,,,,$C$7,,,,IF($D$9=1,{"jtb.opcconscontr=2"},{"jtb.opcconscontr=3"})),"-")</f>
        <v>51898000</v>
      </c>
      <c r="F104" s="37">
        <f>IFERROR(_xll.ECONOMATICA($C$5,"OthOblST",,F$83,,,,$C$7,,,,IF($D$9=1,{"jtb.opcconscontr=2"},{"jtb.opcconscontr=3"})),"-")</f>
        <v>55778000</v>
      </c>
    </row>
    <row r="105" spans="2:6" ht="15" customHeight="1" outlineLevel="2" x14ac:dyDescent="0.3">
      <c r="B105" s="80" t="s">
        <v>106</v>
      </c>
      <c r="C105" s="64"/>
      <c r="D105" s="43">
        <f>IFERROR(_xll.ECONOMATICA($C$5,"RePaLiaST",,D$83,,,,$C$7,,,,IF($D$9=1,{"jtb.opcconscontr=2"},{"jtb.opcconscontr=3"})),"-")</f>
        <v>0</v>
      </c>
      <c r="E105" s="44">
        <f>IFERROR(_xll.ECONOMATICA($C$5,"RePaLiaST",,E$83,,,,$C$7,,,,IF($D$9=1,{"jtb.opcconscontr=2"},{"jtb.opcconscontr=3"})),"-")</f>
        <v>0</v>
      </c>
      <c r="F105" s="45">
        <f>IFERROR(_xll.ECONOMATICA($C$5,"RePaLiaST",,F$83,,,,$C$7,,,,IF($D$9=1,{"jtb.opcconscontr=2"},{"jtb.opcconscontr=3"})),"-")</f>
        <v>0</v>
      </c>
    </row>
    <row r="106" spans="2:6" ht="15" customHeight="1" outlineLevel="2" x14ac:dyDescent="0.3">
      <c r="B106" s="81" t="s">
        <v>107</v>
      </c>
      <c r="C106" s="82"/>
      <c r="D106" s="41">
        <f>IFERROR(_xll.ECONOMATICA($C$5,"DueAsCoST",,D$83,,,,$C$7,,,,IF($D$9=1,{"jtb.opcconscontr=2"},{"jtb.opcconscontr=3"})),"-")</f>
        <v>0</v>
      </c>
      <c r="E106" s="36">
        <f>IFERROR(_xll.ECONOMATICA($C$5,"DueAsCoST",,E$83,,,,$C$7,,,,IF($D$9=1,{"jtb.opcconscontr=2"},{"jtb.opcconscontr=3"})),"-")</f>
        <v>0</v>
      </c>
      <c r="F106" s="37">
        <f>IFERROR(_xll.ECONOMATICA($C$5,"DueAsCoST",,F$83,,,,$C$7,,,,IF($D$9=1,{"jtb.opcconscontr=2"},{"jtb.opcconscontr=3"})),"-")</f>
        <v>0</v>
      </c>
    </row>
    <row r="107" spans="2:6" ht="15" customHeight="1" outlineLevel="2" x14ac:dyDescent="0.3">
      <c r="B107" s="83" t="s">
        <v>108</v>
      </c>
      <c r="C107" s="84"/>
      <c r="D107" s="43">
        <f>IFERROR(_xll.ECONOMATICA($C$5,"DueSubST",,D$83,,,,$C$7,,,,IF($D$9=1,{"jtb.opcconscontr=2"},{"jtb.opcconscontr=3"})),"-")</f>
        <v>0</v>
      </c>
      <c r="E107" s="44">
        <f>IFERROR(_xll.ECONOMATICA($C$5,"DueSubST",,E$83,,,,$C$7,,,,IF($D$9=1,{"jtb.opcconscontr=2"},{"jtb.opcconscontr=3"})),"-")</f>
        <v>0</v>
      </c>
      <c r="F107" s="45">
        <f>IFERROR(_xll.ECONOMATICA($C$5,"DueSubST",,F$83,,,,$C$7,,,,IF($D$9=1,{"jtb.opcconscontr=2"},{"jtb.opcconscontr=3"})),"-")</f>
        <v>0</v>
      </c>
    </row>
    <row r="108" spans="2:6" ht="15" customHeight="1" outlineLevel="2" x14ac:dyDescent="0.3">
      <c r="B108" s="81" t="s">
        <v>109</v>
      </c>
      <c r="C108" s="82"/>
      <c r="D108" s="41">
        <f>IFERROR(_xll.ECONOMATICA($C$5,"DuePaCoST",,D$83,,,,$C$7,,,,IF($D$9=1,{"jtb.opcconscontr=2"},{"jtb.opcconscontr=3"})),"-")</f>
        <v>0</v>
      </c>
      <c r="E108" s="36">
        <f>IFERROR(_xll.ECONOMATICA($C$5,"DuePaCoST",,E$83,,,,$C$7,,,,IF($D$9=1,{"jtb.opcconscontr=2"},{"jtb.opcconscontr=3"})),"-")</f>
        <v>0</v>
      </c>
      <c r="F108" s="37">
        <f>IFERROR(_xll.ECONOMATICA($C$5,"DuePaCoST",,F$83,,,,$C$7,,,,IF($D$9=1,{"jtb.opcconscontr=2"},{"jtb.opcconscontr=3"})),"-")</f>
        <v>0</v>
      </c>
    </row>
    <row r="109" spans="2:6" ht="15" customHeight="1" outlineLevel="2" x14ac:dyDescent="0.3">
      <c r="B109" s="83" t="s">
        <v>110</v>
      </c>
      <c r="C109" s="84"/>
      <c r="D109" s="43">
        <f>IFERROR(_xll.ECONOMATICA($C$5,"OtRePaST",,D$83,,,,$C$7,,,,IF($D$9=1,{"jtb.opcconscontr=2"},{"jtb.opcconscontr=3"})),"-")</f>
        <v>0</v>
      </c>
      <c r="E109" s="44">
        <f>IFERROR(_xll.ECONOMATICA($C$5,"OtRePaST",,E$83,,,,$C$7,,,,IF($D$9=1,{"jtb.opcconscontr=2"},{"jtb.opcconscontr=3"})),"-")</f>
        <v>0</v>
      </c>
      <c r="F109" s="45">
        <f>IFERROR(_xll.ECONOMATICA($C$5,"OtRePaST",,F$83,,,,$C$7,,,,IF($D$9=1,{"jtb.opcconscontr=2"},{"jtb.opcconscontr=3"})),"-")</f>
        <v>0</v>
      </c>
    </row>
    <row r="110" spans="2:6" ht="15" customHeight="1" outlineLevel="2" x14ac:dyDescent="0.3">
      <c r="B110" s="79" t="s">
        <v>111</v>
      </c>
      <c r="C110" s="62"/>
      <c r="D110" s="41">
        <f>IFERROR(_xll.ECONOMATICA($C$5,"OthST",,D$83,,,,$C$7,,,,IF($D$9=1,{"jtb.opcconscontr=2"},{"jtb.opcconscontr=3"})),"-")</f>
        <v>53328000</v>
      </c>
      <c r="E110" s="36">
        <f>IFERROR(_xll.ECONOMATICA($C$5,"OthST",,E$83,,,,$C$7,,,,IF($D$9=1,{"jtb.opcconscontr=2"},{"jtb.opcconscontr=3"})),"-")</f>
        <v>51898000</v>
      </c>
      <c r="F110" s="37">
        <f>IFERROR(_xll.ECONOMATICA($C$5,"OthST",,F$83,,,,$C$7,,,,IF($D$9=1,{"jtb.opcconscontr=2"},{"jtb.opcconscontr=3"})),"-")</f>
        <v>55778000</v>
      </c>
    </row>
    <row r="111" spans="2:6" ht="15" customHeight="1" outlineLevel="1" x14ac:dyDescent="0.3">
      <c r="B111" s="83" t="s">
        <v>112</v>
      </c>
      <c r="C111" s="84"/>
      <c r="D111" s="43">
        <f>IFERROR(_xll.ECONOMATICA($C$5,"DvDuST",,D$83,,,,$C$7,,,,IF($D$9=1,{"jtb.opcconscontr=2"},{"jtb.opcconscontr=3"})),"-")</f>
        <v>21762000</v>
      </c>
      <c r="E111" s="44">
        <f>IFERROR(_xll.ECONOMATICA($C$5,"DvDuST",,E$83,,,,$C$7,,,,IF($D$9=1,{"jtb.opcconscontr=2"},{"jtb.opcconscontr=3"})),"-")</f>
        <v>17134000</v>
      </c>
      <c r="F111" s="45">
        <f>IFERROR(_xll.ECONOMATICA($C$5,"DvDuST",,F$83,,,,$C$7,,,,IF($D$9=1,{"jtb.opcconscontr=2"},{"jtb.opcconscontr=3"})),"-")</f>
        <v>12757000</v>
      </c>
    </row>
    <row r="112" spans="2:6" ht="15" customHeight="1" outlineLevel="1" x14ac:dyDescent="0.3">
      <c r="B112" s="81" t="s">
        <v>113</v>
      </c>
      <c r="C112" s="82"/>
      <c r="D112" s="41">
        <f>IFERROR(_xll.ECONOMATICA($C$5,"MiDivPay",,D$83,,,,$C$7,,,,IF($D$9=1,{"jtb.opcconscontr=2"},{"jtb.opcconscontr=3"})),"-")</f>
        <v>0</v>
      </c>
      <c r="E112" s="36">
        <f>IFERROR(_xll.ECONOMATICA($C$5,"MiDivPay",,E$83,,,,$C$7,,,,IF($D$9=1,{"jtb.opcconscontr=2"},{"jtb.opcconscontr=3"})),"-")</f>
        <v>0</v>
      </c>
      <c r="F112" s="37">
        <f>IFERROR(_xll.ECONOMATICA($C$5,"MiDivPay",,F$83,,,,$C$7,,,,IF($D$9=1,{"jtb.opcconscontr=2"},{"jtb.opcconscontr=3"})),"-")</f>
        <v>0</v>
      </c>
    </row>
    <row r="113" spans="2:6" ht="15" customHeight="1" outlineLevel="2" x14ac:dyDescent="0.3">
      <c r="B113" s="83" t="s">
        <v>114</v>
      </c>
      <c r="C113" s="84"/>
      <c r="D113" s="43">
        <f>IFERROR(_xll.ECONOMATICA($C$5,"ShBaPaST",,D$83,,,,$C$7,,,,IF($D$9=1,{"jtb.opcconscontr=2"},{"jtb.opcconscontr=3"})),"-")</f>
        <v>0</v>
      </c>
      <c r="E113" s="44">
        <f>IFERROR(_xll.ECONOMATICA($C$5,"ShBaPaST",,E$83,,,,$C$7,,,,IF($D$9=1,{"jtb.opcconscontr=2"},{"jtb.opcconscontr=3"})),"-")</f>
        <v>0</v>
      </c>
      <c r="F113" s="45">
        <f>IFERROR(_xll.ECONOMATICA($C$5,"ShBaPaST",,F$83,,,,$C$7,,,,IF($D$9=1,{"jtb.opcconscontr=2"},{"jtb.opcconscontr=3"})),"-")</f>
        <v>0</v>
      </c>
    </row>
    <row r="114" spans="2:6" ht="15" customHeight="1" outlineLevel="2" x14ac:dyDescent="0.3">
      <c r="B114" s="81" t="s">
        <v>39</v>
      </c>
      <c r="C114" s="82"/>
      <c r="D114" s="41">
        <f>IFERROR(_xll.ECONOMATICA($C$5,"OtherOST",,D$83,,,,$C$7,,,,IF($D$9=1,{"jtb.opcconscontr=2"},{"jtb.opcconscontr=3"})),"-")</f>
        <v>31566000</v>
      </c>
      <c r="E114" s="36">
        <f>IFERROR(_xll.ECONOMATICA($C$5,"OtherOST",,E$83,,,,$C$7,,,,IF($D$9=1,{"jtb.opcconscontr=2"},{"jtb.opcconscontr=3"})),"-")</f>
        <v>34764000</v>
      </c>
      <c r="F114" s="37">
        <f>IFERROR(_xll.ECONOMATICA($C$5,"OtherOST",,F$83,,,,$C$7,,,,IF($D$9=1,{"jtb.opcconscontr=2"},{"jtb.opcconscontr=3"})),"-")</f>
        <v>43021000</v>
      </c>
    </row>
    <row r="115" spans="2:6" ht="15" customHeight="1" outlineLevel="2" x14ac:dyDescent="0.3">
      <c r="B115" s="67" t="s">
        <v>115</v>
      </c>
      <c r="C115" s="68"/>
      <c r="D115" s="43">
        <f>IFERROR(_xll.ECONOMATICA($C$5,"ST Provis",,D$83,,,,$C$7,,,,IF($D$9=1,{"jtb.opcconscontr=2"},{"jtb.opcconscontr=3"})),"-")</f>
        <v>3750000</v>
      </c>
      <c r="E115" s="44">
        <f>IFERROR(_xll.ECONOMATICA($C$5,"ST Provis",,E$83,,,,$C$7,,,,IF($D$9=1,{"jtb.opcconscontr=2"},{"jtb.opcconscontr=3"})),"-")</f>
        <v>14229000</v>
      </c>
      <c r="F115" s="45">
        <f>IFERROR(_xll.ECONOMATICA($C$5,"ST Provis",,F$83,,,,$C$7,,,,IF($D$9=1,{"jtb.opcconscontr=2"},{"jtb.opcconscontr=3"})),"-")</f>
        <v>14142000</v>
      </c>
    </row>
    <row r="116" spans="2:6" ht="15" customHeight="1" outlineLevel="2" x14ac:dyDescent="0.3">
      <c r="B116" s="79" t="s">
        <v>116</v>
      </c>
      <c r="C116" s="62"/>
      <c r="D116" s="41">
        <f>IFERROR(_xll.ECONOMATICA($C$5,"PrTxSSST",,D$83,,,,$C$7,,,,IF($D$9=1,{"jtb.opcconscontr=2"},{"jtb.opcconscontr=3"})),"-")</f>
        <v>0</v>
      </c>
      <c r="E116" s="36">
        <f>IFERROR(_xll.ECONOMATICA($C$5,"PrTxSSST",,E$83,,,,$C$7,,,,IF($D$9=1,{"jtb.opcconscontr=2"},{"jtb.opcconscontr=3"})),"-")</f>
        <v>0</v>
      </c>
      <c r="F116" s="37">
        <f>IFERROR(_xll.ECONOMATICA($C$5,"PrTxSSST",,F$83,,,,$C$7,,,,IF($D$9=1,{"jtb.opcconscontr=2"},{"jtb.opcconscontr=3"})),"-")</f>
        <v>0</v>
      </c>
    </row>
    <row r="117" spans="2:6" ht="15" customHeight="1" outlineLevel="2" x14ac:dyDescent="0.3">
      <c r="B117" s="83" t="s">
        <v>117</v>
      </c>
      <c r="C117" s="84"/>
      <c r="D117" s="43">
        <f>IFERROR(_xll.ECONOMATICA($C$5,"ProvPImp",,D$83,,,,$C$7,,,,IF($D$9=1,{"jtb.opcconscontr=2"},{"jtb.opcconscontr=3"})),"-")</f>
        <v>0</v>
      </c>
      <c r="E117" s="44">
        <f>IFERROR(_xll.ECONOMATICA($C$5,"ProvPImp",,E$83,,,,$C$7,,,,IF($D$9=1,{"jtb.opcconscontr=2"},{"jtb.opcconscontr=3"})),"-")</f>
        <v>0</v>
      </c>
      <c r="F117" s="45">
        <f>IFERROR(_xll.ECONOMATICA($C$5,"ProvPImp",,F$83,,,,$C$7,,,,IF($D$9=1,{"jtb.opcconscontr=2"},{"jtb.opcconscontr=3"})),"-")</f>
        <v>0</v>
      </c>
    </row>
    <row r="118" spans="2:6" ht="15" customHeight="1" outlineLevel="2" x14ac:dyDescent="0.3">
      <c r="B118" s="81" t="s">
        <v>118</v>
      </c>
      <c r="C118" s="82"/>
      <c r="D118" s="41">
        <f>IFERROR(_xll.ECONOMATICA($C$5,"PrvSSST",,D$83,,,,$C$7,,,,IF($D$9=1,{"jtb.opcconscontr=2"},{"jtb.opcconscontr=3"})),"-")</f>
        <v>0</v>
      </c>
      <c r="E118" s="36">
        <f>IFERROR(_xll.ECONOMATICA($C$5,"PrvSSST",,E$83,,,,$C$7,,,,IF($D$9=1,{"jtb.opcconscontr=2"},{"jtb.opcconscontr=3"})),"-")</f>
        <v>0</v>
      </c>
      <c r="F118" s="37">
        <f>IFERROR(_xll.ECONOMATICA($C$5,"PrvSSST",,F$83,,,,$C$7,,,,IF($D$9=1,{"jtb.opcconscontr=2"},{"jtb.opcconscontr=3"})),"-")</f>
        <v>0</v>
      </c>
    </row>
    <row r="119" spans="2:6" ht="15" customHeight="1" outlineLevel="2" x14ac:dyDescent="0.3">
      <c r="B119" s="83" t="s">
        <v>119</v>
      </c>
      <c r="C119" s="84"/>
      <c r="D119" s="43">
        <f>IFERROR(_xll.ECONOMATICA($C$5,"PrEmBeST",,D$83,,,,$C$7,,,,IF($D$9=1,{"jtb.opcconscontr=2"},{"jtb.opcconscontr=3"})),"-")</f>
        <v>0</v>
      </c>
      <c r="E119" s="44">
        <f>IFERROR(_xll.ECONOMATICA($C$5,"PrEmBeST",,E$83,,,,$C$7,,,,IF($D$9=1,{"jtb.opcconscontr=2"},{"jtb.opcconscontr=3"})),"-")</f>
        <v>0</v>
      </c>
      <c r="F119" s="45">
        <f>IFERROR(_xll.ECONOMATICA($C$5,"PrEmBeST",,F$83,,,,$C$7,,,,IF($D$9=1,{"jtb.opcconscontr=2"},{"jtb.opcconscontr=3"})),"-")</f>
        <v>0</v>
      </c>
    </row>
    <row r="120" spans="2:6" ht="15" customHeight="1" outlineLevel="2" x14ac:dyDescent="0.3">
      <c r="B120" s="81" t="s">
        <v>120</v>
      </c>
      <c r="C120" s="82"/>
      <c r="D120" s="41">
        <f>IFERROR(_xll.ECONOMATICA($C$5,"ProCivCP",,D$83,,,,$C$7,,,,IF($D$9=1,{"jtb.opcconscontr=2"},{"jtb.opcconscontr=3"})),"-")</f>
        <v>0</v>
      </c>
      <c r="E120" s="36">
        <f>IFERROR(_xll.ECONOMATICA($C$5,"ProCivCP",,E$83,,,,$C$7,,,,IF($D$9=1,{"jtb.opcconscontr=2"},{"jtb.opcconscontr=3"})),"-")</f>
        <v>0</v>
      </c>
      <c r="F120" s="37">
        <f>IFERROR(_xll.ECONOMATICA($C$5,"ProCivCP",,F$83,,,,$C$7,,,,IF($D$9=1,{"jtb.opcconscontr=2"},{"jtb.opcconscontr=3"})),"-")</f>
        <v>0</v>
      </c>
    </row>
    <row r="121" spans="2:6" ht="15" customHeight="1" outlineLevel="2" x14ac:dyDescent="0.3">
      <c r="B121" s="83" t="s">
        <v>39</v>
      </c>
      <c r="C121" s="84"/>
      <c r="D121" s="43">
        <f>IFERROR(_xll.ECONOMATICA($C$5,"OtherPSLST",,D$83,,,,$C$7,,,,IF($D$9=1,{"jtb.opcconscontr=2"},{"jtb.opcconscontr=3"})),"-")</f>
        <v>0</v>
      </c>
      <c r="E121" s="44">
        <f>IFERROR(_xll.ECONOMATICA($C$5,"OtherPSLST",,E$83,,,,$C$7,,,,IF($D$9=1,{"jtb.opcconscontr=2"},{"jtb.opcconscontr=3"})),"-")</f>
        <v>0</v>
      </c>
      <c r="F121" s="45">
        <f>IFERROR(_xll.ECONOMATICA($C$5,"OtherPSLST",,F$83,,,,$C$7,,,,IF($D$9=1,{"jtb.opcconscontr=2"},{"jtb.opcconscontr=3"})),"-")</f>
        <v>0</v>
      </c>
    </row>
    <row r="122" spans="2:6" ht="15" customHeight="1" outlineLevel="2" x14ac:dyDescent="0.3">
      <c r="B122" s="79" t="s">
        <v>121</v>
      </c>
      <c r="C122" s="62"/>
      <c r="D122" s="41">
        <f>IFERROR(_xll.ECONOMATICA($C$5,"OtShTeProv",,D$83,,,,$C$7,,,,IF($D$9=1,{"jtb.opcconscontr=2"},{"jtb.opcconscontr=3"})),"-")</f>
        <v>3750000</v>
      </c>
      <c r="E122" s="36">
        <f>IFERROR(_xll.ECONOMATICA($C$5,"OtShTeProv",,E$83,,,,$C$7,,,,IF($D$9=1,{"jtb.opcconscontr=2"},{"jtb.opcconscontr=3"})),"-")</f>
        <v>14229000</v>
      </c>
      <c r="F122" s="37">
        <f>IFERROR(_xll.ECONOMATICA($C$5,"OtShTeProv",,F$83,,,,$C$7,,,,IF($D$9=1,{"jtb.opcconscontr=2"},{"jtb.opcconscontr=3"})),"-")</f>
        <v>14142000</v>
      </c>
    </row>
    <row r="123" spans="2:6" ht="15" customHeight="1" outlineLevel="1" x14ac:dyDescent="0.3">
      <c r="B123" s="83" t="s">
        <v>122</v>
      </c>
      <c r="C123" s="84"/>
      <c r="D123" s="43">
        <f>IFERROR(_xll.ECONOMATICA($C$5,"PrOfGuaST",,D$83,,,,$C$7,,,,IF($D$9=1,{"jtb.opcconscontr=2"},{"jtb.opcconscontr=3"})),"-")</f>
        <v>0</v>
      </c>
      <c r="E123" s="44">
        <f>IFERROR(_xll.ECONOMATICA($C$5,"PrOfGuaST",,E$83,,,,$C$7,,,,IF($D$9=1,{"jtb.opcconscontr=2"},{"jtb.opcconscontr=3"})),"-")</f>
        <v>0</v>
      </c>
      <c r="F123" s="45">
        <f>IFERROR(_xll.ECONOMATICA($C$5,"PrOfGuaST",,F$83,,,,$C$7,,,,IF($D$9=1,{"jtb.opcconscontr=2"},{"jtb.opcconscontr=3"})),"-")</f>
        <v>0</v>
      </c>
    </row>
    <row r="124" spans="2:6" ht="15" customHeight="1" outlineLevel="1" x14ac:dyDescent="0.3">
      <c r="B124" s="81" t="s">
        <v>123</v>
      </c>
      <c r="C124" s="82"/>
      <c r="D124" s="41">
        <f>IFERROR(_xll.ECONOMATICA($C$5,"PrReCoST",,D$83,,,,$C$7,,,,IF($D$9=1,{"jtb.opcconscontr=2"},{"jtb.opcconscontr=3"})),"-")</f>
        <v>0</v>
      </c>
      <c r="E124" s="36">
        <f>IFERROR(_xll.ECONOMATICA($C$5,"PrReCoST",,E$83,,,,$C$7,,,,IF($D$9=1,{"jtb.opcconscontr=2"},{"jtb.opcconscontr=3"})),"-")</f>
        <v>0</v>
      </c>
      <c r="F124" s="37">
        <f>IFERROR(_xll.ECONOMATICA($C$5,"PrReCoST",,F$83,,,,$C$7,,,,IF($D$9=1,{"jtb.opcconscontr=2"},{"jtb.opcconscontr=3"})),"-")</f>
        <v>0</v>
      </c>
    </row>
    <row r="125" spans="2:6" ht="15" customHeight="1" outlineLevel="1" x14ac:dyDescent="0.3">
      <c r="B125" s="83" t="s">
        <v>124</v>
      </c>
      <c r="C125" s="84"/>
      <c r="D125" s="43">
        <f>IFERROR(_xll.ECONOMATICA($C$5,"PrPaAmCP",,D$83,,,,$C$7,,,,IF($D$9=1,{"jtb.opcconscontr=2"},{"jtb.opcconscontr=3"})),"-")</f>
        <v>0</v>
      </c>
      <c r="E125" s="44">
        <f>IFERROR(_xll.ECONOMATICA($C$5,"PrPaAmCP",,E$83,,,,$C$7,,,,IF($D$9=1,{"jtb.opcconscontr=2"},{"jtb.opcconscontr=3"})),"-")</f>
        <v>0</v>
      </c>
      <c r="F125" s="45">
        <f>IFERROR(_xll.ECONOMATICA($C$5,"PrPaAmCP",,F$83,,,,$C$7,,,,IF($D$9=1,{"jtb.opcconscontr=2"},{"jtb.opcconscontr=3"})),"-")</f>
        <v>0</v>
      </c>
    </row>
    <row r="126" spans="2:6" ht="15" customHeight="1" outlineLevel="1" x14ac:dyDescent="0.3">
      <c r="B126" s="81" t="s">
        <v>39</v>
      </c>
      <c r="C126" s="82"/>
      <c r="D126" s="41">
        <f>IFERROR(_xll.ECONOMATICA($C$5,"OtherOSTP",,D$83,,,,$C$7,,,,IF($D$9=1,{"jtb.opcconscontr=2"},{"jtb.opcconscontr=3"})),"-")</f>
        <v>3750000</v>
      </c>
      <c r="E126" s="36">
        <f>IFERROR(_xll.ECONOMATICA($C$5,"OtherOSTP",,E$83,,,,$C$7,,,,IF($D$9=1,{"jtb.opcconscontr=2"},{"jtb.opcconscontr=3"})),"-")</f>
        <v>14229000</v>
      </c>
      <c r="F126" s="37">
        <f>IFERROR(_xll.ECONOMATICA($C$5,"OtherOSTP",,F$83,,,,$C$7,,,,IF($D$9=1,{"jtb.opcconscontr=2"},{"jtb.opcconscontr=3"})),"-")</f>
        <v>14142000</v>
      </c>
    </row>
    <row r="127" spans="2:6" ht="15" customHeight="1" x14ac:dyDescent="0.3">
      <c r="B127" s="67" t="s">
        <v>125</v>
      </c>
      <c r="C127" s="68"/>
      <c r="D127" s="43">
        <f>IFERROR(_xll.ECONOMATICA($C$5,"NCAsDiST",,D$83,,,,$C$7,,,,IF($D$9=1,{"jtb.opcconscontr=2"},{"jtb.opcconscontr=3"})),"-")</f>
        <v>7646000</v>
      </c>
      <c r="E127" s="44">
        <f>IFERROR(_xll.ECONOMATICA($C$5,"NCAsDiST",,E$83,,,,$C$7,,,,IF($D$9=1,{"jtb.opcconscontr=2"},{"jtb.opcconscontr=3"})),"-")</f>
        <v>2621000</v>
      </c>
      <c r="F127" s="45">
        <f>IFERROR(_xll.ECONOMATICA($C$5,"NCAsDiST",,F$83,,,,$C$7,,,,IF($D$9=1,{"jtb.opcconscontr=2"},{"jtb.opcconscontr=3"})),"-")</f>
        <v>4362000</v>
      </c>
    </row>
    <row r="128" spans="2:6" ht="15" customHeight="1" x14ac:dyDescent="0.3">
      <c r="B128" s="79" t="s">
        <v>126</v>
      </c>
      <c r="C128" s="62"/>
      <c r="D128" s="41">
        <f>IFERROR(_xll.ECONOMATICA($C$5,"NCAsLiST",,D$83,,,,$C$7,,,,IF($D$9=1,{"jtb.opcconscontr=2"},{"jtb.opcconscontr=3"})),"-")</f>
        <v>7646000</v>
      </c>
      <c r="E128" s="36">
        <f>IFERROR(_xll.ECONOMATICA($C$5,"NCAsLiST",,E$83,,,,$C$7,,,,IF($D$9=1,{"jtb.opcconscontr=2"},{"jtb.opcconscontr=3"})),"-")</f>
        <v>2621000</v>
      </c>
      <c r="F128" s="37">
        <f>IFERROR(_xll.ECONOMATICA($C$5,"NCAsLiST",,F$83,,,,$C$7,,,,IF($D$9=1,{"jtb.opcconscontr=2"},{"jtb.opcconscontr=3"})),"-")</f>
        <v>4362000</v>
      </c>
    </row>
    <row r="129" spans="2:6" ht="15" customHeight="1" x14ac:dyDescent="0.3">
      <c r="B129" s="80" t="s">
        <v>127</v>
      </c>
      <c r="C129" s="64"/>
      <c r="D129" s="43">
        <f>IFERROR(_xll.ECONOMATICA($C$5,"PaOpDiCP",,D$83,,,,$C$7,,,,IF($D$9=1,{"jtb.opcconscontr=2"},{"jtb.opcconscontr=3"})),"-")</f>
        <v>0</v>
      </c>
      <c r="E129" s="44">
        <f>IFERROR(_xll.ECONOMATICA($C$5,"PaOpDiCP",,E$83,,,,$C$7,,,,IF($D$9=1,{"jtb.opcconscontr=2"},{"jtb.opcconscontr=3"})),"-")</f>
        <v>0</v>
      </c>
      <c r="F129" s="45">
        <f>IFERROR(_xll.ECONOMATICA($C$5,"PaOpDiCP",,F$83,,,,$C$7,,,,IF($D$9=1,{"jtb.opcconscontr=2"},{"jtb.opcconscontr=3"})),"-")</f>
        <v>0</v>
      </c>
    </row>
    <row r="130" spans="2:6" ht="15" customHeight="1" x14ac:dyDescent="0.3">
      <c r="B130" s="79" t="s">
        <v>128</v>
      </c>
      <c r="C130" s="62"/>
      <c r="D130" s="41">
        <f>IFERROR(_xll.ECONOMATICA($C$5,"NCurLiab",,D$83,,,,$C$7,,,,IF($D$9=1,{"jtb.opcconscontr=2"},{"jtb.opcconscontr=3"})),"-")</f>
        <v>448593000</v>
      </c>
      <c r="E130" s="36">
        <f>IFERROR(_xll.ECONOMATICA($C$5,"NCurLiab",,E$83,,,,$C$7,,,,IF($D$9=1,{"jtb.opcconscontr=2"},{"jtb.opcconscontr=3"})),"-")</f>
        <v>504620000</v>
      </c>
      <c r="F130" s="37">
        <f>IFERROR(_xll.ECONOMATICA($C$5,"NCurLiab",,F$83,,,,$C$7,,,,IF($D$9=1,{"jtb.opcconscontr=2"},{"jtb.opcconscontr=3"})),"-")</f>
        <v>504676000</v>
      </c>
    </row>
    <row r="131" spans="2:6" ht="15" customHeight="1" x14ac:dyDescent="0.3">
      <c r="B131" s="67" t="s">
        <v>129</v>
      </c>
      <c r="C131" s="68"/>
      <c r="D131" s="43">
        <f>IFERROR(_xll.ECONOMATICA($C$5,"TotDebtLT",,D$83,,,,$C$7,,,,IF($D$9=1,{"jtb.opcconscontr=2"},{"jtb.opcconscontr=3"})),"-")</f>
        <v>233053000</v>
      </c>
      <c r="E131" s="44">
        <f>IFERROR(_xll.ECONOMATICA($C$5,"TotDebtLT",,E$83,,,,$C$7,,,,IF($D$9=1,{"jtb.opcconscontr=2"},{"jtb.opcconscontr=3"})),"-")</f>
        <v>247281000</v>
      </c>
      <c r="F131" s="45">
        <f>IFERROR(_xll.ECONOMATICA($C$5,"TotDebtLT",,F$83,,,,$C$7,,,,IF($D$9=1,{"jtb.opcconscontr=2"},{"jtb.opcconscontr=3"})),"-")</f>
        <v>264470000</v>
      </c>
    </row>
    <row r="132" spans="2:6" ht="15" customHeight="1" x14ac:dyDescent="0.3">
      <c r="B132" s="79" t="s">
        <v>130</v>
      </c>
      <c r="C132" s="62"/>
      <c r="D132" s="41">
        <f>IFERROR(_xll.ECONOMATICA($C$5,"LT Debt",,D$83,,,,$C$7,,,,IF($D$9=1,{"jtb.opcconscontr=2"},{"jtb.opcconscontr=3"})),"-")</f>
        <v>137630000</v>
      </c>
      <c r="E132" s="36">
        <f>IFERROR(_xll.ECONOMATICA($C$5,"LT Debt",,E$83,,,,$C$7,,,,IF($D$9=1,{"jtb.opcconscontr=2"},{"jtb.opcconscontr=3"})),"-")</f>
        <v>118508000</v>
      </c>
      <c r="F132" s="37">
        <f>IFERROR(_xll.ECONOMATICA($C$5,"LT Debt",,F$83,,,,$C$7,,,,IF($D$9=1,{"jtb.opcconscontr=2"},{"jtb.opcconscontr=3"})),"-")</f>
        <v>120652000</v>
      </c>
    </row>
    <row r="133" spans="2:6" ht="15" customHeight="1" x14ac:dyDescent="0.3">
      <c r="B133" s="83" t="s">
        <v>131</v>
      </c>
      <c r="C133" s="84"/>
      <c r="D133" s="43" t="str">
        <f>IFERROR(_xll.ECONOMATICA($C$5,"DbLocCurLT",,D$83,,,,$C$7,,,,IF($D$9=1,{"jtb.opcconscontr=2"},{"jtb.opcconscontr=3"})),"-")</f>
        <v>-</v>
      </c>
      <c r="E133" s="44" t="str">
        <f>IFERROR(_xll.ECONOMATICA($C$5,"DbLocCurLT",,E$83,,,,$C$7,,,,IF($D$9=1,{"jtb.opcconscontr=2"},{"jtb.opcconscontr=3"})),"-")</f>
        <v>-</v>
      </c>
      <c r="F133" s="45" t="str">
        <f>IFERROR(_xll.ECONOMATICA($C$5,"DbLocCurLT",,F$83,,,,$C$7,,,,IF($D$9=1,{"jtb.opcconscontr=2"},{"jtb.opcconscontr=3"})),"-")</f>
        <v>-</v>
      </c>
    </row>
    <row r="134" spans="2:6" ht="15" customHeight="1" x14ac:dyDescent="0.3">
      <c r="B134" s="81" t="s">
        <v>132</v>
      </c>
      <c r="C134" s="82"/>
      <c r="D134" s="41" t="str">
        <f>IFERROR(_xll.ECONOMATICA($C$5,"DebForCurLT",,D$83,,,,$C$7,,,,IF($D$9=1,{"jtb.opcconscontr=2"},{"jtb.opcconscontr=3"})),"-")</f>
        <v>-</v>
      </c>
      <c r="E134" s="36" t="str">
        <f>IFERROR(_xll.ECONOMATICA($C$5,"DebForCurLT",,E$83,,,,$C$7,,,,IF($D$9=1,{"jtb.opcconscontr=2"},{"jtb.opcconscontr=3"})),"-")</f>
        <v>-</v>
      </c>
      <c r="F134" s="37" t="str">
        <f>IFERROR(_xll.ECONOMATICA($C$5,"DebForCurLT",,F$83,,,,$C$7,,,,IF($D$9=1,{"jtb.opcconscontr=2"},{"jtb.opcconscontr=3"})),"-")</f>
        <v>-</v>
      </c>
    </row>
    <row r="135" spans="2:6" ht="15" customHeight="1" x14ac:dyDescent="0.3">
      <c r="B135" s="80" t="s">
        <v>133</v>
      </c>
      <c r="C135" s="64"/>
      <c r="D135" s="43">
        <f>IFERROR(_xll.ECONOMATICA($C$5,"LT Total Bonds",,D$83,,,,$C$7,,,,IF($D$9=1,{"jtb.opcconscontr=2"},{"jtb.opcconscontr=3"})),"-")</f>
        <v>0</v>
      </c>
      <c r="E135" s="44">
        <f>IFERROR(_xll.ECONOMATICA($C$5,"LT Total Bonds",,E$83,,,,$C$7,,,,IF($D$9=1,{"jtb.opcconscontr=2"},{"jtb.opcconscontr=3"})),"-")</f>
        <v>0</v>
      </c>
      <c r="F135" s="45">
        <f>IFERROR(_xll.ECONOMATICA($C$5,"LT Total Bonds",,F$83,,,,$C$7,,,,IF($D$9=1,{"jtb.opcconscontr=2"},{"jtb.opcconscontr=3"})),"-")</f>
        <v>0</v>
      </c>
    </row>
    <row r="136" spans="2:6" ht="15" customHeight="1" x14ac:dyDescent="0.3">
      <c r="B136" s="79" t="s">
        <v>134</v>
      </c>
      <c r="C136" s="62"/>
      <c r="D136" s="41">
        <f>IFERROR(_xll.ECONOMATICA($C$5,"Fin Lease LT",,D$83,,,,$C$7,,,,IF($D$9=1,{"jtb.opcconscontr=2"},{"jtb.opcconscontr=3"})),"-")</f>
        <v>95423000</v>
      </c>
      <c r="E136" s="36">
        <f>IFERROR(_xll.ECONOMATICA($C$5,"Fin Lease LT",,E$83,,,,$C$7,,,,IF($D$9=1,{"jtb.opcconscontr=2"},{"jtb.opcconscontr=3"})),"-")</f>
        <v>128773000</v>
      </c>
      <c r="F136" s="37">
        <f>IFERROR(_xll.ECONOMATICA($C$5,"Fin Lease LT",,F$83,,,,$C$7,,,,IF($D$9=1,{"jtb.opcconscontr=2"},{"jtb.opcconscontr=3"})),"-")</f>
        <v>143818000</v>
      </c>
    </row>
    <row r="137" spans="2:6" ht="15" customHeight="1" x14ac:dyDescent="0.3">
      <c r="B137" s="67" t="s">
        <v>135</v>
      </c>
      <c r="C137" s="68"/>
      <c r="D137" s="43">
        <f>IFERROR(_xll.ECONOMATICA($C$5,"OtherOblig",,D$83,,,,$C$7,,,,IF($D$9=1,{"jtb.opcconscontr=2"},{"jtb.opcconscontr=3"})),"-")</f>
        <v>1578000</v>
      </c>
      <c r="E137" s="44">
        <f>IFERROR(_xll.ECONOMATICA($C$5,"OtherOblig",,E$83,,,,$C$7,,,,IF($D$9=1,{"jtb.opcconscontr=2"},{"jtb.opcconscontr=3"})),"-")</f>
        <v>1446000</v>
      </c>
      <c r="F137" s="45">
        <f>IFERROR(_xll.ECONOMATICA($C$5,"OtherOblig",,F$83,,,,$C$7,,,,IF($D$9=1,{"jtb.opcconscontr=2"},{"jtb.opcconscontr=3"})),"-")</f>
        <v>1347000</v>
      </c>
    </row>
    <row r="138" spans="2:6" ht="15" customHeight="1" x14ac:dyDescent="0.3">
      <c r="B138" s="79" t="s">
        <v>136</v>
      </c>
      <c r="C138" s="62"/>
      <c r="D138" s="41">
        <f>IFERROR(_xll.ECONOMATICA($C$5,"RePaLiaLT",,D$83,,,,$C$7,,,,IF($D$9=1,{"jtb.opcconscontr=2"},{"jtb.opcconscontr=3"})),"-")</f>
        <v>0</v>
      </c>
      <c r="E138" s="36">
        <f>IFERROR(_xll.ECONOMATICA($C$5,"RePaLiaLT",,E$83,,,,$C$7,,,,IF($D$9=1,{"jtb.opcconscontr=2"},{"jtb.opcconscontr=3"})),"-")</f>
        <v>0</v>
      </c>
      <c r="F138" s="37">
        <f>IFERROR(_xll.ECONOMATICA($C$5,"RePaLiaLT",,F$83,,,,$C$7,,,,IF($D$9=1,{"jtb.opcconscontr=2"},{"jtb.opcconscontr=3"})),"-")</f>
        <v>0</v>
      </c>
    </row>
    <row r="139" spans="2:6" ht="15" customHeight="1" x14ac:dyDescent="0.3">
      <c r="B139" s="83" t="s">
        <v>137</v>
      </c>
      <c r="C139" s="84"/>
      <c r="D139" s="43">
        <f>IFERROR(_xll.ECONOMATICA($C$5,"DueAsCoLT",,D$83,,,,$C$7,,,,IF($D$9=1,{"jtb.opcconscontr=2"},{"jtb.opcconscontr=3"})),"-")</f>
        <v>0</v>
      </c>
      <c r="E139" s="44">
        <f>IFERROR(_xll.ECONOMATICA($C$5,"DueAsCoLT",,E$83,,,,$C$7,,,,IF($D$9=1,{"jtb.opcconscontr=2"},{"jtb.opcconscontr=3"})),"-")</f>
        <v>0</v>
      </c>
      <c r="F139" s="45">
        <f>IFERROR(_xll.ECONOMATICA($C$5,"DueAsCoLT",,F$83,,,,$C$7,,,,IF($D$9=1,{"jtb.opcconscontr=2"},{"jtb.opcconscontr=3"})),"-")</f>
        <v>0</v>
      </c>
    </row>
    <row r="140" spans="2:6" ht="15" customHeight="1" x14ac:dyDescent="0.3">
      <c r="B140" s="81" t="s">
        <v>138</v>
      </c>
      <c r="C140" s="82"/>
      <c r="D140" s="41">
        <f>IFERROR(_xll.ECONOMATICA($C$5,"DueSubLT",,D$83,,,,$C$7,,,,IF($D$9=1,{"jtb.opcconscontr=2"},{"jtb.opcconscontr=3"})),"-")</f>
        <v>0</v>
      </c>
      <c r="E140" s="36">
        <f>IFERROR(_xll.ECONOMATICA($C$5,"DueSubLT",,E$83,,,,$C$7,,,,IF($D$9=1,{"jtb.opcconscontr=2"},{"jtb.opcconscontr=3"})),"-")</f>
        <v>0</v>
      </c>
      <c r="F140" s="37">
        <f>IFERROR(_xll.ECONOMATICA($C$5,"DueSubLT",,F$83,,,,$C$7,,,,IF($D$9=1,{"jtb.opcconscontr=2"},{"jtb.opcconscontr=3"})),"-")</f>
        <v>0</v>
      </c>
    </row>
    <row r="141" spans="2:6" ht="15" customHeight="1" x14ac:dyDescent="0.3">
      <c r="B141" s="83" t="s">
        <v>139</v>
      </c>
      <c r="C141" s="84"/>
      <c r="D141" s="43">
        <f>IFERROR(_xll.ECONOMATICA($C$5,"DuePaCoLT",,D$83,,,,$C$7,,,,IF($D$9=1,{"jtb.opcconscontr=2"},{"jtb.opcconscontr=3"})),"-")</f>
        <v>0</v>
      </c>
      <c r="E141" s="44">
        <f>IFERROR(_xll.ECONOMATICA($C$5,"DuePaCoLT",,E$83,,,,$C$7,,,,IF($D$9=1,{"jtb.opcconscontr=2"},{"jtb.opcconscontr=3"})),"-")</f>
        <v>0</v>
      </c>
      <c r="F141" s="45">
        <f>IFERROR(_xll.ECONOMATICA($C$5,"DuePaCoLT",,F$83,,,,$C$7,,,,IF($D$9=1,{"jtb.opcconscontr=2"},{"jtb.opcconscontr=3"})),"-")</f>
        <v>0</v>
      </c>
    </row>
    <row r="142" spans="2:6" ht="15" customHeight="1" x14ac:dyDescent="0.3">
      <c r="B142" s="81" t="s">
        <v>140</v>
      </c>
      <c r="C142" s="82"/>
      <c r="D142" s="41">
        <f>IFERROR(_xll.ECONOMATICA($C$5,"OtRePaLT",,D$83,,,,$C$7,,,,IF($D$9=1,{"jtb.opcconscontr=2"},{"jtb.opcconscontr=3"})),"-")</f>
        <v>0</v>
      </c>
      <c r="E142" s="36">
        <f>IFERROR(_xll.ECONOMATICA($C$5,"OtRePaLT",,E$83,,,,$C$7,,,,IF($D$9=1,{"jtb.opcconscontr=2"},{"jtb.opcconscontr=3"})),"-")</f>
        <v>0</v>
      </c>
      <c r="F142" s="37">
        <f>IFERROR(_xll.ECONOMATICA($C$5,"OtRePaLT",,F$83,,,,$C$7,,,,IF($D$9=1,{"jtb.opcconscontr=2"},{"jtb.opcconscontr=3"})),"-")</f>
        <v>0</v>
      </c>
    </row>
    <row r="143" spans="2:6" ht="15" customHeight="1" x14ac:dyDescent="0.3">
      <c r="B143" s="80" t="s">
        <v>141</v>
      </c>
      <c r="C143" s="64"/>
      <c r="D143" s="43">
        <f>IFERROR(_xll.ECONOMATICA($C$5,"OthLT",,D$83,,,,$C$7,,,,IF($D$9=1,{"jtb.opcconscontr=2"},{"jtb.opcconscontr=3"})),"-")</f>
        <v>1578000</v>
      </c>
      <c r="E143" s="44">
        <f>IFERROR(_xll.ECONOMATICA($C$5,"OthLT",,E$83,,,,$C$7,,,,IF($D$9=1,{"jtb.opcconscontr=2"},{"jtb.opcconscontr=3"})),"-")</f>
        <v>1446000</v>
      </c>
      <c r="F143" s="45">
        <f>IFERROR(_xll.ECONOMATICA($C$5,"OthLT",,F$83,,,,$C$7,,,,IF($D$9=1,{"jtb.opcconscontr=2"},{"jtb.opcconscontr=3"})),"-")</f>
        <v>1347000</v>
      </c>
    </row>
    <row r="144" spans="2:6" ht="15" customHeight="1" x14ac:dyDescent="0.3">
      <c r="B144" s="81" t="s">
        <v>142</v>
      </c>
      <c r="C144" s="82"/>
      <c r="D144" s="41">
        <f>IFERROR(_xll.ECONOMATICA($C$5,"ShBaPaLT",,D$83,,,,$C$7,,,,IF($D$9=1,{"jtb.opcconscontr=2"},{"jtb.opcconscontr=3"})),"-")</f>
        <v>0</v>
      </c>
      <c r="E144" s="36">
        <f>IFERROR(_xll.ECONOMATICA($C$5,"ShBaPaLT",,E$83,,,,$C$7,,,,IF($D$9=1,{"jtb.opcconscontr=2"},{"jtb.opcconscontr=3"})),"-")</f>
        <v>0</v>
      </c>
      <c r="F144" s="37">
        <f>IFERROR(_xll.ECONOMATICA($C$5,"ShBaPaLT",,F$83,,,,$C$7,,,,IF($D$9=1,{"jtb.opcconscontr=2"},{"jtb.opcconscontr=3"})),"-")</f>
        <v>0</v>
      </c>
    </row>
    <row r="145" spans="2:6" ht="15" customHeight="1" x14ac:dyDescent="0.3">
      <c r="B145" s="83" t="s">
        <v>143</v>
      </c>
      <c r="C145" s="84"/>
      <c r="D145" s="43">
        <f>IFERROR(_xll.ECONOMATICA($C$5,"FuCaInLia",,D$83,,,,$C$7,,,,IF($D$9=1,{"jtb.opcconscontr=2"},{"jtb.opcconscontr=3"})),"-")</f>
        <v>0</v>
      </c>
      <c r="E145" s="44">
        <f>IFERROR(_xll.ECONOMATICA($C$5,"FuCaInLia",,E$83,,,,$C$7,,,,IF($D$9=1,{"jtb.opcconscontr=2"},{"jtb.opcconscontr=3"})),"-")</f>
        <v>0</v>
      </c>
      <c r="F145" s="45">
        <f>IFERROR(_xll.ECONOMATICA($C$5,"FuCaInLia",,F$83,,,,$C$7,,,,IF($D$9=1,{"jtb.opcconscontr=2"},{"jtb.opcconscontr=3"})),"-")</f>
        <v>0</v>
      </c>
    </row>
    <row r="146" spans="2:6" ht="15" customHeight="1" x14ac:dyDescent="0.3">
      <c r="B146" s="81" t="s">
        <v>39</v>
      </c>
      <c r="C146" s="82"/>
      <c r="D146" s="41">
        <f>IFERROR(_xll.ECONOMATICA($C$5,"OtherOLT",,D$83,,,,$C$7,,,,IF($D$9=1,{"jtb.opcconscontr=2"},{"jtb.opcconscontr=3"})),"-")</f>
        <v>1578000</v>
      </c>
      <c r="E146" s="36">
        <f>IFERROR(_xll.ECONOMATICA($C$5,"OtherOLT",,E$83,,,,$C$7,,,,IF($D$9=1,{"jtb.opcconscontr=2"},{"jtb.opcconscontr=3"})),"-")</f>
        <v>1446000</v>
      </c>
      <c r="F146" s="37">
        <f>IFERROR(_xll.ECONOMATICA($C$5,"OtherOLT",,F$83,,,,$C$7,,,,IF($D$9=1,{"jtb.opcconscontr=2"},{"jtb.opcconscontr=3"})),"-")</f>
        <v>1347000</v>
      </c>
    </row>
    <row r="147" spans="2:6" ht="15" customHeight="1" x14ac:dyDescent="0.3">
      <c r="B147" s="67" t="s">
        <v>144</v>
      </c>
      <c r="C147" s="68"/>
      <c r="D147" s="43">
        <f>IFERROR(_xll.ECONOMATICA($C$5,"ImpDifLP",,D$83,,,,$C$7,,,,IF($D$9=1,{"jtb.opcconscontr=2"},{"jtb.opcconscontr=3"})),"-")</f>
        <v>35220000</v>
      </c>
      <c r="E147" s="44">
        <f>IFERROR(_xll.ECONOMATICA($C$5,"ImpDifLP",,E$83,,,,$C$7,,,,IF($D$9=1,{"jtb.opcconscontr=2"},{"jtb.opcconscontr=3"})),"-")</f>
        <v>52820000</v>
      </c>
      <c r="F147" s="45">
        <f>IFERROR(_xll.ECONOMATICA($C$5,"ImpDifLP",,F$83,,,,$C$7,,,,IF($D$9=1,{"jtb.opcconscontr=2"},{"jtb.opcconscontr=3"})),"-")</f>
        <v>33778000</v>
      </c>
    </row>
    <row r="148" spans="2:6" ht="15" customHeight="1" x14ac:dyDescent="0.3">
      <c r="B148" s="79" t="s">
        <v>145</v>
      </c>
      <c r="C148" s="62"/>
      <c r="D148" s="41">
        <f>IFERROR(_xll.ECONOMATICA($C$5,"DefIT&amp;SC",,D$83,,,,$C$7,,,,IF($D$9=1,{"jtb.opcconscontr=2"},{"jtb.opcconscontr=3"})),"-")</f>
        <v>35220000</v>
      </c>
      <c r="E148" s="36">
        <f>IFERROR(_xll.ECONOMATICA($C$5,"DefIT&amp;SC",,E$83,,,,$C$7,,,,IF($D$9=1,{"jtb.opcconscontr=2"},{"jtb.opcconscontr=3"})),"-")</f>
        <v>52820000</v>
      </c>
      <c r="F148" s="37">
        <f>IFERROR(_xll.ECONOMATICA($C$5,"DefIT&amp;SC",,F$83,,,,$C$7,,,,IF($D$9=1,{"jtb.opcconscontr=2"},{"jtb.opcconscontr=3"})),"-")</f>
        <v>33778000</v>
      </c>
    </row>
    <row r="149" spans="2:6" ht="15" customHeight="1" x14ac:dyDescent="0.3">
      <c r="B149" s="67" t="s">
        <v>146</v>
      </c>
      <c r="C149" s="68"/>
      <c r="D149" s="43">
        <f>IFERROR(_xll.ECONOMATICA($C$5,"LT Provis",,D$83,,,,$C$7,,,,IF($D$9=1,{"jtb.opcconscontr=2"},{"jtb.opcconscontr=3"})),"-")</f>
        <v>178742000</v>
      </c>
      <c r="E149" s="44">
        <f>IFERROR(_xll.ECONOMATICA($C$5,"LT Provis",,E$83,,,,$C$7,,,,IF($D$9=1,{"jtb.opcconscontr=2"},{"jtb.opcconscontr=3"})),"-")</f>
        <v>203073000</v>
      </c>
      <c r="F149" s="45">
        <f>IFERROR(_xll.ECONOMATICA($C$5,"LT Provis",,F$83,,,,$C$7,,,,IF($D$9=1,{"jtb.opcconscontr=2"},{"jtb.opcconscontr=3"})),"-")</f>
        <v>205081000</v>
      </c>
    </row>
    <row r="150" spans="2:6" ht="15" customHeight="1" x14ac:dyDescent="0.3">
      <c r="B150" s="79" t="s">
        <v>147</v>
      </c>
      <c r="C150" s="62"/>
      <c r="D150" s="41">
        <f>IFERROR(_xll.ECONOMATICA($C$5,"PrTxSSLP",,D$83,,,,$C$7,,,,IF($D$9=1,{"jtb.opcconscontr=2"},{"jtb.opcconscontr=3"})),"-")</f>
        <v>15703000</v>
      </c>
      <c r="E150" s="36">
        <f>IFERROR(_xll.ECONOMATICA($C$5,"PrTxSSLP",,E$83,,,,$C$7,,,,IF($D$9=1,{"jtb.opcconscontr=2"},{"jtb.opcconscontr=3"})),"-")</f>
        <v>16000000</v>
      </c>
      <c r="F150" s="37">
        <f>IFERROR(_xll.ECONOMATICA($C$5,"PrTxSSLP",,F$83,,,,$C$7,,,,IF($D$9=1,{"jtb.opcconscontr=2"},{"jtb.opcconscontr=3"})),"-")</f>
        <v>17374000</v>
      </c>
    </row>
    <row r="151" spans="2:6" ht="15" customHeight="1" x14ac:dyDescent="0.3">
      <c r="B151" s="83" t="s">
        <v>148</v>
      </c>
      <c r="C151" s="84"/>
      <c r="D151" s="43" t="str">
        <f>IFERROR(_xll.ECONOMATICA($C$5,"ProvPTribLP",,D$83,,,,$C$7,,,,IF($D$9=1,{"jtb.opcconscontr=2"},{"jtb.opcconscontr=3"})),"-")</f>
        <v>-</v>
      </c>
      <c r="E151" s="44" t="str">
        <f>IFERROR(_xll.ECONOMATICA($C$5,"ProvPTribLP",,E$83,,,,$C$7,,,,IF($D$9=1,{"jtb.opcconscontr=2"},{"jtb.opcconscontr=3"})),"-")</f>
        <v>-</v>
      </c>
      <c r="F151" s="45" t="str">
        <f>IFERROR(_xll.ECONOMATICA($C$5,"ProvPTribLP",,F$83,,,,$C$7,,,,IF($D$9=1,{"jtb.opcconscontr=2"},{"jtb.opcconscontr=3"})),"-")</f>
        <v>-</v>
      </c>
    </row>
    <row r="152" spans="2:6" ht="15" customHeight="1" x14ac:dyDescent="0.3">
      <c r="B152" s="81" t="s">
        <v>149</v>
      </c>
      <c r="C152" s="82"/>
      <c r="D152" s="41" t="str">
        <f>IFERROR(_xll.ECONOMATICA($C$5,"PrvSSLT",,D$83,,,,$C$7,,,,IF($D$9=1,{"jtb.opcconscontr=2"},{"jtb.opcconscontr=3"})),"-")</f>
        <v>-</v>
      </c>
      <c r="E152" s="36" t="str">
        <f>IFERROR(_xll.ECONOMATICA($C$5,"PrvSSLT",,E$83,,,,$C$7,,,,IF($D$9=1,{"jtb.opcconscontr=2"},{"jtb.opcconscontr=3"})),"-")</f>
        <v>-</v>
      </c>
      <c r="F152" s="37" t="str">
        <f>IFERROR(_xll.ECONOMATICA($C$5,"PrvSSLT",,F$83,,,,$C$7,,,,IF($D$9=1,{"jtb.opcconscontr=2"},{"jtb.opcconscontr=3"})),"-")</f>
        <v>-</v>
      </c>
    </row>
    <row r="153" spans="2:6" ht="15" customHeight="1" x14ac:dyDescent="0.3">
      <c r="B153" s="83" t="s">
        <v>150</v>
      </c>
      <c r="C153" s="84"/>
      <c r="D153" s="43" t="str">
        <f>IFERROR(_xll.ECONOMATICA($C$5,"NCPrEmBe",,D$83,,,,$C$7,,,,IF($D$9=1,{"jtb.opcconscontr=2"},{"jtb.opcconscontr=3"})),"-")</f>
        <v>-</v>
      </c>
      <c r="E153" s="44" t="str">
        <f>IFERROR(_xll.ECONOMATICA($C$5,"NCPrEmBe",,E$83,,,,$C$7,,,,IF($D$9=1,{"jtb.opcconscontr=2"},{"jtb.opcconscontr=3"})),"-")</f>
        <v>-</v>
      </c>
      <c r="F153" s="45" t="str">
        <f>IFERROR(_xll.ECONOMATICA($C$5,"NCPrEmBe",,F$83,,,,$C$7,,,,IF($D$9=1,{"jtb.opcconscontr=2"},{"jtb.opcconscontr=3"})),"-")</f>
        <v>-</v>
      </c>
    </row>
    <row r="154" spans="2:6" ht="15" customHeight="1" x14ac:dyDescent="0.3">
      <c r="B154" s="81" t="s">
        <v>151</v>
      </c>
      <c r="C154" s="82"/>
      <c r="D154" s="41" t="str">
        <f>IFERROR(_xll.ECONOMATICA($C$5,"ProCivLP",,D$83,,,,$C$7,,,,IF($D$9=1,{"jtb.opcconscontr=2"},{"jtb.opcconscontr=3"})),"-")</f>
        <v>-</v>
      </c>
      <c r="E154" s="36" t="str">
        <f>IFERROR(_xll.ECONOMATICA($C$5,"ProCivLP",,E$83,,,,$C$7,,,,IF($D$9=1,{"jtb.opcconscontr=2"},{"jtb.opcconscontr=3"})),"-")</f>
        <v>-</v>
      </c>
      <c r="F154" s="37" t="str">
        <f>IFERROR(_xll.ECONOMATICA($C$5,"ProCivLP",,F$83,,,,$C$7,,,,IF($D$9=1,{"jtb.opcconscontr=2"},{"jtb.opcconscontr=3"})),"-")</f>
        <v>-</v>
      </c>
    </row>
    <row r="155" spans="2:6" ht="15" customHeight="1" x14ac:dyDescent="0.3">
      <c r="B155" s="83" t="s">
        <v>39</v>
      </c>
      <c r="C155" s="84"/>
      <c r="D155" s="43" t="str">
        <f>IFERROR(_xll.ECONOMATICA($C$5,"OtherPSLLT",,D$83,,,,$C$7,,,,IF($D$9=1,{"jtb.opcconscontr=2"},{"jtb.opcconscontr=3"})),"-")</f>
        <v>-</v>
      </c>
      <c r="E155" s="44" t="str">
        <f>IFERROR(_xll.ECONOMATICA($C$5,"OtherPSLLT",,E$83,,,,$C$7,,,,IF($D$9=1,{"jtb.opcconscontr=2"},{"jtb.opcconscontr=3"})),"-")</f>
        <v>-</v>
      </c>
      <c r="F155" s="45" t="str">
        <f>IFERROR(_xll.ECONOMATICA($C$5,"OtherPSLLT",,F$83,,,,$C$7,,,,IF($D$9=1,{"jtb.opcconscontr=2"},{"jtb.opcconscontr=3"})),"-")</f>
        <v>-</v>
      </c>
    </row>
    <row r="156" spans="2:6" ht="15" customHeight="1" x14ac:dyDescent="0.3">
      <c r="B156" s="79" t="s">
        <v>152</v>
      </c>
      <c r="C156" s="62"/>
      <c r="D156" s="41">
        <f>IFERROR(_xll.ECONOMATICA($C$5,"OtLoTePro",,D$83,,,,$C$7,,,,IF($D$9=1,{"jtb.opcconscontr=2"},{"jtb.opcconscontr=3"})),"-")</f>
        <v>163039000</v>
      </c>
      <c r="E156" s="36">
        <f>IFERROR(_xll.ECONOMATICA($C$5,"OtLoTePro",,E$83,,,,$C$7,,,,IF($D$9=1,{"jtb.opcconscontr=2"},{"jtb.opcconscontr=3"})),"-")</f>
        <v>187073000</v>
      </c>
      <c r="F156" s="37">
        <f>IFERROR(_xll.ECONOMATICA($C$5,"OtLoTePro",,F$83,,,,$C$7,,,,IF($D$9=1,{"jtb.opcconscontr=2"},{"jtb.opcconscontr=3"})),"-")</f>
        <v>187707000</v>
      </c>
    </row>
    <row r="157" spans="2:6" ht="15" customHeight="1" x14ac:dyDescent="0.3">
      <c r="B157" s="83" t="s">
        <v>153</v>
      </c>
      <c r="C157" s="84"/>
      <c r="D157" s="43">
        <f>IFERROR(_xll.ECONOMATICA($C$5,"PrOfGuaLT",,D$83,,,,$C$7,,,,IF($D$9=1,{"jtb.opcconscontr=2"},{"jtb.opcconscontr=3"})),"-")</f>
        <v>0</v>
      </c>
      <c r="E157" s="44">
        <f>IFERROR(_xll.ECONOMATICA($C$5,"PrOfGuaLT",,E$83,,,,$C$7,,,,IF($D$9=1,{"jtb.opcconscontr=2"},{"jtb.opcconscontr=3"})),"-")</f>
        <v>0</v>
      </c>
      <c r="F157" s="45">
        <f>IFERROR(_xll.ECONOMATICA($C$5,"PrOfGuaLT",,F$83,,,,$C$7,,,,IF($D$9=1,{"jtb.opcconscontr=2"},{"jtb.opcconscontr=3"})),"-")</f>
        <v>0</v>
      </c>
    </row>
    <row r="158" spans="2:6" ht="15" customHeight="1" x14ac:dyDescent="0.3">
      <c r="B158" s="81" t="s">
        <v>154</v>
      </c>
      <c r="C158" s="82"/>
      <c r="D158" s="41">
        <f>IFERROR(_xll.ECONOMATICA($C$5,"PrReCoLP",,D$83,,,,$C$7,,,,IF($D$9=1,{"jtb.opcconscontr=2"},{"jtb.opcconscontr=3"})),"-")</f>
        <v>0</v>
      </c>
      <c r="E158" s="36">
        <f>IFERROR(_xll.ECONOMATICA($C$5,"PrReCoLP",,E$83,,,,$C$7,,,,IF($D$9=1,{"jtb.opcconscontr=2"},{"jtb.opcconscontr=3"})),"-")</f>
        <v>0</v>
      </c>
      <c r="F158" s="37">
        <f>IFERROR(_xll.ECONOMATICA($C$5,"PrReCoLP",,F$83,,,,$C$7,,,,IF($D$9=1,{"jtb.opcconscontr=2"},{"jtb.opcconscontr=3"})),"-")</f>
        <v>0</v>
      </c>
    </row>
    <row r="159" spans="2:6" ht="15" customHeight="1" x14ac:dyDescent="0.3">
      <c r="B159" s="83" t="s">
        <v>155</v>
      </c>
      <c r="C159" s="84"/>
      <c r="D159" s="43">
        <f>IFERROR(_xll.ECONOMATICA($C$5,"PrPaAmLP",,D$83,,,,$C$7,,,,IF($D$9=1,{"jtb.opcconscontr=2"},{"jtb.opcconscontr=3"})),"-")</f>
        <v>0</v>
      </c>
      <c r="E159" s="44">
        <f>IFERROR(_xll.ECONOMATICA($C$5,"PrPaAmLP",,E$83,,,,$C$7,,,,IF($D$9=1,{"jtb.opcconscontr=2"},{"jtb.opcconscontr=3"})),"-")</f>
        <v>0</v>
      </c>
      <c r="F159" s="45">
        <f>IFERROR(_xll.ECONOMATICA($C$5,"PrPaAmLP",,F$83,,,,$C$7,,,,IF($D$9=1,{"jtb.opcconscontr=2"},{"jtb.opcconscontr=3"})),"-")</f>
        <v>0</v>
      </c>
    </row>
    <row r="160" spans="2:6" ht="15" customHeight="1" x14ac:dyDescent="0.3">
      <c r="B160" s="81" t="s">
        <v>39</v>
      </c>
      <c r="C160" s="82"/>
      <c r="D160" s="41">
        <f>IFERROR(_xll.ECONOMATICA($C$5,"OtherOLTP",,D$83,,,,$C$7,,,,IF($D$9=1,{"jtb.opcconscontr=2"},{"jtb.opcconscontr=3"})),"-")</f>
        <v>163039000</v>
      </c>
      <c r="E160" s="36">
        <f>IFERROR(_xll.ECONOMATICA($C$5,"OtherOLTP",,E$83,,,,$C$7,,,,IF($D$9=1,{"jtb.opcconscontr=2"},{"jtb.opcconscontr=3"})),"-")</f>
        <v>187073000</v>
      </c>
      <c r="F160" s="37">
        <f>IFERROR(_xll.ECONOMATICA($C$5,"OtherOLTP",,F$83,,,,$C$7,,,,IF($D$9=1,{"jtb.opcconscontr=2"},{"jtb.opcconscontr=3"})),"-")</f>
        <v>187707000</v>
      </c>
    </row>
    <row r="161" spans="2:6" ht="15" customHeight="1" x14ac:dyDescent="0.3">
      <c r="B161" s="67" t="s">
        <v>156</v>
      </c>
      <c r="C161" s="68"/>
      <c r="D161" s="43">
        <f>IFERROR(_xll.ECONOMATICA($C$5,"NCAsDiLT",,D$83,,,,$C$7,,,,IF($D$9=1,{"jtb.opcconscontr=2"},{"jtb.opcconscontr=3"})),"-")</f>
        <v>0</v>
      </c>
      <c r="E161" s="44">
        <f>IFERROR(_xll.ECONOMATICA($C$5,"NCAsDiLT",,E$83,,,,$C$7,,,,IF($D$9=1,{"jtb.opcconscontr=2"},{"jtb.opcconscontr=3"})),"-")</f>
        <v>0</v>
      </c>
      <c r="F161" s="45">
        <f>IFERROR(_xll.ECONOMATICA($C$5,"NCAsDiLT",,F$83,,,,$C$7,,,,IF($D$9=1,{"jtb.opcconscontr=2"},{"jtb.opcconscontr=3"})),"-")</f>
        <v>0</v>
      </c>
    </row>
    <row r="162" spans="2:6" ht="15" customHeight="1" x14ac:dyDescent="0.3">
      <c r="B162" s="79" t="s">
        <v>157</v>
      </c>
      <c r="C162" s="62"/>
      <c r="D162" s="41">
        <f>IFERROR(_xll.ECONOMATICA($C$5,"NCAsLiLT",,D$83,,,,$C$7,,,,IF($D$9=1,{"jtb.opcconscontr=2"},{"jtb.opcconscontr=3"})),"-")</f>
        <v>0</v>
      </c>
      <c r="E162" s="36">
        <f>IFERROR(_xll.ECONOMATICA($C$5,"NCAsLiLT",,E$83,,,,$C$7,,,,IF($D$9=1,{"jtb.opcconscontr=2"},{"jtb.opcconscontr=3"})),"-")</f>
        <v>0</v>
      </c>
      <c r="F162" s="37">
        <f>IFERROR(_xll.ECONOMATICA($C$5,"NCAsLiLT",,F$83,,,,$C$7,,,,IF($D$9=1,{"jtb.opcconscontr=2"},{"jtb.opcconscontr=3"})),"-")</f>
        <v>0</v>
      </c>
    </row>
    <row r="163" spans="2:6" ht="15" customHeight="1" x14ac:dyDescent="0.3">
      <c r="B163" s="80" t="s">
        <v>158</v>
      </c>
      <c r="C163" s="64"/>
      <c r="D163" s="43">
        <f>IFERROR(_xll.ECONOMATICA($C$5,"PaOpDiLP",,D$83,,,,$C$7,,,,IF($D$9=1,{"jtb.opcconscontr=2"},{"jtb.opcconscontr=3"})),"-")</f>
        <v>0</v>
      </c>
      <c r="E163" s="44">
        <f>IFERROR(_xll.ECONOMATICA($C$5,"PaOpDiLP",,E$83,,,,$C$7,,,,IF($D$9=1,{"jtb.opcconscontr=2"},{"jtb.opcconscontr=3"})),"-")</f>
        <v>0</v>
      </c>
      <c r="F163" s="45">
        <f>IFERROR(_xll.ECONOMATICA($C$5,"PaOpDiLP",,F$83,,,,$C$7,,,,IF($D$9=1,{"jtb.opcconscontr=2"},{"jtb.opcconscontr=3"})),"-")</f>
        <v>0</v>
      </c>
    </row>
    <row r="164" spans="2:6" ht="15" customHeight="1" x14ac:dyDescent="0.3">
      <c r="B164" s="77" t="s">
        <v>159</v>
      </c>
      <c r="C164" s="78"/>
      <c r="D164" s="41">
        <f>IFERROR(_xll.ECONOMATICA($C$5,"UnRe/Pr",,D$83,,,,$C$7,,,,IF($D$9=1,{"jtb.opcconscontr=2"},{"jtb.opcconscontr=3"})),"-")</f>
        <v>0</v>
      </c>
      <c r="E164" s="36">
        <f>IFERROR(_xll.ECONOMATICA($C$5,"UnRe/Pr",,E$83,,,,$C$7,,,,IF($D$9=1,{"jtb.opcconscontr=2"},{"jtb.opcconscontr=3"})),"-")</f>
        <v>0</v>
      </c>
      <c r="F164" s="37">
        <f>IFERROR(_xll.ECONOMATICA($C$5,"UnRe/Pr",,F$83,,,,$C$7,,,,IF($D$9=1,{"jtb.opcconscontr=2"},{"jtb.opcconscontr=3"})),"-")</f>
        <v>0</v>
      </c>
    </row>
    <row r="165" spans="2:6" ht="15" customHeight="1" x14ac:dyDescent="0.3">
      <c r="B165" s="80" t="s">
        <v>160</v>
      </c>
      <c r="C165" s="64"/>
      <c r="D165" s="43">
        <f>IFERROR(_xll.ECONOMATICA($C$5,"UnProf",,D$83,,,,$C$7,,,,IF($D$9=1,{"jtb.opcconscontr=2"},{"jtb.opcconscontr=3"})),"-")</f>
        <v>0</v>
      </c>
      <c r="E165" s="44">
        <f>IFERROR(_xll.ECONOMATICA($C$5,"UnProf",,E$83,,,,$C$7,,,,IF($D$9=1,{"jtb.opcconscontr=2"},{"jtb.opcconscontr=3"})),"-")</f>
        <v>0</v>
      </c>
      <c r="F165" s="45">
        <f>IFERROR(_xll.ECONOMATICA($C$5,"UnProf",,F$83,,,,$C$7,,,,IF($D$9=1,{"jtb.opcconscontr=2"},{"jtb.opcconscontr=3"})),"-")</f>
        <v>0</v>
      </c>
    </row>
    <row r="166" spans="2:6" ht="15" customHeight="1" x14ac:dyDescent="0.3">
      <c r="B166" s="79" t="s">
        <v>161</v>
      </c>
      <c r="C166" s="62"/>
      <c r="D166" s="41">
        <f>IFERROR(_xll.ECONOMATICA($C$5,"UnearRe",,D$83,,,,$C$7,,,,IF($D$9=1,{"jtb.opcconscontr=2"},{"jtb.opcconscontr=3"})),"-")</f>
        <v>0</v>
      </c>
      <c r="E166" s="36">
        <f>IFERROR(_xll.ECONOMATICA($C$5,"UnearRe",,E$83,,,,$C$7,,,,IF($D$9=1,{"jtb.opcconscontr=2"},{"jtb.opcconscontr=3"})),"-")</f>
        <v>0</v>
      </c>
      <c r="F166" s="37">
        <f>IFERROR(_xll.ECONOMATICA($C$5,"UnearRe",,F$83,,,,$C$7,,,,IF($D$9=1,{"jtb.opcconscontr=2"},{"jtb.opcconscontr=3"})),"-")</f>
        <v>0</v>
      </c>
    </row>
    <row r="167" spans="2:6" ht="15" customHeight="1" x14ac:dyDescent="0.3">
      <c r="B167" s="80" t="s">
        <v>162</v>
      </c>
      <c r="C167" s="64"/>
      <c r="D167" s="43">
        <f>IFERROR(_xll.ECONOMATICA($C$5,"SubInv",,D$83,,,,$C$7,,,,IF($D$9=1,{"jtb.opcconscontr=2"},{"jtb.opcconscontr=3"})),"-")</f>
        <v>0</v>
      </c>
      <c r="E167" s="44">
        <f>IFERROR(_xll.ECONOMATICA($C$5,"SubInv",,E$83,,,,$C$7,,,,IF($D$9=1,{"jtb.opcconscontr=2"},{"jtb.opcconscontr=3"})),"-")</f>
        <v>0</v>
      </c>
      <c r="F167" s="45">
        <f>IFERROR(_xll.ECONOMATICA($C$5,"SubInv",,F$83,,,,$C$7,,,,IF($D$9=1,{"jtb.opcconscontr=2"},{"jtb.opcconscontr=3"})),"-")</f>
        <v>0</v>
      </c>
    </row>
    <row r="168" spans="2:6" ht="15" customHeight="1" x14ac:dyDescent="0.3">
      <c r="B168" s="79" t="s">
        <v>163</v>
      </c>
      <c r="C168" s="62"/>
      <c r="D168" s="41">
        <f>IFERROR(_xll.ECONOMATICA($C$5,"Stock Eq Total",,D$83,,,,$C$7,,,,IF($D$9=1,{"jtb.opcconscontr=2"},{"jtb.opcconscontr=3"})),"-")</f>
        <v>364385000</v>
      </c>
      <c r="E168" s="36">
        <f>IFERROR(_xll.ECONOMATICA($C$5,"Stock Eq Total",,E$83,,,,$C$7,,,,IF($D$9=1,{"jtb.opcconscontr=2"},{"jtb.opcconscontr=3"})),"-")</f>
        <v>382340000</v>
      </c>
      <c r="F168" s="37">
        <f>IFERROR(_xll.ECONOMATICA($C$5,"Stock Eq Total",,F$83,,,,$C$7,,,,IF($D$9=1,{"jtb.opcconscontr=2"},{"jtb.opcconscontr=3"})),"-")</f>
        <v>376040000</v>
      </c>
    </row>
    <row r="169" spans="2:6" ht="15" customHeight="1" x14ac:dyDescent="0.3">
      <c r="B169" s="67" t="s">
        <v>164</v>
      </c>
      <c r="C169" s="68"/>
      <c r="D169" s="43">
        <f>IFERROR(_xll.ECONOMATICA($C$5,"MinInt",,D$83,,,,$C$7,,,,IF($D$9=1,{"jtb.opcconscontr=2"},{"jtb.opcconscontr=3"})),"-")</f>
        <v>1791000</v>
      </c>
      <c r="E169" s="44">
        <f>IFERROR(_xll.ECONOMATICA($C$5,"MinInt",,E$83,,,,$C$7,,,,IF($D$9=1,{"jtb.opcconscontr=2"},{"jtb.opcconscontr=3"})),"-")</f>
        <v>1899000</v>
      </c>
      <c r="F169" s="45">
        <f>IFERROR(_xll.ECONOMATICA($C$5,"MinInt",,F$83,,,,$C$7,,,,IF($D$9=1,{"jtb.opcconscontr=2"},{"jtb.opcconscontr=3"})),"-")</f>
        <v>2561000</v>
      </c>
    </row>
    <row r="170" spans="2:6" ht="15" customHeight="1" x14ac:dyDescent="0.3">
      <c r="B170" s="77" t="s">
        <v>165</v>
      </c>
      <c r="C170" s="78"/>
      <c r="D170" s="41">
        <f>IFERROR(_xll.ECONOMATICA($C$5,"Stock Eq Par",,D$83,,,,$C$7,,,,IF($D$9=1,{"jtb.opcconscontr=2"},{"jtb.opcconscontr=3"})),"-")</f>
        <v>362594000</v>
      </c>
      <c r="E170" s="36">
        <f>IFERROR(_xll.ECONOMATICA($C$5,"Stock Eq Par",,E$83,,,,$C$7,,,,IF($D$9=1,{"jtb.opcconscontr=2"},{"jtb.opcconscontr=3"})),"-")</f>
        <v>380441000</v>
      </c>
      <c r="F170" s="37">
        <f>IFERROR(_xll.ECONOMATICA($C$5,"Stock Eq Par",,F$83,,,,$C$7,,,,IF($D$9=1,{"jtb.opcconscontr=2"},{"jtb.opcconscontr=3"})),"-")</f>
        <v>373479000</v>
      </c>
    </row>
    <row r="171" spans="2:6" ht="15" customHeight="1" x14ac:dyDescent="0.3">
      <c r="B171" s="80" t="s">
        <v>166</v>
      </c>
      <c r="C171" s="64"/>
      <c r="D171" s="43">
        <f>IFERROR(_xll.ECONOMATICA($C$5,"Capital Stock",,D$83,,,,$C$7,,,,IF($D$9=1,{"jtb.opcconscontr=2"},{"jtb.opcconscontr=3"})),"-")</f>
        <v>205432000</v>
      </c>
      <c r="E171" s="44">
        <f>IFERROR(_xll.ECONOMATICA($C$5,"Capital Stock",,E$83,,,,$C$7,,,,IF($D$9=1,{"jtb.opcconscontr=2"},{"jtb.opcconscontr=3"})),"-")</f>
        <v>205432000</v>
      </c>
      <c r="F171" s="45">
        <f>IFERROR(_xll.ECONOMATICA($C$5,"Capital Stock",,F$83,,,,$C$7,,,,IF($D$9=1,{"jtb.opcconscontr=2"},{"jtb.opcconscontr=3"})),"-")</f>
        <v>205432000</v>
      </c>
    </row>
    <row r="172" spans="2:6" ht="15" customHeight="1" x14ac:dyDescent="0.3">
      <c r="B172" s="79" t="s">
        <v>167</v>
      </c>
      <c r="C172" s="62"/>
      <c r="D172" s="41">
        <f>IFERROR(_xll.ECONOMATICA($C$5,"Capital Reserv",,D$83,,,,$C$7,,,,IF($D$9=1,{"jtb.opcconscontr=2"},{"jtb.opcconscontr=3"})),"-")</f>
        <v>3102000</v>
      </c>
      <c r="E172" s="36">
        <f>IFERROR(_xll.ECONOMATICA($C$5,"Capital Reserv",,E$83,,,,$C$7,,,,IF($D$9=1,{"jtb.opcconscontr=2"},{"jtb.opcconscontr=3"})),"-")</f>
        <v>-538000</v>
      </c>
      <c r="F172" s="37">
        <f>IFERROR(_xll.ECONOMATICA($C$5,"Capital Reserv",,F$83,,,,$C$7,,,,IF($D$9=1,{"jtb.opcconscontr=2"},{"jtb.opcconscontr=3"})),"-")</f>
        <v>-2457000</v>
      </c>
    </row>
    <row r="173" spans="2:6" ht="15" customHeight="1" x14ac:dyDescent="0.3">
      <c r="B173" s="83" t="s">
        <v>168</v>
      </c>
      <c r="C173" s="84"/>
      <c r="D173" s="43" t="str">
        <f>IFERROR(_xll.ECONOMATICA($C$5,"CapSurp",,D$83,,,,$C$7,,,,IF($D$9=1,{"jtb.opcconscontr=2"},{"jtb.opcconscontr=3"})),"-")</f>
        <v>-</v>
      </c>
      <c r="E173" s="44" t="str">
        <f>IFERROR(_xll.ECONOMATICA($C$5,"CapSurp",,E$83,,,,$C$7,,,,IF($D$9=1,{"jtb.opcconscontr=2"},{"jtb.opcconscontr=3"})),"-")</f>
        <v>-</v>
      </c>
      <c r="F173" s="45" t="str">
        <f>IFERROR(_xll.ECONOMATICA($C$5,"CapSurp",,F$83,,,,$C$7,,,,IF($D$9=1,{"jtb.opcconscontr=2"},{"jtb.opcconscontr=3"})),"-")</f>
        <v>-</v>
      </c>
    </row>
    <row r="174" spans="2:6" ht="15" customHeight="1" x14ac:dyDescent="0.3">
      <c r="B174" s="81" t="s">
        <v>169</v>
      </c>
      <c r="C174" s="82"/>
      <c r="D174" s="41" t="str">
        <f>IFERROR(_xll.ECONOMATICA($C$5,"ReEsVaIn",,D$83,,,,$C$7,,,,IF($D$9=1,{"jtb.opcconscontr=2"},{"jtb.opcconscontr=3"})),"-")</f>
        <v>-</v>
      </c>
      <c r="E174" s="36" t="str">
        <f>IFERROR(_xll.ECONOMATICA($C$5,"ReEsVaIn",,E$83,,,,$C$7,,,,IF($D$9=1,{"jtb.opcconscontr=2"},{"jtb.opcconscontr=3"})),"-")</f>
        <v>-</v>
      </c>
      <c r="F174" s="37" t="str">
        <f>IFERROR(_xll.ECONOMATICA($C$5,"ReEsVaIn",,F$83,,,,$C$7,,,,IF($D$9=1,{"jtb.opcconscontr=2"},{"jtb.opcconscontr=3"})),"-")</f>
        <v>-</v>
      </c>
    </row>
    <row r="175" spans="2:6" ht="15" customHeight="1" x14ac:dyDescent="0.3">
      <c r="B175" s="83" t="s">
        <v>170</v>
      </c>
      <c r="C175" s="84"/>
      <c r="D175" s="43" t="str">
        <f>IFERROR(_xll.ECONOMATICA($C$5,"EnaBoSus",,D$83,,,,$C$7,,,,IF($D$9=1,{"jtb.opcconscontr=2"},{"jtb.opcconscontr=3"})),"-")</f>
        <v>-</v>
      </c>
      <c r="E175" s="44" t="str">
        <f>IFERROR(_xll.ECONOMATICA($C$5,"EnaBoSus",,E$83,,,,$C$7,,,,IF($D$9=1,{"jtb.opcconscontr=2"},{"jtb.opcconscontr=3"})),"-")</f>
        <v>-</v>
      </c>
      <c r="F175" s="45" t="str">
        <f>IFERROR(_xll.ECONOMATICA($C$5,"EnaBoSus",,F$83,,,,$C$7,,,,IF($D$9=1,{"jtb.opcconscontr=2"},{"jtb.opcconscontr=3"})),"-")</f>
        <v>-</v>
      </c>
    </row>
    <row r="176" spans="2:6" ht="15" customHeight="1" x14ac:dyDescent="0.3">
      <c r="B176" s="81" t="s">
        <v>171</v>
      </c>
      <c r="C176" s="82"/>
      <c r="D176" s="41" t="str">
        <f>IFERROR(_xll.ECONOMATICA($C$5,"OpcConc",,D$83,,,,$C$7,,,,IF($D$9=1,{"jtb.opcconscontr=2"},{"jtb.opcconscontr=3"})),"-")</f>
        <v>-</v>
      </c>
      <c r="E176" s="36" t="str">
        <f>IFERROR(_xll.ECONOMATICA($C$5,"OpcConc",,E$83,,,,$C$7,,,,IF($D$9=1,{"jtb.opcconscontr=2"},{"jtb.opcconscontr=3"})),"-")</f>
        <v>-</v>
      </c>
      <c r="F176" s="37" t="str">
        <f>IFERROR(_xll.ECONOMATICA($C$5,"OpcConc",,F$83,,,,$C$7,,,,IF($D$9=1,{"jtb.opcconscontr=2"},{"jtb.opcconscontr=3"})),"-")</f>
        <v>-</v>
      </c>
    </row>
    <row r="177" spans="2:6" ht="15" customHeight="1" x14ac:dyDescent="0.3">
      <c r="B177" s="83" t="s">
        <v>172</v>
      </c>
      <c r="C177" s="84"/>
      <c r="D177" s="43" t="str">
        <f>IFERROR(_xll.ECONOMATICA($C$5,"TrSh(CapR)",,D$83,,,,$C$7,,,,IF($D$9=1,{"jtb.opcconscontr=2"},{"jtb.opcconscontr=3"})),"-")</f>
        <v>-</v>
      </c>
      <c r="E177" s="44" t="str">
        <f>IFERROR(_xll.ECONOMATICA($C$5,"TrSh(CapR)",,E$83,,,,$C$7,,,,IF($D$9=1,{"jtb.opcconscontr=2"},{"jtb.opcconscontr=3"})),"-")</f>
        <v>-</v>
      </c>
      <c r="F177" s="45" t="str">
        <f>IFERROR(_xll.ECONOMATICA($C$5,"TrSh(CapR)",,F$83,,,,$C$7,,,,IF($D$9=1,{"jtb.opcconscontr=2"},{"jtb.opcconscontr=3"})),"-")</f>
        <v>-</v>
      </c>
    </row>
    <row r="178" spans="2:6" ht="15" customHeight="1" x14ac:dyDescent="0.3">
      <c r="B178" s="81" t="s">
        <v>173</v>
      </c>
      <c r="C178" s="82"/>
      <c r="D178" s="41" t="str">
        <f>IFERROR(_xll.ECONOMATICA($C$5,"FutureCapIncr",,D$83,,,,$C$7,,,,IF($D$9=1,{"jtb.opcconscontr=2"},{"jtb.opcconscontr=3"})),"-")</f>
        <v>-</v>
      </c>
      <c r="E178" s="36" t="str">
        <f>IFERROR(_xll.ECONOMATICA($C$5,"FutureCapIncr",,E$83,,,,$C$7,,,,IF($D$9=1,{"jtb.opcconscontr=2"},{"jtb.opcconscontr=3"})),"-")</f>
        <v>-</v>
      </c>
      <c r="F178" s="37" t="str">
        <f>IFERROR(_xll.ECONOMATICA($C$5,"FutureCapIncr",,F$83,,,,$C$7,,,,IF($D$9=1,{"jtb.opcconscontr=2"},{"jtb.opcconscontr=3"})),"-")</f>
        <v>-</v>
      </c>
    </row>
    <row r="179" spans="2:6" ht="15" customHeight="1" x14ac:dyDescent="0.3">
      <c r="B179" s="83" t="s">
        <v>39</v>
      </c>
      <c r="C179" s="84"/>
      <c r="D179" s="43" t="str">
        <f>IFERROR(_xll.ECONOMATICA($C$5,"OtherCR",,D$83,,,,$C$7,,,,IF($D$9=1,{"jtb.opcconscontr=2"},{"jtb.opcconscontr=3"})),"-")</f>
        <v>-</v>
      </c>
      <c r="E179" s="44" t="str">
        <f>IFERROR(_xll.ECONOMATICA($C$5,"OtherCR",,E$83,,,,$C$7,,,,IF($D$9=1,{"jtb.opcconscontr=2"},{"jtb.opcconscontr=3"})),"-")</f>
        <v>-</v>
      </c>
      <c r="F179" s="45" t="str">
        <f>IFERROR(_xll.ECONOMATICA($C$5,"OtherCR",,F$83,,,,$C$7,,,,IF($D$9=1,{"jtb.opcconscontr=2"},{"jtb.opcconscontr=3"})),"-")</f>
        <v>-</v>
      </c>
    </row>
    <row r="180" spans="2:6" ht="15" customHeight="1" x14ac:dyDescent="0.3">
      <c r="B180" s="79" t="s">
        <v>174</v>
      </c>
      <c r="C180" s="62"/>
      <c r="D180" s="41">
        <f>IFERROR(_xll.ECONOMATICA($C$5,"RevaRs",,D$83,,,,$C$7,,,,IF($D$9=1,{"jtb.opcconscontr=2"},{"jtb.opcconscontr=3"})),"-")</f>
        <v>0</v>
      </c>
      <c r="E180" s="36">
        <f>IFERROR(_xll.ECONOMATICA($C$5,"RevaRs",,E$83,,,,$C$7,,,,IF($D$9=1,{"jtb.opcconscontr=2"},{"jtb.opcconscontr=3"})),"-")</f>
        <v>0</v>
      </c>
      <c r="F180" s="37">
        <f>IFERROR(_xll.ECONOMATICA($C$5,"RevaRs",,F$83,,,,$C$7,,,,IF($D$9=1,{"jtb.opcconscontr=2"},{"jtb.opcconscontr=3"})),"-")</f>
        <v>0</v>
      </c>
    </row>
    <row r="181" spans="2:6" ht="15" customHeight="1" x14ac:dyDescent="0.3">
      <c r="B181" s="80" t="s">
        <v>175</v>
      </c>
      <c r="C181" s="64"/>
      <c r="D181" s="43">
        <f>IFERROR(_xll.ECONOMATICA($C$5,"EarRes",,D$83,,,,$C$7,,,,IF($D$9=1,{"jtb.opcconscontr=2"},{"jtb.opcconscontr=3"})),"-")</f>
        <v>128562000</v>
      </c>
      <c r="E181" s="44">
        <f>IFERROR(_xll.ECONOMATICA($C$5,"EarRes",,E$83,,,,$C$7,,,,IF($D$9=1,{"jtb.opcconscontr=2"},{"jtb.opcconscontr=3"})),"-")</f>
        <v>159171000</v>
      </c>
      <c r="F181" s="45">
        <f>IFERROR(_xll.ECONOMATICA($C$5,"EarRes",,F$83,,,,$C$7,,,,IF($D$9=1,{"jtb.opcconscontr=2"},{"jtb.opcconscontr=3"})),"-")</f>
        <v>123032000</v>
      </c>
    </row>
    <row r="182" spans="2:6" ht="15" customHeight="1" x14ac:dyDescent="0.3">
      <c r="B182" s="81" t="s">
        <v>176</v>
      </c>
      <c r="C182" s="82"/>
      <c r="D182" s="41" t="str">
        <f>IFERROR(_xll.ECONOMATICA($C$5,"Legal Reserv",,D$83,,,,$C$7,,,,IF($D$9=1,{"jtb.opcconscontr=2"},{"jtb.opcconscontr=3"})),"-")</f>
        <v>-</v>
      </c>
      <c r="E182" s="36" t="str">
        <f>IFERROR(_xll.ECONOMATICA($C$5,"Legal Reserv",,E$83,,,,$C$7,,,,IF($D$9=1,{"jtb.opcconscontr=2"},{"jtb.opcconscontr=3"})),"-")</f>
        <v>-</v>
      </c>
      <c r="F182" s="37" t="str">
        <f>IFERROR(_xll.ECONOMATICA($C$5,"Legal Reserv",,F$83,,,,$C$7,,,,IF($D$9=1,{"jtb.opcconscontr=2"},{"jtb.opcconscontr=3"})),"-")</f>
        <v>-</v>
      </c>
    </row>
    <row r="183" spans="2:6" ht="15" customHeight="1" x14ac:dyDescent="0.3">
      <c r="B183" s="83" t="s">
        <v>177</v>
      </c>
      <c r="C183" s="84"/>
      <c r="D183" s="43" t="str">
        <f>IFERROR(_xll.ECONOMATICA($C$5,"StaRes",,D$83,,,,$C$7,,,,IF($D$9=1,{"jtb.opcconscontr=2"},{"jtb.opcconscontr=3"})),"-")</f>
        <v>-</v>
      </c>
      <c r="E183" s="44" t="str">
        <f>IFERROR(_xll.ECONOMATICA($C$5,"StaRes",,E$83,,,,$C$7,,,,IF($D$9=1,{"jtb.opcconscontr=2"},{"jtb.opcconscontr=3"})),"-")</f>
        <v>-</v>
      </c>
      <c r="F183" s="45" t="str">
        <f>IFERROR(_xll.ECONOMATICA($C$5,"StaRes",,F$83,,,,$C$7,,,,IF($D$9=1,{"jtb.opcconscontr=2"},{"jtb.opcconscontr=3"})),"-")</f>
        <v>-</v>
      </c>
    </row>
    <row r="184" spans="2:6" ht="15" customHeight="1" x14ac:dyDescent="0.3">
      <c r="B184" s="81" t="s">
        <v>178</v>
      </c>
      <c r="C184" s="82"/>
      <c r="D184" s="41" t="str">
        <f>IFERROR(_xll.ECONOMATICA($C$5,"ReserForCont",,D$83,,,,$C$7,,,,IF($D$9=1,{"jtb.opcconscontr=2"},{"jtb.opcconscontr=3"})),"-")</f>
        <v>-</v>
      </c>
      <c r="E184" s="36" t="str">
        <f>IFERROR(_xll.ECONOMATICA($C$5,"ReserForCont",,E$83,,,,$C$7,,,,IF($D$9=1,{"jtb.opcconscontr=2"},{"jtb.opcconscontr=3"})),"-")</f>
        <v>-</v>
      </c>
      <c r="F184" s="37" t="str">
        <f>IFERROR(_xll.ECONOMATICA($C$5,"ReserForCont",,F$83,,,,$C$7,,,,IF($D$9=1,{"jtb.opcconscontr=2"},{"jtb.opcconscontr=3"})),"-")</f>
        <v>-</v>
      </c>
    </row>
    <row r="185" spans="2:6" ht="15" customHeight="1" x14ac:dyDescent="0.3">
      <c r="B185" s="83" t="s">
        <v>179</v>
      </c>
      <c r="C185" s="84"/>
      <c r="D185" s="43" t="str">
        <f>IFERROR(_xll.ECONOMATICA($C$5,"UnrEar",,D$83,,,,$C$7,,,,IF($D$9=1,{"jtb.opcconscontr=2"},{"jtb.opcconscontr=3"})),"-")</f>
        <v>-</v>
      </c>
      <c r="E185" s="44" t="str">
        <f>IFERROR(_xll.ECONOMATICA($C$5,"UnrEar",,E$83,,,,$C$7,,,,IF($D$9=1,{"jtb.opcconscontr=2"},{"jtb.opcconscontr=3"})),"-")</f>
        <v>-</v>
      </c>
      <c r="F185" s="45" t="str">
        <f>IFERROR(_xll.ECONOMATICA($C$5,"UnrEar",,F$83,,,,$C$7,,,,IF($D$9=1,{"jtb.opcconscontr=2"},{"jtb.opcconscontr=3"})),"-")</f>
        <v>-</v>
      </c>
    </row>
    <row r="186" spans="2:6" ht="15" customHeight="1" x14ac:dyDescent="0.3">
      <c r="B186" s="81" t="s">
        <v>180</v>
      </c>
      <c r="C186" s="82"/>
      <c r="D186" s="41" t="str">
        <f>IFERROR(_xll.ECONOMATICA($C$5,"Ret Ear Rsv",,D$83,,,,$C$7,,,,IF($D$9=1,{"jtb.opcconscontr=2"},{"jtb.opcconscontr=3"})),"-")</f>
        <v>-</v>
      </c>
      <c r="E186" s="36" t="str">
        <f>IFERROR(_xll.ECONOMATICA($C$5,"Ret Ear Rsv",,E$83,,,,$C$7,,,,IF($D$9=1,{"jtb.opcconscontr=2"},{"jtb.opcconscontr=3"})),"-")</f>
        <v>-</v>
      </c>
      <c r="F186" s="37" t="str">
        <f>IFERROR(_xll.ECONOMATICA($C$5,"Ret Ear Rsv",,F$83,,,,$C$7,,,,IF($D$9=1,{"jtb.opcconscontr=2"},{"jtb.opcconscontr=3"})),"-")</f>
        <v>-</v>
      </c>
    </row>
    <row r="187" spans="2:6" ht="15" customHeight="1" x14ac:dyDescent="0.3">
      <c r="B187" s="83" t="s">
        <v>181</v>
      </c>
      <c r="C187" s="84"/>
      <c r="D187" s="43" t="str">
        <f>IFERROR(_xll.ECONOMATICA($C$5,"ResFUndDiv",,D$83,,,,$C$7,,,,IF($D$9=1,{"jtb.opcconscontr=2"},{"jtb.opcconscontr=3"})),"-")</f>
        <v>-</v>
      </c>
      <c r="E187" s="44" t="str">
        <f>IFERROR(_xll.ECONOMATICA($C$5,"ResFUndDiv",,E$83,,,,$C$7,,,,IF($D$9=1,{"jtb.opcconscontr=2"},{"jtb.opcconscontr=3"})),"-")</f>
        <v>-</v>
      </c>
      <c r="F187" s="45" t="str">
        <f>IFERROR(_xll.ECONOMATICA($C$5,"ResFUndDiv",,F$83,,,,$C$7,,,,IF($D$9=1,{"jtb.opcconscontr=2"},{"jtb.opcconscontr=3"})),"-")</f>
        <v>-</v>
      </c>
    </row>
    <row r="188" spans="2:6" ht="15" customHeight="1" x14ac:dyDescent="0.3">
      <c r="B188" s="81" t="s">
        <v>182</v>
      </c>
      <c r="C188" s="82"/>
      <c r="D188" s="41" t="str">
        <f>IFERROR(_xll.ECONOMATICA($C$5,"ReInFis",,D$83,,,,$C$7,,,,IF($D$9=1,{"jtb.opcconscontr=2"},{"jtb.opcconscontr=3"})),"-")</f>
        <v>-</v>
      </c>
      <c r="E188" s="36" t="str">
        <f>IFERROR(_xll.ECONOMATICA($C$5,"ReInFis",,E$83,,,,$C$7,,,,IF($D$9=1,{"jtb.opcconscontr=2"},{"jtb.opcconscontr=3"})),"-")</f>
        <v>-</v>
      </c>
      <c r="F188" s="37" t="str">
        <f>IFERROR(_xll.ECONOMATICA($C$5,"ReInFis",,F$83,,,,$C$7,,,,IF($D$9=1,{"jtb.opcconscontr=2"},{"jtb.opcconscontr=3"})),"-")</f>
        <v>-</v>
      </c>
    </row>
    <row r="189" spans="2:6" ht="15" customHeight="1" x14ac:dyDescent="0.3">
      <c r="B189" s="83" t="s">
        <v>183</v>
      </c>
      <c r="C189" s="84"/>
      <c r="D189" s="43" t="str">
        <f>IFERROR(_xll.ECONOMATICA($C$5,"DivAdPro",,D$83,,,,$C$7,,,,IF($D$9=1,{"jtb.opcconscontr=2"},{"jtb.opcconscontr=3"})),"-")</f>
        <v>-</v>
      </c>
      <c r="E189" s="44" t="str">
        <f>IFERROR(_xll.ECONOMATICA($C$5,"DivAdPro",,E$83,,,,$C$7,,,,IF($D$9=1,{"jtb.opcconscontr=2"},{"jtb.opcconscontr=3"})),"-")</f>
        <v>-</v>
      </c>
      <c r="F189" s="45" t="str">
        <f>IFERROR(_xll.ECONOMATICA($C$5,"DivAdPro",,F$83,,,,$C$7,,,,IF($D$9=1,{"jtb.opcconscontr=2"},{"jtb.opcconscontr=3"})),"-")</f>
        <v>-</v>
      </c>
    </row>
    <row r="190" spans="2:6" ht="15" customHeight="1" x14ac:dyDescent="0.3">
      <c r="B190" s="81" t="s">
        <v>184</v>
      </c>
      <c r="C190" s="82"/>
      <c r="D190" s="41" t="str">
        <f>IFERROR(_xll.ECONOMATICA($C$5,"TrSh(EarRe)",,D$83,,,,$C$7,,,,IF($D$9=1,{"jtb.opcconscontr=2"},{"jtb.opcconscontr=3"})),"-")</f>
        <v>-</v>
      </c>
      <c r="E190" s="36" t="str">
        <f>IFERROR(_xll.ECONOMATICA($C$5,"TrSh(EarRe)",,E$83,,,,$C$7,,,,IF($D$9=1,{"jtb.opcconscontr=2"},{"jtb.opcconscontr=3"})),"-")</f>
        <v>-</v>
      </c>
      <c r="F190" s="37" t="str">
        <f>IFERROR(_xll.ECONOMATICA($C$5,"TrSh(EarRe)",,F$83,,,,$C$7,,,,IF($D$9=1,{"jtb.opcconscontr=2"},{"jtb.opcconscontr=3"})),"-")</f>
        <v>-</v>
      </c>
    </row>
    <row r="191" spans="2:6" ht="15" customHeight="1" x14ac:dyDescent="0.3">
      <c r="B191" s="83" t="s">
        <v>39</v>
      </c>
      <c r="C191" s="84"/>
      <c r="D191" s="43" t="str">
        <f>IFERROR(_xll.ECONOMATICA($C$5,"OtherER",,D$83,,,,$C$7,,,,IF($D$9=1,{"jtb.opcconscontr=2"},{"jtb.opcconscontr=3"})),"-")</f>
        <v>-</v>
      </c>
      <c r="E191" s="44" t="str">
        <f>IFERROR(_xll.ECONOMATICA($C$5,"OtherER",,E$83,,,,$C$7,,,,IF($D$9=1,{"jtb.opcconscontr=2"},{"jtb.opcconscontr=3"})),"-")</f>
        <v>-</v>
      </c>
      <c r="F191" s="45" t="str">
        <f>IFERROR(_xll.ECONOMATICA($C$5,"OtherER",,F$83,,,,$C$7,,,,IF($D$9=1,{"jtb.opcconscontr=2"},{"jtb.opcconscontr=3"})),"-")</f>
        <v>-</v>
      </c>
    </row>
    <row r="192" spans="2:6" ht="15" customHeight="1" x14ac:dyDescent="0.3">
      <c r="B192" s="79" t="s">
        <v>185</v>
      </c>
      <c r="C192" s="62"/>
      <c r="D192" s="41">
        <f>IFERROR(_xll.ECONOMATICA($C$5,"Retained Earn",,D$83,,,,$C$7,,,,IF($D$9=1,{"jtb.opcconscontr=2"},{"jtb.opcconscontr=3"})),"-")</f>
        <v>0</v>
      </c>
      <c r="E192" s="36">
        <f>IFERROR(_xll.ECONOMATICA($C$5,"Retained Earn",,E$83,,,,$C$7,,,,IF($D$9=1,{"jtb.opcconscontr=2"},{"jtb.opcconscontr=3"})),"-")</f>
        <v>0</v>
      </c>
      <c r="F192" s="37">
        <f>IFERROR(_xll.ECONOMATICA($C$5,"Retained Earn",,F$83,,,,$C$7,,,,IF($D$9=1,{"jtb.opcconscontr=2"},{"jtb.opcconscontr=3"})),"-")</f>
        <v>7697000</v>
      </c>
    </row>
    <row r="193" spans="2:6" ht="15" customHeight="1" x14ac:dyDescent="0.3">
      <c r="B193" s="80" t="s">
        <v>186</v>
      </c>
      <c r="C193" s="64"/>
      <c r="D193" s="43">
        <f>IFERROR(_xll.ECONOMATICA($C$5,"AjAvalPatr",,D$83,,,,$C$7,,,,IF($D$9=1,{"jtb.opcconscontr=2"},{"jtb.opcconscontr=3"})),"-")</f>
        <v>0</v>
      </c>
      <c r="E193" s="44">
        <f>IFERROR(_xll.ECONOMATICA($C$5,"AjAvalPatr",,E$83,,,,$C$7,,,,IF($D$9=1,{"jtb.opcconscontr=2"},{"jtb.opcconscontr=3"})),"-")</f>
        <v>0</v>
      </c>
      <c r="F193" s="45">
        <f>IFERROR(_xll.ECONOMATICA($C$5,"AjAvalPatr",,F$83,,,,$C$7,,,,IF($D$9=1,{"jtb.opcconscontr=2"},{"jtb.opcconscontr=3"})),"-")</f>
        <v>0</v>
      </c>
    </row>
    <row r="194" spans="2:6" ht="15" customHeight="1" x14ac:dyDescent="0.3">
      <c r="B194" s="79" t="s">
        <v>187</v>
      </c>
      <c r="C194" s="62"/>
      <c r="D194" s="41">
        <f>IFERROR(_xll.ECONOMATICA($C$5,"AjAcumConv",,D$83,,,,$C$7,,,,IF($D$9=1,{"jtb.opcconscontr=2"},{"jtb.opcconscontr=3"})),"-")</f>
        <v>0</v>
      </c>
      <c r="E194" s="36">
        <f>IFERROR(_xll.ECONOMATICA($C$5,"AjAcumConv",,E$83,,,,$C$7,,,,IF($D$9=1,{"jtb.opcconscontr=2"},{"jtb.opcconscontr=3"})),"-")</f>
        <v>0</v>
      </c>
      <c r="F194" s="37">
        <f>IFERROR(_xll.ECONOMATICA($C$5,"AjAcumConv",,F$83,,,,$C$7,,,,IF($D$9=1,{"jtb.opcconscontr=2"},{"jtb.opcconscontr=3"})),"-")</f>
        <v>0</v>
      </c>
    </row>
    <row r="195" spans="2:6" ht="15" customHeight="1" x14ac:dyDescent="0.3">
      <c r="B195" s="93" t="s">
        <v>188</v>
      </c>
      <c r="C195" s="94"/>
      <c r="D195" s="49">
        <f>IFERROR(_xll.ECONOMATICA($C$5,"OtCoIn",,D$83,,,,$C$7,,,,IF($D$9=1,{"jtb.opcconscontr=2"},{"jtb.opcconscontr=3"})),"-")</f>
        <v>25498000</v>
      </c>
      <c r="E195" s="50">
        <f>IFERROR(_xll.ECONOMATICA($C$5,"OtCoIn",,E$83,,,,$C$7,,,,IF($D$9=1,{"jtb.opcconscontr=2"},{"jtb.opcconscontr=3"})),"-")</f>
        <v>16376000</v>
      </c>
      <c r="F195" s="51">
        <f>IFERROR(_xll.ECONOMATICA($C$5,"OtCoIn",,F$83,,,,$C$7,,,,IF($D$9=1,{"jtb.opcconscontr=2"},{"jtb.opcconscontr=3"})),"-")</f>
        <v>39775000</v>
      </c>
    </row>
    <row r="196" spans="2:6" ht="15" customHeight="1" x14ac:dyDescent="0.3">
      <c r="B196" s="6"/>
      <c r="C196" s="6"/>
      <c r="D196" s="6"/>
      <c r="E196" s="6"/>
      <c r="F196" s="6"/>
    </row>
    <row r="197" spans="2:6" ht="15" customHeight="1" thickBot="1" x14ac:dyDescent="0.35">
      <c r="B197" s="103" t="s">
        <v>37</v>
      </c>
      <c r="C197" s="103"/>
      <c r="D197" s="103"/>
      <c r="E197" s="103"/>
      <c r="F197" s="103"/>
    </row>
    <row r="198" spans="2:6" ht="15" customHeight="1" thickTop="1" x14ac:dyDescent="0.3">
      <c r="B198" s="8"/>
      <c r="C198" s="8"/>
      <c r="D198" s="8"/>
      <c r="E198" s="8"/>
      <c r="F198" s="8"/>
    </row>
    <row r="199" spans="2:6" ht="15" customHeight="1" thickBot="1" x14ac:dyDescent="0.35">
      <c r="B199" s="104" t="s">
        <v>4</v>
      </c>
      <c r="C199" s="105"/>
      <c r="D199" s="32">
        <f>$D$16</f>
        <v>44926</v>
      </c>
      <c r="E199" s="32">
        <f>$E$16</f>
        <v>45291</v>
      </c>
      <c r="F199" s="33">
        <f>$F$16</f>
        <v>45473</v>
      </c>
    </row>
    <row r="200" spans="2:6" ht="15" customHeight="1" thickTop="1" x14ac:dyDescent="0.3">
      <c r="B200" s="95" t="s">
        <v>36</v>
      </c>
      <c r="C200" s="96"/>
      <c r="D200" s="48">
        <f>IFERROR(_xll.ECONOMATICA($C$5,"Revenues",,D$199,,,,$C$7,,,,IF($D$9=1,{"jtb.opcconscontr=2"},{"jtb.opcconscontr=3"})),"-")</f>
        <v>641256000</v>
      </c>
      <c r="E200" s="46">
        <f>IFERROR(_xll.ECONOMATICA($C$5,"Revenues",,E$199,,,,$C$7,,,,IF($D$9=1,{"jtb.opcconscontr=2"},{"jtb.opcconscontr=3"})),"-")</f>
        <v>511994000</v>
      </c>
      <c r="F200" s="47">
        <f>IFERROR(_xll.ECONOMATICA($C$5,"Revenues",,F$199,,,,$C$7,,,,IF($D$9=1,{"jtb.opcconscontr=2"},{"jtb.opcconscontr=3"})),"-")</f>
        <v>239979000</v>
      </c>
    </row>
    <row r="201" spans="2:6" ht="15" customHeight="1" x14ac:dyDescent="0.3">
      <c r="B201" s="97" t="s">
        <v>5</v>
      </c>
      <c r="C201" s="98"/>
      <c r="D201" s="58">
        <f>IFERROR(_xll.ECONOMATICA($C$5,"Cost Goods Sold",,D$199,,,,$C$7,,,,IF($D$9=1,{"jtb.opcconscontr=2"},{"jtb.opcconscontr=3"})),"-")</f>
        <v>307156000</v>
      </c>
      <c r="E201" s="59">
        <f>IFERROR(_xll.ECONOMATICA($C$5,"Cost Goods Sold",,E$199,,,,$C$7,,,,IF($D$9=1,{"jtb.opcconscontr=2"},{"jtb.opcconscontr=3"})),"-")</f>
        <v>242061000</v>
      </c>
      <c r="F201" s="60">
        <f>IFERROR(_xll.ECONOMATICA($C$5,"Cost Goods Sold",,F$199,,,,$C$7,,,,IF($D$9=1,{"jtb.opcconscontr=2"},{"jtb.opcconscontr=3"})),"-")</f>
        <v>118231000</v>
      </c>
    </row>
    <row r="202" spans="2:6" ht="15" customHeight="1" x14ac:dyDescent="0.3">
      <c r="B202" s="99" t="s">
        <v>6</v>
      </c>
      <c r="C202" s="100"/>
      <c r="D202" s="56">
        <f>IFERROR(_xll.ECONOMATICA($C$5,"Gross Profit",,D$199,,,,$C$7,,,,IF($D$9=1,{"jtb.opcconscontr=2"},{"jtb.opcconscontr=3"})),"-")</f>
        <v>334100000</v>
      </c>
      <c r="E202" s="52">
        <f>IFERROR(_xll.ECONOMATICA($C$5,"Gross Profit",,E$199,,,,$C$7,,,,IF($D$9=1,{"jtb.opcconscontr=2"},{"jtb.opcconscontr=3"})),"-")</f>
        <v>269933000</v>
      </c>
      <c r="F202" s="53">
        <f>IFERROR(_xll.ECONOMATICA($C$5,"Gross Profit",,F$199,,,,$C$7,,,,IF($D$9=1,{"jtb.opcconscontr=2"},{"jtb.opcconscontr=3"})),"-")</f>
        <v>121748000</v>
      </c>
    </row>
    <row r="203" spans="2:6" ht="15" customHeight="1" x14ac:dyDescent="0.3">
      <c r="B203" s="67" t="s">
        <v>7</v>
      </c>
      <c r="C203" s="68"/>
      <c r="D203" s="43">
        <f>IFERROR(_xll.ECONOMATICA($C$5,"OpEx(in)",,D$199,,,,$C$7,,,,IF($D$9=1,{"jtb.opcconscontr=2"},{"jtb.opcconscontr=3"})),"-")</f>
        <v>39845000</v>
      </c>
      <c r="E203" s="44">
        <f>IFERROR(_xll.ECONOMATICA($C$5,"OpEx(in)",,E$199,,,,$C$7,,,,IF($D$9=1,{"jtb.opcconscontr=2"},{"jtb.opcconscontr=3"})),"-")</f>
        <v>80591000</v>
      </c>
      <c r="F203" s="45">
        <f>IFERROR(_xll.ECONOMATICA($C$5,"OpEx(in)",,F$199,,,,$C$7,,,,IF($D$9=1,{"jtb.opcconscontr=2"},{"jtb.opcconscontr=3"})),"-")</f>
        <v>44178000</v>
      </c>
    </row>
    <row r="204" spans="2:6" ht="15" customHeight="1" x14ac:dyDescent="0.3">
      <c r="B204" s="77" t="s">
        <v>8</v>
      </c>
      <c r="C204" s="78"/>
      <c r="D204" s="41">
        <f>IFERROR(_xll.ECONOMATICA($C$5,"Sales Exp",,D$199,,,,$C$7,,,,IF($D$9=1,{"jtb.opcconscontr=2"},{"jtb.opcconscontr=3"})),"-")</f>
        <v>25448000</v>
      </c>
      <c r="E204" s="36">
        <f>IFERROR(_xll.ECONOMATICA($C$5,"Sales Exp",,E$199,,,,$C$7,,,,IF($D$9=1,{"jtb.opcconscontr=2"},{"jtb.opcconscontr=3"})),"-")</f>
        <v>25163000</v>
      </c>
      <c r="F204" s="37">
        <f>IFERROR(_xll.ECONOMATICA($C$5,"Sales Exp",,F$199,,,,$C$7,,,,IF($D$9=1,{"jtb.opcconscontr=2"},{"jtb.opcconscontr=3"})),"-")</f>
        <v>13218000</v>
      </c>
    </row>
    <row r="205" spans="2:6" ht="15" customHeight="1" x14ac:dyDescent="0.3">
      <c r="B205" s="67" t="s">
        <v>9</v>
      </c>
      <c r="C205" s="68"/>
      <c r="D205" s="43">
        <f>IFERROR(_xll.ECONOMATICA($C$5,"Admin Expen",,D$199,,,,$C$7,,,,IF($D$9=1,{"jtb.opcconscontr=2"},{"jtb.opcconscontr=3"})),"-")</f>
        <v>6877000</v>
      </c>
      <c r="E205" s="44">
        <f>IFERROR(_xll.ECONOMATICA($C$5,"Admin Expen",,E$199,,,,$C$7,,,,IF($D$9=1,{"jtb.opcconscontr=2"},{"jtb.opcconscontr=3"})),"-")</f>
        <v>7952000</v>
      </c>
      <c r="F205" s="45">
        <f>IFERROR(_xll.ECONOMATICA($C$5,"Admin Expen",,F$199,,,,$C$7,,,,IF($D$9=1,{"jtb.opcconscontr=2"},{"jtb.opcconscontr=3"})),"-")</f>
        <v>5090000</v>
      </c>
    </row>
    <row r="206" spans="2:6" ht="15" customHeight="1" x14ac:dyDescent="0.3">
      <c r="B206" s="77" t="s">
        <v>10</v>
      </c>
      <c r="C206" s="78"/>
      <c r="D206" s="41">
        <f>IFERROR(_xll.ECONOMATICA($C$5,"Impairm",,D$199,,,,$C$7,,,,IF($D$9=1,{"jtb.opcconscontr=2"},{"jtb.opcconscontr=3"})),"-")</f>
        <v>0</v>
      </c>
      <c r="E206" s="36">
        <f>IFERROR(_xll.ECONOMATICA($C$5,"Impairm",,E$199,,,,$C$7,,,,IF($D$9=1,{"jtb.opcconscontr=2"},{"jtb.opcconscontr=3"})),"-")</f>
        <v>0</v>
      </c>
      <c r="F206" s="37">
        <f>IFERROR(_xll.ECONOMATICA($C$5,"Impairm",,F$199,,,,$C$7,,,,IF($D$9=1,{"jtb.opcconscontr=2"},{"jtb.opcconscontr=3"})),"-")</f>
        <v>0</v>
      </c>
    </row>
    <row r="207" spans="2:6" ht="15" customHeight="1" x14ac:dyDescent="0.3">
      <c r="B207" s="67" t="s">
        <v>11</v>
      </c>
      <c r="C207" s="68"/>
      <c r="D207" s="43">
        <f>IFERROR(_xll.ECONOMATICA($C$5,"OthOperRev",,D$199,,,,$C$7,,,,IF($D$9=1,{"jtb.opcconscontr=2"},{"jtb.opcconscontr=3"})),"-")</f>
        <v>0</v>
      </c>
      <c r="E207" s="44">
        <f>IFERROR(_xll.ECONOMATICA($C$5,"OthOperRev",,E$199,,,,$C$7,,,,IF($D$9=1,{"jtb.opcconscontr=2"},{"jtb.opcconscontr=3"})),"-")</f>
        <v>0</v>
      </c>
      <c r="F207" s="45">
        <f>IFERROR(_xll.ECONOMATICA($C$5,"OthOperRev",,F$199,,,,$C$7,,,,IF($D$9=1,{"jtb.opcconscontr=2"},{"jtb.opcconscontr=3"})),"-")</f>
        <v>0</v>
      </c>
    </row>
    <row r="208" spans="2:6" ht="15" customHeight="1" x14ac:dyDescent="0.3">
      <c r="B208" s="77" t="s">
        <v>12</v>
      </c>
      <c r="C208" s="78"/>
      <c r="D208" s="41">
        <f>IFERROR(_xll.ECONOMATICA($C$5,"OOpExp",,D$199,,,,$C$7,,,,IF($D$9=1,{"jtb.opcconscontr=2"},{"jtb.opcconscontr=3"})),"-")</f>
        <v>8811000</v>
      </c>
      <c r="E208" s="36">
        <f>IFERROR(_xll.ECONOMATICA($C$5,"OOpExp",,E$199,,,,$C$7,,,,IF($D$9=1,{"jtb.opcconscontr=2"},{"jtb.opcconscontr=3"})),"-")</f>
        <v>45996000</v>
      </c>
      <c r="F208" s="37">
        <f>IFERROR(_xll.ECONOMATICA($C$5,"OOpExp",,F$199,,,,$C$7,,,,IF($D$9=1,{"jtb.opcconscontr=2"},{"jtb.opcconscontr=3"})),"-")</f>
        <v>24417000</v>
      </c>
    </row>
    <row r="209" spans="2:6" ht="15" customHeight="1" x14ac:dyDescent="0.3">
      <c r="B209" s="67" t="s">
        <v>13</v>
      </c>
      <c r="C209" s="68"/>
      <c r="D209" s="43">
        <f>IFERROR(_xll.ECONOMATICA($C$5,"Equity Income",,D$199,,,,$C$7,,,,IF($D$9=1,{"jtb.opcconscontr=2"},{"jtb.opcconscontr=3"})),"-")</f>
        <v>1291000</v>
      </c>
      <c r="E209" s="44">
        <f>IFERROR(_xll.ECONOMATICA($C$5,"Equity Income",,E$199,,,,$C$7,,,,IF($D$9=1,{"jtb.opcconscontr=2"},{"jtb.opcconscontr=3"})),"-")</f>
        <v>-1480000</v>
      </c>
      <c r="F209" s="45">
        <f>IFERROR(_xll.ECONOMATICA($C$5,"Equity Income",,F$199,,,,$C$7,,,,IF($D$9=1,{"jtb.opcconscontr=2"},{"jtb.opcconscontr=3"})),"-")</f>
        <v>-1453000</v>
      </c>
    </row>
    <row r="210" spans="2:6" ht="15" customHeight="1" x14ac:dyDescent="0.3">
      <c r="B210" s="99" t="s">
        <v>14</v>
      </c>
      <c r="C210" s="100"/>
      <c r="D210" s="56">
        <f>IFERROR(_xll.ECONOMATICA($C$5,"EBIT",,D$199,,,,$C$7,,,,IF($D$9=1,{"jtb.opcconscontr=2"},{"jtb.opcconscontr=3"})),"-")</f>
        <v>294255000</v>
      </c>
      <c r="E210" s="52">
        <f>IFERROR(_xll.ECONOMATICA($C$5,"EBIT",,E$199,,,,$C$7,,,,IF($D$9=1,{"jtb.opcconscontr=2"},{"jtb.opcconscontr=3"})),"-")</f>
        <v>189342000</v>
      </c>
      <c r="F210" s="53">
        <f>IFERROR(_xll.ECONOMATICA($C$5,"EBIT",,F$199,,,,$C$7,,,,IF($D$9=1,{"jtb.opcconscontr=2"},{"jtb.opcconscontr=3"})),"-")</f>
        <v>77570000</v>
      </c>
    </row>
    <row r="211" spans="2:6" ht="15" customHeight="1" x14ac:dyDescent="0.3">
      <c r="B211" s="97" t="s">
        <v>15</v>
      </c>
      <c r="C211" s="98"/>
      <c r="D211" s="58">
        <f>IFERROR(_xll.ECONOMATICA($C$5,"NetFinInc",,D$199,,,,$C$7,,,,IF($D$9=1,{"jtb.opcconscontr=2"},{"jtb.opcconscontr=3"})),"-")</f>
        <v>-19257000</v>
      </c>
      <c r="E211" s="59">
        <f>IFERROR(_xll.ECONOMATICA($C$5,"NetFinInc",,E$199,,,,$C$7,,,,IF($D$9=1,{"jtb.opcconscontr=2"},{"jtb.opcconscontr=3"})),"-")</f>
        <v>-11861000</v>
      </c>
      <c r="F211" s="60">
        <f>IFERROR(_xll.ECONOMATICA($C$5,"NetFinInc",,F$199,,,,$C$7,,,,IF($D$9=1,{"jtb.opcconscontr=2"},{"jtb.opcconscontr=3"})),"-")</f>
        <v>-45975000</v>
      </c>
    </row>
    <row r="212" spans="2:6" ht="15" customHeight="1" x14ac:dyDescent="0.3">
      <c r="B212" s="77" t="s">
        <v>16</v>
      </c>
      <c r="C212" s="78"/>
      <c r="D212" s="41">
        <f>IFERROR(_xll.ECONOMATICA($C$5,"Financ Inc",,D$199,,,,$C$7,,,,IF($D$9=1,{"jtb.opcconscontr=2"},{"jtb.opcconscontr=3"})),"-")</f>
        <v>9420000</v>
      </c>
      <c r="E212" s="36">
        <f>IFERROR(_xll.ECONOMATICA($C$5,"Financ Inc",,E$199,,,,$C$7,,,,IF($D$9=1,{"jtb.opcconscontr=2"},{"jtb.opcconscontr=3"})),"-")</f>
        <v>10821000</v>
      </c>
      <c r="F212" s="37">
        <f>IFERROR(_xll.ECONOMATICA($C$5,"Financ Inc",,F$199,,,,$C$7,,,,IF($D$9=1,{"jtb.opcconscontr=2"},{"jtb.opcconscontr=3"})),"-")</f>
        <v>5224000</v>
      </c>
    </row>
    <row r="213" spans="2:6" ht="15" customHeight="1" x14ac:dyDescent="0.3">
      <c r="B213" s="67" t="s">
        <v>17</v>
      </c>
      <c r="C213" s="68"/>
      <c r="D213" s="43">
        <f>IFERROR(_xll.ECONOMATICA($C$5,"Financ Exp",,D$199,,,,$C$7,,,,IF($D$9=1,{"jtb.opcconscontr=2"},{"jtb.opcconscontr=3"})),"-")</f>
        <v>28677000</v>
      </c>
      <c r="E213" s="44">
        <f>IFERROR(_xll.ECONOMATICA($C$5,"Financ Exp",,E$199,,,,$C$7,,,,IF($D$9=1,{"jtb.opcconscontr=2"},{"jtb.opcconscontr=3"})),"-")</f>
        <v>22682000</v>
      </c>
      <c r="F213" s="45">
        <f>IFERROR(_xll.ECONOMATICA($C$5,"Financ Exp",,F$199,,,,$C$7,,,,IF($D$9=1,{"jtb.opcconscontr=2"},{"jtb.opcconscontr=3"})),"-")</f>
        <v>51199000</v>
      </c>
    </row>
    <row r="214" spans="2:6" ht="15" customHeight="1" x14ac:dyDescent="0.3">
      <c r="B214" s="99" t="s">
        <v>18</v>
      </c>
      <c r="C214" s="100"/>
      <c r="D214" s="56">
        <f>IFERROR(_xll.ECONOMATICA($C$5,"Pretax Income",,D$199,,,,$C$7,,,,IF($D$9=1,{"jtb.opcconscontr=2"},{"jtb.opcconscontr=3"})),"-")</f>
        <v>274998000</v>
      </c>
      <c r="E214" s="52">
        <f>IFERROR(_xll.ECONOMATICA($C$5,"Pretax Income",,E$199,,,,$C$7,,,,IF($D$9=1,{"jtb.opcconscontr=2"},{"jtb.opcconscontr=3"})),"-")</f>
        <v>177481000</v>
      </c>
      <c r="F214" s="53">
        <f>IFERROR(_xll.ECONOMATICA($C$5,"Pretax Income",,F$199,,,,$C$7,,,,IF($D$9=1,{"jtb.opcconscontr=2"},{"jtb.opcconscontr=3"})),"-")</f>
        <v>31595000</v>
      </c>
    </row>
    <row r="215" spans="2:6" ht="15" customHeight="1" x14ac:dyDescent="0.3">
      <c r="B215" s="97" t="s">
        <v>19</v>
      </c>
      <c r="C215" s="98"/>
      <c r="D215" s="58">
        <f>IFERROR(_xll.ECONOMATICA($C$5,"InTx&amp;SoCo",,D$199,,,,$C$7,,,,IF($D$9=1,{"jtb.opcconscontr=2"},{"jtb.opcconscontr=3"})),"-")</f>
        <v>85993000</v>
      </c>
      <c r="E215" s="59">
        <f>IFERROR(_xll.ECONOMATICA($C$5,"InTx&amp;SoCo",,E$199,,,,$C$7,,,,IF($D$9=1,{"jtb.opcconscontr=2"},{"jtb.opcconscontr=3"})),"-")</f>
        <v>52315000</v>
      </c>
      <c r="F215" s="60">
        <f>IFERROR(_xll.ECONOMATICA($C$5,"InTx&amp;SoCo",,F$199,,,,$C$7,,,,IF($D$9=1,{"jtb.opcconscontr=2"},{"jtb.opcconscontr=3"})),"-")</f>
        <v>10300000</v>
      </c>
    </row>
    <row r="216" spans="2:6" ht="15" customHeight="1" x14ac:dyDescent="0.3">
      <c r="B216" s="77" t="s">
        <v>20</v>
      </c>
      <c r="C216" s="78"/>
      <c r="D216" s="41">
        <f>IFERROR(_xll.ECONOMATICA($C$5,"Income Tax",,D$199,,,,$C$7,,,,IF($D$9=1,{"jtb.opcconscontr=2"},{"jtb.opcconscontr=3"})),"-")</f>
        <v>81475000</v>
      </c>
      <c r="E216" s="36">
        <f>IFERROR(_xll.ECONOMATICA($C$5,"Income Tax",,E$199,,,,$C$7,,,,IF($D$9=1,{"jtb.opcconscontr=2"},{"jtb.opcconscontr=3"})),"-")</f>
        <v>47773000</v>
      </c>
      <c r="F216" s="37">
        <f>IFERROR(_xll.ECONOMATICA($C$5,"Income Tax",,F$199,,,,$C$7,,,,IF($D$9=1,{"jtb.opcconscontr=2"},{"jtb.opcconscontr=3"})),"-")</f>
        <v>17525000</v>
      </c>
    </row>
    <row r="217" spans="2:6" ht="15" customHeight="1" x14ac:dyDescent="0.3">
      <c r="B217" s="67" t="s">
        <v>21</v>
      </c>
      <c r="C217" s="68"/>
      <c r="D217" s="43">
        <f>IFERROR(_xll.ECONOMATICA($C$5,"DeInTa",,D$199,,,,$C$7,,,,IF($D$9=1,{"jtb.opcconscontr=2"},{"jtb.opcconscontr=3"})),"-")</f>
        <v>4518000</v>
      </c>
      <c r="E217" s="44">
        <f>IFERROR(_xll.ECONOMATICA($C$5,"DeInTa",,E$199,,,,$C$7,,,,IF($D$9=1,{"jtb.opcconscontr=2"},{"jtb.opcconscontr=3"})),"-")</f>
        <v>4542000</v>
      </c>
      <c r="F217" s="45">
        <f>IFERROR(_xll.ECONOMATICA($C$5,"DeInTa",,F$199,,,,$C$7,,,,IF($D$9=1,{"jtb.opcconscontr=2"},{"jtb.opcconscontr=3"})),"-")</f>
        <v>-7225000</v>
      </c>
    </row>
    <row r="218" spans="2:6" ht="15" customHeight="1" x14ac:dyDescent="0.3">
      <c r="B218" s="99" t="s">
        <v>22</v>
      </c>
      <c r="C218" s="100"/>
      <c r="D218" s="56">
        <f>IFERROR(_xll.ECONOMATICA($C$5,"Income Cont Oper",,D$199,,,,$C$7,,,,IF($D$9=1,{"jtb.opcconscontr=2"},{"jtb.opcconscontr=3"})),"-")</f>
        <v>189005000</v>
      </c>
      <c r="E218" s="52">
        <f>IFERROR(_xll.ECONOMATICA($C$5,"Income Cont Oper",,E$199,,,,$C$7,,,,IF($D$9=1,{"jtb.opcconscontr=2"},{"jtb.opcconscontr=3"})),"-")</f>
        <v>125166000</v>
      </c>
      <c r="F218" s="53">
        <f>IFERROR(_xll.ECONOMATICA($C$5,"Income Cont Oper",,F$199,,,,$C$7,,,,IF($D$9=1,{"jtb.opcconscontr=2"},{"jtb.opcconscontr=3"})),"-")</f>
        <v>21295000</v>
      </c>
    </row>
    <row r="219" spans="2:6" ht="15" customHeight="1" x14ac:dyDescent="0.3">
      <c r="B219" s="97" t="s">
        <v>23</v>
      </c>
      <c r="C219" s="98"/>
      <c r="D219" s="58">
        <f>IFERROR(_xll.ECONOMATICA($C$5,"Discont Oper",,D$199,,,,$C$7,,,,IF($D$9=1,{"jtb.opcconscontr=2"},{"jtb.opcconscontr=3"})),"-")</f>
        <v>0</v>
      </c>
      <c r="E219" s="59">
        <f>IFERROR(_xll.ECONOMATICA($C$5,"Discont Oper",,E$199,,,,$C$7,,,,IF($D$9=1,{"jtb.opcconscontr=2"},{"jtb.opcconscontr=3"})),"-")</f>
        <v>0</v>
      </c>
      <c r="F219" s="60">
        <f>IFERROR(_xll.ECONOMATICA($C$5,"Discont Oper",,F$199,,,,$C$7,,,,IF($D$9=1,{"jtb.opcconscontr=2"},{"jtb.opcconscontr=3"})),"-")</f>
        <v>0</v>
      </c>
    </row>
    <row r="220" spans="2:6" ht="15" customHeight="1" x14ac:dyDescent="0.3">
      <c r="B220" s="77" t="s">
        <v>24</v>
      </c>
      <c r="C220" s="78"/>
      <c r="D220" s="41">
        <f>IFERROR(_xll.ECONOMATICA($C$5,"PrOrLoDisOp",,D$199,,,,$C$7,,,,IF($D$9=1,{"jtb.opcconscontr=2"},{"jtb.opcconscontr=3"})),"-")</f>
        <v>0</v>
      </c>
      <c r="E220" s="36">
        <f>IFERROR(_xll.ECONOMATICA($C$5,"PrOrLoDisOp",,E$199,,,,$C$7,,,,IF($D$9=1,{"jtb.opcconscontr=2"},{"jtb.opcconscontr=3"})),"-")</f>
        <v>0</v>
      </c>
      <c r="F220" s="37">
        <f>IFERROR(_xll.ECONOMATICA($C$5,"PrOrLoDisOp",,F$199,,,,$C$7,,,,IF($D$9=1,{"jtb.opcconscontr=2"},{"jtb.opcconscontr=3"})),"-")</f>
        <v>0</v>
      </c>
    </row>
    <row r="221" spans="2:6" ht="15" customHeight="1" x14ac:dyDescent="0.3">
      <c r="B221" s="67" t="s">
        <v>25</v>
      </c>
      <c r="C221" s="68"/>
      <c r="D221" s="43">
        <f>IFERROR(_xll.ECONOMATICA($C$5,"NetGOrLAsDiOp",,D$199,,,,$C$7,,,,IF($D$9=1,{"jtb.opcconscontr=2"},{"jtb.opcconscontr=3"})),"-")</f>
        <v>0</v>
      </c>
      <c r="E221" s="44">
        <f>IFERROR(_xll.ECONOMATICA($C$5,"NetGOrLAsDiOp",,E$199,,,,$C$7,,,,IF($D$9=1,{"jtb.opcconscontr=2"},{"jtb.opcconscontr=3"})),"-")</f>
        <v>0</v>
      </c>
      <c r="F221" s="45">
        <f>IFERROR(_xll.ECONOMATICA($C$5,"NetGOrLAsDiOp",,F$199,,,,$C$7,,,,IF($D$9=1,{"jtb.opcconscontr=2"},{"jtb.opcconscontr=3"})),"-")</f>
        <v>0</v>
      </c>
    </row>
    <row r="222" spans="2:6" ht="15" customHeight="1" x14ac:dyDescent="0.3">
      <c r="B222" s="99" t="s">
        <v>26</v>
      </c>
      <c r="C222" s="100"/>
      <c r="D222" s="56">
        <f>IFERROR(_xll.ECONOMATICA($C$5,"Consol Net Inc",,D$199,,,,$C$7,,,,IF($D$9=1,{"jtb.opcconscontr=2"},{"jtb.opcconscontr=3"})),"-")</f>
        <v>189005000</v>
      </c>
      <c r="E222" s="52">
        <f>IFERROR(_xll.ECONOMATICA($C$5,"Consol Net Inc",,E$199,,,,$C$7,,,,IF($D$9=1,{"jtb.opcconscontr=2"},{"jtb.opcconscontr=3"})),"-")</f>
        <v>125166000</v>
      </c>
      <c r="F222" s="53">
        <f>IFERROR(_xll.ECONOMATICA($C$5,"Consol Net Inc",,F$199,,,,$C$7,,,,IF($D$9=1,{"jtb.opcconscontr=2"},{"jtb.opcconscontr=3"})),"-")</f>
        <v>21295000</v>
      </c>
    </row>
    <row r="223" spans="2:6" ht="15" customHeight="1" x14ac:dyDescent="0.3">
      <c r="B223" s="97" t="s">
        <v>27</v>
      </c>
      <c r="C223" s="98"/>
      <c r="D223" s="58">
        <f>IFERROR(_xll.ECONOMATICA($C$5,"MinorInter",,D$199,,,,$C$7,,,,IF($D$9=1,{"jtb.opcconscontr=2"},{"jtb.opcconscontr=3"})),"-")</f>
        <v>677000</v>
      </c>
      <c r="E223" s="59">
        <f>IFERROR(_xll.ECONOMATICA($C$5,"MinorInter",,E$199,,,,$C$7,,,,IF($D$9=1,{"jtb.opcconscontr=2"},{"jtb.opcconscontr=3"})),"-")</f>
        <v>560000</v>
      </c>
      <c r="F223" s="60">
        <f>IFERROR(_xll.ECONOMATICA($C$5,"MinorInter",,F$199,,,,$C$7,,,,IF($D$9=1,{"jtb.opcconscontr=2"},{"jtb.opcconscontr=3"})),"-")</f>
        <v>200000</v>
      </c>
    </row>
    <row r="224" spans="2:6" ht="15" customHeight="1" x14ac:dyDescent="0.3">
      <c r="B224" s="101" t="s">
        <v>28</v>
      </c>
      <c r="C224" s="102"/>
      <c r="D224" s="57">
        <f>IFERROR(_xll.ECONOMATICA($C$5,"Net Income",,D$199,,,,$C$7,,,,IF($D$9=1,{"jtb.opcconscontr=2"},{"jtb.opcconscontr=3"})),"-")</f>
        <v>188328000</v>
      </c>
      <c r="E224" s="54">
        <f>IFERROR(_xll.ECONOMATICA($C$5,"Net Income",,E$199,,,,$C$7,,,,IF($D$9=1,{"jtb.opcconscontr=2"},{"jtb.opcconscontr=3"})),"-")</f>
        <v>124606000</v>
      </c>
      <c r="F224" s="55">
        <f>IFERROR(_xll.ECONOMATICA($C$5,"Net Income",,F$199,,,,$C$7,,,,IF($D$9=1,{"jtb.opcconscontr=2"},{"jtb.opcconscontr=3"})),"-")</f>
        <v>21095000</v>
      </c>
    </row>
    <row r="225" spans="2:6" ht="15" customHeight="1" x14ac:dyDescent="0.3"/>
    <row r="226" spans="2:6" ht="15" customHeight="1" thickBot="1" x14ac:dyDescent="0.35">
      <c r="B226" s="103" t="s">
        <v>222</v>
      </c>
      <c r="C226" s="103"/>
      <c r="D226" s="103"/>
      <c r="E226" s="103"/>
      <c r="F226" s="103"/>
    </row>
    <row r="227" spans="2:6" ht="15" customHeight="1" thickTop="1" x14ac:dyDescent="0.3">
      <c r="B227" s="8"/>
      <c r="C227" s="8"/>
      <c r="D227" s="8"/>
      <c r="E227" s="8"/>
      <c r="F227" s="8"/>
    </row>
    <row r="228" spans="2:6" ht="16.2" thickBot="1" x14ac:dyDescent="0.35">
      <c r="B228" s="104" t="s">
        <v>223</v>
      </c>
      <c r="C228" s="105"/>
      <c r="D228" s="32">
        <f>$D$16</f>
        <v>44926</v>
      </c>
      <c r="E228" s="32">
        <f>$E$16</f>
        <v>45291</v>
      </c>
      <c r="F228" s="33">
        <f>$F$16</f>
        <v>45473</v>
      </c>
    </row>
    <row r="229" spans="2:6" ht="16.2" thickTop="1" x14ac:dyDescent="0.3">
      <c r="B229" s="91" t="s">
        <v>29</v>
      </c>
      <c r="C229" s="92"/>
      <c r="D229" s="48">
        <f>IFERROR(_xll.ECONOMATICA($C$5,"Tot Cash Ope Act",,D$228,,,,$C$7,,,,IF($D$9=1,{"jtb.opcconscontr=2"},{"jtb.opcconscontr=3"})),"-")</f>
        <v>255410000</v>
      </c>
      <c r="E229" s="46">
        <f>IFERROR(_xll.ECONOMATICA($C$5,"Tot Cash Ope Act",,E$228,,,,$C$7,,,,IF($D$9=1,{"jtb.opcconscontr=2"},{"jtb.opcconscontr=3"})),"-")</f>
        <v>215696000</v>
      </c>
      <c r="F229" s="47">
        <f>IFERROR(_xll.ECONOMATICA($C$5,"Tot Cash Ope Act",,F$228,,,,$C$7,,,,IF($D$9=1,{"jtb.opcconscontr=2"},{"jtb.opcconscontr=3"})),"-")</f>
        <v>93651000</v>
      </c>
    </row>
    <row r="230" spans="2:6" ht="15.6" x14ac:dyDescent="0.3">
      <c r="B230" s="80" t="s">
        <v>189</v>
      </c>
      <c r="C230" s="64"/>
      <c r="D230" s="43">
        <f>IFERROR(_xll.ECONOMATICA($C$5,"CshGenOp",,D$228,,,,$C$7,,,,IF($D$9=1,{"jtb.opcconscontr=2"},{"jtb.opcconscontr=3"})),"-")</f>
        <v>362138000</v>
      </c>
      <c r="E230" s="44">
        <f>IFERROR(_xll.ECONOMATICA($C$5,"CshGenOp",,E$228,,,,$C$7,,,,IF($D$9=1,{"jtb.opcconscontr=2"},{"jtb.opcconscontr=3"})),"-")</f>
        <v>285048000</v>
      </c>
      <c r="F230" s="45">
        <f>IFERROR(_xll.ECONOMATICA($C$5,"CshGenOp",,F$228,,,,$C$7,,,,IF($D$9=1,{"jtb.opcconscontr=2"},{"jtb.opcconscontr=3"})),"-")</f>
        <v>127155000</v>
      </c>
    </row>
    <row r="231" spans="2:6" ht="15.6" x14ac:dyDescent="0.3">
      <c r="B231" s="77" t="s">
        <v>190</v>
      </c>
      <c r="C231" s="78"/>
      <c r="D231" s="41">
        <f>IFERROR(_xll.ECONOMATICA($C$5,"Net Inc",,D$228,,,,$C$7,,,,IF($D$9=1,{"jtb.opcconscontr=2"},{"jtb.opcconscontr=3"})),"-")</f>
        <v>189005000</v>
      </c>
      <c r="E231" s="36">
        <f>IFERROR(_xll.ECONOMATICA($C$5,"Net Inc",,E$228,,,,$C$7,,,,IF($D$9=1,{"jtb.opcconscontr=2"},{"jtb.opcconscontr=3"})),"-")</f>
        <v>125166000</v>
      </c>
      <c r="F231" s="37">
        <f>IFERROR(_xll.ECONOMATICA($C$5,"Net Inc",,F$228,,,,$C$7,,,,IF($D$9=1,{"jtb.opcconscontr=2"},{"jtb.opcconscontr=3"})),"-")</f>
        <v>21295000</v>
      </c>
    </row>
    <row r="232" spans="2:6" ht="15.6" x14ac:dyDescent="0.3">
      <c r="B232" s="67" t="s">
        <v>191</v>
      </c>
      <c r="C232" s="68"/>
      <c r="D232" s="43">
        <f>IFERROR(_xll.ECONOMATICA($C$5,"DepAmortDepl",,D$228,,,,$C$7,,,,IF($D$9=1,{"jtb.opcconscontr=2"},{"jtb.opcconscontr=3"})),"-")</f>
        <v>68202000</v>
      </c>
      <c r="E232" s="44">
        <f>IFERROR(_xll.ECONOMATICA($C$5,"DepAmortDepl",,E$228,,,,$C$7,,,,IF($D$9=1,{"jtb.opcconscontr=2"},{"jtb.opcconscontr=3"})),"-")</f>
        <v>66204000</v>
      </c>
      <c r="F232" s="45">
        <f>IFERROR(_xll.ECONOMATICA($C$5,"DepAmortDepl",,F$228,,,,$C$7,,,,IF($D$9=1,{"jtb.opcconscontr=2"},{"jtb.opcconscontr=3"})),"-")</f>
        <v>33009000</v>
      </c>
    </row>
    <row r="233" spans="2:6" ht="15.6" x14ac:dyDescent="0.3">
      <c r="B233" s="77" t="s">
        <v>192</v>
      </c>
      <c r="C233" s="78"/>
      <c r="D233" s="41">
        <f>IFERROR(_xll.ECONOMATICA($C$5,"FX&amp;monet chg",,D$228,,,,$C$7,,,,IF($D$9=1,{"jtb.opcconscontr=2"},{"jtb.opcconscontr=3"})),"-")</f>
        <v>22956000</v>
      </c>
      <c r="E233" s="36">
        <f>IFERROR(_xll.ECONOMATICA($C$5,"FX&amp;monet chg",,E$228,,,,$C$7,,,,IF($D$9=1,{"jtb.opcconscontr=2"},{"jtb.opcconscontr=3"})),"-")</f>
        <v>12707000</v>
      </c>
      <c r="F233" s="37">
        <f>IFERROR(_xll.ECONOMATICA($C$5,"FX&amp;monet chg",,F$228,,,,$C$7,,,,IF($D$9=1,{"jtb.opcconscontr=2"},{"jtb.opcconscontr=3"})),"-")</f>
        <v>46875000</v>
      </c>
    </row>
    <row r="234" spans="2:6" ht="15.6" x14ac:dyDescent="0.3">
      <c r="B234" s="67" t="s">
        <v>193</v>
      </c>
      <c r="C234" s="68"/>
      <c r="D234" s="43">
        <f>IFERROR(_xll.ECONOMATICA($C$5,"SalPerAst",,D$228,,,,$C$7,,,,IF($D$9=1,{"jtb.opcconscontr=2"},{"jtb.opcconscontr=3"})),"-")</f>
        <v>0</v>
      </c>
      <c r="E234" s="44">
        <f>IFERROR(_xll.ECONOMATICA($C$5,"SalPerAst",,E$228,,,,$C$7,,,,IF($D$9=1,{"jtb.opcconscontr=2"},{"jtb.opcconscontr=3"})),"-")</f>
        <v>0</v>
      </c>
      <c r="F234" s="45">
        <f>IFERROR(_xll.ECONOMATICA($C$5,"SalPerAst",,F$228,,,,$C$7,,,,IF($D$9=1,{"jtb.opcconscontr=2"},{"jtb.opcconscontr=3"})),"-")</f>
        <v>0</v>
      </c>
    </row>
    <row r="235" spans="2:6" ht="15.6" x14ac:dyDescent="0.3">
      <c r="B235" s="77" t="s">
        <v>194</v>
      </c>
      <c r="C235" s="78"/>
      <c r="D235" s="41">
        <f>IFERROR(_xll.ECONOMATICA($C$5,"Sold Ast",,D$228,,,,$C$7,,,,IF($D$9=1,{"jtb.opcconscontr=2"},{"jtb.opcconscontr=3"})),"-")</f>
        <v>-2299000</v>
      </c>
      <c r="E235" s="36">
        <f>IFERROR(_xll.ECONOMATICA($C$5,"Sold Ast",,E$228,,,,$C$7,,,,IF($D$9=1,{"jtb.opcconscontr=2"},{"jtb.opcconscontr=3"})),"-")</f>
        <v>0</v>
      </c>
      <c r="F235" s="37">
        <f>IFERROR(_xll.ECONOMATICA($C$5,"Sold Ast",,F$228,,,,$C$7,,,,IF($D$9=1,{"jtb.opcconscontr=2"},{"jtb.opcconscontr=3"})),"-")</f>
        <v>0</v>
      </c>
    </row>
    <row r="236" spans="2:6" ht="15.6" x14ac:dyDescent="0.3">
      <c r="B236" s="67" t="s">
        <v>195</v>
      </c>
      <c r="C236" s="68"/>
      <c r="D236" s="43">
        <f>IFERROR(_xll.ECONOMATICA($C$5,"Loss(Ga)Subs",,D$228,,,,$C$7,,,,IF($D$9=1,{"jtb.opcconscontr=2"},{"jtb.opcconscontr=3"})),"-")</f>
        <v>-1291000</v>
      </c>
      <c r="E236" s="44">
        <f>IFERROR(_xll.ECONOMATICA($C$5,"Loss(Ga)Subs",,E$228,,,,$C$7,,,,IF($D$9=1,{"jtb.opcconscontr=2"},{"jtb.opcconscontr=3"})),"-")</f>
        <v>1480000</v>
      </c>
      <c r="F236" s="45">
        <f>IFERROR(_xll.ECONOMATICA($C$5,"Loss(Ga)Subs",,F$228,,,,$C$7,,,,IF($D$9=1,{"jtb.opcconscontr=2"},{"jtb.opcconscontr=3"})),"-")</f>
        <v>1453000</v>
      </c>
    </row>
    <row r="237" spans="2:6" ht="15.6" x14ac:dyDescent="0.3">
      <c r="B237" s="77" t="s">
        <v>196</v>
      </c>
      <c r="C237" s="78"/>
      <c r="D237" s="41">
        <f>IFERROR(_xll.ECONOMATICA($C$5,"Def Tax",,D$228,,,,$C$7,,,,IF($D$9=1,{"jtb.opcconscontr=2"},{"jtb.opcconscontr=3"})),"-")</f>
        <v>0</v>
      </c>
      <c r="E237" s="36">
        <f>IFERROR(_xll.ECONOMATICA($C$5,"Def Tax",,E$228,,,,$C$7,,,,IF($D$9=1,{"jtb.opcconscontr=2"},{"jtb.opcconscontr=3"})),"-")</f>
        <v>0</v>
      </c>
      <c r="F237" s="37">
        <f>IFERROR(_xll.ECONOMATICA($C$5,"Def Tax",,F$228,,,,$C$7,,,,IF($D$9=1,{"jtb.opcconscontr=2"},{"jtb.opcconscontr=3"})),"-")</f>
        <v>0</v>
      </c>
    </row>
    <row r="238" spans="2:6" ht="15.6" x14ac:dyDescent="0.3">
      <c r="B238" s="67" t="s">
        <v>197</v>
      </c>
      <c r="C238" s="68"/>
      <c r="D238" s="43">
        <f>IFERROR(_xll.ECONOMATICA($C$5,"Min Gain",,D$228,,,,$C$7,,,,IF($D$9=1,{"jtb.opcconscontr=2"},{"jtb.opcconscontr=3"})),"-")</f>
        <v>0</v>
      </c>
      <c r="E238" s="44">
        <f>IFERROR(_xll.ECONOMATICA($C$5,"Min Gain",,E$228,,,,$C$7,,,,IF($D$9=1,{"jtb.opcconscontr=2"},{"jtb.opcconscontr=3"})),"-")</f>
        <v>0</v>
      </c>
      <c r="F238" s="45">
        <f>IFERROR(_xll.ECONOMATICA($C$5,"Min Gain",,F$228,,,,$C$7,,,,IF($D$9=1,{"jtb.opcconscontr=2"},{"jtb.opcconscontr=3"})),"-")</f>
        <v>0</v>
      </c>
    </row>
    <row r="239" spans="2:6" ht="15.6" x14ac:dyDescent="0.3">
      <c r="B239" s="77" t="s">
        <v>198</v>
      </c>
      <c r="C239" s="78"/>
      <c r="D239" s="41">
        <f>IFERROR(_xll.ECONOMATICA($C$5,"NoCshExp",,D$228,,,,$C$7,,,,IF($D$9=1,{"jtb.opcconscontr=2"},{"jtb.opcconscontr=3"})),"-")</f>
        <v>85565000</v>
      </c>
      <c r="E239" s="36">
        <f>IFERROR(_xll.ECONOMATICA($C$5,"NoCshExp",,E$228,,,,$C$7,,,,IF($D$9=1,{"jtb.opcconscontr=2"},{"jtb.opcconscontr=3"})),"-")</f>
        <v>79491000</v>
      </c>
      <c r="F239" s="37">
        <f>IFERROR(_xll.ECONOMATICA($C$5,"NoCshExp",,F$228,,,,$C$7,,,,IF($D$9=1,{"jtb.opcconscontr=2"},{"jtb.opcconscontr=3"})),"-")</f>
        <v>24523000</v>
      </c>
    </row>
    <row r="240" spans="2:6" ht="15.6" x14ac:dyDescent="0.3">
      <c r="B240" s="80" t="s">
        <v>199</v>
      </c>
      <c r="C240" s="64"/>
      <c r="D240" s="43">
        <f>IFERROR(_xll.ECONOMATICA($C$5,"DecAsLiab",,D$228,,,,$C$7,,,,IF($D$9=1,{"jtb.opcconscontr=2"},{"jtb.opcconscontr=3"})),"-")</f>
        <v>-47581000</v>
      </c>
      <c r="E240" s="44">
        <f>IFERROR(_xll.ECONOMATICA($C$5,"DecAsLiab",,E$228,,,,$C$7,,,,IF($D$9=1,{"jtb.opcconscontr=2"},{"jtb.opcconscontr=3"})),"-")</f>
        <v>-18640000</v>
      </c>
      <c r="F240" s="45">
        <f>IFERROR(_xll.ECONOMATICA($C$5,"DecAsLiab",,F$228,,,,$C$7,,,,IF($D$9=1,{"jtb.opcconscontr=2"},{"jtb.opcconscontr=3"})),"-")</f>
        <v>-9615000</v>
      </c>
    </row>
    <row r="241" spans="2:6" ht="15.6" x14ac:dyDescent="0.3">
      <c r="B241" s="77" t="s">
        <v>200</v>
      </c>
      <c r="C241" s="78"/>
      <c r="D241" s="41">
        <f>IFERROR(_xll.ECONOMATICA($C$5,"Dec Receiv",,D$228,,,,$C$7,,,,IF($D$9=1,{"jtb.opcconscontr=2"},{"jtb.opcconscontr=3"})),"-")</f>
        <v>1891000</v>
      </c>
      <c r="E241" s="36">
        <f>IFERROR(_xll.ECONOMATICA($C$5,"Dec Receiv",,E$228,,,,$C$7,,,,IF($D$9=1,{"jtb.opcconscontr=2"},{"jtb.opcconscontr=3"})),"-")</f>
        <v>672000</v>
      </c>
      <c r="F241" s="37">
        <f>IFERROR(_xll.ECONOMATICA($C$5,"Dec Receiv",,F$228,,,,$C$7,,,,IF($D$9=1,{"jtb.opcconscontr=2"},{"jtb.opcconscontr=3"})),"-")</f>
        <v>7176000</v>
      </c>
    </row>
    <row r="242" spans="2:6" ht="15.6" x14ac:dyDescent="0.3">
      <c r="B242" s="67" t="s">
        <v>201</v>
      </c>
      <c r="C242" s="68"/>
      <c r="D242" s="43">
        <f>IFERROR(_xll.ECONOMATICA($C$5,"Decr Invent",,D$228,,,,$C$7,,,,IF($D$9=1,{"jtb.opcconscontr=2"},{"jtb.opcconscontr=3"})),"-")</f>
        <v>-6029000</v>
      </c>
      <c r="E242" s="44">
        <f>IFERROR(_xll.ECONOMATICA($C$5,"Decr Invent",,E$228,,,,$C$7,,,,IF($D$9=1,{"jtb.opcconscontr=2"},{"jtb.opcconscontr=3"})),"-")</f>
        <v>7926000</v>
      </c>
      <c r="F242" s="45">
        <f>IFERROR(_xll.ECONOMATICA($C$5,"Decr Invent",,F$228,,,,$C$7,,,,IF($D$9=1,{"jtb.opcconscontr=2"},{"jtb.opcconscontr=3"})),"-")</f>
        <v>-1756000</v>
      </c>
    </row>
    <row r="243" spans="2:6" ht="15.6" x14ac:dyDescent="0.3">
      <c r="B243" s="77" t="s">
        <v>202</v>
      </c>
      <c r="C243" s="78"/>
      <c r="D243" s="41">
        <f>IFERROR(_xll.ECONOMATICA($C$5,"DecOthAst",,D$228,,,,$C$7,,,,IF($D$9=1,{"jtb.opcconscontr=2"},{"jtb.opcconscontr=3"})),"-")</f>
        <v>-10519000</v>
      </c>
      <c r="E243" s="36">
        <f>IFERROR(_xll.ECONOMATICA($C$5,"DecOthAst",,E$228,,,,$C$7,,,,IF($D$9=1,{"jtb.opcconscontr=2"},{"jtb.opcconscontr=3"})),"-")</f>
        <v>-7044000</v>
      </c>
      <c r="F243" s="37">
        <f>IFERROR(_xll.ECONOMATICA($C$5,"DecOthAst",,F$228,,,,$C$7,,,,IF($D$9=1,{"jtb.opcconscontr=2"},{"jtb.opcconscontr=3"})),"-")</f>
        <v>2870000</v>
      </c>
    </row>
    <row r="244" spans="2:6" ht="15.6" x14ac:dyDescent="0.3">
      <c r="B244" s="67" t="s">
        <v>203</v>
      </c>
      <c r="C244" s="68"/>
      <c r="D244" s="43">
        <f>IFERROR(_xll.ECONOMATICA($C$5,"Incr Supp",,D$228,,,,$C$7,,,,IF($D$9=1,{"jtb.opcconscontr=2"},{"jtb.opcconscontr=3"})),"-")</f>
        <v>-2223000</v>
      </c>
      <c r="E244" s="44">
        <f>IFERROR(_xll.ECONOMATICA($C$5,"Incr Supp",,E$228,,,,$C$7,,,,IF($D$9=1,{"jtb.opcconscontr=2"},{"jtb.opcconscontr=3"})),"-")</f>
        <v>-4741000</v>
      </c>
      <c r="F244" s="45">
        <f>IFERROR(_xll.ECONOMATICA($C$5,"Incr Supp",,F$228,,,,$C$7,,,,IF($D$9=1,{"jtb.opcconscontr=2"},{"jtb.opcconscontr=3"})),"-")</f>
        <v>1170000</v>
      </c>
    </row>
    <row r="245" spans="2:6" ht="15.6" x14ac:dyDescent="0.3">
      <c r="B245" s="77" t="s">
        <v>204</v>
      </c>
      <c r="C245" s="78"/>
      <c r="D245" s="41">
        <f>IFERROR(_xll.ECONOMATICA($C$5,"Incr tax",,D$228,,,,$C$7,,,,IF($D$9=1,{"jtb.opcconscontr=2"},{"jtb.opcconscontr=3"})),"-")</f>
        <v>-24746000</v>
      </c>
      <c r="E245" s="36">
        <f>IFERROR(_xll.ECONOMATICA($C$5,"Incr tax",,E$228,,,,$C$7,,,,IF($D$9=1,{"jtb.opcconscontr=2"},{"jtb.opcconscontr=3"})),"-")</f>
        <v>-6980000</v>
      </c>
      <c r="F245" s="37">
        <f>IFERROR(_xll.ECONOMATICA($C$5,"Incr tax",,F$228,,,,$C$7,,,,IF($D$9=1,{"jtb.opcconscontr=2"},{"jtb.opcconscontr=3"})),"-")</f>
        <v>-12050000</v>
      </c>
    </row>
    <row r="246" spans="2:6" ht="15.6" x14ac:dyDescent="0.3">
      <c r="B246" s="67" t="s">
        <v>205</v>
      </c>
      <c r="C246" s="68"/>
      <c r="D246" s="43">
        <f>IFERROR(_xll.ECONOMATICA($C$5,"Incr Ot Liab",,D$228,,,,$C$7,,,,IF($D$9=1,{"jtb.opcconscontr=2"},{"jtb.opcconscontr=3"})),"-")</f>
        <v>-5955000</v>
      </c>
      <c r="E246" s="44">
        <f>IFERROR(_xll.ECONOMATICA($C$5,"Incr Ot Liab",,E$228,,,,$C$7,,,,IF($D$9=1,{"jtb.opcconscontr=2"},{"jtb.opcconscontr=3"})),"-")</f>
        <v>-8473000</v>
      </c>
      <c r="F246" s="45">
        <f>IFERROR(_xll.ECONOMATICA($C$5,"Incr Ot Liab",,F$228,,,,$C$7,,,,IF($D$9=1,{"jtb.opcconscontr=2"},{"jtb.opcconscontr=3"})),"-")</f>
        <v>-7025000</v>
      </c>
    </row>
    <row r="247" spans="2:6" ht="15.6" x14ac:dyDescent="0.3">
      <c r="B247" s="79" t="s">
        <v>206</v>
      </c>
      <c r="C247" s="62"/>
      <c r="D247" s="41">
        <f>IFERROR(_xll.ECONOMATICA($C$5,"OtIOCF",,D$228,,,,$C$7,,,,IF($D$9=1,{"jtb.opcconscontr=2"},{"jtb.opcconscontr=3"})),"-")</f>
        <v>-59147000</v>
      </c>
      <c r="E247" s="36">
        <f>IFERROR(_xll.ECONOMATICA($C$5,"OtIOCF",,E$228,,,,$C$7,,,,IF($D$9=1,{"jtb.opcconscontr=2"},{"jtb.opcconscontr=3"})),"-")</f>
        <v>-50712000</v>
      </c>
      <c r="F247" s="37">
        <f>IFERROR(_xll.ECONOMATICA($C$5,"OtIOCF",,F$228,,,,$C$7,,,,IF($D$9=1,{"jtb.opcconscontr=2"},{"jtb.opcconscontr=3"})),"-")</f>
        <v>-23889000</v>
      </c>
    </row>
    <row r="248" spans="2:6" ht="15.6" x14ac:dyDescent="0.3">
      <c r="B248" s="83" t="s">
        <v>30</v>
      </c>
      <c r="C248" s="84"/>
      <c r="D248" s="43">
        <f>IFERROR(_xll.ECONOMATICA($C$5,"Tot Cash Inv Act",,D$228,,,,$C$7,,,,IF($D$9=1,{"jtb.opcconscontr=2"},{"jtb.opcconscontr=3"})),"-")</f>
        <v>-4377000</v>
      </c>
      <c r="E248" s="44">
        <f>IFERROR(_xll.ECONOMATICA($C$5,"Tot Cash Inv Act",,E$228,,,,$C$7,,,,IF($D$9=1,{"jtb.opcconscontr=2"},{"jtb.opcconscontr=3"})),"-")</f>
        <v>-39495000</v>
      </c>
      <c r="F248" s="45">
        <f>IFERROR(_xll.ECONOMATICA($C$5,"Tot Cash Inv Act",,F$228,,,,$C$7,,,,IF($D$9=1,{"jtb.opcconscontr=2"},{"jtb.opcconscontr=3"})),"-")</f>
        <v>-26901000</v>
      </c>
    </row>
    <row r="249" spans="2:6" ht="15.6" x14ac:dyDescent="0.3">
      <c r="B249" s="79" t="s">
        <v>207</v>
      </c>
      <c r="C249" s="62"/>
      <c r="D249" s="41">
        <f>IFERROR(_xll.ECONOMATICA($C$5,"Net Pu Per Ast",,D$228,,,,$C$7,,,,IF($D$9=1,{"jtb.opcconscontr=2"},{"jtb.opcconscontr=3"})),"-")</f>
        <v>-24979000</v>
      </c>
      <c r="E249" s="36">
        <f>IFERROR(_xll.ECONOMATICA($C$5,"Net Pu Per Ast",,E$228,,,,$C$7,,,,IF($D$9=1,{"jtb.opcconscontr=2"},{"jtb.opcconscontr=3"})),"-")</f>
        <v>-42203000</v>
      </c>
      <c r="F249" s="37">
        <f>IFERROR(_xll.ECONOMATICA($C$5,"Net Pu Per Ast",,F$228,,,,$C$7,,,,IF($D$9=1,{"jtb.opcconscontr=2"},{"jtb.opcconscontr=3"})),"-")</f>
        <v>-25530000</v>
      </c>
    </row>
    <row r="250" spans="2:6" ht="15.6" x14ac:dyDescent="0.3">
      <c r="B250" s="67" t="s">
        <v>208</v>
      </c>
      <c r="C250" s="68"/>
      <c r="D250" s="43" t="str">
        <f>IFERROR(_xll.ECONOMATICA($C$5,"PurPerInv",,D$228,,,,$C$7,,,,IF($D$9=1,{"jtb.opcconscontr=2"},{"jtb.opcconscontr=3"})),"-")</f>
        <v>-</v>
      </c>
      <c r="E250" s="44" t="str">
        <f>IFERROR(_xll.ECONOMATICA($C$5,"PurPerInv",,E$228,,,,$C$7,,,,IF($D$9=1,{"jtb.opcconscontr=2"},{"jtb.opcconscontr=3"})),"-")</f>
        <v>-</v>
      </c>
      <c r="F250" s="45" t="str">
        <f>IFERROR(_xll.ECONOMATICA($C$5,"PurPerInv",,F$228,,,,$C$7,,,,IF($D$9=1,{"jtb.opcconscontr=2"},{"jtb.opcconscontr=3"})),"-")</f>
        <v>-</v>
      </c>
    </row>
    <row r="251" spans="2:6" ht="15.6" x14ac:dyDescent="0.3">
      <c r="B251" s="77" t="s">
        <v>209</v>
      </c>
      <c r="C251" s="78"/>
      <c r="D251" s="41" t="str">
        <f>IFERROR(_xll.ECONOMATICA($C$5,"Pu fix dif",,D$228,,,,$C$7,,,,IF($D$9=1,{"jtb.opcconscontr=2"},{"jtb.opcconscontr=3"})),"-")</f>
        <v>-</v>
      </c>
      <c r="E251" s="36" t="str">
        <f>IFERROR(_xll.ECONOMATICA($C$5,"Pu fix dif",,E$228,,,,$C$7,,,,IF($D$9=1,{"jtb.opcconscontr=2"},{"jtb.opcconscontr=3"})),"-")</f>
        <v>-</v>
      </c>
      <c r="F251" s="37" t="str">
        <f>IFERROR(_xll.ECONOMATICA($C$5,"Pu fix dif",,F$228,,,,$C$7,,,,IF($D$9=1,{"jtb.opcconscontr=2"},{"jtb.opcconscontr=3"})),"-")</f>
        <v>-</v>
      </c>
    </row>
    <row r="252" spans="2:6" ht="15.6" x14ac:dyDescent="0.3">
      <c r="B252" s="67" t="s">
        <v>210</v>
      </c>
      <c r="C252" s="68"/>
      <c r="D252" s="43" t="str">
        <f>IFERROR(_xll.ECONOMATICA($C$5,"Sale Perm",,D$228,,,,$C$7,,,,IF($D$9=1,{"jtb.opcconscontr=2"},{"jtb.opcconscontr=3"})),"-")</f>
        <v>-</v>
      </c>
      <c r="E252" s="44" t="str">
        <f>IFERROR(_xll.ECONOMATICA($C$5,"Sale Perm",,E$228,,,,$C$7,,,,IF($D$9=1,{"jtb.opcconscontr=2"},{"jtb.opcconscontr=3"})),"-")</f>
        <v>-</v>
      </c>
      <c r="F252" s="45" t="str">
        <f>IFERROR(_xll.ECONOMATICA($C$5,"Sale Perm",,F$228,,,,$C$7,,,,IF($D$9=1,{"jtb.opcconscontr=2"},{"jtb.opcconscontr=3"})),"-")</f>
        <v>-</v>
      </c>
    </row>
    <row r="253" spans="2:6" ht="15.6" x14ac:dyDescent="0.3">
      <c r="B253" s="79" t="s">
        <v>211</v>
      </c>
      <c r="C253" s="62"/>
      <c r="D253" s="41">
        <f>IFERROR(_xll.ECONOMATICA($C$5,"DivFrUnco",,D$228,,,,$C$7,,,,IF($D$9=1,{"jtb.opcconscontr=2"},{"jtb.opcconscontr=3"})),"-")</f>
        <v>1905000</v>
      </c>
      <c r="E253" s="36">
        <f>IFERROR(_xll.ECONOMATICA($C$5,"DivFrUnco",,E$228,,,,$C$7,,,,IF($D$9=1,{"jtb.opcconscontr=2"},{"jtb.opcconscontr=3"})),"-")</f>
        <v>439000</v>
      </c>
      <c r="F253" s="37">
        <f>IFERROR(_xll.ECONOMATICA($C$5,"DivFrUnco",,F$228,,,,$C$7,,,,IF($D$9=1,{"jtb.opcconscontr=2"},{"jtb.opcconscontr=3"})),"-")</f>
        <v>326000</v>
      </c>
    </row>
    <row r="254" spans="2:6" ht="15.6" x14ac:dyDescent="0.3">
      <c r="B254" s="80" t="s">
        <v>212</v>
      </c>
      <c r="C254" s="64"/>
      <c r="D254" s="43">
        <f>IFERROR(_xll.ECONOMATICA($C$5,"NetSalInv",,D$228,,,,$C$7,,,,IF($D$9=1,{"jtb.opcconscontr=2"},{"jtb.opcconscontr=3"})),"-")</f>
        <v>-17072000</v>
      </c>
      <c r="E254" s="44">
        <f>IFERROR(_xll.ECONOMATICA($C$5,"NetSalInv",,E$228,,,,$C$7,,,,IF($D$9=1,{"jtb.opcconscontr=2"},{"jtb.opcconscontr=3"})),"-")</f>
        <v>237000</v>
      </c>
      <c r="F254" s="45">
        <f>IFERROR(_xll.ECONOMATICA($C$5,"NetSalInv",,F$228,,,,$C$7,,,,IF($D$9=1,{"jtb.opcconscontr=2"},{"jtb.opcconscontr=3"})),"-")</f>
        <v>-3648000</v>
      </c>
    </row>
    <row r="255" spans="2:6" ht="15.6" x14ac:dyDescent="0.3">
      <c r="B255" s="79" t="s">
        <v>213</v>
      </c>
      <c r="C255" s="62"/>
      <c r="D255" s="41">
        <f>IFERROR(_xll.ECONOMATICA($C$5,"OthInvFlow",,D$228,,,,$C$7,,,,IF($D$9=1,{"jtb.opcconscontr=2"},{"jtb.opcconscontr=3"})),"-")</f>
        <v>35769000</v>
      </c>
      <c r="E255" s="36">
        <f>IFERROR(_xll.ECONOMATICA($C$5,"OthInvFlow",,E$228,,,,$C$7,,,,IF($D$9=1,{"jtb.opcconscontr=2"},{"jtb.opcconscontr=3"})),"-")</f>
        <v>2032000</v>
      </c>
      <c r="F255" s="37">
        <f>IFERROR(_xll.ECONOMATICA($C$5,"OthInvFlow",,F$228,,,,$C$7,,,,IF($D$9=1,{"jtb.opcconscontr=2"},{"jtb.opcconscontr=3"})),"-")</f>
        <v>1951000</v>
      </c>
    </row>
    <row r="256" spans="2:6" ht="15.6" x14ac:dyDescent="0.3">
      <c r="B256" s="83" t="s">
        <v>31</v>
      </c>
      <c r="C256" s="84"/>
      <c r="D256" s="43">
        <f>IFERROR(_xll.ECONOMATICA($C$5,"Tot Cash Fin Act",,D$228,,,,$C$7,,,,IF($D$9=1,{"jtb.opcconscontr=2"},{"jtb.opcconscontr=3"})),"-")</f>
        <v>-264156000</v>
      </c>
      <c r="E256" s="44">
        <f>IFERROR(_xll.ECONOMATICA($C$5,"Tot Cash Fin Act",,E$228,,,,$C$7,,,,IF($D$9=1,{"jtb.opcconscontr=2"},{"jtb.opcconscontr=3"})),"-")</f>
        <v>-153435000</v>
      </c>
      <c r="F256" s="45">
        <f>IFERROR(_xll.ECONOMATICA($C$5,"Tot Cash Fin Act",,F$228,,,,$C$7,,,,IF($D$9=1,{"jtb.opcconscontr=2"},{"jtb.opcconscontr=3"})),"-")</f>
        <v>-89760000</v>
      </c>
    </row>
    <row r="257" spans="2:6" ht="15.6" x14ac:dyDescent="0.3">
      <c r="B257" s="79" t="s">
        <v>214</v>
      </c>
      <c r="C257" s="62"/>
      <c r="D257" s="41">
        <f>IFERROR(_xll.ECONOMATICA($C$5,"ProcDebt",,D$228,,,,$C$7,,,,IF($D$9=1,{"jtb.opcconscontr=2"},{"jtb.opcconscontr=3"})),"-")</f>
        <v>-69894000</v>
      </c>
      <c r="E257" s="36">
        <f>IFERROR(_xll.ECONOMATICA($C$5,"ProcDebt",,E$228,,,,$C$7,,,,IF($D$9=1,{"jtb.opcconscontr=2"},{"jtb.opcconscontr=3"})),"-")</f>
        <v>-51599000</v>
      </c>
      <c r="F257" s="37">
        <f>IFERROR(_xll.ECONOMATICA($C$5,"ProcDebt",,F$228,,,,$C$7,,,,IF($D$9=1,{"jtb.opcconscontr=2"},{"jtb.opcconscontr=3"})),"-")</f>
        <v>-33456000</v>
      </c>
    </row>
    <row r="258" spans="2:6" ht="15.6" x14ac:dyDescent="0.3">
      <c r="B258" s="67" t="s">
        <v>215</v>
      </c>
      <c r="C258" s="68"/>
      <c r="D258" s="43">
        <f>IFERROR(_xll.ECONOMATICA($C$5,"ProcDebtr",,D$228,,,,$C$7,,,,IF($D$9=1,{"jtb.opcconscontr=2"},{"jtb.opcconscontr=3"})),"-")</f>
        <v>15156000</v>
      </c>
      <c r="E258" s="44">
        <f>IFERROR(_xll.ECONOMATICA($C$5,"ProcDebtr",,E$228,,,,$C$7,,,,IF($D$9=1,{"jtb.opcconscontr=2"},{"jtb.opcconscontr=3"})),"-")</f>
        <v>10716000</v>
      </c>
      <c r="F258" s="45">
        <f>IFERROR(_xll.ECONOMATICA($C$5,"ProcDebtr",,F$228,,,,$C$7,,,,IF($D$9=1,{"jtb.opcconscontr=2"},{"jtb.opcconscontr=3"})),"-")</f>
        <v>3055000</v>
      </c>
    </row>
    <row r="259" spans="2:6" ht="15.6" x14ac:dyDescent="0.3">
      <c r="B259" s="77" t="s">
        <v>216</v>
      </c>
      <c r="C259" s="78"/>
      <c r="D259" s="41">
        <f>IFERROR(_xll.ECONOMATICA($C$5,"RepayDebt",,D$228,,,,$C$7,,,,IF($D$9=1,{"jtb.opcconscontr=2"},{"jtb.opcconscontr=3"})),"-")</f>
        <v>-85050000</v>
      </c>
      <c r="E259" s="36">
        <f>IFERROR(_xll.ECONOMATICA($C$5,"RepayDebt",,E$228,,,,$C$7,,,,IF($D$9=1,{"jtb.opcconscontr=2"},{"jtb.opcconscontr=3"})),"-")</f>
        <v>-62315000</v>
      </c>
      <c r="F259" s="37">
        <f>IFERROR(_xll.ECONOMATICA($C$5,"RepayDebt",,F$228,,,,$C$7,,,,IF($D$9=1,{"jtb.opcconscontr=2"},{"jtb.opcconscontr=3"})),"-")</f>
        <v>-36511000</v>
      </c>
    </row>
    <row r="260" spans="2:6" ht="15.6" x14ac:dyDescent="0.3">
      <c r="B260" s="80" t="s">
        <v>217</v>
      </c>
      <c r="C260" s="64"/>
      <c r="D260" s="43">
        <f>IFERROR(_xll.ECONOMATICA($C$5,"Proc(Rep)Eqt",,D$228,,,,$C$7,,,,IF($D$9=1,{"jtb.opcconscontr=2"},{"jtb.opcconscontr=3"})),"-")</f>
        <v>0</v>
      </c>
      <c r="E260" s="44">
        <f>IFERROR(_xll.ECONOMATICA($C$5,"Proc(Rep)Eqt",,E$228,,,,$C$7,,,,IF($D$9=1,{"jtb.opcconscontr=2"},{"jtb.opcconscontr=3"})),"-")</f>
        <v>-3644000</v>
      </c>
      <c r="F260" s="45">
        <f>IFERROR(_xll.ECONOMATICA($C$5,"Proc(Rep)Eqt",,F$228,,,,$C$7,,,,IF($D$9=1,{"jtb.opcconscontr=2"},{"jtb.opcconscontr=3"})),"-")</f>
        <v>-1919000</v>
      </c>
    </row>
    <row r="261" spans="2:6" ht="15.6" x14ac:dyDescent="0.3">
      <c r="B261" s="77" t="s">
        <v>218</v>
      </c>
      <c r="C261" s="78"/>
      <c r="D261" s="41">
        <f>IFERROR(_xll.ECONOMATICA($C$5,"ProcIssuEqt",,D$228,,,,$C$7,,,,IF($D$9=1,{"jtb.opcconscontr=2"},{"jtb.opcconscontr=3"})),"-")</f>
        <v>0</v>
      </c>
      <c r="E261" s="36">
        <f>IFERROR(_xll.ECONOMATICA($C$5,"ProcIssuEqt",,E$228,,,,$C$7,,,,IF($D$9=1,{"jtb.opcconscontr=2"},{"jtb.opcconscontr=3"})),"-")</f>
        <v>0</v>
      </c>
      <c r="F261" s="37">
        <f>IFERROR(_xll.ECONOMATICA($C$5,"ProcIssuEqt",,F$228,,,,$C$7,,,,IF($D$9=1,{"jtb.opcconscontr=2"},{"jtb.opcconscontr=3"})),"-")</f>
        <v>0</v>
      </c>
    </row>
    <row r="262" spans="2:6" ht="15.6" x14ac:dyDescent="0.3">
      <c r="B262" s="67" t="s">
        <v>219</v>
      </c>
      <c r="C262" s="68"/>
      <c r="D262" s="43">
        <f>IFERROR(_xll.ECONOMATICA($C$5,"PayRepEqt",,D$228,,,,$C$7,,,,IF($D$9=1,{"jtb.opcconscontr=2"},{"jtb.opcconscontr=3"})),"-")</f>
        <v>0</v>
      </c>
      <c r="E262" s="44">
        <f>IFERROR(_xll.ECONOMATICA($C$5,"PayRepEqt",,E$228,,,,$C$7,,,,IF($D$9=1,{"jtb.opcconscontr=2"},{"jtb.opcconscontr=3"})),"-")</f>
        <v>-3644000</v>
      </c>
      <c r="F262" s="45">
        <f>IFERROR(_xll.ECONOMATICA($C$5,"PayRepEqt",,F$228,,,,$C$7,,,,IF($D$9=1,{"jtb.opcconscontr=2"},{"jtb.opcconscontr=3"})),"-")</f>
        <v>-1919000</v>
      </c>
    </row>
    <row r="263" spans="2:6" ht="15.6" x14ac:dyDescent="0.3">
      <c r="B263" s="79" t="s">
        <v>220</v>
      </c>
      <c r="C263" s="62"/>
      <c r="D263" s="41">
        <f>IFERROR(_xll.ECONOMATICA($C$5,"Div Paid",,D$228,,,,$C$7,,,,IF($D$9=1,{"jtb.opcconscontr=2"},{"jtb.opcconscontr=3"})),"-")</f>
        <v>-194609000</v>
      </c>
      <c r="E263" s="36">
        <f>IFERROR(_xll.ECONOMATICA($C$5,"Div Paid",,E$228,,,,$C$7,,,,IF($D$9=1,{"jtb.opcconscontr=2"},{"jtb.opcconscontr=3"})),"-")</f>
        <v>-98178000</v>
      </c>
      <c r="F263" s="37">
        <f>IFERROR(_xll.ECONOMATICA($C$5,"Div Paid",,F$228,,,,$C$7,,,,IF($D$9=1,{"jtb.opcconscontr=2"},{"jtb.opcconscontr=3"})),"-")</f>
        <v>-55022000</v>
      </c>
    </row>
    <row r="264" spans="2:6" ht="15.6" x14ac:dyDescent="0.3">
      <c r="B264" s="80" t="s">
        <v>221</v>
      </c>
      <c r="C264" s="64"/>
      <c r="D264" s="43">
        <f>IFERROR(_xll.ECONOMATICA($C$5,"OtFCFI",,D$228,,,,$C$7,,,,IF($D$9=1,{"jtb.opcconscontr=2"},{"jtb.opcconscontr=3"})),"-")</f>
        <v>347000</v>
      </c>
      <c r="E264" s="44">
        <f>IFERROR(_xll.ECONOMATICA($C$5,"OtFCFI",,E$228,,,,$C$7,,,,IF($D$9=1,{"jtb.opcconscontr=2"},{"jtb.opcconscontr=3"})),"-")</f>
        <v>-14000</v>
      </c>
      <c r="F264" s="45">
        <f>IFERROR(_xll.ECONOMATICA($C$5,"OtFCFI",,F$228,,,,$C$7,,,,IF($D$9=1,{"jtb.opcconscontr=2"},{"jtb.opcconscontr=3"})),"-")</f>
        <v>637000</v>
      </c>
    </row>
    <row r="265" spans="2:6" ht="15.6" x14ac:dyDescent="0.3">
      <c r="B265" s="81" t="s">
        <v>32</v>
      </c>
      <c r="C265" s="82"/>
      <c r="D265" s="41">
        <f>IFERROR(_xll.ECONOMATICA($C$5,"Eff Exch Rate",,D$228,,,,$C$7,,,,IF($D$9=1,{"jtb.opcconscontr=2"},{"jtb.opcconscontr=3"})),"-")</f>
        <v>-3636000</v>
      </c>
      <c r="E265" s="36">
        <f>IFERROR(_xll.ECONOMATICA($C$5,"Eff Exch Rate",,E$228,,,,$C$7,,,,IF($D$9=1,{"jtb.opcconscontr=2"},{"jtb.opcconscontr=3"})),"-")</f>
        <v>-2876000</v>
      </c>
      <c r="F265" s="37">
        <f>IFERROR(_xll.ECONOMATICA($C$5,"Eff Exch Rate",,F$228,,,,$C$7,,,,IF($D$9=1,{"jtb.opcconscontr=2"},{"jtb.opcconscontr=3"})),"-")</f>
        <v>5226000</v>
      </c>
    </row>
    <row r="266" spans="2:6" ht="15.6" x14ac:dyDescent="0.3">
      <c r="B266" s="83" t="s">
        <v>33</v>
      </c>
      <c r="C266" s="84"/>
      <c r="D266" s="43">
        <f>IFERROR(_xll.ECONOMATICA($C$5,"Oth Chg",,D$228,,,,$C$7,,,,IF($D$9=1,{"jtb.opcconscontr=2"},{"jtb.opcconscontr=3"})),"-")</f>
        <v>0</v>
      </c>
      <c r="E266" s="44">
        <f>IFERROR(_xll.ECONOMATICA($C$5,"Oth Chg",,E$228,,,,$C$7,,,,IF($D$9=1,{"jtb.opcconscontr=2"},{"jtb.opcconscontr=3"})),"-")</f>
        <v>0</v>
      </c>
      <c r="F266" s="45">
        <f>IFERROR(_xll.ECONOMATICA($C$5,"Oth Chg",,F$228,,,,$C$7,,,,IF($D$9=1,{"jtb.opcconscontr=2"},{"jtb.opcconscontr=3"})),"-")</f>
        <v>0</v>
      </c>
    </row>
    <row r="267" spans="2:6" ht="15.6" x14ac:dyDescent="0.3">
      <c r="B267" s="106" t="s">
        <v>34</v>
      </c>
      <c r="C267" s="107"/>
      <c r="D267" s="42">
        <f>IFERROR(_xll.ECONOMATICA($C$5,"Net Change Cash",,D$228,,,,$C$7,,,,IF($D$9=1,{"jtb.opcconscontr=2"},{"jtb.opcconscontr=3"})),"-")</f>
        <v>-16759000</v>
      </c>
      <c r="E267" s="38">
        <f>IFERROR(_xll.ECONOMATICA($C$5,"Net Change Cash",,E$228,,,,$C$7,,,,IF($D$9=1,{"jtb.opcconscontr=2"},{"jtb.opcconscontr=3"})),"-")</f>
        <v>19890000</v>
      </c>
      <c r="F267" s="39">
        <f>IFERROR(_xll.ECONOMATICA($C$5,"Net Change Cash",,F$228,,,,$C$7,,,,IF($D$9=1,{"jtb.opcconscontr=2"},{"jtb.opcconscontr=3"})),"-")</f>
        <v>-17784000</v>
      </c>
    </row>
  </sheetData>
  <dataConsolidate link="1"/>
  <mergeCells count="251">
    <mergeCell ref="B267:C267"/>
    <mergeCell ref="B11:F11"/>
    <mergeCell ref="B12:C12"/>
    <mergeCell ref="B13:C13"/>
    <mergeCell ref="B14:C14"/>
    <mergeCell ref="B16:C16"/>
    <mergeCell ref="B83:C83"/>
    <mergeCell ref="B197:F197"/>
    <mergeCell ref="B199:C199"/>
    <mergeCell ref="B261:C261"/>
    <mergeCell ref="B262:C262"/>
    <mergeCell ref="B263:C263"/>
    <mergeCell ref="B264:C264"/>
    <mergeCell ref="B265:C265"/>
    <mergeCell ref="B266:C266"/>
    <mergeCell ref="B255:C255"/>
    <mergeCell ref="B256:C256"/>
    <mergeCell ref="B257:C257"/>
    <mergeCell ref="B258:C258"/>
    <mergeCell ref="B259:C259"/>
    <mergeCell ref="B260:C260"/>
    <mergeCell ref="B249:C249"/>
    <mergeCell ref="B250:C250"/>
    <mergeCell ref="B251:C251"/>
    <mergeCell ref="B252:C252"/>
    <mergeCell ref="B253:C253"/>
    <mergeCell ref="B254:C254"/>
    <mergeCell ref="B243:C243"/>
    <mergeCell ref="B244:C244"/>
    <mergeCell ref="B245:C245"/>
    <mergeCell ref="B246:C246"/>
    <mergeCell ref="B247:C247"/>
    <mergeCell ref="B248:C248"/>
    <mergeCell ref="B237:C237"/>
    <mergeCell ref="B238:C238"/>
    <mergeCell ref="B239:C239"/>
    <mergeCell ref="B240:C240"/>
    <mergeCell ref="B241:C241"/>
    <mergeCell ref="B242:C242"/>
    <mergeCell ref="B231:C231"/>
    <mergeCell ref="B232:C232"/>
    <mergeCell ref="B233:C233"/>
    <mergeCell ref="B234:C234"/>
    <mergeCell ref="B235:C235"/>
    <mergeCell ref="B236:C236"/>
    <mergeCell ref="B221:C221"/>
    <mergeCell ref="B222:C222"/>
    <mergeCell ref="B223:C223"/>
    <mergeCell ref="B224:C224"/>
    <mergeCell ref="B229:C229"/>
    <mergeCell ref="B230:C230"/>
    <mergeCell ref="B226:F226"/>
    <mergeCell ref="B228:C228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193:C193"/>
    <mergeCell ref="B194:C194"/>
    <mergeCell ref="B195:C195"/>
    <mergeCell ref="B200:C200"/>
    <mergeCell ref="B201:C201"/>
    <mergeCell ref="B202:C202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7:C77"/>
    <mergeCell ref="B78:C78"/>
    <mergeCell ref="B79:C79"/>
    <mergeCell ref="B80:C80"/>
    <mergeCell ref="B81:C81"/>
    <mergeCell ref="B84:C84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</mergeCells>
  <dataValidations disablePrompts="1" count="1">
    <dataValidation type="list" allowBlank="1" showInputMessage="1" showErrorMessage="1" sqref="C7" xr:uid="{4C4E95A2-AE4F-410E-AD5B-E421C0723311}">
      <formula1>"Units,Thousands,Millions,Billions"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9" orientation="portrait" r:id="rId1"/>
  <rowBreaks count="2" manualBreakCount="2">
    <brk id="48" max="16383" man="1"/>
    <brk id="1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1973580</xdr:colOff>
                    <xdr:row>8</xdr:row>
                    <xdr:rowOff>53340</xdr:rowOff>
                  </from>
                  <to>
                    <xdr:col>3</xdr:col>
                    <xdr:colOff>952500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Option Button 7">
              <controlPr defaultSize="0" autoFill="0" autoLine="0" autoPict="0">
                <anchor moveWithCells="1">
                  <from>
                    <xdr:col>1</xdr:col>
                    <xdr:colOff>1706880</xdr:colOff>
                    <xdr:row>8</xdr:row>
                    <xdr:rowOff>53340</xdr:rowOff>
                  </from>
                  <to>
                    <xdr:col>2</xdr:col>
                    <xdr:colOff>502920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defaultSize="0" autoFill="0" autoLine="0" autoPict="0">
                <anchor moveWithCells="1">
                  <from>
                    <xdr:col>2</xdr:col>
                    <xdr:colOff>601980</xdr:colOff>
                    <xdr:row>8</xdr:row>
                    <xdr:rowOff>60960</xdr:rowOff>
                  </from>
                  <to>
                    <xdr:col>2</xdr:col>
                    <xdr:colOff>1897380</xdr:colOff>
                    <xdr:row>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Base CVM</vt:lpstr>
      <vt:lpstr>'Base CVM'!Titulos_de_impressao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cp:lastPrinted>2019-02-08T19:31:03Z</cp:lastPrinted>
  <dcterms:created xsi:type="dcterms:W3CDTF">2018-11-28T11:50:25Z</dcterms:created>
  <dcterms:modified xsi:type="dcterms:W3CDTF">2024-09-26T21:04:07Z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1411850284</vt:lpwstr>
  </property>
  <property fmtid="{D5CDD505-2E9C-101B-9397-08002B2CF9AE}" pid="3" name="EcoUpdateMessage">
    <vt:lpwstr>2024/09/26-20:38:04</vt:lpwstr>
  </property>
  <property fmtid="{D5CDD505-2E9C-101B-9397-08002B2CF9AE}" pid="4" name="EcoUpdateStatus">
    <vt:lpwstr>2024-09-25=BRA:St,ME,Fd,TP;USA:St;ARG:St,ME,Fd,TP;MEX:St,Fd,TP;CHL:Fd;COL:St,ME;PER:St,ME|2024-09-26=USA:ME;MEX:ME;CHL:St,ME;SAU:St|2022-10-17=USA:TP|2021-11-17=CHL:TP|2014-02-26=VEN:St|2002-11-08=JPN:St|2024-09-09=GBR:St,ME|2016-08-18=NNN:St|2024-09-23=COL:Fd|2024-09-24=PER:Fd,TP|2007-01-31=ESP:St|2003-01-29=CHN:St|2003-01-28=TWN:St|2003-01-30=HKG:St;KOR:St|2023-01-19=OTH:St|2024-06-30=PAN:St|2024-06-24=SAU:ME</vt:lpwstr>
  </property>
</Properties>
</file>