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G:\Meu Drive\Add-In\Clientes\Milton\Projeto Layout Planilhas\1 - Ações - 11 -23\"/>
    </mc:Choice>
  </mc:AlternateContent>
  <xr:revisionPtr revIDLastSave="0" documentId="8_{A54D1087-A27F-4ADD-B52C-DCD54D2AD22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Indicadores Financeiros" sheetId="1" r:id="rId1"/>
  </sheets>
  <definedNames>
    <definedName name="_xlnm.Print_Area" localSheetId="0">'Indicadores Financeiros'!$B$1:$L$78</definedName>
    <definedName name="Multiplicador">OFFSET(#REF!,0,0,COUNTA(#REF!)-1)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7" i="1" l="1"/>
  <c r="D77" i="1"/>
  <c r="E76" i="1"/>
  <c r="F75" i="1"/>
  <c r="G74" i="1"/>
  <c r="K77" i="1"/>
  <c r="L76" i="1"/>
  <c r="D76" i="1"/>
  <c r="E75" i="1"/>
  <c r="F74" i="1"/>
  <c r="D75" i="1"/>
  <c r="J77" i="1"/>
  <c r="K76" i="1"/>
  <c r="L75" i="1"/>
  <c r="E74" i="1"/>
  <c r="G75" i="1"/>
  <c r="I77" i="1"/>
  <c r="J76" i="1"/>
  <c r="K75" i="1"/>
  <c r="L74" i="1"/>
  <c r="D74" i="1"/>
  <c r="H75" i="1"/>
  <c r="F76" i="1"/>
  <c r="H77" i="1"/>
  <c r="I76" i="1"/>
  <c r="J75" i="1"/>
  <c r="K74" i="1"/>
  <c r="G76" i="1"/>
  <c r="E77" i="1"/>
  <c r="G77" i="1"/>
  <c r="H76" i="1"/>
  <c r="I75" i="1"/>
  <c r="J74" i="1"/>
  <c r="F77" i="1"/>
  <c r="I74" i="1"/>
  <c r="H74" i="1"/>
  <c r="L71" i="1"/>
  <c r="D71" i="1"/>
  <c r="E70" i="1"/>
  <c r="F69" i="1"/>
  <c r="G68" i="1"/>
  <c r="H67" i="1"/>
  <c r="I66" i="1"/>
  <c r="J65" i="1"/>
  <c r="K64" i="1"/>
  <c r="L63" i="1"/>
  <c r="D63" i="1"/>
  <c r="E62" i="1"/>
  <c r="F61" i="1"/>
  <c r="G60" i="1"/>
  <c r="H59" i="1"/>
  <c r="I58" i="1"/>
  <c r="J57" i="1"/>
  <c r="K56" i="1"/>
  <c r="L55" i="1"/>
  <c r="D55" i="1"/>
  <c r="E54" i="1"/>
  <c r="F53" i="1"/>
  <c r="K66" i="1"/>
  <c r="F70" i="1"/>
  <c r="K65" i="1"/>
  <c r="F62" i="1"/>
  <c r="K57" i="1"/>
  <c r="G53" i="1"/>
  <c r="K71" i="1"/>
  <c r="L70" i="1"/>
  <c r="D70" i="1"/>
  <c r="E69" i="1"/>
  <c r="F68" i="1"/>
  <c r="G67" i="1"/>
  <c r="H66" i="1"/>
  <c r="I65" i="1"/>
  <c r="J64" i="1"/>
  <c r="K63" i="1"/>
  <c r="L62" i="1"/>
  <c r="D62" i="1"/>
  <c r="E61" i="1"/>
  <c r="F60" i="1"/>
  <c r="G59" i="1"/>
  <c r="H58" i="1"/>
  <c r="I57" i="1"/>
  <c r="J56" i="1"/>
  <c r="K55" i="1"/>
  <c r="L54" i="1"/>
  <c r="D54" i="1"/>
  <c r="E53" i="1"/>
  <c r="I68" i="1"/>
  <c r="D65" i="1"/>
  <c r="G62" i="1"/>
  <c r="L57" i="1"/>
  <c r="D57" i="1"/>
  <c r="H53" i="1"/>
  <c r="H68" i="1"/>
  <c r="E63" i="1"/>
  <c r="L56" i="1"/>
  <c r="J71" i="1"/>
  <c r="K70" i="1"/>
  <c r="L69" i="1"/>
  <c r="D69" i="1"/>
  <c r="E68" i="1"/>
  <c r="F67" i="1"/>
  <c r="G66" i="1"/>
  <c r="H65" i="1"/>
  <c r="I64" i="1"/>
  <c r="J63" i="1"/>
  <c r="K62" i="1"/>
  <c r="L61" i="1"/>
  <c r="D61" i="1"/>
  <c r="E60" i="1"/>
  <c r="F59" i="1"/>
  <c r="G58" i="1"/>
  <c r="H57" i="1"/>
  <c r="I56" i="1"/>
  <c r="J55" i="1"/>
  <c r="K54" i="1"/>
  <c r="L53" i="1"/>
  <c r="D53" i="1"/>
  <c r="J67" i="1"/>
  <c r="E64" i="1"/>
  <c r="I60" i="1"/>
  <c r="E56" i="1"/>
  <c r="J66" i="1"/>
  <c r="D64" i="1"/>
  <c r="J58" i="1"/>
  <c r="I71" i="1"/>
  <c r="J70" i="1"/>
  <c r="K69" i="1"/>
  <c r="L68" i="1"/>
  <c r="D68" i="1"/>
  <c r="E67" i="1"/>
  <c r="F66" i="1"/>
  <c r="G65" i="1"/>
  <c r="H64" i="1"/>
  <c r="I63" i="1"/>
  <c r="J62" i="1"/>
  <c r="K61" i="1"/>
  <c r="L60" i="1"/>
  <c r="D60" i="1"/>
  <c r="E59" i="1"/>
  <c r="F58" i="1"/>
  <c r="G57" i="1"/>
  <c r="H56" i="1"/>
  <c r="I55" i="1"/>
  <c r="J54" i="1"/>
  <c r="K53" i="1"/>
  <c r="H69" i="1"/>
  <c r="J59" i="1"/>
  <c r="F55" i="1"/>
  <c r="G69" i="1"/>
  <c r="G61" i="1"/>
  <c r="D56" i="1"/>
  <c r="H71" i="1"/>
  <c r="I70" i="1"/>
  <c r="J69" i="1"/>
  <c r="K68" i="1"/>
  <c r="L67" i="1"/>
  <c r="D67" i="1"/>
  <c r="E66" i="1"/>
  <c r="F65" i="1"/>
  <c r="G64" i="1"/>
  <c r="H63" i="1"/>
  <c r="I62" i="1"/>
  <c r="J61" i="1"/>
  <c r="K60" i="1"/>
  <c r="L59" i="1"/>
  <c r="D59" i="1"/>
  <c r="E58" i="1"/>
  <c r="F57" i="1"/>
  <c r="G56" i="1"/>
  <c r="H55" i="1"/>
  <c r="I54" i="1"/>
  <c r="J53" i="1"/>
  <c r="G70" i="1"/>
  <c r="H61" i="1"/>
  <c r="E71" i="1"/>
  <c r="I59" i="1"/>
  <c r="E55" i="1"/>
  <c r="G71" i="1"/>
  <c r="H70" i="1"/>
  <c r="I69" i="1"/>
  <c r="J68" i="1"/>
  <c r="K67" i="1"/>
  <c r="L66" i="1"/>
  <c r="D66" i="1"/>
  <c r="E65" i="1"/>
  <c r="F64" i="1"/>
  <c r="G63" i="1"/>
  <c r="H62" i="1"/>
  <c r="I61" i="1"/>
  <c r="J60" i="1"/>
  <c r="K59" i="1"/>
  <c r="L58" i="1"/>
  <c r="D58" i="1"/>
  <c r="E57" i="1"/>
  <c r="F56" i="1"/>
  <c r="G55" i="1"/>
  <c r="H54" i="1"/>
  <c r="I53" i="1"/>
  <c r="F71" i="1"/>
  <c r="L65" i="1"/>
  <c r="F63" i="1"/>
  <c r="K58" i="1"/>
  <c r="G54" i="1"/>
  <c r="I67" i="1"/>
  <c r="L64" i="1"/>
  <c r="H60" i="1"/>
  <c r="F54" i="1"/>
  <c r="L50" i="1"/>
  <c r="D50" i="1"/>
  <c r="E49" i="1"/>
  <c r="F48" i="1"/>
  <c r="G47" i="1"/>
  <c r="H46" i="1"/>
  <c r="D47" i="1"/>
  <c r="K46" i="1"/>
  <c r="K50" i="1"/>
  <c r="L49" i="1"/>
  <c r="D49" i="1"/>
  <c r="E48" i="1"/>
  <c r="F47" i="1"/>
  <c r="G46" i="1"/>
  <c r="J49" i="1"/>
  <c r="J50" i="1"/>
  <c r="K49" i="1"/>
  <c r="L48" i="1"/>
  <c r="D48" i="1"/>
  <c r="E47" i="1"/>
  <c r="F46" i="1"/>
  <c r="I50" i="1"/>
  <c r="J47" i="1"/>
  <c r="H50" i="1"/>
  <c r="I49" i="1"/>
  <c r="J48" i="1"/>
  <c r="K47" i="1"/>
  <c r="L46" i="1"/>
  <c r="D46" i="1"/>
  <c r="G50" i="1"/>
  <c r="F50" i="1"/>
  <c r="G49" i="1"/>
  <c r="H48" i="1"/>
  <c r="I47" i="1"/>
  <c r="J46" i="1"/>
  <c r="L47" i="1"/>
  <c r="E46" i="1"/>
  <c r="H49" i="1"/>
  <c r="E50" i="1"/>
  <c r="F49" i="1"/>
  <c r="G48" i="1"/>
  <c r="H47" i="1"/>
  <c r="I46" i="1"/>
  <c r="K48" i="1"/>
  <c r="I48" i="1"/>
  <c r="L43" i="1"/>
  <c r="D43" i="1"/>
  <c r="E42" i="1"/>
  <c r="F41" i="1"/>
  <c r="G40" i="1"/>
  <c r="H39" i="1"/>
  <c r="G41" i="1"/>
  <c r="K43" i="1"/>
  <c r="L42" i="1"/>
  <c r="D42" i="1"/>
  <c r="E41" i="1"/>
  <c r="F40" i="1"/>
  <c r="G39" i="1"/>
  <c r="E43" i="1"/>
  <c r="J43" i="1"/>
  <c r="K42" i="1"/>
  <c r="L41" i="1"/>
  <c r="D41" i="1"/>
  <c r="E40" i="1"/>
  <c r="F39" i="1"/>
  <c r="F42" i="1"/>
  <c r="I43" i="1"/>
  <c r="J42" i="1"/>
  <c r="K41" i="1"/>
  <c r="L40" i="1"/>
  <c r="D40" i="1"/>
  <c r="E39" i="1"/>
  <c r="H43" i="1"/>
  <c r="I42" i="1"/>
  <c r="J41" i="1"/>
  <c r="K40" i="1"/>
  <c r="L39" i="1"/>
  <c r="D39" i="1"/>
  <c r="H40" i="1"/>
  <c r="G43" i="1"/>
  <c r="H42" i="1"/>
  <c r="I41" i="1"/>
  <c r="J40" i="1"/>
  <c r="K39" i="1"/>
  <c r="I39" i="1"/>
  <c r="F43" i="1"/>
  <c r="G42" i="1"/>
  <c r="H41" i="1"/>
  <c r="I40" i="1"/>
  <c r="J39" i="1"/>
  <c r="L36" i="1"/>
  <c r="D36" i="1"/>
  <c r="E35" i="1"/>
  <c r="F34" i="1"/>
  <c r="G33" i="1"/>
  <c r="H32" i="1"/>
  <c r="I31" i="1"/>
  <c r="J30" i="1"/>
  <c r="K29" i="1"/>
  <c r="L28" i="1"/>
  <c r="D28" i="1"/>
  <c r="E27" i="1"/>
  <c r="F26" i="1"/>
  <c r="G25" i="1"/>
  <c r="H24" i="1"/>
  <c r="I23" i="1"/>
  <c r="J22" i="1"/>
  <c r="K21" i="1"/>
  <c r="L20" i="1"/>
  <c r="D20" i="1"/>
  <c r="E19" i="1"/>
  <c r="J32" i="1"/>
  <c r="E29" i="1"/>
  <c r="H26" i="1"/>
  <c r="E21" i="1"/>
  <c r="E36" i="1"/>
  <c r="L29" i="1"/>
  <c r="H25" i="1"/>
  <c r="K36" i="1"/>
  <c r="L35" i="1"/>
  <c r="D35" i="1"/>
  <c r="E34" i="1"/>
  <c r="F33" i="1"/>
  <c r="G32" i="1"/>
  <c r="H31" i="1"/>
  <c r="I30" i="1"/>
  <c r="J29" i="1"/>
  <c r="K28" i="1"/>
  <c r="L27" i="1"/>
  <c r="D27" i="1"/>
  <c r="E26" i="1"/>
  <c r="F25" i="1"/>
  <c r="G24" i="1"/>
  <c r="H23" i="1"/>
  <c r="I22" i="1"/>
  <c r="J21" i="1"/>
  <c r="K20" i="1"/>
  <c r="L19" i="1"/>
  <c r="D19" i="1"/>
  <c r="K31" i="1"/>
  <c r="L30" i="1"/>
  <c r="G27" i="1"/>
  <c r="D22" i="1"/>
  <c r="G34" i="1"/>
  <c r="D29" i="1"/>
  <c r="K22" i="1"/>
  <c r="J36" i="1"/>
  <c r="K35" i="1"/>
  <c r="L34" i="1"/>
  <c r="D34" i="1"/>
  <c r="E33" i="1"/>
  <c r="F32" i="1"/>
  <c r="G31" i="1"/>
  <c r="H30" i="1"/>
  <c r="I29" i="1"/>
  <c r="J28" i="1"/>
  <c r="K27" i="1"/>
  <c r="L26" i="1"/>
  <c r="D26" i="1"/>
  <c r="E25" i="1"/>
  <c r="F24" i="1"/>
  <c r="G23" i="1"/>
  <c r="H22" i="1"/>
  <c r="I21" i="1"/>
  <c r="J20" i="1"/>
  <c r="K19" i="1"/>
  <c r="I33" i="1"/>
  <c r="K23" i="1"/>
  <c r="G19" i="1"/>
  <c r="J31" i="1"/>
  <c r="F27" i="1"/>
  <c r="L21" i="1"/>
  <c r="I36" i="1"/>
  <c r="J35" i="1"/>
  <c r="K34" i="1"/>
  <c r="L33" i="1"/>
  <c r="D33" i="1"/>
  <c r="E32" i="1"/>
  <c r="F31" i="1"/>
  <c r="G30" i="1"/>
  <c r="H29" i="1"/>
  <c r="I28" i="1"/>
  <c r="J27" i="1"/>
  <c r="K26" i="1"/>
  <c r="L25" i="1"/>
  <c r="D25" i="1"/>
  <c r="E24" i="1"/>
  <c r="F23" i="1"/>
  <c r="G22" i="1"/>
  <c r="H21" i="1"/>
  <c r="I20" i="1"/>
  <c r="J19" i="1"/>
  <c r="H34" i="1"/>
  <c r="I25" i="1"/>
  <c r="I32" i="1"/>
  <c r="G26" i="1"/>
  <c r="F19" i="1"/>
  <c r="H36" i="1"/>
  <c r="I35" i="1"/>
  <c r="J34" i="1"/>
  <c r="K33" i="1"/>
  <c r="L32" i="1"/>
  <c r="D32" i="1"/>
  <c r="E31" i="1"/>
  <c r="F30" i="1"/>
  <c r="G29" i="1"/>
  <c r="H28" i="1"/>
  <c r="I27" i="1"/>
  <c r="J26" i="1"/>
  <c r="K25" i="1"/>
  <c r="L24" i="1"/>
  <c r="D24" i="1"/>
  <c r="E23" i="1"/>
  <c r="F22" i="1"/>
  <c r="G21" i="1"/>
  <c r="H20" i="1"/>
  <c r="I19" i="1"/>
  <c r="G35" i="1"/>
  <c r="F28" i="1"/>
  <c r="L22" i="1"/>
  <c r="F35" i="1"/>
  <c r="K30" i="1"/>
  <c r="I24" i="1"/>
  <c r="D21" i="1"/>
  <c r="G36" i="1"/>
  <c r="H35" i="1"/>
  <c r="I34" i="1"/>
  <c r="J33" i="1"/>
  <c r="K32" i="1"/>
  <c r="L31" i="1"/>
  <c r="D31" i="1"/>
  <c r="E30" i="1"/>
  <c r="F29" i="1"/>
  <c r="G28" i="1"/>
  <c r="H27" i="1"/>
  <c r="I26" i="1"/>
  <c r="J25" i="1"/>
  <c r="K24" i="1"/>
  <c r="L23" i="1"/>
  <c r="D23" i="1"/>
  <c r="E22" i="1"/>
  <c r="F21" i="1"/>
  <c r="G20" i="1"/>
  <c r="H19" i="1"/>
  <c r="F36" i="1"/>
  <c r="D30" i="1"/>
  <c r="J24" i="1"/>
  <c r="F20" i="1"/>
  <c r="H33" i="1"/>
  <c r="E28" i="1"/>
  <c r="J23" i="1"/>
  <c r="E20" i="1"/>
  <c r="L16" i="1"/>
  <c r="D16" i="1"/>
  <c r="E15" i="1"/>
  <c r="F14" i="1"/>
  <c r="G13" i="1"/>
  <c r="F15" i="1"/>
  <c r="H13" i="1"/>
  <c r="K16" i="1"/>
  <c r="L15" i="1"/>
  <c r="D15" i="1"/>
  <c r="E14" i="1"/>
  <c r="F13" i="1"/>
  <c r="J13" i="1"/>
  <c r="J16" i="1"/>
  <c r="K15" i="1"/>
  <c r="L14" i="1"/>
  <c r="D14" i="1"/>
  <c r="E13" i="1"/>
  <c r="I14" i="1"/>
  <c r="I16" i="1"/>
  <c r="J15" i="1"/>
  <c r="K14" i="1"/>
  <c r="L13" i="1"/>
  <c r="D13" i="1"/>
  <c r="H15" i="1"/>
  <c r="H16" i="1"/>
  <c r="I15" i="1"/>
  <c r="J14" i="1"/>
  <c r="K13" i="1"/>
  <c r="G16" i="1"/>
  <c r="F16" i="1"/>
  <c r="G15" i="1"/>
  <c r="H14" i="1"/>
  <c r="I13" i="1"/>
  <c r="E16" i="1"/>
  <c r="G14" i="1"/>
  <c r="C77" i="1"/>
  <c r="C76" i="1"/>
  <c r="C75" i="1"/>
  <c r="C74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0" i="1"/>
  <c r="C49" i="1"/>
  <c r="C48" i="1"/>
  <c r="C47" i="1"/>
  <c r="C46" i="1"/>
  <c r="C43" i="1"/>
  <c r="C42" i="1"/>
  <c r="C41" i="1"/>
  <c r="C40" i="1"/>
  <c r="C39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6" i="1"/>
  <c r="C15" i="1"/>
  <c r="C14" i="1"/>
  <c r="C13" i="1"/>
  <c r="C6" i="1" l="1"/>
  <c r="C3" i="1"/>
  <c r="L12" i="1" l="1"/>
  <c r="K12" i="1" l="1"/>
  <c r="J12" i="1" l="1"/>
  <c r="I12" i="1" l="1"/>
  <c r="H12" i="1" l="1"/>
  <c r="G12" i="1" l="1"/>
  <c r="F12" i="1" l="1"/>
  <c r="E12" i="1" l="1"/>
  <c r="D12" i="1" l="1"/>
  <c r="C12" i="1" l="1"/>
</calcChain>
</file>

<file path=xl/sharedStrings.xml><?xml version="1.0" encoding="utf-8"?>
<sst xmlns="http://schemas.openxmlformats.org/spreadsheetml/2006/main" count="81" uniqueCount="80">
  <si>
    <t>Código:</t>
  </si>
  <si>
    <t>Período:</t>
  </si>
  <si>
    <t>DADOS POR ACÃO</t>
  </si>
  <si>
    <t>ESTRUTURA DE CAPITAL</t>
  </si>
  <si>
    <t>Estr Cap (D/D+Pat Liq) %</t>
  </si>
  <si>
    <t>EBIT / Desp Fin Brut x</t>
  </si>
  <si>
    <t>EBIT / Desp Fin Liq x</t>
  </si>
  <si>
    <t>Exigivel Tt / Ativo Tt %</t>
  </si>
  <si>
    <t>Exigivel Tt / Pat Liq %</t>
  </si>
  <si>
    <t>Exigivel Tt / Receita %</t>
  </si>
  <si>
    <t>Ativo Fixo / Pat Liq %</t>
  </si>
  <si>
    <t>Investimentos / Pat Lq %</t>
  </si>
  <si>
    <t>LIQUIDEZ</t>
  </si>
  <si>
    <t>Liquidez Geral x</t>
  </si>
  <si>
    <t>Liquidez Corrente x</t>
  </si>
  <si>
    <t>Liquidez Seca x</t>
  </si>
  <si>
    <t>Capital de Giro $</t>
  </si>
  <si>
    <t>Capital Employed $</t>
  </si>
  <si>
    <t>RENTABILIDADE</t>
  </si>
  <si>
    <t>EBITDA $</t>
  </si>
  <si>
    <t>LAIR + Desp Fin Liq $</t>
  </si>
  <si>
    <t>Giro do Ativo x</t>
  </si>
  <si>
    <t>Giro do Pat Liq x</t>
  </si>
  <si>
    <t>Margem Bruta %</t>
  </si>
  <si>
    <t>Margem EBIT (Operac) %</t>
  </si>
  <si>
    <t>Margem Ebitda %</t>
  </si>
  <si>
    <t>ROA Rentab do Ativo %</t>
  </si>
  <si>
    <t>ROE Rent Pat(pat final)%</t>
  </si>
  <si>
    <t>ROE Rent Pat (pat inic)%</t>
  </si>
  <si>
    <t>ROIC (IC fim) %</t>
  </si>
  <si>
    <t>ROIC (IC medio) %</t>
  </si>
  <si>
    <t>ROIC (IC inicial) %</t>
  </si>
  <si>
    <t>Invested Capital $</t>
  </si>
  <si>
    <t>Rentab Invest Subsid %</t>
  </si>
  <si>
    <t>Alavancagem Financ x</t>
  </si>
  <si>
    <t>Alavancagem Operac x</t>
  </si>
  <si>
    <t>OUTROS</t>
  </si>
  <si>
    <t>Capex (incl invest) $</t>
  </si>
  <si>
    <t>Capex (inc inv)/Deprec %</t>
  </si>
  <si>
    <t>Deprec / Imob e Intang %</t>
  </si>
  <si>
    <t>PETR4</t>
  </si>
  <si>
    <t>Empresa:</t>
  </si>
  <si>
    <t>ORIGINAL CURRENCY</t>
  </si>
  <si>
    <t>Unidade:</t>
  </si>
  <si>
    <t>Millions</t>
  </si>
  <si>
    <t>Balanço:</t>
  </si>
  <si>
    <t>Vendas por Ação $</t>
  </si>
  <si>
    <t>EBITDA por Ação $</t>
  </si>
  <si>
    <t>Dívida Total Bruta $</t>
  </si>
  <si>
    <t>Dívida Bruta / Pat Liq %</t>
  </si>
  <si>
    <t>Dívida Liq / Pat Liq %</t>
  </si>
  <si>
    <t>EBIT / Dívida Bruta %</t>
  </si>
  <si>
    <t>Dívida Bruta / Ebitda x</t>
  </si>
  <si>
    <t>Dívida liq / Ebitda x</t>
  </si>
  <si>
    <t>Dívida CP / Dívida Tt %</t>
  </si>
  <si>
    <t>EBIT / Dívida Líquida %</t>
  </si>
  <si>
    <t>Margem Líquida %</t>
  </si>
  <si>
    <t>Dívida Total Líquida $</t>
  </si>
  <si>
    <t>LPA Lucro por Ação $</t>
  </si>
  <si>
    <t>VPA Valor Patr por Ação $</t>
  </si>
  <si>
    <t>Dívida Bruta / Ativo Total %</t>
  </si>
  <si>
    <t>Prazo Med Estoques</t>
  </si>
  <si>
    <t>Prazo Med Forneced</t>
  </si>
  <si>
    <t>Prazo Med Recebim</t>
  </si>
  <si>
    <t>Ciclo Financeiro</t>
  </si>
  <si>
    <t>Ciclo Operacional</t>
  </si>
  <si>
    <t>Depreciação e amortiz $</t>
  </si>
  <si>
    <t>ROE Rent Pat(pat médio)%</t>
  </si>
  <si>
    <t>12M</t>
  </si>
  <si>
    <t>Deflator:</t>
  </si>
  <si>
    <r>
      <t xml:space="preserve">Indicadores </t>
    </r>
    <r>
      <rPr>
        <b/>
        <sz val="26"/>
        <color rgb="FFB1AE2D"/>
        <rFont val="Calibri"/>
        <family val="2"/>
        <scheme val="minor"/>
      </rPr>
      <t>Financeiros</t>
    </r>
  </si>
  <si>
    <t>Dta. Últ. Bal.:</t>
  </si>
  <si>
    <r>
      <rPr>
        <b/>
        <sz val="10"/>
        <color rgb="FFB1AE2D"/>
        <rFont val="Calibri"/>
        <family val="2"/>
        <scheme val="minor"/>
      </rPr>
      <t xml:space="preserve">← Não </t>
    </r>
    <r>
      <rPr>
        <b/>
        <sz val="10"/>
        <color rgb="FF023A4A"/>
        <rFont val="Calibri"/>
        <family val="2"/>
        <scheme val="minor"/>
      </rPr>
      <t>Modificar</t>
    </r>
  </si>
  <si>
    <t>Dta. Pref. Últ. Bal.:</t>
  </si>
  <si>
    <r>
      <rPr>
        <b/>
        <sz val="10"/>
        <color rgb="FFB1AE2D"/>
        <rFont val="Calibri"/>
        <family val="2"/>
        <scheme val="minor"/>
      </rPr>
      <t xml:space="preserve">← </t>
    </r>
    <r>
      <rPr>
        <b/>
        <sz val="10"/>
        <color rgb="FF023A4A"/>
        <rFont val="Calibri"/>
        <family val="2"/>
        <scheme val="minor"/>
      </rPr>
      <t>Para alterar a data da</t>
    </r>
    <r>
      <rPr>
        <b/>
        <sz val="10"/>
        <color rgb="FF006B66"/>
        <rFont val="Calibri"/>
        <family val="2"/>
        <scheme val="minor"/>
      </rPr>
      <t xml:space="preserve"> </t>
    </r>
    <r>
      <rPr>
        <b/>
        <sz val="10"/>
        <color rgb="FFB1AE2D"/>
        <rFont val="Calibri"/>
        <family val="2"/>
        <scheme val="minor"/>
      </rPr>
      <t>Célula C3</t>
    </r>
    <r>
      <rPr>
        <b/>
        <sz val="10"/>
        <color rgb="FF023A4A"/>
        <rFont val="Calibri"/>
        <family val="2"/>
        <scheme val="minor"/>
      </rPr>
      <t>, basta digitar na</t>
    </r>
    <r>
      <rPr>
        <b/>
        <sz val="10"/>
        <color rgb="FFC59C00"/>
        <rFont val="Calibri"/>
        <family val="2"/>
        <scheme val="minor"/>
      </rPr>
      <t xml:space="preserve"> </t>
    </r>
    <r>
      <rPr>
        <b/>
        <sz val="10"/>
        <color rgb="FFB1AE2D"/>
        <rFont val="Calibri"/>
        <family val="2"/>
        <scheme val="minor"/>
      </rPr>
      <t>Célula C4</t>
    </r>
  </si>
  <si>
    <r>
      <rPr>
        <b/>
        <sz val="10"/>
        <color rgb="FFB1AE2D"/>
        <rFont val="Calibri"/>
        <family val="2"/>
        <scheme val="minor"/>
      </rPr>
      <t xml:space="preserve">← </t>
    </r>
    <r>
      <rPr>
        <b/>
        <sz val="10"/>
        <color rgb="FF023A4A"/>
        <rFont val="Calibri"/>
        <family val="2"/>
        <scheme val="minor"/>
      </rPr>
      <t xml:space="preserve">Digite Um </t>
    </r>
    <r>
      <rPr>
        <b/>
        <sz val="10"/>
        <color rgb="FFB1AE2D"/>
        <rFont val="Calibri"/>
        <family val="2"/>
        <scheme val="minor"/>
      </rPr>
      <t xml:space="preserve">Código </t>
    </r>
  </si>
  <si>
    <r>
      <rPr>
        <b/>
        <sz val="10"/>
        <color rgb="FFB1AE2D"/>
        <rFont val="Calibri"/>
        <family val="2"/>
        <scheme val="minor"/>
      </rPr>
      <t>←</t>
    </r>
    <r>
      <rPr>
        <b/>
        <sz val="10"/>
        <color rgb="FF023A4A"/>
        <rFont val="Calibri"/>
        <family val="2"/>
        <scheme val="minor"/>
      </rPr>
      <t xml:space="preserve"> Escolha unidade em (</t>
    </r>
    <r>
      <rPr>
        <b/>
        <sz val="10"/>
        <color rgb="FFB1AE2D"/>
        <rFont val="Calibri"/>
        <family val="2"/>
        <scheme val="minor"/>
      </rPr>
      <t>Units</t>
    </r>
    <r>
      <rPr>
        <b/>
        <sz val="10"/>
        <color rgb="FF023A4A"/>
        <rFont val="Calibri"/>
        <family val="2"/>
        <scheme val="minor"/>
      </rPr>
      <t xml:space="preserve">, </t>
    </r>
    <r>
      <rPr>
        <b/>
        <sz val="10"/>
        <color rgb="FFB1AE2D"/>
        <rFont val="Calibri"/>
        <family val="2"/>
        <scheme val="minor"/>
      </rPr>
      <t>Thousands</t>
    </r>
    <r>
      <rPr>
        <b/>
        <sz val="10"/>
        <color rgb="FF023A4A"/>
        <rFont val="Calibri"/>
        <family val="2"/>
        <scheme val="minor"/>
      </rPr>
      <t xml:space="preserve">, </t>
    </r>
    <r>
      <rPr>
        <b/>
        <sz val="10"/>
        <color rgb="FFB1AE2D"/>
        <rFont val="Calibri"/>
        <family val="2"/>
        <scheme val="minor"/>
      </rPr>
      <t>Millions</t>
    </r>
    <r>
      <rPr>
        <b/>
        <sz val="10"/>
        <color rgb="FF023A4A"/>
        <rFont val="Calibri"/>
        <family val="2"/>
        <scheme val="minor"/>
      </rPr>
      <t xml:space="preserve">, </t>
    </r>
    <r>
      <rPr>
        <b/>
        <sz val="10"/>
        <color rgb="FFB1AE2D"/>
        <rFont val="Calibri"/>
        <family val="2"/>
        <scheme val="minor"/>
      </rPr>
      <t>Billions</t>
    </r>
    <r>
      <rPr>
        <b/>
        <sz val="10"/>
        <color rgb="FF023A4A"/>
        <rFont val="Calibri"/>
        <family val="2"/>
        <scheme val="minor"/>
      </rPr>
      <t>)</t>
    </r>
  </si>
  <si>
    <r>
      <rPr>
        <b/>
        <sz val="10"/>
        <color rgb="FFB1AE2D"/>
        <rFont val="Calibri"/>
        <family val="2"/>
        <scheme val="minor"/>
      </rPr>
      <t xml:space="preserve">← </t>
    </r>
    <r>
      <rPr>
        <b/>
        <sz val="10"/>
        <color rgb="FF023A4A"/>
        <rFont val="Calibri"/>
        <family val="2"/>
        <scheme val="minor"/>
      </rPr>
      <t>Escolha unidade em (</t>
    </r>
    <r>
      <rPr>
        <b/>
        <sz val="10"/>
        <color rgb="FFB1AE2D"/>
        <rFont val="Calibri"/>
        <family val="2"/>
        <scheme val="minor"/>
      </rPr>
      <t>3M</t>
    </r>
    <r>
      <rPr>
        <b/>
        <sz val="10"/>
        <color rgb="FF023A4A"/>
        <rFont val="Calibri"/>
        <family val="2"/>
        <scheme val="minor"/>
      </rPr>
      <t xml:space="preserve">, </t>
    </r>
    <r>
      <rPr>
        <b/>
        <sz val="10"/>
        <color rgb="FFB1AE2D"/>
        <rFont val="Calibri"/>
        <family val="2"/>
        <scheme val="minor"/>
      </rPr>
      <t>12M</t>
    </r>
    <r>
      <rPr>
        <b/>
        <sz val="10"/>
        <color rgb="FF023A4A"/>
        <rFont val="Calibri"/>
        <family val="2"/>
        <scheme val="minor"/>
      </rPr>
      <t xml:space="preserve">, </t>
    </r>
    <r>
      <rPr>
        <b/>
        <sz val="10"/>
        <color rgb="FFB1AE2D"/>
        <rFont val="Calibri"/>
        <family val="2"/>
        <scheme val="minor"/>
      </rPr>
      <t>IN FISCAL YEAR</t>
    </r>
    <r>
      <rPr>
        <b/>
        <sz val="10"/>
        <color rgb="FF023A4A"/>
        <rFont val="Calibri"/>
        <family val="2"/>
        <scheme val="minor"/>
      </rPr>
      <t>)</t>
    </r>
  </si>
  <si>
    <r>
      <rPr>
        <b/>
        <sz val="10"/>
        <color rgb="FFB1AE2D"/>
        <rFont val="Calibri"/>
        <family val="2"/>
        <scheme val="minor"/>
      </rPr>
      <t>←</t>
    </r>
    <r>
      <rPr>
        <b/>
        <sz val="10"/>
        <color rgb="FF023A4A"/>
        <rFont val="Calibri"/>
        <family val="2"/>
        <scheme val="minor"/>
      </rPr>
      <t xml:space="preserve"> Escolha Unidade em (</t>
    </r>
    <r>
      <rPr>
        <b/>
        <sz val="10"/>
        <color rgb="FFB1AE2D"/>
        <rFont val="Calibri"/>
        <family val="2"/>
        <scheme val="minor"/>
      </rPr>
      <t>Moeda Original</t>
    </r>
    <r>
      <rPr>
        <b/>
        <sz val="10"/>
        <color rgb="FF023A4A"/>
        <rFont val="Calibri"/>
        <family val="2"/>
        <scheme val="minor"/>
      </rPr>
      <t xml:space="preserve">, </t>
    </r>
    <r>
      <rPr>
        <b/>
        <sz val="10"/>
        <color rgb="FFB1AE2D"/>
        <rFont val="Calibri"/>
        <family val="2"/>
        <scheme val="minor"/>
      </rPr>
      <t>Ajustado pela Inflação</t>
    </r>
    <r>
      <rPr>
        <b/>
        <sz val="10"/>
        <color rgb="FF023A4A"/>
        <rFont val="Calibri"/>
        <family val="2"/>
        <scheme val="minor"/>
      </rPr>
      <t xml:space="preserve"> (</t>
    </r>
    <r>
      <rPr>
        <b/>
        <sz val="10"/>
        <color rgb="FFB1AE2D"/>
        <rFont val="Calibri"/>
        <family val="2"/>
        <scheme val="minor"/>
      </rPr>
      <t>IPCA</t>
    </r>
    <r>
      <rPr>
        <b/>
        <sz val="10"/>
        <color rgb="FF023A4A"/>
        <rFont val="Calibri"/>
        <family val="2"/>
        <scheme val="minor"/>
      </rPr>
      <t xml:space="preserve">), </t>
    </r>
    <r>
      <rPr>
        <b/>
        <sz val="10"/>
        <color rgb="FFB1AE2D"/>
        <rFont val="Calibri"/>
        <family val="2"/>
        <scheme val="minor"/>
      </rPr>
      <t>Dólares US$</t>
    </r>
    <r>
      <rPr>
        <b/>
        <sz val="10"/>
        <color rgb="FF023A4A"/>
        <rFont val="Calibri"/>
        <family val="2"/>
        <scheme val="minor"/>
      </rPr>
      <t xml:space="preserve">, </t>
    </r>
    <r>
      <rPr>
        <b/>
        <sz val="10"/>
        <color rgb="FFB1AE2D"/>
        <rFont val="Calibri"/>
        <family val="2"/>
        <scheme val="minor"/>
      </rPr>
      <t>Euros</t>
    </r>
    <r>
      <rPr>
        <b/>
        <sz val="10"/>
        <color rgb="FF023A4A"/>
        <rFont val="Calibri"/>
        <family val="2"/>
        <scheme val="minor"/>
      </rPr>
      <t>)</t>
    </r>
  </si>
  <si>
    <t>CICLO -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</si>
</sst>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164" formatCode="#,##0_ ;[Red]\-#,##0\ "/>
    <numFmt numFmtId="165" formatCode="0.0%"/>
    <numFmt numFmtId="166" formatCode="#,##0.0\ \x\ ;[Red]\-#,##0.0\ \x"/>
    <numFmt numFmtId="167" formatCode="#,##0.0%\ ;[Red]\-#,##0.0%"/>
    <numFmt numFmtId="168" formatCode="#,##0.0000_ ;[Red]\-#,##0.0000\ "/>
    <numFmt numFmtId="169" formatCode="dd/mm/yyyy"/>
    <numFmt numFmtId="170" formatCode="&quot;R$&quot;\ #,##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sz val="10"/>
      <color theme="1"/>
      <name val="Calibri"/>
      <family val="2"/>
      <scheme val="minor"/>
    </font>
    <font>
      <b/>
      <sz val="26"/>
      <color rgb="FF023A4A"/>
      <name val="Calibri"/>
      <family val="2"/>
      <scheme val="minor"/>
    </font>
    <font>
      <b/>
      <sz val="26"/>
      <color rgb="FFB1AE2D"/>
      <name val="Calibri"/>
      <family val="2"/>
      <scheme val="minor"/>
    </font>
    <font>
      <b/>
      <sz val="14"/>
      <color rgb="FF076B66"/>
      <name val="Calibri"/>
      <family val="2"/>
      <scheme val="minor"/>
    </font>
    <font>
      <b/>
      <sz val="12"/>
      <color rgb="FF023A4A"/>
      <name val="Calibri"/>
      <family val="2"/>
      <scheme val="minor"/>
    </font>
    <font>
      <b/>
      <sz val="10"/>
      <color rgb="FF006B66"/>
      <name val="Calibri"/>
      <family val="2"/>
      <scheme val="minor"/>
    </font>
    <font>
      <b/>
      <sz val="10"/>
      <color rgb="FFB1AE2D"/>
      <name val="Calibri"/>
      <family val="2"/>
      <scheme val="minor"/>
    </font>
    <font>
      <b/>
      <sz val="10"/>
      <color rgb="FF023A4A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C59C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C00000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b/>
      <sz val="9"/>
      <color theme="1" tint="0.249977111117893"/>
      <name val="Calibri"/>
      <family val="2"/>
      <scheme val="minor"/>
    </font>
    <font>
      <b/>
      <sz val="12"/>
      <color rgb="FFCCD8DB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D8DB"/>
        <bgColor indexed="64"/>
      </patternFill>
    </fill>
    <fill>
      <patternFill patternType="solid">
        <fgColor rgb="FF023A4A"/>
        <bgColor indexed="64"/>
      </patternFill>
    </fill>
  </fills>
  <borders count="22">
    <border>
      <left/>
      <right/>
      <top/>
      <bottom/>
      <diagonal/>
    </border>
    <border>
      <left/>
      <right style="thick">
        <color rgb="FFB1AE2D"/>
      </right>
      <top/>
      <bottom style="thin">
        <color rgb="FFB1AE2D"/>
      </bottom>
      <diagonal/>
    </border>
    <border>
      <left style="thick">
        <color rgb="FFB1AE2D"/>
      </left>
      <right/>
      <top/>
      <bottom style="thin">
        <color rgb="FFB1AE2D"/>
      </bottom>
      <diagonal/>
    </border>
    <border>
      <left/>
      <right style="thick">
        <color rgb="FFB1AE2D"/>
      </right>
      <top style="thin">
        <color rgb="FFB1AE2D"/>
      </top>
      <bottom style="thin">
        <color rgb="FFB1AE2D"/>
      </bottom>
      <diagonal/>
    </border>
    <border>
      <left style="thick">
        <color rgb="FFB1AE2D"/>
      </left>
      <right/>
      <top style="thin">
        <color rgb="FFB1AE2D"/>
      </top>
      <bottom style="thin">
        <color rgb="FFB1AE2D"/>
      </bottom>
      <diagonal/>
    </border>
    <border>
      <left/>
      <right style="thick">
        <color rgb="FFB1AE2D"/>
      </right>
      <top style="thin">
        <color rgb="FFB1AE2D"/>
      </top>
      <bottom/>
      <diagonal/>
    </border>
    <border>
      <left style="thick">
        <color rgb="FFB1AE2D"/>
      </left>
      <right/>
      <top style="thin">
        <color rgb="FFB1AE2D"/>
      </top>
      <bottom/>
      <diagonal/>
    </border>
    <border>
      <left style="thin">
        <color theme="0"/>
      </left>
      <right style="medium">
        <color rgb="FFB1AE2D"/>
      </right>
      <top/>
      <bottom style="thick">
        <color rgb="FFB1AE2D"/>
      </bottom>
      <diagonal/>
    </border>
    <border>
      <left style="medium">
        <color rgb="FFB1AE2D"/>
      </left>
      <right style="medium">
        <color rgb="FFB1AE2D"/>
      </right>
      <top/>
      <bottom style="thick">
        <color rgb="FFB1AE2D"/>
      </bottom>
      <diagonal/>
    </border>
    <border>
      <left style="medium">
        <color rgb="FFB1AE2D"/>
      </left>
      <right style="thin">
        <color theme="0"/>
      </right>
      <top/>
      <bottom style="thick">
        <color rgb="FFB1AE2D"/>
      </bottom>
      <diagonal/>
    </border>
    <border>
      <left/>
      <right style="medium">
        <color rgb="FF023A4A"/>
      </right>
      <top style="thick">
        <color rgb="FFB1AE2D"/>
      </top>
      <bottom style="thin">
        <color rgb="FF023A4A"/>
      </bottom>
      <diagonal/>
    </border>
    <border>
      <left style="medium">
        <color rgb="FF023A4A"/>
      </left>
      <right style="medium">
        <color rgb="FF023A4A"/>
      </right>
      <top style="thick">
        <color rgb="FFB1AE2D"/>
      </top>
      <bottom style="thin">
        <color rgb="FF023A4A"/>
      </bottom>
      <diagonal/>
    </border>
    <border>
      <left style="medium">
        <color rgb="FF023A4A"/>
      </left>
      <right/>
      <top style="thick">
        <color rgb="FFB1AE2D"/>
      </top>
      <bottom style="thin">
        <color rgb="FF023A4A"/>
      </bottom>
      <diagonal/>
    </border>
    <border>
      <left/>
      <right style="medium">
        <color rgb="FF023A4A"/>
      </right>
      <top style="thin">
        <color rgb="FF023A4A"/>
      </top>
      <bottom style="thin">
        <color rgb="FF023A4A"/>
      </bottom>
      <diagonal/>
    </border>
    <border>
      <left style="medium">
        <color rgb="FF023A4A"/>
      </left>
      <right style="medium">
        <color rgb="FF023A4A"/>
      </right>
      <top style="thin">
        <color rgb="FF023A4A"/>
      </top>
      <bottom style="thin">
        <color rgb="FF023A4A"/>
      </bottom>
      <diagonal/>
    </border>
    <border>
      <left style="medium">
        <color rgb="FF023A4A"/>
      </left>
      <right/>
      <top style="thin">
        <color rgb="FF023A4A"/>
      </top>
      <bottom style="thin">
        <color rgb="FF023A4A"/>
      </bottom>
      <diagonal/>
    </border>
    <border>
      <left/>
      <right style="medium">
        <color rgb="FF023A4A"/>
      </right>
      <top style="thin">
        <color rgb="FF023A4A"/>
      </top>
      <bottom/>
      <diagonal/>
    </border>
    <border>
      <left style="medium">
        <color rgb="FF023A4A"/>
      </left>
      <right style="medium">
        <color rgb="FF023A4A"/>
      </right>
      <top style="thin">
        <color rgb="FF023A4A"/>
      </top>
      <bottom/>
      <diagonal/>
    </border>
    <border>
      <left style="medium">
        <color rgb="FF023A4A"/>
      </left>
      <right/>
      <top style="thin">
        <color rgb="FF023A4A"/>
      </top>
      <bottom/>
      <diagonal/>
    </border>
    <border>
      <left style="thin">
        <color theme="0"/>
      </left>
      <right/>
      <top/>
      <bottom style="thick">
        <color rgb="FFB1AE2D"/>
      </bottom>
      <diagonal/>
    </border>
    <border>
      <left/>
      <right/>
      <top/>
      <bottom style="thick">
        <color rgb="FFB1AE2D"/>
      </bottom>
      <diagonal/>
    </border>
    <border>
      <left/>
      <right style="thin">
        <color theme="0"/>
      </right>
      <top/>
      <bottom style="thick">
        <color rgb="FFB1AE2D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 applyAlignment="1">
      <alignment horizontal="center" vertical="center"/>
    </xf>
    <xf numFmtId="170" fontId="4" fillId="0" borderId="0" xfId="2" applyNumberFormat="1" applyFont="1" applyFill="1" applyAlignment="1">
      <alignment horizontal="left" vertical="center"/>
    </xf>
    <xf numFmtId="3" fontId="3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vertical="center"/>
    </xf>
    <xf numFmtId="0" fontId="7" fillId="0" borderId="1" xfId="0" applyFont="1" applyBorder="1" applyAlignment="1">
      <alignment horizontal="left" vertical="center"/>
    </xf>
    <xf numFmtId="14" fontId="7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14" fontId="11" fillId="2" borderId="4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0" fontId="8" fillId="0" borderId="0" xfId="2" applyNumberFormat="1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3" borderId="19" xfId="0" applyFont="1" applyFill="1" applyBorder="1" applyAlignment="1">
      <alignment horizontal="left" vertical="center"/>
    </xf>
    <xf numFmtId="0" fontId="17" fillId="3" borderId="20" xfId="0" applyFont="1" applyFill="1" applyBorder="1" applyAlignment="1">
      <alignment horizontal="left" vertical="center"/>
    </xf>
    <xf numFmtId="0" fontId="17" fillId="3" borderId="21" xfId="0" applyFont="1" applyFill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7" fillId="3" borderId="7" xfId="0" applyFont="1" applyFill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2" borderId="13" xfId="0" applyFont="1" applyFill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2" borderId="16" xfId="0" applyFont="1" applyFill="1" applyBorder="1" applyAlignment="1">
      <alignment vertical="center"/>
    </xf>
    <xf numFmtId="0" fontId="15" fillId="0" borderId="0" xfId="0" applyFont="1" applyAlignment="1">
      <alignment vertical="center"/>
    </xf>
    <xf numFmtId="164" fontId="13" fillId="0" borderId="0" xfId="0" applyNumberFormat="1" applyFont="1" applyAlignment="1">
      <alignment horizontal="center" vertical="center"/>
    </xf>
    <xf numFmtId="0" fontId="7" fillId="0" borderId="16" xfId="0" applyFont="1" applyBorder="1" applyAlignment="1">
      <alignment vertical="center"/>
    </xf>
    <xf numFmtId="168" fontId="1" fillId="0" borderId="11" xfId="2" applyNumberFormat="1" applyFont="1" applyBorder="1" applyAlignment="1">
      <alignment horizontal="center" vertical="center"/>
    </xf>
    <xf numFmtId="168" fontId="1" fillId="0" borderId="12" xfId="2" applyNumberFormat="1" applyFont="1" applyBorder="1" applyAlignment="1">
      <alignment horizontal="center" vertical="center"/>
    </xf>
    <xf numFmtId="168" fontId="1" fillId="2" borderId="14" xfId="2" applyNumberFormat="1" applyFont="1" applyFill="1" applyBorder="1" applyAlignment="1">
      <alignment horizontal="center" vertical="center"/>
    </xf>
    <xf numFmtId="168" fontId="1" fillId="2" borderId="15" xfId="2" applyNumberFormat="1" applyFont="1" applyFill="1" applyBorder="1" applyAlignment="1">
      <alignment horizontal="center" vertical="center"/>
    </xf>
    <xf numFmtId="168" fontId="1" fillId="0" borderId="14" xfId="2" applyNumberFormat="1" applyFont="1" applyBorder="1" applyAlignment="1">
      <alignment horizontal="center" vertical="center"/>
    </xf>
    <xf numFmtId="168" fontId="1" fillId="0" borderId="15" xfId="2" applyNumberFormat="1" applyFont="1" applyBorder="1" applyAlignment="1">
      <alignment horizontal="center" vertical="center"/>
    </xf>
    <xf numFmtId="168" fontId="1" fillId="2" borderId="17" xfId="2" applyNumberFormat="1" applyFont="1" applyFill="1" applyBorder="1" applyAlignment="1">
      <alignment horizontal="center" vertical="center"/>
    </xf>
    <xf numFmtId="168" fontId="1" fillId="2" borderId="18" xfId="2" applyNumberFormat="1" applyFont="1" applyFill="1" applyBorder="1" applyAlignment="1">
      <alignment horizontal="center" vertical="center"/>
    </xf>
    <xf numFmtId="165" fontId="1" fillId="0" borderId="14" xfId="1" applyNumberFormat="1" applyFont="1" applyBorder="1" applyAlignment="1">
      <alignment horizontal="center" vertical="center"/>
    </xf>
    <xf numFmtId="165" fontId="1" fillId="0" borderId="15" xfId="1" applyNumberFormat="1" applyFont="1" applyBorder="1" applyAlignment="1">
      <alignment horizontal="center" vertical="center"/>
    </xf>
    <xf numFmtId="167" fontId="1" fillId="2" borderId="14" xfId="1" applyNumberFormat="1" applyFont="1" applyFill="1" applyBorder="1" applyAlignment="1">
      <alignment horizontal="center" vertical="center"/>
    </xf>
    <xf numFmtId="167" fontId="1" fillId="2" borderId="15" xfId="1" applyNumberFormat="1" applyFont="1" applyFill="1" applyBorder="1" applyAlignment="1">
      <alignment horizontal="center" vertical="center"/>
    </xf>
    <xf numFmtId="167" fontId="1" fillId="0" borderId="14" xfId="1" applyNumberFormat="1" applyFont="1" applyBorder="1" applyAlignment="1">
      <alignment horizontal="center" vertical="center"/>
    </xf>
    <xf numFmtId="167" fontId="1" fillId="0" borderId="15" xfId="1" applyNumberFormat="1" applyFont="1" applyBorder="1" applyAlignment="1">
      <alignment horizontal="center" vertical="center"/>
    </xf>
    <xf numFmtId="166" fontId="1" fillId="0" borderId="14" xfId="0" applyNumberFormat="1" applyFont="1" applyBorder="1" applyAlignment="1">
      <alignment horizontal="center" vertical="center"/>
    </xf>
    <xf numFmtId="166" fontId="1" fillId="0" borderId="15" xfId="0" applyNumberFormat="1" applyFont="1" applyBorder="1" applyAlignment="1">
      <alignment horizontal="center" vertical="center"/>
    </xf>
    <xf numFmtId="166" fontId="1" fillId="2" borderId="14" xfId="0" applyNumberFormat="1" applyFont="1" applyFill="1" applyBorder="1" applyAlignment="1">
      <alignment horizontal="center" vertical="center"/>
    </xf>
    <xf numFmtId="166" fontId="1" fillId="2" borderId="15" xfId="0" applyNumberFormat="1" applyFont="1" applyFill="1" applyBorder="1" applyAlignment="1">
      <alignment horizontal="center" vertical="center"/>
    </xf>
    <xf numFmtId="167" fontId="1" fillId="2" borderId="17" xfId="1" applyNumberFormat="1" applyFont="1" applyFill="1" applyBorder="1" applyAlignment="1">
      <alignment horizontal="center" vertical="center"/>
    </xf>
    <xf numFmtId="167" fontId="1" fillId="2" borderId="18" xfId="1" applyNumberFormat="1" applyFont="1" applyFill="1" applyBorder="1" applyAlignment="1">
      <alignment horizontal="center" vertical="center"/>
    </xf>
    <xf numFmtId="166" fontId="0" fillId="0" borderId="11" xfId="0" applyNumberFormat="1" applyFont="1" applyBorder="1" applyAlignment="1">
      <alignment horizontal="center" vertical="center"/>
    </xf>
    <xf numFmtId="166" fontId="0" fillId="0" borderId="12" xfId="0" applyNumberFormat="1" applyFont="1" applyBorder="1" applyAlignment="1">
      <alignment horizontal="center" vertical="center"/>
    </xf>
    <xf numFmtId="166" fontId="0" fillId="0" borderId="14" xfId="0" applyNumberFormat="1" applyFont="1" applyBorder="1" applyAlignment="1">
      <alignment horizontal="center" vertical="center"/>
    </xf>
    <xf numFmtId="166" fontId="0" fillId="0" borderId="15" xfId="0" applyNumberFormat="1" applyFont="1" applyBorder="1" applyAlignment="1">
      <alignment horizontal="center" vertical="center"/>
    </xf>
    <xf numFmtId="164" fontId="0" fillId="0" borderId="17" xfId="2" applyNumberFormat="1" applyFont="1" applyBorder="1" applyAlignment="1">
      <alignment horizontal="center" vertical="center"/>
    </xf>
    <xf numFmtId="164" fontId="0" fillId="0" borderId="18" xfId="2" applyNumberFormat="1" applyFont="1" applyBorder="1" applyAlignment="1">
      <alignment horizontal="center" vertical="center"/>
    </xf>
    <xf numFmtId="166" fontId="0" fillId="2" borderId="14" xfId="0" applyNumberFormat="1" applyFont="1" applyFill="1" applyBorder="1" applyAlignment="1">
      <alignment horizontal="center" vertical="center"/>
    </xf>
    <xf numFmtId="166" fontId="0" fillId="2" borderId="15" xfId="0" applyNumberFormat="1" applyFont="1" applyFill="1" applyBorder="1" applyAlignment="1">
      <alignment horizontal="center" vertical="center"/>
    </xf>
    <xf numFmtId="164" fontId="0" fillId="2" borderId="14" xfId="2" applyNumberFormat="1" applyFont="1" applyFill="1" applyBorder="1" applyAlignment="1">
      <alignment horizontal="center" vertical="center"/>
    </xf>
    <xf numFmtId="164" fontId="0" fillId="2" borderId="15" xfId="2" applyNumberFormat="1" applyFont="1" applyFill="1" applyBorder="1" applyAlignment="1">
      <alignment horizontal="center" vertical="center"/>
    </xf>
    <xf numFmtId="164" fontId="0" fillId="0" borderId="11" xfId="0" applyNumberFormat="1" applyFont="1" applyBorder="1" applyAlignment="1">
      <alignment horizontal="center" vertical="center"/>
    </xf>
    <xf numFmtId="164" fontId="0" fillId="0" borderId="12" xfId="0" applyNumberFormat="1" applyFont="1" applyBorder="1" applyAlignment="1">
      <alignment horizontal="center" vertical="center"/>
    </xf>
    <xf numFmtId="164" fontId="0" fillId="0" borderId="14" xfId="0" applyNumberFormat="1" applyFont="1" applyBorder="1" applyAlignment="1">
      <alignment horizontal="center" vertical="center"/>
    </xf>
    <xf numFmtId="164" fontId="0" fillId="0" borderId="15" xfId="0" applyNumberFormat="1" applyFont="1" applyBorder="1" applyAlignment="1">
      <alignment horizontal="center" vertical="center"/>
    </xf>
    <xf numFmtId="164" fontId="0" fillId="0" borderId="17" xfId="0" applyNumberFormat="1" applyFont="1" applyBorder="1" applyAlignment="1">
      <alignment horizontal="center" vertical="center"/>
    </xf>
    <xf numFmtId="164" fontId="0" fillId="0" borderId="18" xfId="0" applyNumberFormat="1" applyFont="1" applyBorder="1" applyAlignment="1">
      <alignment horizontal="center" vertical="center"/>
    </xf>
    <xf numFmtId="164" fontId="0" fillId="2" borderId="14" xfId="0" applyNumberFormat="1" applyFont="1" applyFill="1" applyBorder="1" applyAlignment="1">
      <alignment horizontal="center" vertical="center"/>
    </xf>
    <xf numFmtId="164" fontId="0" fillId="2" borderId="15" xfId="0" applyNumberFormat="1" applyFont="1" applyFill="1" applyBorder="1" applyAlignment="1">
      <alignment horizontal="center" vertical="center"/>
    </xf>
    <xf numFmtId="164" fontId="1" fillId="0" borderId="11" xfId="2" applyNumberFormat="1" applyFont="1" applyBorder="1" applyAlignment="1">
      <alignment horizontal="center" vertical="center"/>
    </xf>
    <xf numFmtId="164" fontId="1" fillId="0" borderId="12" xfId="2" applyNumberFormat="1" applyFont="1" applyBorder="1" applyAlignment="1">
      <alignment horizontal="center" vertical="center"/>
    </xf>
    <xf numFmtId="166" fontId="1" fillId="0" borderId="17" xfId="0" applyNumberFormat="1" applyFont="1" applyBorder="1" applyAlignment="1">
      <alignment horizontal="center" vertical="center"/>
    </xf>
    <xf numFmtId="166" fontId="1" fillId="0" borderId="18" xfId="0" applyNumberFormat="1" applyFont="1" applyBorder="1" applyAlignment="1">
      <alignment horizontal="center" vertical="center"/>
    </xf>
    <xf numFmtId="164" fontId="1" fillId="2" borderId="14" xfId="2" applyNumberFormat="1" applyFont="1" applyFill="1" applyBorder="1" applyAlignment="1">
      <alignment horizontal="center" vertical="center"/>
    </xf>
    <xf numFmtId="164" fontId="1" fillId="2" borderId="15" xfId="2" applyNumberFormat="1" applyFont="1" applyFill="1" applyBorder="1" applyAlignment="1">
      <alignment horizontal="center" vertical="center"/>
    </xf>
    <xf numFmtId="15" fontId="17" fillId="3" borderId="8" xfId="0" quotePrefix="1" applyNumberFormat="1" applyFont="1" applyFill="1" applyBorder="1" applyAlignment="1" applyProtection="1">
      <alignment horizontal="center" vertical="center"/>
      <protection locked="0"/>
    </xf>
    <xf numFmtId="169" fontId="17" fillId="3" borderId="9" xfId="0" quotePrefix="1" applyNumberFormat="1" applyFont="1" applyFill="1" applyBorder="1" applyAlignment="1" applyProtection="1">
      <alignment horizontal="center" vertical="center"/>
      <protection locked="0"/>
    </xf>
  </cellXfs>
  <cellStyles count="3">
    <cellStyle name="Moeda" xfId="2" builtinId="4"/>
    <cellStyle name="Normal" xfId="0" builtinId="0"/>
    <cellStyle name="Porcentagem" xfId="1" builtinId="5"/>
  </cellStyles>
  <dxfs count="0"/>
  <tableStyles count="0" defaultTableStyle="TableStyleMedium2" defaultPivotStyle="PivotStyleLight16"/>
  <colors>
    <mruColors>
      <color rgb="FF023A4A"/>
      <color rgb="FFCCD8DB"/>
      <color rgb="FFB1AE2D"/>
      <color rgb="FF006B66"/>
      <color rgb="FFC59C00"/>
      <color rgb="FFDAE2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rtdsrv_eco_1767113794c0457fa0f9656dec12470f">
      <tp>
        <v>2</v>
        <stp/>
        <stp>bc19e307-bea7-4465-a119-fd18da0da5a5</stp>
        <tr r="J49" s="1"/>
      </tp>
      <tp>
        <v>2</v>
        <stp/>
        <stp>d8aca7e1-cb16-4547-b703-1cecb741098a</stp>
        <tr r="I33" s="1"/>
      </tp>
      <tp>
        <v>2</v>
        <stp/>
        <stp>bb266c60-f15d-472c-a9a1-2b462683174c</stp>
        <tr r="E55" s="1"/>
      </tp>
    </main>
    <main first="rtdsrv_eco_1767113794c0457fa0f9656dec12470f">
      <tp>
        <v>2</v>
        <stp/>
        <stp>82b5941c-2813-4c40-a675-f405e8dec914</stp>
        <tr r="H31" s="1"/>
      </tp>
    </main>
    <main first="rtdsrv_eco_1767113794c0457fa0f9656dec12470f">
      <tp>
        <v>2</v>
        <stp/>
        <stp>e52efd78-2af1-4052-bc49-3d7a5559a2e1</stp>
        <tr r="K13" s="1"/>
      </tp>
    </main>
    <main first="rtdsrv_eco_1767113794c0457fa0f9656dec12470f">
      <tp>
        <v>2</v>
        <stp/>
        <stp>81890ad5-40d7-4174-ad92-d40c6c5348bc</stp>
        <tr r="C43" s="1"/>
      </tp>
    </main>
    <main first="rtdsrv_eco_1767113794c0457fa0f9656dec12470f">
      <tp>
        <v>2</v>
        <stp/>
        <stp>14186eef-38a8-4a7c-b735-a5331cd06b6c</stp>
        <tr r="L42" s="1"/>
      </tp>
    </main>
    <main first="rtdsrv_eco_1767113794c0457fa0f9656dec12470f">
      <tp>
        <v>2</v>
        <stp/>
        <stp>b18b7f25-fcb0-4257-800d-c63bdc94ae3a</stp>
        <tr r="L32" s="1"/>
      </tp>
    </main>
    <main first="rtdsrv_eco_1767113794c0457fa0f9656dec12470f">
      <tp>
        <v>2</v>
        <stp/>
        <stp>9c7becc0-0e29-4985-b8bb-474b63a86e5c</stp>
        <tr r="L23" s="1"/>
      </tp>
    </main>
    <main first="rtdsrv_eco_1767113794c0457fa0f9656dec12470f">
      <tp>
        <v>2</v>
        <stp/>
        <stp>0223f145-06a2-480f-8375-8b4dbcfcbed5</stp>
        <tr r="G30" s="1"/>
      </tp>
      <tp>
        <v>2</v>
        <stp/>
        <stp>c51fb2d0-c2bb-4f78-a925-14b4b9a16ec2</stp>
        <tr r="J71" s="1"/>
      </tp>
    </main>
    <main first="rtdsrv_eco_1767113794c0457fa0f9656dec12470f">
      <tp>
        <v>2</v>
        <stp/>
        <stp>01ed2d8e-942d-4708-badb-71dc6f7bea50</stp>
        <tr r="J67" s="1"/>
      </tp>
    </main>
    <main first="rtdsrv_eco_1767113794c0457fa0f9656dec12470f">
      <tp>
        <v>2</v>
        <stp/>
        <stp>46768402-1979-4f33-a6d8-00e99bedc0fb</stp>
        <tr r="G70" s="1"/>
      </tp>
    </main>
    <main first="rtdsrv_eco_1767113794c0457fa0f9656dec12470f">
      <tp>
        <v>2</v>
        <stp/>
        <stp>f7bb5543-33ac-4244-a039-4543b5937014</stp>
        <tr r="I23" s="1"/>
      </tp>
    </main>
    <main first="rtdsrv_eco_1767113794c0457fa0f9656dec12470f">
      <tp>
        <v>2</v>
        <stp/>
        <stp>81e393ff-4bcd-4518-a4ac-028b0cfdd9a9</stp>
        <tr r="K77" s="1"/>
      </tp>
    </main>
    <main first="rtdsrv_eco_1767113794c0457fa0f9656dec12470f">
      <tp>
        <v>2</v>
        <stp/>
        <stp>062d4466-4a36-4ae4-8660-4d9425d0eb3d</stp>
        <tr r="E70" s="1"/>
      </tp>
    </main>
    <main first="rtdsrv_eco_1767113794c0457fa0f9656dec12470f">
      <tp>
        <v>2</v>
        <stp/>
        <stp>8ae9784a-04dc-4e56-93da-d86b7f21db9b</stp>
        <tr r="J25" s="1"/>
      </tp>
    </main>
    <main first="rtdsrv_eco_1767113794c0457fa0f9656dec12470f">
      <tp>
        <v>2</v>
        <stp/>
        <stp>d7e200ae-db69-4187-bd19-579f8d2a91bf</stp>
        <tr r="K56" s="1"/>
      </tp>
    </main>
    <main first="rtdsrv_eco_1767113794c0457fa0f9656dec12470f">
      <tp>
        <v>2</v>
        <stp/>
        <stp>f5d20f12-2cea-4b1e-b770-265d462bd455</stp>
        <tr r="G66" s="1"/>
      </tp>
    </main>
    <main first="rtdsrv_eco_1767113794c0457fa0f9656dec12470f">
      <tp>
        <v>2</v>
        <stp/>
        <stp>6afd68bf-8235-4526-b4a5-e4afe3ffc605</stp>
        <tr r="J13" s="1"/>
      </tp>
    </main>
    <main first="rtdsrv_eco_1767113794c0457fa0f9656dec12470f">
      <tp>
        <v>2</v>
        <stp/>
        <stp>f434fb2c-2d2f-49ad-9f08-809bb26715a0</stp>
        <tr r="G20" s="1"/>
      </tp>
    </main>
    <main first="rtdsrv_eco_1767113794c0457fa0f9656dec12470f">
      <tp>
        <v>2</v>
        <stp/>
        <stp>fade4ea0-0a75-4667-91c9-07885d5324b5</stp>
        <tr r="H63" s="1"/>
      </tp>
    </main>
    <main first="rtdsrv_eco_1767113794c0457fa0f9656dec12470f">
      <tp>
        <v>2</v>
        <stp/>
        <stp>f55b064b-6c7e-4fdf-81bc-1447079015c9</stp>
        <tr r="E65" s="1"/>
      </tp>
      <tp>
        <v>2</v>
        <stp/>
        <stp>d8216b5d-1d8b-465b-9881-3b109b530690</stp>
        <tr r="L49" s="1"/>
      </tp>
    </main>
    <main first="rtdsrv_eco_1767113794c0457fa0f9656dec12470f">
      <tp>
        <v>2</v>
        <stp/>
        <stp>ad25be9c-4fd4-4f52-8ddd-30f6e0b6ddc6</stp>
        <tr r="L64" s="1"/>
      </tp>
    </main>
    <main first="rtdsrv_eco_1767113794c0457fa0f9656dec12470f">
      <tp>
        <v>2</v>
        <stp/>
        <stp>87b203d3-4918-4fd6-bfb3-b70f5fd8b240</stp>
        <tr r="I34" s="1"/>
      </tp>
      <tp>
        <v>2</v>
        <stp/>
        <stp>128e95e8-7673-48eb-bb0e-8e7c26dbe61c</stp>
        <tr r="J66" s="1"/>
      </tp>
    </main>
    <main first="rtdsrv_eco_1767113794c0457fa0f9656dec12470f">
      <tp>
        <v>2</v>
        <stp/>
        <stp>3136d15a-df80-42a1-9229-f0e24cc0e355</stp>
        <tr r="J57" s="1"/>
      </tp>
    </main>
    <main first="rtdsrv_eco_1767113794c0457fa0f9656dec12470f">
      <tp>
        <v>2</v>
        <stp/>
        <stp>5852cce8-4113-4452-8f18-e811b5ddffed</stp>
        <tr r="D70" s="1"/>
      </tp>
    </main>
    <main first="rtdsrv_eco_1767113794c0457fa0f9656dec12470f">
      <tp>
        <v>2</v>
        <stp/>
        <stp>be601c5f-0c42-407a-8f75-8b2ecd3d3a3e</stp>
        <tr r="I35" s="1"/>
      </tp>
    </main>
    <main first="rtdsrv_eco_1767113794c0457fa0f9656dec12470f">
      <tp>
        <v>2</v>
        <stp/>
        <stp>0ffd96af-60eb-436b-98fc-0ade7bb90f77</stp>
        <tr r="J31" s="1"/>
      </tp>
      <tp>
        <v>2</v>
        <stp/>
        <stp>b9322fcf-0437-4d18-a433-a0ef6c51c0b3</stp>
        <tr r="G31" s="1"/>
      </tp>
      <tp>
        <v>2</v>
        <stp/>
        <stp>bbdcb177-4372-441f-89c5-ec7076da40cc</stp>
        <tr r="I75" s="1"/>
      </tp>
    </main>
    <main first="rtdsrv_eco_1767113794c0457fa0f9656dec12470f">
      <tp>
        <v>2</v>
        <stp/>
        <stp>d2dd86e9-d4c5-47cf-91d4-91dcdb5a1626</stp>
        <tr r="H70" s="1"/>
      </tp>
    </main>
    <main first="rtdsrv_eco_1767113794c0457fa0f9656dec12470f">
      <tp>
        <v>2</v>
        <stp/>
        <stp>a88c5184-4b1c-4606-ac5b-883a9ca76b3a</stp>
        <tr r="E46" s="1"/>
      </tp>
    </main>
    <main first="rtdsrv_eco_1767113794c0457fa0f9656dec12470f">
      <tp>
        <v>2</v>
        <stp/>
        <stp>445fbb1c-04d9-46f1-a5ac-64b2334c3595</stp>
        <tr r="G48" s="1"/>
      </tp>
    </main>
    <main first="rtdsrv_eco_1767113794c0457fa0f9656dec12470f">
      <tp>
        <v>2</v>
        <stp/>
        <stp>381ac389-f720-4264-b54c-bbfe1387d889</stp>
        <tr r="J33" s="1"/>
      </tp>
    </main>
    <main first="rtdsrv_eco_1767113794c0457fa0f9656dec12470f">
      <tp>
        <v>2</v>
        <stp/>
        <stp>baf641ef-df61-400c-85c3-95741cc10f55</stp>
        <tr r="C19" s="1"/>
      </tp>
    </main>
    <main first="rtdsrv_eco_1767113794c0457fa0f9656dec12470f">
      <tp>
        <v>2</v>
        <stp/>
        <stp>77fb91fe-4005-4d77-a2d1-3ef87c2aecc3</stp>
        <tr r="L68" s="1"/>
      </tp>
    </main>
    <main first="rtdsrv_eco_1767113794c0457fa0f9656dec12470f">
      <tp>
        <v>2</v>
        <stp/>
        <stp>60a500aa-8025-43f1-8a55-b9754d7dee05</stp>
        <tr r="G41" s="1"/>
      </tp>
    </main>
    <main first="rtdsrv_eco_1767113794c0457fa0f9656dec12470f">
      <tp>
        <v>2</v>
        <stp/>
        <stp>b5b03f17-7526-4c2e-98f5-6bf1b19f309f</stp>
        <tr r="G14" s="1"/>
      </tp>
    </main>
    <main first="rtdsrv_eco_1767113794c0457fa0f9656dec12470f">
      <tp>
        <v>2</v>
        <stp/>
        <stp>ffb297de-6eae-441d-9d1d-6526a7723437</stp>
        <tr r="H47" s="1"/>
      </tp>
    </main>
    <main first="rtdsrv_eco_1767113794c0457fa0f9656dec12470f">
      <tp>
        <v>2</v>
        <stp/>
        <stp>2cac7c81-0764-46e4-a757-0cf78d9ca261</stp>
        <tr r="E26" s="1"/>
      </tp>
    </main>
    <main first="rtdsrv_eco_1767113794c0457fa0f9656dec12470f">
      <tp>
        <v>2</v>
        <stp/>
        <stp>f480c0c1-b71f-40cc-bc20-4c192fde36c9</stp>
        <tr r="G56" s="1"/>
      </tp>
    </main>
    <main first="rtdsrv_eco_1767113794c0457fa0f9656dec12470f">
      <tp>
        <v>2</v>
        <stp/>
        <stp>22ed4533-dc42-40fd-afcd-55c1bd2621f2</stp>
        <tr r="I28" s="1"/>
      </tp>
      <tp>
        <v>2</v>
        <stp/>
        <stp>8a7c6d3a-2680-4be4-a27e-3b7fa418ef7e</stp>
        <tr r="I13" s="1"/>
      </tp>
    </main>
    <main first="rtdsrv_eco_1767113794c0457fa0f9656dec12470f">
      <tp>
        <v>2</v>
        <stp/>
        <stp>dea19f69-e5b5-4e1c-baf0-4532207f4b35</stp>
        <tr r="J75" s="1"/>
      </tp>
    </main>
    <main first="rtdsrv_eco_1767113794c0457fa0f9656dec12470f">
      <tp>
        <v>2</v>
        <stp/>
        <stp>dae08313-47a7-4451-be36-bb28d1d473f1</stp>
        <tr r="K33" s="1"/>
      </tp>
      <tp>
        <v>2</v>
        <stp/>
        <stp>a2540e60-e1d2-4d44-a9f3-4a5553ee7643</stp>
        <tr r="I50" s="1"/>
      </tp>
      <tp>
        <v>2</v>
        <stp/>
        <stp>d5e6c72d-4fa0-4e1b-92ca-82460624b738</stp>
        <tr r="I42" s="1"/>
      </tp>
    </main>
    <main first="rtdsrv_eco_1767113794c0457fa0f9656dec12470f">
      <tp>
        <v>2</v>
        <stp/>
        <stp>426c82d6-64ac-44ff-ab20-442481e10ce7</stp>
        <tr r="K64" s="1"/>
      </tp>
    </main>
    <main first="rtdsrv_eco_1767113794c0457fa0f9656dec12470f">
      <tp>
        <v>2</v>
        <stp/>
        <stp>88fc60a3-e8ef-4ac8-8d7e-3100d6962a34</stp>
        <tr r="K62" s="1"/>
      </tp>
    </main>
    <main first="rtdsrv_eco_1767113794c0457fa0f9656dec12470f">
      <tp>
        <v>2</v>
        <stp/>
        <stp>fc6d68a0-9a2e-46b6-866b-7d574fd02e9e</stp>
        <tr r="F57" s="1"/>
      </tp>
    </main>
    <main first="rtdsrv_eco_1767113794c0457fa0f9656dec12470f">
      <tp>
        <v>2</v>
        <stp/>
        <stp>97ec4dce-d6e1-47a3-b63a-71c98487f732</stp>
        <tr r="L46" s="1"/>
      </tp>
    </main>
    <main first="rtdsrv_eco_1767113794c0457fa0f9656dec12470f">
      <tp>
        <v>2</v>
        <stp/>
        <stp>d3be1926-0c45-4891-a608-0d8528a75bef</stp>
        <tr r="L57" s="1"/>
      </tp>
    </main>
    <main first="rtdsrv_eco_1767113794c0457fa0f9656dec12470f">
      <tp>
        <v>2</v>
        <stp/>
        <stp>7312da5e-c619-4d0e-9b0f-e3e38a52e329</stp>
        <tr r="D13" s="1"/>
      </tp>
    </main>
    <main first="rtdsrv_eco_1767113794c0457fa0f9656dec12470f">
      <tp>
        <v>2</v>
        <stp/>
        <stp>4158f4c8-6248-4735-8d5c-81d934ba934e</stp>
        <tr r="J70" s="1"/>
      </tp>
    </main>
    <main first="rtdsrv_eco_1767113794c0457fa0f9656dec12470f">
      <tp>
        <v>2</v>
        <stp/>
        <stp>7a48ac17-3af5-4d3b-9cf5-f49565ece187</stp>
        <tr r="H15" s="1"/>
      </tp>
    </main>
    <main first="rtdsrv_eco_1767113794c0457fa0f9656dec12470f">
      <tp>
        <v>2</v>
        <stp/>
        <stp>4cf2d4e5-ca6d-4f2c-8935-c54436d5fb70</stp>
        <tr r="D43" s="1"/>
      </tp>
    </main>
    <main first="rtdsrv_eco_1767113794c0457fa0f9656dec12470f">
      <tp>
        <v>2</v>
        <stp/>
        <stp>25611620-bff8-48cb-b665-dbd6aa4013c4</stp>
        <tr r="D28" s="1"/>
      </tp>
    </main>
    <main first="rtdsrv_eco_1767113794c0457fa0f9656dec12470f">
      <tp>
        <v>2</v>
        <stp/>
        <stp>f5644a12-5fbb-44a9-b62a-b02e6fd4296c</stp>
        <tr r="G68" s="1"/>
      </tp>
      <tp>
        <v>2</v>
        <stp/>
        <stp>e46fd7b6-f77c-40de-8c45-4dd80aafd430</stp>
        <tr r="E74" s="1"/>
      </tp>
    </main>
    <main first="rtdsrv_eco_1767113794c0457fa0f9656dec12470f">
      <tp>
        <v>2</v>
        <stp/>
        <stp>8f5ab897-07f9-4097-9b89-6eea86a47086</stp>
        <tr r="D69" s="1"/>
      </tp>
    </main>
    <main first="rtdsrv_eco_1767113794c0457fa0f9656dec12470f">
      <tp>
        <v>2</v>
        <stp/>
        <stp>9c11f44d-d134-4528-be08-1d0888041e05</stp>
        <tr r="L22" s="1"/>
      </tp>
    </main>
    <main first="rtdsrv_eco_1767113794c0457fa0f9656dec12470f">
      <tp>
        <v>2</v>
        <stp/>
        <stp>f79c8aa2-03e9-45a9-aa69-39a1947dcf2d</stp>
        <tr r="E49" s="1"/>
      </tp>
      <tp>
        <v>2</v>
        <stp/>
        <stp>df99bb1f-a2bd-40ce-a32a-94e3bf8bab39</stp>
        <tr r="J32" s="1"/>
      </tp>
      <tp>
        <v>2</v>
        <stp/>
        <stp>8566d3fc-80b1-4fe8-a82f-b1c41abccf22</stp>
        <tr r="K43" s="1"/>
      </tp>
    </main>
    <main first="rtdsrv_eco_1767113794c0457fa0f9656dec12470f">
      <tp>
        <v>2</v>
        <stp/>
        <stp>b315d90c-67c6-4c47-84eb-a17db9421dd5</stp>
        <tr r="K63" s="1"/>
      </tp>
      <tp>
        <v>2</v>
        <stp/>
        <stp>b3c377b4-3b82-473c-aaba-466e0d31cf49</stp>
        <tr r="L36" s="1"/>
      </tp>
      <tp>
        <v>2</v>
        <stp/>
        <stp>372c414c-8590-48ff-93d4-a86293c7d5ab</stp>
        <tr r="J24" s="1"/>
      </tp>
      <tp>
        <v>2</v>
        <stp/>
        <stp>1d796a42-bd25-40bc-a475-c6067df5dc6b</stp>
        <tr r="H71" s="1"/>
      </tp>
      <tp>
        <v>2</v>
        <stp/>
        <stp>48065035-83fd-484d-924a-8ad50050f32d</stp>
        <tr r="D32" s="1"/>
      </tp>
    </main>
    <main first="rtdsrv_eco_1767113794c0457fa0f9656dec12470f">
      <tp>
        <v>2</v>
        <stp/>
        <stp>45c30cc0-a700-4fb7-ac3f-0292655c2626</stp>
        <tr r="C53" s="1"/>
      </tp>
    </main>
    <main first="rtdsrv_eco_1767113794c0457fa0f9656dec12470f">
      <tp>
        <v>2</v>
        <stp/>
        <stp>292beb2a-8078-4dd6-93d6-dcceae8a6567</stp>
        <tr r="J64" s="1"/>
      </tp>
    </main>
    <main first="rtdsrv_eco_1767113794c0457fa0f9656dec12470f">
      <tp>
        <v>2</v>
        <stp/>
        <stp>70f95e2f-e80e-4253-8050-d7f84fae7e2a</stp>
        <tr r="D46" s="1"/>
      </tp>
    </main>
    <main first="rtdsrv_eco_1767113794c0457fa0f9656dec12470f">
      <tp>
        <v>2</v>
        <stp/>
        <stp>3a520b51-c522-41c5-85fd-33f46c27babb</stp>
        <tr r="F42" s="1"/>
      </tp>
    </main>
    <main first="rtdsrv_eco_1767113794c0457fa0f9656dec12470f">
      <tp>
        <v>2</v>
        <stp/>
        <stp>a9c59c21-7b20-40ff-b8af-49284ff5c7dd</stp>
        <tr r="D47" s="1"/>
      </tp>
    </main>
    <main first="rtdsrv_eco_1767113794c0457fa0f9656dec12470f">
      <tp>
        <v>2</v>
        <stp/>
        <stp>aaf63558-3514-43dc-8f76-a05f2e8d0d8b</stp>
        <tr r="D64" s="1"/>
      </tp>
    </main>
    <main first="rtdsrv_eco_1767113794c0457fa0f9656dec12470f">
      <tp>
        <v>2</v>
        <stp/>
        <stp>c4bfe573-648e-4e13-bc33-a16767ec83e4</stp>
        <tr r="H62" s="1"/>
      </tp>
      <tp>
        <v>2</v>
        <stp/>
        <stp>2f55d9e0-0c36-454d-a986-b1e39ced6ca0</stp>
        <tr r="F40" s="1"/>
      </tp>
    </main>
    <main first="rtdsrv_eco_1767113794c0457fa0f9656dec12470f">
      <tp>
        <v>2</v>
        <stp/>
        <stp>a793e485-5da6-4cf7-b7fa-716f1a9b946c</stp>
        <tr r="K54" s="1"/>
      </tp>
      <tp>
        <v>2</v>
        <stp/>
        <stp>81c3c0fc-276d-494f-b739-a17c12b24fbd</stp>
        <tr r="F21" s="1"/>
      </tp>
    </main>
    <main first="rtdsrv_eco_1767113794c0457fa0f9656dec12470f">
      <tp>
        <v>2</v>
        <stp/>
        <stp>5351698d-8cd2-4061-9497-cbc8b9343b2f</stp>
        <tr r="K67" s="1"/>
      </tp>
    </main>
    <main first="rtdsrv_eco_1767113794c0457fa0f9656dec12470f">
      <tp>
        <v>2</v>
        <stp/>
        <stp>662c704a-717b-4e66-bc34-0f862f087710</stp>
        <tr r="E21" s="1"/>
      </tp>
    </main>
    <main first="rtdsrv_eco_1767113794c0457fa0f9656dec12470f">
      <tp>
        <v>2</v>
        <stp/>
        <stp>b4895cef-c168-425e-8213-447b1fedd14b</stp>
        <tr r="L30" s="1"/>
      </tp>
    </main>
    <main first="rtdsrv_eco_1767113794c0457fa0f9656dec12470f">
      <tp>
        <v>2</v>
        <stp/>
        <stp>ab82185e-6ca6-4513-a58e-9c198e00cb2f</stp>
        <tr r="H48" s="1"/>
      </tp>
    </main>
    <main first="rtdsrv_eco_1767113794c0457fa0f9656dec12470f">
      <tp>
        <v>2</v>
        <stp/>
        <stp>4a547a5d-f18d-4ca6-afc7-28cdb8f65042</stp>
        <tr r="E25" s="1"/>
      </tp>
      <tp>
        <v>2</v>
        <stp/>
        <stp>0d075a4f-659f-4023-9034-5d2f00db6dda</stp>
        <tr r="C39" s="1"/>
      </tp>
    </main>
    <main first="rtdsrv_eco_1767113794c0457fa0f9656dec12470f">
      <tp>
        <v>2</v>
        <stp/>
        <stp>c2d2d1d7-847e-48b0-9c3f-59fe5f726d7e</stp>
        <tr r="I31" s="1"/>
      </tp>
    </main>
    <main first="rtdsrv_eco_1767113794c0457fa0f9656dec12470f">
      <tp>
        <v>2</v>
        <stp/>
        <stp>49c618a8-57e7-4ead-80db-f479a40ca7c1</stp>
        <tr r="C55" s="1"/>
      </tp>
    </main>
    <main first="rtdsrv_eco_1767113794c0457fa0f9656dec12470f">
      <tp>
        <v>2</v>
        <stp/>
        <stp>d81f2717-bc8a-4fb8-81cc-cee17d3524eb</stp>
        <tr r="L58" s="1"/>
      </tp>
    </main>
    <main first="rtdsrv_eco_1767113794c0457fa0f9656dec12470f">
      <tp>
        <v>2</v>
        <stp/>
        <stp>cb401efd-9134-4bab-b81c-0b0ad96a2547</stp>
        <tr r="G59" s="1"/>
      </tp>
    </main>
    <main first="rtdsrv_eco_1767113794c0457fa0f9656dec12470f">
      <tp>
        <v>2</v>
        <stp/>
        <stp>1218baaf-5a81-4316-95c1-60fd52f75219</stp>
        <tr r="F75" s="1"/>
      </tp>
      <tp>
        <v>2</v>
        <stp/>
        <stp>d3d0a4b9-2c52-45d2-bf00-534e172c30b7</stp>
        <tr r="E62" s="1"/>
      </tp>
    </main>
    <main first="rtdsrv_eco_1767113794c0457fa0f9656dec12470f">
      <tp>
        <v>2</v>
        <stp/>
        <stp>eaa0d806-1531-42a2-9379-93da49cb6d6a</stp>
        <tr r="H76" s="1"/>
      </tp>
    </main>
    <main first="rtdsrv_eco_1767113794c0457fa0f9656dec12470f">
      <tp>
        <v>2</v>
        <stp/>
        <stp>d2902350-66d6-4964-befe-240a7d67e630</stp>
        <tr r="J53" s="1"/>
      </tp>
      <tp>
        <v>2</v>
        <stp/>
        <stp>3a551e25-6d30-4c66-b75e-318e3e1d7fee</stp>
        <tr r="J43" s="1"/>
      </tp>
    </main>
    <main first="rtdsrv_eco_1767113794c0457fa0f9656dec12470f">
      <tp>
        <v>2</v>
        <stp/>
        <stp>cf682df8-b239-42ad-8af1-6a0fa3174353</stp>
        <tr r="D26" s="1"/>
      </tp>
    </main>
    <main first="rtdsrv_eco_1767113794c0457fa0f9656dec12470f">
      <tp>
        <v>2</v>
        <stp/>
        <stp>4b77c15d-3a9c-4a66-a228-84f9b0f4cc95</stp>
        <tr r="G15" s="1"/>
      </tp>
    </main>
    <main first="rtdsrv_eco_1767113794c0457fa0f9656dec12470f">
      <tp>
        <v>2</v>
        <stp/>
        <stp>fb61dc3e-bdea-41ba-9875-765f6cc53cca</stp>
        <tr r="C47" s="1"/>
      </tp>
    </main>
    <main first="rtdsrv_eco_1767113794c0457fa0f9656dec12470f">
      <tp>
        <v>2</v>
        <stp/>
        <stp>9f7bda6a-2195-47c5-b9d8-17323ba3b1e7</stp>
        <tr r="F76" s="1"/>
      </tp>
    </main>
    <main first="rtdsrv_eco_1767113794c0457fa0f9656dec12470f">
      <tp>
        <v>2</v>
        <stp/>
        <stp>9c6fc795-de26-4ee4-93a5-5d1da36002db</stp>
        <tr r="K65" s="1"/>
      </tp>
    </main>
    <main first="rtdsrv_eco_1767113794c0457fa0f9656dec12470f">
      <tp>
        <v>2</v>
        <stp/>
        <stp>37423ec3-8cf8-4d49-8dcd-b6a67d880b3d</stp>
        <tr r="F56" s="1"/>
      </tp>
      <tp>
        <v>2</v>
        <stp/>
        <stp>93c1b43b-de4c-429f-9ddb-ff1b869871ed</stp>
        <tr r="E76" s="1"/>
      </tp>
    </main>
    <main first="rtdsrv_eco_1767113794c0457fa0f9656dec12470f">
      <tp>
        <v>2</v>
        <stp/>
        <stp>2676c77c-cb25-41de-8f39-7050e7f2831d</stp>
        <tr r="F15" s="1"/>
      </tp>
    </main>
    <main first="rtdsrv_eco_1767113794c0457fa0f9656dec12470f">
      <tp>
        <v>2</v>
        <stp/>
        <stp>806524eb-1cbd-46dd-9cb4-b1a5cd5a6ffc</stp>
        <tr r="F32" s="1"/>
      </tp>
    </main>
    <main first="rtdsrv_eco_1767113794c0457fa0f9656dec12470f">
      <tp>
        <v>2</v>
        <stp/>
        <stp>f9feead8-b5e2-4f34-8503-b13fd7683845</stp>
        <tr r="G43" s="1"/>
      </tp>
    </main>
    <main first="rtdsrv_eco_1767113794c0457fa0f9656dec12470f">
      <tp>
        <v>2</v>
        <stp/>
        <stp>27395514-1703-4475-baa7-6b71f37da662</stp>
        <tr r="E68" s="1"/>
      </tp>
    </main>
    <main first="rtdsrv_eco_1767113794c0457fa0f9656dec12470f">
      <tp>
        <v>2</v>
        <stp/>
        <stp>77d7e036-05ea-40ad-8cb9-f114389ab8ad</stp>
        <tr r="J74" s="1"/>
      </tp>
    </main>
    <main first="rtdsrv_eco_1767113794c0457fa0f9656dec12470f">
      <tp>
        <v>2</v>
        <stp/>
        <stp>f4caa786-fda2-4f23-8b58-fe6825bb83ca</stp>
        <tr r="H21" s="1"/>
      </tp>
      <tp>
        <v>2</v>
        <stp/>
        <stp>e1f1c5d3-48f1-485c-bf15-f02327b0be0e</stp>
        <tr r="D25" s="1"/>
      </tp>
    </main>
    <main first="rtdsrv_eco_1767113794c0457fa0f9656dec12470f">
      <tp>
        <v>2</v>
        <stp/>
        <stp>43831abf-b591-43eb-8175-24b960c41a51</stp>
        <tr r="G60" s="1"/>
      </tp>
      <tp>
        <v>2</v>
        <stp/>
        <stp>5aa9e392-c6ea-443a-a704-fea88af73d3b</stp>
        <tr r="C68" s="1"/>
      </tp>
      <tp>
        <v>2</v>
        <stp/>
        <stp>c3c64089-cfba-4009-a06d-98f1fcf24445</stp>
        <tr r="C60" s="1"/>
      </tp>
    </main>
    <main first="rtdsrv_eco_1767113794c0457fa0f9656dec12470f">
      <tp>
        <v>2</v>
        <stp/>
        <stp>aaf7f388-bd8a-488e-98b2-51d060d3e6a4</stp>
        <tr r="J14" s="1"/>
      </tp>
    </main>
    <main first="rtdsrv_eco_1767113794c0457fa0f9656dec12470f">
      <tp>
        <v>2</v>
        <stp/>
        <stp>9aeac001-0089-4ab1-9ea5-9e0f8f162293</stp>
        <tr r="G26" s="1"/>
      </tp>
    </main>
    <main first="rtdsrv_eco_1767113794c0457fa0f9656dec12470f">
      <tp>
        <v>2</v>
        <stp/>
        <stp>873403c1-46a4-4efd-b1e0-5bee52680ac1</stp>
        <tr r="K74" s="1"/>
      </tp>
    </main>
    <main first="rtdsrv_eco_1767113794c0457fa0f9656dec12470f">
      <tp>
        <v>2</v>
        <stp/>
        <stp>d8bf2705-f1cd-4077-834c-555ae95bcfdf</stp>
        <tr r="K28" s="1"/>
      </tp>
    </main>
    <main first="rtdsrv_eco_1767113794c0457fa0f9656dec12470f">
      <tp>
        <v>2</v>
        <stp/>
        <stp>7fcb13a5-06e4-4fc8-8bd3-a81f1b74fced</stp>
        <tr r="J39" s="1"/>
      </tp>
    </main>
    <main first="rtdsrv_eco_1767113794c0457fa0f9656dec12470f">
      <tp>
        <v>2</v>
        <stp/>
        <stp>d000fc78-a78f-43eb-ac51-57d4b6b12dde</stp>
        <tr r="J62" s="1"/>
      </tp>
    </main>
    <main first="rtdsrv_eco_1767113794c0457fa0f9656dec12470f">
      <tp>
        <v>2</v>
        <stp/>
        <stp>dc000aa2-98a7-42b0-aa01-5cb99981cac1</stp>
        <tr r="H22" s="1"/>
      </tp>
    </main>
    <main first="rtdsrv_eco_1767113794c0457fa0f9656dec12470f">
      <tp>
        <v>2</v>
        <stp/>
        <stp>b578ee2c-424c-4744-9c68-060f92d03cd3</stp>
        <tr r="F61" s="1"/>
      </tp>
    </main>
    <main first="rtdsrv_eco_1767113794c0457fa0f9656dec12470f">
      <tp>
        <v>2</v>
        <stp/>
        <stp>84f975b8-bc23-4d45-a1d8-343cea5f4fd9</stp>
        <tr r="I26" s="1"/>
      </tp>
    </main>
    <main first="rtdsrv_eco_1767113794c0457fa0f9656dec12470f">
      <tp>
        <v>2</v>
        <stp/>
        <stp>9054ba54-54ef-4f83-9cf8-c0050c34bc45</stp>
        <tr r="I15" s="1"/>
      </tp>
    </main>
    <main first="rtdsrv_eco_1767113794c0457fa0f9656dec12470f">
      <tp>
        <v>2</v>
        <stp/>
        <stp>d3b9d7d0-e14c-464b-9c89-4170b2160906</stp>
        <tr r="E53" s="1"/>
      </tp>
    </main>
    <main first="rtdsrv_eco_1767113794c0457fa0f9656dec12470f">
      <tp>
        <v>2</v>
        <stp/>
        <stp>443bb394-e675-4180-a87f-1f46c6fb4406</stp>
        <tr r="F26" s="1"/>
      </tp>
    </main>
    <main first="rtdsrv_eco_1767113794c0457fa0f9656dec12470f">
      <tp>
        <v>2</v>
        <stp/>
        <stp>46faee4f-6133-4d33-ba6c-2131b6679f2e</stp>
        <tr r="I71" s="1"/>
      </tp>
    </main>
    <main first="rtdsrv_eco_1767113794c0457fa0f9656dec12470f">
      <tp>
        <v>2</v>
        <stp/>
        <stp>da3d14c7-1442-44a3-847b-47a454cffb2f</stp>
        <tr r="L47" s="1"/>
      </tp>
    </main>
    <main first="rtdsrv_eco_1767113794c0457fa0f9656dec12470f">
      <tp>
        <v>2</v>
        <stp/>
        <stp>0ecc90b0-7687-4910-9a8d-89d88d743637</stp>
        <tr r="L13" s="1"/>
      </tp>
    </main>
    <main first="rtdsrv_eco_1767113794c0457fa0f9656dec12470f">
      <tp>
        <v>2</v>
        <stp/>
        <stp>15d38361-cef0-4460-a6dc-f1d05069c165</stp>
        <tr r="G39" s="1"/>
      </tp>
    </main>
    <main first="rtdsrv_eco_1767113794c0457fa0f9656dec12470f">
      <tp>
        <v>2</v>
        <stp/>
        <stp>72f3c48b-6373-4c66-a68f-1fbc6a2f8846</stp>
        <tr r="I57" s="1"/>
      </tp>
    </main>
    <main first="rtdsrv_eco_1767113794c0457fa0f9656dec12470f">
      <tp>
        <v>2</v>
        <stp/>
        <stp>55b00689-b77b-46f7-92c9-53034f11aa81</stp>
        <tr r="H55" s="1"/>
      </tp>
    </main>
    <main first="rtdsrv_eco_1767113794c0457fa0f9656dec12470f">
      <tp>
        <v>2</v>
        <stp/>
        <stp>e09d70c6-d598-4cd7-a469-ee93d86d0952</stp>
        <tr r="E30" s="1"/>
      </tp>
      <tp>
        <v>2</v>
        <stp/>
        <stp>cde168ef-0c53-422d-bb11-d98f35e8b4cc</stp>
        <tr r="J56" s="1"/>
      </tp>
    </main>
    <main first="rtdsrv_eco_1767113794c0457fa0f9656dec12470f">
      <tp>
        <v>2</v>
        <stp/>
        <stp>260a3a4b-7bd0-4671-83f0-b6ca65abd589</stp>
        <tr r="G71" s="1"/>
      </tp>
      <tp>
        <v>2</v>
        <stp/>
        <stp>eefef6f6-0649-49e2-bd04-a3daf5437f9d</stp>
        <tr r="E58" s="1"/>
      </tp>
      <tp>
        <v>2</v>
        <stp/>
        <stp>c7c1ef40-0866-4d8c-96b2-503ce547ad1a</stp>
        <tr r="E75" s="1"/>
      </tp>
    </main>
    <main first="rtdsrv_eco_1767113794c0457fa0f9656dec12470f">
      <tp>
        <v>2</v>
        <stp/>
        <stp>f19166e7-d6a1-4cdf-8851-8ac33d1b64a5</stp>
        <tr r="E39" s="1"/>
      </tp>
      <tp>
        <v>2</v>
        <stp/>
        <stp>61dc5b94-a574-4788-87a0-0d98a8130684</stp>
        <tr r="I58" s="1"/>
      </tp>
    </main>
    <main first="rtdsrv_eco_1767113794c0457fa0f9656dec12470f">
      <tp>
        <v>2</v>
        <stp/>
        <stp>ddb44a2e-5a4a-4b57-845e-02ef74ae5556</stp>
        <tr r="G28" s="1"/>
      </tp>
    </main>
    <main first="rtdsrv_eco_1767113794c0457fa0f9656dec12470f">
      <tp>
        <v>2</v>
        <stp/>
        <stp>fa6b7400-4e92-4633-9855-4474f10ccc2b</stp>
        <tr r="C13" s="1"/>
      </tp>
    </main>
    <main first="rtdsrv_eco_1767113794c0457fa0f9656dec12470f">
      <tp>
        <v>2</v>
        <stp/>
        <stp>57924652-e15f-4e30-aaff-7587b0b6b6a1</stp>
        <tr r="I27" s="1"/>
      </tp>
    </main>
    <main first="rtdsrv_eco_1767113794c0457fa0f9656dec12470f">
      <tp>
        <v>2</v>
        <stp/>
        <stp>522e79cb-1f93-435a-b66c-70880660bedb</stp>
        <tr r="L56" s="1"/>
      </tp>
    </main>
    <main first="rtdsrv_eco_1767113794c0457fa0f9656dec12470f">
      <tp>
        <v>2</v>
        <stp/>
        <stp>313e5e79-5652-414c-a812-4982401f144a</stp>
        <tr r="H20" s="1"/>
      </tp>
    </main>
    <main first="rtdsrv_eco_1767113794c0457fa0f9656dec12470f">
      <tp>
        <v>2</v>
        <stp/>
        <stp>8f71bfe1-9e44-40d2-81c1-ce11c4843736</stp>
        <tr r="J27" s="1"/>
      </tp>
    </main>
    <main first="rtdsrv_eco_1767113794c0457fa0f9656dec12470f">
      <tp>
        <v>2</v>
        <stp/>
        <stp>2a4afae9-97cf-47b3-9fbf-22a581c50e82</stp>
        <tr r="H43" s="1"/>
      </tp>
    </main>
    <main first="rtdsrv_eco_1767113794c0457fa0f9656dec12470f">
      <tp>
        <v>2</v>
        <stp/>
        <stp>b7bc4d5a-1afb-432e-b05a-dea5c87a6a89</stp>
        <tr r="E69" s="1"/>
      </tp>
    </main>
    <main first="rtdsrv_eco_1767113794c0457fa0f9656dec12470f">
      <tp>
        <v>2</v>
        <stp/>
        <stp>c0765696-68ac-4362-8b79-90ada94f02b7</stp>
        <tr r="H66" s="1"/>
      </tp>
    </main>
    <main first="rtdsrv_eco_1767113794c0457fa0f9656dec12470f">
      <tp>
        <v>2</v>
        <stp/>
        <stp>ac76b005-63f6-4cf3-8d6c-783e8a5b07f8</stp>
        <tr r="K59" s="1"/>
      </tp>
      <tp>
        <v>2</v>
        <stp/>
        <stp>a409ee5f-d7e7-4763-8f2f-634f291040f7</stp>
        <tr r="L59" s="1"/>
      </tp>
    </main>
    <main first="rtdsrv_eco_1767113794c0457fa0f9656dec12470f">
      <tp>
        <v>2</v>
        <stp/>
        <stp>8631ec76-9e8f-490d-ad52-04a4dd363c4d</stp>
        <tr r="K60" s="1"/>
      </tp>
    </main>
    <main first="rtdsrv_eco_1767113794c0457fa0f9656dec12470f">
      <tp>
        <v>2</v>
        <stp/>
        <stp>1ec89d21-8bd9-4a6a-a4dc-97aa602d450d</stp>
        <tr r="H28" s="1"/>
      </tp>
    </main>
    <main first="rtdsrv_eco_1767113794c0457fa0f9656dec12470f">
      <tp>
        <v>2</v>
        <stp/>
        <stp>b31d8b34-c655-414e-b28d-567ef404fcd4</stp>
        <tr r="G54" s="1"/>
      </tp>
    </main>
    <main first="rtdsrv_eco_1767113794c0457fa0f9656dec12470f">
      <tp>
        <v>2</v>
        <stp/>
        <stp>f963eecb-0e33-427e-954c-1b44252ecddf</stp>
        <tr r="E59" s="1"/>
      </tp>
    </main>
    <main first="rtdsrv_eco_1767113794c0457fa0f9656dec12470f">
      <tp>
        <v>2</v>
        <stp/>
        <stp>408db4d0-8172-4b0d-86c4-3241172c7017</stp>
        <tr r="E31" s="1"/>
      </tp>
    </main>
    <main first="rtdsrv_eco_1767113794c0457fa0f9656dec12470f">
      <tp>
        <v>2</v>
        <stp/>
        <stp>cad97e9e-7d65-4ec6-840a-4eceff1c78f2</stp>
        <tr r="H69" s="1"/>
      </tp>
    </main>
    <main first="rtdsrv_eco_1767113794c0457fa0f9656dec12470f">
      <tp>
        <v>2</v>
        <stp/>
        <stp>5b11a7fc-79b2-4da7-a132-d7073ff8a9aa</stp>
        <tr r="H42" s="1"/>
      </tp>
    </main>
    <main first="rtdsrv_eco_1767113794c0457fa0f9656dec12470f">
      <tp>
        <v>2</v>
        <stp/>
        <stp>e34b99cc-855a-4d75-b5de-c1d32e674906</stp>
        <tr r="L31" s="1"/>
      </tp>
    </main>
    <main first="rtdsrv_eco_1767113794c0457fa0f9656dec12470f">
      <tp>
        <v>2</v>
        <stp/>
        <stp>bc1a91e9-f54b-4c31-8f31-d9c481e53027</stp>
        <tr r="I76" s="1"/>
      </tp>
    </main>
    <main first="rtdsrv_eco_1767113794c0457fa0f9656dec12470f">
      <tp>
        <v>2</v>
        <stp/>
        <stp>43cee2cd-2185-4f6f-af16-f93591054bfd</stp>
        <tr r="I36" s="1"/>
      </tp>
    </main>
    <main first="rtdsrv_eco_1767113794c0457fa0f9656dec12470f">
      <tp>
        <v>2</v>
        <stp/>
        <stp>c95115b1-ea5f-4c75-bd87-f745e9c48d6c</stp>
        <tr r="E63" s="1"/>
      </tp>
    </main>
    <main first="rtdsrv_eco_1767113794c0457fa0f9656dec12470f">
      <tp>
        <v>2</v>
        <stp/>
        <stp>e9bc8fb0-1af9-425f-813c-491e3548088b</stp>
        <tr r="H24" s="1"/>
      </tp>
    </main>
    <main first="rtdsrv_eco_1767113794c0457fa0f9656dec12470f">
      <tp>
        <v>2</v>
        <stp/>
        <stp>89e90914-49db-4e28-85b0-82bbf028fc5b</stp>
        <tr r="C76" s="1"/>
      </tp>
      <tp>
        <v>2</v>
        <stp/>
        <stp>fea36ae2-618a-4dd8-9e83-7899a5b120ea</stp>
        <tr r="H75" s="1"/>
      </tp>
      <tp>
        <v>2</v>
        <stp/>
        <stp>798db03f-b619-4a81-86c0-24d2122ad0c4</stp>
        <tr r="E23" s="1"/>
      </tp>
      <tp>
        <v>2</v>
        <stp/>
        <stp>6a8abc35-0eab-455f-b487-2fa92625732f</stp>
        <tr r="I61" s="1"/>
      </tp>
    </main>
    <main first="rtdsrv_eco_1767113794c0457fa0f9656dec12470f">
      <tp>
        <v>2</v>
        <stp/>
        <stp>d930a4bb-a505-4e66-bc45-ae46239307de</stp>
        <tr r="C41" s="1"/>
      </tp>
    </main>
    <main first="rtdsrv_eco_1767113794c0457fa0f9656dec12470f">
      <tp>
        <v>2</v>
        <stp/>
        <stp>4188f9a1-44fe-44ff-97a6-876d5fefee9f</stp>
        <tr r="I49" s="1"/>
      </tp>
    </main>
    <main first="rtdsrv_eco_1767113794c0457fa0f9656dec12470f">
      <tp>
        <v>2</v>
        <stp/>
        <stp>f6048c79-8f2b-4ca5-9653-2f7f8f68bbbb</stp>
        <tr r="H49" s="1"/>
      </tp>
    </main>
    <main first="rtdsrv_eco_1767113794c0457fa0f9656dec12470f">
      <tp>
        <v>2</v>
        <stp/>
        <stp>d16f8fc6-992b-42a9-9c34-992cff779412</stp>
        <tr r="E50" s="1"/>
      </tp>
    </main>
    <main first="rtdsrv_eco_1767113794c0457fa0f9656dec12470f">
      <tp>
        <v>2</v>
        <stp/>
        <stp>d4fd3300-5c5e-4b4c-a1ec-cee03f4d48bb</stp>
        <tr r="C70" s="1"/>
      </tp>
    </main>
    <main first="rtdsrv_eco_1767113794c0457fa0f9656dec12470f">
      <tp>
        <v>2</v>
        <stp/>
        <stp>39e60b02-0d93-4d59-96af-e1cb996d04a3</stp>
        <tr r="H26" s="1"/>
      </tp>
    </main>
    <main first="rtdsrv_eco_1767113794c0457fa0f9656dec12470f">
      <tp>
        <v>2</v>
        <stp/>
        <stp>b81f750b-103f-4cc6-8bfe-9ab0b4f72610</stp>
        <tr r="C48" s="1"/>
      </tp>
    </main>
    <main first="rtdsrv_eco_1767113794c0457fa0f9656dec12470f">
      <tp>
        <v>2</v>
        <stp/>
        <stp>a0b03646-8156-4b4c-b105-6657bc8bb4d0</stp>
        <tr r="D74" s="1"/>
      </tp>
    </main>
    <main first="rtdsrv_eco_1767113794c0457fa0f9656dec12470f">
      <tp>
        <v>2</v>
        <stp/>
        <stp>dab0276b-5934-4a73-8647-7f69e947c7a5</stp>
        <tr r="K29" s="1"/>
      </tp>
    </main>
    <main first="rtdsrv_eco_1767113794c0457fa0f9656dec12470f">
      <tp>
        <v>2</v>
        <stp/>
        <stp>77d41880-487a-45ee-b0d6-3de96ff904f3</stp>
        <tr r="C49" s="1"/>
      </tp>
    </main>
    <main first="rtdsrv_eco_1767113794c0457fa0f9656dec12470f">
      <tp>
        <v>2</v>
        <stp/>
        <stp>4e7b3f47-03c1-411e-9975-19c9e5571ae9</stp>
        <tr r="F33" s="1"/>
      </tp>
    </main>
    <main first="rtdsrv_eco_1767113794c0457fa0f9656dec12470f">
      <tp>
        <v>2</v>
        <stp/>
        <stp>f592d5fb-c600-47e9-a671-d733408e1fe4</stp>
        <tr r="H34" s="1"/>
      </tp>
    </main>
    <main first="rtdsrv_eco_1767113794c0457fa0f9656dec12470f">
      <tp>
        <v>2</v>
        <stp/>
        <stp>d88e00fe-5fb0-4f7d-9770-c3209e874473</stp>
        <tr r="C75" s="1"/>
      </tp>
      <tp>
        <v>2</v>
        <stp/>
        <stp>01ecaed0-d47d-4488-8f14-09ba783634e5</stp>
        <tr r="K76" s="1"/>
      </tp>
    </main>
    <main first="rtdsrv_eco_1767113794c0457fa0f9656dec12470f">
      <tp>
        <v>2</v>
        <stp/>
        <stp>a971caad-2868-4363-8800-9c0680649650</stp>
        <tr r="G76" s="1"/>
      </tp>
    </main>
    <main first="rtdsrv_eco_1767113794c0457fa0f9656dec12470f">
      <tp>
        <v>2</v>
        <stp/>
        <stp>769e2abd-1096-4ec0-b431-69ddb10c3adb</stp>
        <tr r="I53" s="1"/>
      </tp>
    </main>
    <main first="rtdsrv_eco_1767113794c0457fa0f9656dec12470f">
      <tp>
        <v>2</v>
        <stp/>
        <stp>6f0368f5-c00e-4ff6-9650-5a84d05a5c3a</stp>
        <tr r="I30" s="1"/>
      </tp>
    </main>
    <main first="rtdsrv_eco_1767113794c0457fa0f9656dec12470f">
      <tp>
        <v>2</v>
        <stp/>
        <stp>7e400cdb-c3ce-4ccf-8ba5-3d3063fd29f9</stp>
        <tr r="G32" s="1"/>
      </tp>
    </main>
    <main first="rtdsrv_eco_1767113794c0457fa0f9656dec12470f">
      <tp>
        <v>2</v>
        <stp/>
        <stp>26b8bf67-8269-4e17-bdf4-0af446b03b26</stp>
        <tr r="E42" s="1"/>
      </tp>
    </main>
    <main first="rtdsrv_eco_1767113794c0457fa0f9656dec12470f">
      <tp>
        <v>2</v>
        <stp/>
        <stp>4c419bff-84b6-4178-b6c2-ffe9b813a0c5</stp>
        <tr r="D40" s="1"/>
      </tp>
    </main>
    <main first="rtdsrv_eco_1767113794c0457fa0f9656dec12470f">
      <tp>
        <v>2</v>
        <stp/>
        <stp>16ef7d03-a060-47e4-b403-3cbfd91e6ad6</stp>
        <tr r="H77" s="1"/>
      </tp>
    </main>
    <main first="rtdsrv_eco_1767113794c0457fa0f9656dec12470f">
      <tp>
        <v>2</v>
        <stp/>
        <stp>0c3d71b1-619e-41c7-8ea5-044b59f5828d</stp>
        <tr r="F63" s="1"/>
      </tp>
    </main>
    <main first="rtdsrv_eco_1767113794c0457fa0f9656dec12470f">
      <tp>
        <v>2</v>
        <stp/>
        <stp>70e45e8c-3b47-4462-9e8b-d79262926dc4</stp>
        <tr r="H53" s="1"/>
      </tp>
    </main>
    <main first="rtdsrv_eco_1767113794c0457fa0f9656dec12470f">
      <tp>
        <v>2</v>
        <stp/>
        <stp>b30d6b46-7de8-40b4-be68-9166190e8ae2</stp>
        <tr r="L48" s="1"/>
      </tp>
    </main>
    <main first="rtdsrv_eco_1767113794c0457fa0f9656dec12470f">
      <tp>
        <v>2</v>
        <stp/>
        <stp>fd646983-c4f6-4cf6-9a36-30e03e6adce2</stp>
        <tr r="F41" s="1"/>
      </tp>
    </main>
    <main first="rtdsrv_eco_1767113794c0457fa0f9656dec12470f">
      <tp>
        <v>2</v>
        <stp/>
        <stp>cdeb92e0-76eb-4400-9671-699cde5f673e</stp>
        <tr r="J36" s="1"/>
      </tp>
    </main>
    <main first="rtdsrv_eco_1767113794c0457fa0f9656dec12470f">
      <tp>
        <v>2</v>
        <stp/>
        <stp>d5fb5659-19b7-4741-a367-dae4f8491a9d</stp>
        <tr r="I40" s="1"/>
      </tp>
    </main>
    <main first="rtdsrv_eco_1767113794c0457fa0f9656dec12470f">
      <tp>
        <v>2</v>
        <stp/>
        <stp>41138368-dd19-4e1c-9ef2-e52f1c247897</stp>
        <tr r="D22" s="1"/>
      </tp>
    </main>
    <main first="rtdsrv_eco_1767113794c0457fa0f9656dec12470f">
      <tp>
        <v>2</v>
        <stp/>
        <stp>8a2b2c89-bbe8-4733-9789-7f2aba4b5a0f</stp>
        <tr r="F65" s="1"/>
      </tp>
    </main>
    <main first="rtdsrv_eco_1767113794c0457fa0f9656dec12470f">
      <tp>
        <v>2</v>
        <stp/>
        <stp>9c2a4848-20e6-4c32-8eeb-f5d05bf1ad51</stp>
        <tr r="G77" s="1"/>
      </tp>
    </main>
    <main first="rtdsrv_eco_1767113794c0457fa0f9656dec12470f">
      <tp>
        <v>2</v>
        <stp/>
        <stp>c159ed1e-978c-4087-a56f-b75dfe9c55fe</stp>
        <tr r="H30" s="1"/>
      </tp>
    </main>
    <main first="rtdsrv_eco_1767113794c0457fa0f9656dec12470f">
      <tp>
        <v>2</v>
        <stp/>
        <stp>2abd906d-894a-4454-8613-223a81428edb</stp>
        <tr r="C63" s="1"/>
      </tp>
    </main>
    <main first="rtdsrv_eco_1767113794c0457fa0f9656dec12470f">
      <tp>
        <v>2</v>
        <stp/>
        <stp>33829b4f-7a6b-406f-9bd8-df0b61a9b98f</stp>
        <tr r="H61" s="1"/>
      </tp>
    </main>
    <main first="rtdsrv_eco_1767113794c0457fa0f9656dec12470f">
      <tp>
        <v>2</v>
        <stp/>
        <stp>e03cfc3a-1656-46a4-b49c-1ae1651cb18e</stp>
        <tr r="C25" s="1"/>
      </tp>
    </main>
    <main first="rtdsrv_eco_1767113794c0457fa0f9656dec12470f">
      <tp>
        <v>2</v>
        <stp/>
        <stp>44b737a3-3dfe-4bb0-8182-f40e3149f7f1</stp>
        <tr r="D48" s="1"/>
      </tp>
    </main>
    <main first="rtdsrv_eco_1767113794c0457fa0f9656dec12470f">
      <tp>
        <v>2</v>
        <stp/>
        <stp>e0f895f7-9c3d-4ae1-b7de-6a1023483128</stp>
        <tr r="E34" s="1"/>
      </tp>
    </main>
    <main first="rtdsrv_eco_1767113794c0457fa0f9656dec12470f">
      <tp>
        <v>2</v>
        <stp/>
        <stp>0556ca73-80b1-46a1-92da-83671389d305</stp>
        <tr r="E33" s="1"/>
      </tp>
    </main>
    <main first="rtdsrv_eco_1767113794c0457fa0f9656dec12470f">
      <tp>
        <v>2</v>
        <stp/>
        <stp>bac22c89-5d05-4beb-8a83-7aab23062552</stp>
        <tr r="C36" s="1"/>
      </tp>
      <tp>
        <v>2</v>
        <stp/>
        <stp>9dabbbf9-9a5b-495f-868c-3e830740b9a1</stp>
        <tr r="G64" s="1"/>
      </tp>
    </main>
    <main first="rtdsrv_eco_1767113794c0457fa0f9656dec12470f">
      <tp>
        <v>2</v>
        <stp/>
        <stp>270f9128-6d6e-4615-a97d-06a0d7c4d9dd</stp>
        <tr r="J15" s="1"/>
      </tp>
    </main>
    <main first="rtdsrv_eco_1767113794c0457fa0f9656dec12470f">
      <tp>
        <v>2</v>
        <stp/>
        <stp>33ebb9bd-11dc-4a20-9166-d5a4f1574350</stp>
        <tr r="K47" s="1"/>
      </tp>
      <tp>
        <v>2</v>
        <stp/>
        <stp>98230c69-42f6-4dff-9845-03fb9b01bf4f</stp>
        <tr r="C22" s="1"/>
      </tp>
    </main>
    <main first="rtdsrv_eco_1767113794c0457fa0f9656dec12470f">
      <tp>
        <v>2</v>
        <stp/>
        <stp>3b5b9f93-1c4d-434c-947a-48941db4d75d</stp>
        <tr r="E60" s="1"/>
      </tp>
    </main>
    <main first="rtdsrv_eco_1767113794c0457fa0f9656dec12470f">
      <tp>
        <v>2</v>
        <stp/>
        <stp>7bef982b-ed97-438d-ae48-2aa48f3efca5</stp>
        <tr r="D31" s="1"/>
      </tp>
    </main>
    <main first="rtdsrv_eco_1767113794c0457fa0f9656dec12470f">
      <tp>
        <v>2</v>
        <stp/>
        <stp>004b6902-4f4f-4422-9239-77ba1c731c6c</stp>
        <tr r="F30" s="1"/>
      </tp>
    </main>
    <main first="rtdsrv_eco_1767113794c0457fa0f9656dec12470f">
      <tp>
        <v>2</v>
        <stp/>
        <stp>c928a204-f185-463a-a5ce-fc2b43c6a43c</stp>
        <tr r="K25" s="1"/>
      </tp>
    </main>
    <main first="rtdsrv_eco_1767113794c0457fa0f9656dec12470f">
      <tp>
        <v>2</v>
        <stp/>
        <stp>89365235-1cf4-4564-9c65-ab78a7768fe5</stp>
        <tr r="I47" s="1"/>
      </tp>
      <tp>
        <v>2</v>
        <stp/>
        <stp>0068cc60-3c76-4b76-be23-ede6a9fe82ad</stp>
        <tr r="E24" s="1"/>
      </tp>
    </main>
    <main first="rtdsrv_eco_1767113794c0457fa0f9656dec12470f">
      <tp>
        <v>2</v>
        <stp/>
        <stp>e5eb7e71-2681-43b2-a6af-6a311c763874</stp>
        <tr r="C46" s="1"/>
      </tp>
    </main>
    <main first="rtdsrv_eco_1767113794c0457fa0f9656dec12470f">
      <tp>
        <v>2</v>
        <stp/>
        <stp>1b69e2b5-451d-4099-89c9-6b13cc8b54a0</stp>
        <tr r="H29" s="1"/>
      </tp>
    </main>
    <main first="rtdsrv_eco_1767113794c0457fa0f9656dec12470f">
      <tp>
        <v>2</v>
        <stp/>
        <stp>d72ac285-d8be-4149-8d3d-37bc04b79c92</stp>
        <tr r="I66" s="1"/>
      </tp>
      <tp>
        <v>2</v>
        <stp/>
        <stp>c0e8501b-029c-4252-a382-c753956fd386</stp>
        <tr r="G13" s="1"/>
      </tp>
      <tp>
        <v>2</v>
        <stp/>
        <stp>aa12d85a-1640-4f4f-8ad9-adaeea277d6e</stp>
        <tr r="L35" s="1"/>
      </tp>
      <tp>
        <v>2</v>
        <stp/>
        <stp>f80ec46c-959a-41c7-83db-4e99712d894a</stp>
        <tr r="J30" s="1"/>
      </tp>
    </main>
    <main first="rtdsrv_eco_1767113794c0457fa0f9656dec12470f">
      <tp>
        <v>2</v>
        <stp/>
        <stp>63382626-88cf-4ffc-92a2-ae624f28a7f6</stp>
        <tr r="G22" s="1"/>
      </tp>
    </main>
    <main first="rtdsrv_eco_1767113794c0457fa0f9656dec12470f">
      <tp>
        <v>2</v>
        <stp/>
        <stp>64b09750-0da0-41e1-9323-c560479779f5</stp>
        <tr r="K61" s="1"/>
      </tp>
    </main>
    <main first="rtdsrv_eco_1767113794c0457fa0f9656dec12470f">
      <tp>
        <v>2</v>
        <stp/>
        <stp>8567b03b-2653-4586-bff6-284cdc6e87b4</stp>
        <tr r="I16" s="1"/>
      </tp>
    </main>
    <main first="rtdsrv_eco_1767113794c0457fa0f9656dec12470f">
      <tp>
        <v>2</v>
        <stp/>
        <stp>8a9bb86d-8f6a-4fe8-81a9-ed2eaa720616</stp>
        <tr r="E32" s="1"/>
      </tp>
    </main>
    <main first="rtdsrv_eco_1767113794c0457fa0f9656dec12470f">
      <tp>
        <v>2</v>
        <stp/>
        <stp>2f25bc58-daac-4328-aff7-9036602f1435</stp>
        <tr r="E48" s="1"/>
      </tp>
      <tp>
        <v>2</v>
        <stp/>
        <stp>98b645cc-bc07-4ede-b226-08179375980a</stp>
        <tr r="J59" s="1"/>
      </tp>
      <tp>
        <v>2</v>
        <stp/>
        <stp>e956b015-e1b3-4c72-9262-4ff811a8c4be</stp>
        <tr r="H35" s="1"/>
      </tp>
    </main>
    <main first="rtdsrv_eco_1767113794c0457fa0f9656dec12470f">
      <tp>
        <v>2</v>
        <stp/>
        <stp>beebbbf4-5f9f-4bcf-8dd7-074694a7c8f7</stp>
        <tr r="C56" s="1"/>
      </tp>
    </main>
    <main first="rtdsrv_eco_1767113794c0457fa0f9656dec12470f">
      <tp>
        <v>2</v>
        <stp/>
        <stp>32a40dfe-5840-438d-ae75-12b5399b4006</stp>
        <tr r="E77" s="1"/>
      </tp>
    </main>
    <main first="rtdsrv_eco_1767113794c0457fa0f9656dec12470f">
      <tp>
        <v>2</v>
        <stp/>
        <stp>e62e70b8-e220-490e-8d41-b8f93cf98b31</stp>
        <tr r="G34" s="1"/>
      </tp>
    </main>
    <main first="rtdsrv_eco_1767113794c0457fa0f9656dec12470f">
      <tp>
        <v>2</v>
        <stp/>
        <stp>0b67fb53-94d7-4f0b-a4a0-46d8afd19b81</stp>
        <tr r="C64" s="1"/>
      </tp>
    </main>
    <main first="rtdsrv_eco_1767113794c0457fa0f9656dec12470f">
      <tp>
        <v>2</v>
        <stp/>
        <stp>f45a14d0-79b2-4495-a738-48f8c792a64d</stp>
        <tr r="J48" s="1"/>
      </tp>
      <tp>
        <v>2</v>
        <stp/>
        <stp>9098efb5-576e-4fbb-84aa-106539819a8e</stp>
        <tr r="E54" s="1"/>
      </tp>
      <tp>
        <v>2</v>
        <stp/>
        <stp>f9624030-38cd-49a4-8cc8-eab9528d76d8</stp>
        <tr r="I25" s="1"/>
      </tp>
      <tp>
        <v>2</v>
        <stp/>
        <stp>037c2210-5d2b-45af-8ef7-4a92ae0b78f4</stp>
        <tr r="L28" s="1"/>
      </tp>
    </main>
    <main first="rtdsrv_eco_1767113794c0457fa0f9656dec12470f">
      <tp>
        <v>2</v>
        <stp/>
        <stp>e88d2313-b716-4fe4-844f-7fa667891094</stp>
        <tr r="J68" s="1"/>
      </tp>
    </main>
    <main first="rtdsrv_eco_1767113794c0457fa0f9656dec12470f">
      <tp>
        <v>2</v>
        <stp/>
        <stp>d753d449-4d17-4789-bffd-f65db7bc2ac0</stp>
        <tr r="F66" s="1"/>
      </tp>
    </main>
    <main first="rtdsrv_eco_1767113794c0457fa0f9656dec12470f">
      <tp>
        <v>2</v>
        <stp/>
        <stp>3f992a7f-45fe-470c-afa9-c02e1120f81c</stp>
        <tr r="J76" s="1"/>
      </tp>
    </main>
    <main first="rtdsrv_eco_1767113794c0457fa0f9656dec12470f">
      <tp>
        <v>2</v>
        <stp/>
        <stp>9c61f4ba-aa2d-43a8-b330-c4aba4ad1548</stp>
        <tr r="E47" s="1"/>
      </tp>
    </main>
    <main first="rtdsrv_eco_1767113794c0457fa0f9656dec12470f">
      <tp>
        <v>2</v>
        <stp/>
        <stp>a70e18a0-8b6a-4a41-8dc3-f0687e2b0855</stp>
        <tr r="F48" s="1"/>
      </tp>
    </main>
    <main first="rtdsrv_eco_1767113794c0457fa0f9656dec12470f">
      <tp>
        <v>2</v>
        <stp/>
        <stp>5afe1e13-3ad9-4ad8-bb48-3507746b32f5</stp>
        <tr r="F25" s="1"/>
      </tp>
    </main>
    <main first="rtdsrv_eco_1767113794c0457fa0f9656dec12470f">
      <tp>
        <v>2</v>
        <stp/>
        <stp>e8c2b224-a87d-4037-9fd0-c2bbbc7f5ae5</stp>
        <tr r="D39" s="1"/>
      </tp>
    </main>
    <main first="rtdsrv_eco_1767113794c0457fa0f9656dec12470f">
      <tp>
        <v>2</v>
        <stp/>
        <stp>3ca31c89-4177-4e24-80a9-331cec7de918</stp>
        <tr r="L24" s="1"/>
      </tp>
    </main>
    <main first="rtdsrv_eco_1767113794c0457fa0f9656dec12470f">
      <tp>
        <v>2</v>
        <stp/>
        <stp>4461ee16-6134-4fec-a8f5-6561af6589fd</stp>
        <tr r="L41" s="1"/>
      </tp>
    </main>
    <main first="rtdsrv_eco_1767113794c0457fa0f9656dec12470f">
      <tp>
        <v>2</v>
        <stp/>
        <stp>e94c5f78-17ec-41c0-8b14-1c4b4a40bed9</stp>
        <tr r="F31" s="1"/>
      </tp>
    </main>
    <main first="rtdsrv_eco_1767113794c0457fa0f9656dec12470f">
      <tp>
        <v>2</v>
        <stp/>
        <stp>ceebe979-a5ab-4bf3-b15e-ec1b8253bbb3</stp>
        <tr r="K22" s="1"/>
      </tp>
    </main>
    <main first="rtdsrv_eco_1767113794c0457fa0f9656dec12470f">
      <tp>
        <v>2</v>
        <stp/>
        <stp>278f9302-1595-4dfc-a39e-aea57c979aa8</stp>
        <tr r="D57" s="1"/>
      </tp>
    </main>
    <main first="rtdsrv_eco_1767113794c0457fa0f9656dec12470f">
      <tp>
        <v>2</v>
        <stp/>
        <stp>01e45858-9f51-45ff-beae-69a0646ce2d2</stp>
        <tr r="J28" s="1"/>
      </tp>
    </main>
    <main first="rtdsrv_eco_1767113794c0457fa0f9656dec12470f">
      <tp>
        <v>2</v>
        <stp/>
        <stp>c223da19-8380-49bc-875c-8084b763b3de</stp>
        <tr r="J34" s="1"/>
      </tp>
    </main>
    <main first="rtdsrv_eco_1767113794c0457fa0f9656dec12470f">
      <tp>
        <v>2</v>
        <stp/>
        <stp>ee61a584-7a5a-4a00-ad9f-b2ef57d26b08</stp>
        <tr r="F59" s="1"/>
      </tp>
    </main>
    <main first="rtdsrv_eco_1767113794c0457fa0f9656dec12470f">
      <tp>
        <v>2</v>
        <stp/>
        <stp>ec69da20-1779-46b9-923b-b51c4440b1c1</stp>
        <tr r="L77" s="1"/>
      </tp>
    </main>
    <main first="rtdsrv_eco_1767113794c0457fa0f9656dec12470f">
      <tp>
        <v>2</v>
        <stp/>
        <stp>eb3da87a-bbff-4f42-a5aa-45635af786e6</stp>
        <tr r="D54" s="1"/>
      </tp>
    </main>
    <main first="rtdsrv_eco_1767113794c0457fa0f9656dec12470f">
      <tp>
        <v>2</v>
        <stp/>
        <stp>07eb9d9f-2def-44f3-9ead-7986d171d281</stp>
        <tr r="L15" s="1"/>
      </tp>
    </main>
    <main first="rtdsrv_eco_1767113794c0457fa0f9656dec12470f">
      <tp>
        <v>2</v>
        <stp/>
        <stp>a80f64eb-c391-4966-af80-a8c5867dffe8</stp>
        <tr r="G62" s="1"/>
      </tp>
      <tp>
        <v>2</v>
        <stp/>
        <stp>81b1bda5-d6d7-412a-91cf-73af591e90df</stp>
        <tr r="D27" s="1"/>
      </tp>
    </main>
    <main first="rtdsrv_eco_1767113794c0457fa0f9656dec12470f">
      <tp>
        <v>2</v>
        <stp/>
        <stp>e11d970e-f1eb-468e-82da-25ebb6918437</stp>
        <tr r="I20" s="1"/>
      </tp>
    </main>
    <main first="rtdsrv_eco_1767113794c0457fa0f9656dec12470f">
      <tp>
        <v>2</v>
        <stp/>
        <stp>f9f5c17e-331e-418b-bd35-8b8a8f2c68fe</stp>
        <tr r="J16" s="1"/>
      </tp>
    </main>
    <main first="rtdsrv_eco_1767113794c0457fa0f9656dec12470f">
      <tp>
        <v>2</v>
        <stp/>
        <stp>54f4294c-15d1-4961-be0d-cc4069959199</stp>
        <tr r="K34" s="1"/>
      </tp>
      <tp>
        <v>2</v>
        <stp/>
        <stp>02adcdd4-fb40-4994-9712-4f1b72f1275d</stp>
        <tr r="I56" s="1"/>
      </tp>
    </main>
    <main first="rtdsrv_eco_1767113794c0457fa0f9656dec12470f">
      <tp>
        <v>2</v>
        <stp/>
        <stp>2ec905db-03d9-4b23-9ecc-b4eadbd570b8</stp>
        <tr r="K36" s="1"/>
      </tp>
    </main>
    <main first="rtdsrv_eco_1767113794c0457fa0f9656dec12470f">
      <tp>
        <v>2</v>
        <stp/>
        <stp>872c11a4-a785-4862-9320-7cb94a49730d</stp>
        <tr r="H13" s="1"/>
      </tp>
    </main>
    <main first="rtdsrv_eco_1767113794c0457fa0f9656dec12470f">
      <tp>
        <v>2</v>
        <stp/>
        <stp>3374a002-1d70-45ce-9c3e-45d3c3e2c47e</stp>
        <tr r="I21" s="1"/>
      </tp>
    </main>
    <main first="rtdsrv_eco_1767113794c0457fa0f9656dec12470f">
      <tp>
        <v>2</v>
        <stp/>
        <stp>3b3feaf5-d7e5-40eb-bcf7-369fe6d075e9</stp>
        <tr r="H16" s="1"/>
      </tp>
    </main>
    <main first="rtdsrv_eco_1767113794c0457fa0f9656dec12470f">
      <tp>
        <v>2</v>
        <stp/>
        <stp>301ffdf5-38d5-4466-95e8-0d8c06e7d0f0</stp>
        <tr r="D15" s="1"/>
      </tp>
      <tp>
        <v>2</v>
        <stp/>
        <stp>87f6fb89-7066-4717-8f21-43baac54dac7</stp>
        <tr r="C6" s="1"/>
      </tp>
      <tp>
        <v>2</v>
        <stp/>
        <stp>5b84ba25-eaf8-4e48-8c82-65e0020c37fc</stp>
        <tr r="K31" s="1"/>
      </tp>
    </main>
    <main first="rtdsrv_eco_1767113794c0457fa0f9656dec12470f">
      <tp>
        <v>2</v>
        <stp/>
        <stp>06c910a6-1301-45d3-ba14-10fc912ddb88</stp>
        <tr r="I74" s="1"/>
      </tp>
      <tp>
        <v>2</v>
        <stp/>
        <stp>eb8d11a5-1c36-47be-aee2-7e9dacc2c25b</stp>
        <tr r="H64" s="1"/>
      </tp>
      <tp>
        <v>2</v>
        <stp/>
        <stp>4f362dc0-e979-40b3-8fde-3178bce90499</stp>
        <tr r="D42" s="1"/>
      </tp>
    </main>
    <main first="rtdsrv_eco_1767113794c0457fa0f9656dec12470f">
      <tp>
        <v>2</v>
        <stp/>
        <stp>afa50395-e232-4914-b2c3-268dc25e0539</stp>
        <tr r="D20" s="1"/>
      </tp>
    </main>
    <main first="rtdsrv_eco_1767113794c0457fa0f9656dec12470f">
      <tp>
        <v>2</v>
        <stp/>
        <stp>31ec63f4-4699-4969-a785-816373480cd1</stp>
        <tr r="K30" s="1"/>
      </tp>
    </main>
    <main first="rtdsrv_eco_1767113794c0457fa0f9656dec12470f">
      <tp>
        <v>2</v>
        <stp/>
        <stp>0edf9e35-ec02-459f-afd8-8b17bd9697af</stp>
        <tr r="K70" s="1"/>
      </tp>
      <tp>
        <v>2</v>
        <stp/>
        <stp>12c51cee-1dc8-4539-9ac4-24a0da3d99a8</stp>
        <tr r="E28" s="1"/>
      </tp>
    </main>
    <main first="rtdsrv_eco_1767113794c0457fa0f9656dec12470f">
      <tp>
        <v>2</v>
        <stp/>
        <stp>70d0bcb0-cca4-4987-8677-db7dbac27ee5</stp>
        <tr r="L12" s="1"/>
      </tp>
    </main>
    <main first="rtdsrv_eco_1767113794c0457fa0f9656dec12470f">
      <tp>
        <v>2</v>
        <stp/>
        <stp>d6a13abb-881f-420a-ab90-6384d6321dbe</stp>
        <tr r="E14" s="1"/>
      </tp>
    </main>
    <main first="rtdsrv_eco_1767113794c0457fa0f9656dec12470f">
      <tp>
        <v>2</v>
        <stp/>
        <stp>b065cf3d-a802-4287-b2c3-134d509ab6b2</stp>
        <tr r="L27" s="1"/>
      </tp>
      <tp>
        <v>2</v>
        <stp/>
        <stp>12493d59-c25e-40e2-8ee2-4fea302d2b79</stp>
        <tr r="E41" s="1"/>
      </tp>
    </main>
    <main first="rtdsrv_eco_1767113794c0457fa0f9656dec12470f">
      <tp>
        <v>2</v>
        <stp/>
        <stp>c5f801f9-ad60-4f47-a5c5-eccf0637d2ab</stp>
        <tr r="H58" s="1"/>
      </tp>
    </main>
    <main first="rtdsrv_eco_1767113794c0457fa0f9656dec12470f">
      <tp>
        <v>2</v>
        <stp/>
        <stp>9d1c79f7-d7bc-452f-910f-98936c4d9c15</stp>
        <tr r="H59" s="1"/>
      </tp>
    </main>
    <main first="rtdsrv_eco_1767113794c0457fa0f9656dec12470f">
      <tp>
        <v>2</v>
        <stp/>
        <stp>8c40c3fd-5117-4aa6-a22d-f043c02fe69b</stp>
        <tr r="G27" s="1"/>
      </tp>
    </main>
    <main first="rtdsrv_eco_1767113794c0457fa0f9656dec12470f">
      <tp>
        <v>2</v>
        <stp/>
        <stp>7bab3b4d-09f0-435d-825a-73047d870a18</stp>
        <tr r="D41" s="1"/>
      </tp>
    </main>
    <main first="rtdsrv_eco_1767113794c0457fa0f9656dec12470f">
      <tp>
        <v>2</v>
        <stp/>
        <stp>5a351c8a-a969-4042-80eb-dce36d276d5a</stp>
        <tr r="C3" s="1"/>
      </tp>
    </main>
    <main first="rtdsrv_eco_1767113794c0457fa0f9656dec12470f">
      <tp>
        <v>2</v>
        <stp/>
        <stp>f3658917-f0dd-472e-9efd-38b05b42bb4c</stp>
        <tr r="K66" s="1"/>
      </tp>
      <tp>
        <v>2</v>
        <stp/>
        <stp>1f9d52c6-4d06-4d50-a2f0-bcedd6cca494</stp>
        <tr r="D14" s="1"/>
      </tp>
    </main>
    <main first="rtdsrv_eco_1767113794c0457fa0f9656dec12470f">
      <tp>
        <v>2</v>
        <stp/>
        <stp>6aa5bf5f-af20-42ce-8e26-bf0aefb65ff4</stp>
        <tr r="C62" s="1"/>
      </tp>
    </main>
    <main first="rtdsrv_eco_1767113794c0457fa0f9656dec12470f">
      <tp>
        <v>2</v>
        <stp/>
        <stp>45b81c8b-eb6a-4bde-831b-74365708f377</stp>
        <tr r="E20" s="1"/>
      </tp>
    </main>
    <main first="rtdsrv_eco_1767113794c0457fa0f9656dec12470f">
      <tp>
        <v>2</v>
        <stp/>
        <stp>6115fc5a-f2ef-447a-96a8-d0345a4902ad</stp>
        <tr r="K35" s="1"/>
      </tp>
    </main>
    <main first="rtdsrv_eco_1767113794c0457fa0f9656dec12470f">
      <tp>
        <v>2</v>
        <stp/>
        <stp>d9da4080-7aa6-44cc-9d5e-458ab3d3f9b8</stp>
        <tr r="I19" s="1"/>
      </tp>
    </main>
    <main first="rtdsrv_eco_1767113794c0457fa0f9656dec12470f">
      <tp>
        <v>2</v>
        <stp/>
        <stp>6bb6ef66-d44e-43b5-b364-cc80b686fa21</stp>
        <tr r="I54" s="1"/>
      </tp>
    </main>
    <main first="rtdsrv_eco_1767113794c0457fa0f9656dec12470f">
      <tp>
        <v>2</v>
        <stp/>
        <stp>ff5c9543-1fd0-41cb-9a3c-5d1ee53d45d6</stp>
        <tr r="J55" s="1"/>
      </tp>
      <tp>
        <v>2</v>
        <stp/>
        <stp>45fbca53-a7f5-4185-a048-1f9e2a518d2f</stp>
        <tr r="H56" s="1"/>
      </tp>
    </main>
    <main first="rtdsrv_eco_1767113794c0457fa0f9656dec12470f">
      <tp>
        <v>2</v>
        <stp/>
        <stp>a559fabf-cf87-4a96-a371-37ea253fdc77</stp>
        <tr r="G47" s="1"/>
      </tp>
    </main>
    <main first="rtdsrv_eco_1767113794c0457fa0f9656dec12470f">
      <tp>
        <v>2</v>
        <stp/>
        <stp>981688d3-3831-4d1a-8d8e-f9e8b1d8d60b</stp>
        <tr r="G46" s="1"/>
      </tp>
      <tp>
        <v>2</v>
        <stp/>
        <stp>750e92ca-58ed-40aa-9145-540e36eab13a</stp>
        <tr r="C71" s="1"/>
      </tp>
    </main>
    <main first="rtdsrv_eco_1767113794c0457fa0f9656dec12470f">
      <tp>
        <v>2</v>
        <stp/>
        <stp>c675f2aa-7caf-48d7-9bc3-753e1274a465</stp>
        <tr r="H14" s="1"/>
      </tp>
    </main>
    <main first="rtdsrv_eco_1767113794c0457fa0f9656dec12470f">
      <tp>
        <v>2</v>
        <stp/>
        <stp>531f70a6-3105-48d1-88d1-b91ac971c1e1</stp>
        <tr r="J26" s="1"/>
      </tp>
      <tp>
        <v>2</v>
        <stp/>
        <stp>6abf95c0-dcb5-4f0d-a9a9-bd4e71d4249e</stp>
        <tr r="F53" s="1"/>
      </tp>
      <tp>
        <v>2</v>
        <stp/>
        <stp>ddc80ab6-ba94-4377-9040-b0254d5b1de3</stp>
        <tr r="J22" s="1"/>
      </tp>
    </main>
    <main first="rtdsrv_eco_1767113794c0457fa0f9656dec12470f">
      <tp>
        <v>2</v>
        <stp/>
        <stp>d35fb51e-c50a-44fb-8862-20d460940e15</stp>
        <tr r="F23" s="1"/>
      </tp>
    </main>
    <main first="rtdsrv_eco_1767113794c0457fa0f9656dec12470f">
      <tp>
        <v>2</v>
        <stp/>
        <stp>b36ee677-a9ee-4f7d-a359-0fdd06986137</stp>
        <tr r="L39" s="1"/>
      </tp>
      <tp>
        <v>2</v>
        <stp/>
        <stp>46c582c4-07d3-49e7-a63d-2f9dd7a625e3</stp>
        <tr r="C16" s="1"/>
      </tp>
    </main>
    <main first="rtdsrv_eco_1767113794c0457fa0f9656dec12470f">
      <tp>
        <v>2</v>
        <stp/>
        <stp>56a363eb-3d59-4308-bb18-b159a97bac40</stp>
        <tr r="G16" s="1"/>
      </tp>
    </main>
    <main first="rtdsrv_eco_1767113794c0457fa0f9656dec12470f">
      <tp>
        <v>2</v>
        <stp/>
        <stp>1481ecbf-b0ca-4494-ba73-3a6a9755447d</stp>
        <tr r="K55" s="1"/>
      </tp>
    </main>
    <main first="rtdsrv_eco_1767113794c0457fa0f9656dec12470f">
      <tp>
        <v>2</v>
        <stp/>
        <stp>6caf3fd8-ba63-47b4-b005-e046744c539c</stp>
        <tr r="I41" s="1"/>
      </tp>
      <tp>
        <v>2</v>
        <stp/>
        <stp>c199c1de-b6cb-4b2f-9238-73350f97061c</stp>
        <tr r="J69" s="1"/>
      </tp>
    </main>
    <main first="rtdsrv_eco_1767113794c0457fa0f9656dec12470f">
      <tp>
        <v>2</v>
        <stp/>
        <stp>7b6eb7db-18b2-411a-af18-ba8db69cd74c</stp>
        <tr r="H54" s="1"/>
      </tp>
    </main>
    <main first="rtdsrv_eco_1767113794c0457fa0f9656dec12470f">
      <tp>
        <v>2</v>
        <stp/>
        <stp>a06dc3f1-c813-44bd-91ca-61151780b5e1</stp>
        <tr r="D61" s="1"/>
      </tp>
    </main>
    <main first="rtdsrv_eco_1767113794c0457fa0f9656dec12470f">
      <tp>
        <v>2</v>
        <stp/>
        <stp>7e21670a-7a60-4b8e-ad51-0110040a1d03</stp>
        <tr r="C69" s="1"/>
      </tp>
      <tp>
        <v>2</v>
        <stp/>
        <stp>4b014461-f86b-4511-8f4d-c2d62cd9c09b</stp>
        <tr r="D16" s="1"/>
      </tp>
    </main>
    <main first="rtdsrv_eco_1767113794c0457fa0f9656dec12470f">
      <tp>
        <v>2</v>
        <stp/>
        <stp>77d87cd4-c495-4cc5-aeed-b089f7a0657a</stp>
        <tr r="L76" s="1"/>
      </tp>
    </main>
    <main first="rtdsrv_eco_1767113794c0457fa0f9656dec12470f">
      <tp>
        <v>2</v>
        <stp/>
        <stp>5ca9a12b-2978-4b67-8564-ef7f0c7ba1b0</stp>
        <tr r="C26" s="1"/>
      </tp>
    </main>
    <main first="rtdsrv_eco_1767113794c0457fa0f9656dec12470f">
      <tp>
        <v>2</v>
        <stp/>
        <stp>ae801047-fac8-40df-87f1-96ce3e2b0541</stp>
        <tr r="C42" s="1"/>
      </tp>
    </main>
    <main first="rtdsrv_eco_1767113794c0457fa0f9656dec12470f">
      <tp>
        <v>2</v>
        <stp/>
        <stp>341f191b-e2f9-4096-8431-45cab8bea55e</stp>
        <tr r="H46" s="1"/>
      </tp>
      <tp>
        <v>2</v>
        <stp/>
        <stp>daf3394b-fe41-4775-914b-19b010e1fcea</stp>
        <tr r="G23" s="1"/>
      </tp>
    </main>
    <main first="rtdsrv_eco_1767113794c0457fa0f9656dec12470f">
      <tp>
        <v>2</v>
        <stp/>
        <stp>d680d65e-f433-4090-b43c-7e992f09d3f1</stp>
        <tr r="F46" s="1"/>
      </tp>
    </main>
    <main first="rtdsrv_eco_1767113794c0457fa0f9656dec12470f">
      <tp>
        <v>2</v>
        <stp/>
        <stp>6c3831b8-8cf2-44b0-ad0f-d48f799902f1</stp>
        <tr r="D21" s="1"/>
      </tp>
    </main>
    <main first="rtdsrv_eco_1767113794c0457fa0f9656dec12470f">
      <tp>
        <v>2</v>
        <stp/>
        <stp>901331ae-d641-43d2-99b9-792d5a8708d6</stp>
        <tr r="L53" s="1"/>
      </tp>
    </main>
    <main first="rtdsrv_eco_1767113794c0457fa0f9656dec12470f">
      <tp>
        <v>2</v>
        <stp/>
        <stp>4b6a2ca4-b3f8-4ab0-bb01-dd8f56f9addf</stp>
        <tr r="C21" s="1"/>
      </tp>
    </main>
    <main first="rtdsrv_eco_1767113794c0457fa0f9656dec12470f">
      <tp>
        <v>2</v>
        <stp/>
        <stp>4aafd297-3a6e-414b-952d-bbd647ebb079</stp>
        <tr r="D35" s="1"/>
      </tp>
      <tp>
        <v>2</v>
        <stp/>
        <stp>4ca274d2-2576-414d-9e48-928dd3c5ea85</stp>
        <tr r="K75" s="1"/>
      </tp>
      <tp>
        <v>2</v>
        <stp/>
        <stp>f8fce985-6aca-4277-be32-2b045422d0d1</stp>
        <tr r="G36" s="1"/>
      </tp>
    </main>
    <main first="rtdsrv_eco_1767113794c0457fa0f9656dec12470f">
      <tp>
        <v>2</v>
        <stp/>
        <stp>6a39a148-e84b-4516-8265-a483ed98d0a2</stp>
        <tr r="K69" s="1"/>
      </tp>
      <tp>
        <v>2</v>
        <stp/>
        <stp>3c58fa00-c457-482b-958b-498b54c7acaa</stp>
        <tr r="J35" s="1"/>
      </tp>
    </main>
    <main first="rtdsrv_eco_1767113794c0457fa0f9656dec12470f">
      <tp>
        <v>2</v>
        <stp/>
        <stp>bf852ff4-9edc-45b4-b3a2-a837316130dc</stp>
        <tr r="J54" s="1"/>
      </tp>
    </main>
    <main first="rtdsrv_eco_1767113794c0457fa0f9656dec12470f">
      <tp>
        <v>2</v>
        <stp/>
        <stp>a3ea06b8-cfd5-434f-8c30-df549aab8abe</stp>
        <tr r="G58" s="1"/>
      </tp>
    </main>
    <main first="rtdsrv_eco_1767113794c0457fa0f9656dec12470f">
      <tp>
        <v>2</v>
        <stp/>
        <stp>76ea1b6c-3f6f-4524-b527-1df33a650142</stp>
        <tr r="F16" s="1"/>
      </tp>
    </main>
    <main first="rtdsrv_eco_1767113794c0457fa0f9656dec12470f">
      <tp>
        <v>2</v>
        <stp/>
        <stp>409bb49b-0ee4-4873-84f9-6723b6552581</stp>
        <tr r="K46" s="1"/>
      </tp>
      <tp>
        <v>2</v>
        <stp/>
        <stp>903b7edb-5862-4522-992b-b2a684938376</stp>
        <tr r="D68" s="1"/>
      </tp>
    </main>
    <main first="rtdsrv_eco_1767113794c0457fa0f9656dec12470f">
      <tp>
        <v>2</v>
        <stp/>
        <stp>7ae3f510-171f-41f5-aad0-8a356e611e47</stp>
        <tr r="L25" s="1"/>
      </tp>
    </main>
    <main first="rtdsrv_eco_1767113794c0457fa0f9656dec12470f">
      <tp>
        <v>2</v>
        <stp/>
        <stp>d2831667-89c4-4f5f-be28-7ad809e83b0d</stp>
        <tr r="K41" s="1"/>
      </tp>
    </main>
    <main first="rtdsrv_eco_1767113794c0457fa0f9656dec12470f">
      <tp>
        <v>2</v>
        <stp/>
        <stp>f8a10598-0a90-4094-a88b-60fc8f39d575</stp>
        <tr r="J21" s="1"/>
      </tp>
    </main>
    <main first="rtdsrv_eco_1767113794c0457fa0f9656dec12470f">
      <tp>
        <v>2</v>
        <stp/>
        <stp>b323a719-fcdc-4ba2-b265-7043cad6de06</stp>
        <tr r="L69" s="1"/>
      </tp>
    </main>
    <main first="rtdsrv_eco_1767113794c0457fa0f9656dec12470f">
      <tp>
        <v>2</v>
        <stp/>
        <stp>c07f05cc-1a08-4177-a12f-04fa3324ad52</stp>
        <tr r="K39" s="1"/>
      </tp>
    </main>
    <main first="rtdsrv_eco_1767113794c0457fa0f9656dec12470f">
      <tp>
        <v>2</v>
        <stp/>
        <stp>3c5a1047-5ea2-4eca-aad6-814a2dc82d55</stp>
        <tr r="F64" s="1"/>
      </tp>
    </main>
    <main first="rtdsrv_eco_1767113794c0457fa0f9656dec12470f">
      <tp>
        <v>2</v>
        <stp/>
        <stp>37147b06-9679-4a3b-bed2-188cf40ce4c1</stp>
        <tr r="D67" s="1"/>
      </tp>
      <tp>
        <v>2</v>
        <stp/>
        <stp>f1f81d21-0f04-4c92-b436-7680336943d3</stp>
        <tr r="J60" s="1"/>
      </tp>
    </main>
    <main first="rtdsrv_eco_1767113794c0457fa0f9656dec12470f">
      <tp>
        <v>2</v>
        <stp/>
        <stp>f5584993-327d-41a0-822e-4ed7e34c89fe</stp>
        <tr r="L70" s="1"/>
      </tp>
    </main>
    <main first="rtdsrv_eco_1767113794c0457fa0f9656dec12470f">
      <tp>
        <v>2</v>
        <stp/>
        <stp>d7e7655e-444a-40f7-9eb2-9f8bfb27651a</stp>
        <tr r="H39" s="1"/>
      </tp>
    </main>
    <main first="rtdsrv_eco_1767113794c0457fa0f9656dec12470f">
      <tp>
        <v>2</v>
        <stp/>
        <stp>93f72bc8-6b88-4983-bba8-2dc7b0c40342</stp>
        <tr r="I39" s="1"/>
      </tp>
    </main>
    <main first="rtdsrv_eco_1767113794c0457fa0f9656dec12470f">
      <tp>
        <v>2</v>
        <stp/>
        <stp>2ab7ceaf-e5ce-4741-843c-0067ac1b7b55</stp>
        <tr r="G63" s="1"/>
      </tp>
    </main>
    <main first="rtdsrv_eco_1767113794c0457fa0f9656dec12470f">
      <tp>
        <v>2</v>
        <stp/>
        <stp>3ad0a48c-2089-4d1b-8844-688e2802dc76</stp>
        <tr r="I60" s="1"/>
      </tp>
    </main>
    <main first="rtdsrv_eco_1767113794c0457fa0f9656dec12470f">
      <tp>
        <v>2</v>
        <stp/>
        <stp>0be557c7-741d-4c22-b862-8e5b33c45b0f</stp>
        <tr r="F58" s="1"/>
      </tp>
    </main>
    <main first="rtdsrv_eco_1767113794c0457fa0f9656dec12470f">
      <tp>
        <v>2</v>
        <stp/>
        <stp>293991f8-b468-4f45-beff-0dc059dfa6ef</stp>
        <tr r="F34" s="1"/>
      </tp>
    </main>
    <main first="rtdsrv_eco_1767113794c0457fa0f9656dec12470f">
      <tp>
        <v>2</v>
        <stp/>
        <stp>9200d15b-b52e-40d8-b69c-e9f6993372b4</stp>
        <tr r="H36" s="1"/>
      </tp>
    </main>
    <main first="rtdsrv_eco_1767113794c0457fa0f9656dec12470f">
      <tp>
        <v>2</v>
        <stp/>
        <stp>d5291c35-44dc-4385-8eb1-531d9da78064</stp>
        <tr r="K53" s="1"/>
      </tp>
    </main>
    <main first="rtdsrv_eco_1767113794c0457fa0f9656dec12470f">
      <tp>
        <v>2</v>
        <stp/>
        <stp>9cb73368-4313-4522-ae1d-a123057fe09d</stp>
        <tr r="C32" s="1"/>
      </tp>
    </main>
    <main first="rtdsrv_eco_1767113794c0457fa0f9656dec12470f">
      <tp>
        <v>2</v>
        <stp/>
        <stp>09896d68-be78-4ba8-9f0c-75f1f0b96a10</stp>
        <tr r="H40" s="1"/>
      </tp>
    </main>
    <main first="rtdsrv_eco_1767113794c0457fa0f9656dec12470f">
      <tp>
        <v>2</v>
        <stp/>
        <stp>943a5e0f-ca09-4824-8bf8-e28e038642a3</stp>
        <tr r="D66" s="1"/>
      </tp>
    </main>
    <main first="rtdsrv_eco_1767113794c0457fa0f9656dec12470f">
      <tp>
        <v>2</v>
        <stp/>
        <stp>75330ada-eb08-4233-b7ea-cb75d4177bec</stp>
        <tr r="K71" s="1"/>
      </tp>
      <tp>
        <v>2</v>
        <stp/>
        <stp>a03218bd-50b7-4c2b-9da6-5bc897c8e8ae</stp>
        <tr r="H50" s="1"/>
      </tp>
    </main>
    <main first="rtdsrv_eco_1767113794c0457fa0f9656dec12470f">
      <tp>
        <v>2</v>
        <stp/>
        <stp>79088135-764a-4577-8914-108a699dbc40</stp>
        <tr r="L21" s="1"/>
      </tp>
      <tp>
        <v>2</v>
        <stp/>
        <stp>ba55473b-a492-4cda-a6cb-82e611893e9a</stp>
        <tr r="L71" s="1"/>
      </tp>
    </main>
    <main first="rtdsrv_eco_1767113794c0457fa0f9656dec12470f">
      <tp>
        <v>2</v>
        <stp/>
        <stp>f685f795-2425-4098-9735-4d6748f0a7cc</stp>
        <tr r="D30" s="1"/>
      </tp>
      <tp>
        <v>2</v>
        <stp/>
        <stp>b820c021-970c-46d7-acbb-fac5ef7a202d</stp>
        <tr r="E36" s="1"/>
      </tp>
      <tp>
        <v>2</v>
        <stp/>
        <stp>45aa145e-c506-4e56-ba94-5746d00319c9</stp>
        <tr r="D75" s="1"/>
      </tp>
    </main>
    <main first="rtdsrv_eco_1767113794c0457fa0f9656dec12470f">
      <tp>
        <v>2</v>
        <stp/>
        <stp>84352501-c935-4893-b977-6d4dec7ea2e9</stp>
        <tr r="I22" s="1"/>
      </tp>
    </main>
    <main first="rtdsrv_eco_1767113794c0457fa0f9656dec12470f">
      <tp>
        <v>2</v>
        <stp/>
        <stp>07d7b248-5085-4923-bbd4-00137060049e</stp>
        <tr r="L19" s="1"/>
      </tp>
    </main>
    <main first="rtdsrv_eco_1767113794c0457fa0f9656dec12470f">
      <tp>
        <v>2</v>
        <stp/>
        <stp>7abde736-ae86-4be7-a736-159654d1ea6a</stp>
        <tr r="D24" s="1"/>
      </tp>
      <tp>
        <v>2</v>
        <stp/>
        <stp>2ba7b1a3-07d9-44fe-bf61-2fa33f85cc64</stp>
        <tr r="E57" s="1"/>
      </tp>
    </main>
    <main first="rtdsrv_eco_1767113794c0457fa0f9656dec12470f">
      <tp>
        <v>2</v>
        <stp/>
        <stp>7e50f746-b829-4031-92f9-3c0e41a8ff84</stp>
        <tr r="K49" s="1"/>
      </tp>
    </main>
    <main first="rtdsrv_eco_1767113794c0457fa0f9656dec12470f">
      <tp>
        <v>2</v>
        <stp/>
        <stp>af5d92e3-58c7-4929-b101-c87cb65f653e</stp>
        <tr r="F55" s="1"/>
      </tp>
      <tp>
        <v>2</v>
        <stp/>
        <stp>68cb538e-844e-403a-8665-7ff26dfb5525</stp>
        <tr r="E64" s="1"/>
      </tp>
    </main>
    <main first="rtdsrv_eco_1767113794c0457fa0f9656dec12470f">
      <tp>
        <v>2</v>
        <stp/>
        <stp>8195a047-7b83-412d-b30d-b5aa6f568b87</stp>
        <tr r="H27" s="1"/>
      </tp>
    </main>
    <main first="rtdsrv_eco_1767113794c0457fa0f9656dec12470f">
      <tp>
        <v>2</v>
        <stp/>
        <stp>c428a141-9707-431b-aad7-dea7098c5589</stp>
        <tr r="G55" s="1"/>
      </tp>
      <tp>
        <v>2</v>
        <stp/>
        <stp>65541537-c4fd-44c5-ae5e-0bada4ee2f40</stp>
        <tr r="G24" s="1"/>
      </tp>
    </main>
    <main first="rtdsrv_eco_1767113794c0457fa0f9656dec12470f">
      <tp>
        <v>2</v>
        <stp/>
        <stp>81311b28-c5d1-46af-9d41-fa419ca7d36f</stp>
        <tr r="D50" s="1"/>
      </tp>
    </main>
    <main first="rtdsrv_eco_1767113794c0457fa0f9656dec12470f">
      <tp>
        <v>2</v>
        <stp/>
        <stp>3f038fde-c3ea-45fe-9363-e1ce6d7456e8</stp>
        <tr r="F50" s="1"/>
      </tp>
      <tp>
        <v>2</v>
        <stp/>
        <stp>4f4d1ce3-2a21-413c-a1f6-a1ebc572be15</stp>
        <tr r="I68" s="1"/>
      </tp>
    </main>
    <main first="rtdsrv_eco_1767113794c0457fa0f9656dec12470f">
      <tp>
        <v>2</v>
        <stp/>
        <stp>43680a57-34f7-4331-b092-f56446c9793e</stp>
        <tr r="L43" s="1"/>
      </tp>
    </main>
    <main first="rtdsrv_eco_1767113794c0457fa0f9656dec12470f">
      <tp>
        <v>2</v>
        <stp/>
        <stp>af0cabf2-f00f-41aa-a7a4-4ac4f5d12e74</stp>
        <tr r="C34" s="1"/>
      </tp>
    </main>
    <main first="rtdsrv_eco_1767113794c0457fa0f9656dec12470f">
      <tp>
        <v>2</v>
        <stp/>
        <stp>bd557c03-fa06-4b11-b2dc-91c19b4d7422</stp>
        <tr r="L75" s="1"/>
      </tp>
      <tp>
        <v>2</v>
        <stp/>
        <stp>ba574f7a-f6fc-490c-8601-797ee9be8a15</stp>
        <tr r="D23" s="1"/>
      </tp>
    </main>
    <main first="rtdsrv_eco_1767113794c0457fa0f9656dec12470f">
      <tp>
        <v>2</v>
        <stp/>
        <stp>adfebec0-a16e-4cf0-b5d7-5b56a7a80263</stp>
        <tr r="E27" s="1"/>
      </tp>
    </main>
    <main first="rtdsrv_eco_1767113794c0457fa0f9656dec12470f">
      <tp>
        <v>2</v>
        <stp/>
        <stp>0a90db77-7098-4aeb-b53f-d2f82de1ece9</stp>
        <tr r="L40" s="1"/>
      </tp>
    </main>
    <main first="rtdsrv_eco_1767113794c0457fa0f9656dec12470f">
      <tp>
        <v>2</v>
        <stp/>
        <stp>54836d31-ef4c-4115-8b4f-e57bb0599a7c</stp>
        <tr r="F19" s="1"/>
      </tp>
    </main>
    <main first="rtdsrv_eco_1767113794c0457fa0f9656dec12470f">
      <tp>
        <v>2</v>
        <stp/>
        <stp>c0b5f7b0-0bf1-4770-93b9-4f5fcaf5b253</stp>
        <tr r="D76" s="1"/>
      </tp>
    </main>
    <main first="rtdsrv_eco_1767113794c0457fa0f9656dec12470f">
      <tp>
        <v>2</v>
        <stp/>
        <stp>d04cc340-2933-4b08-95a2-c35588fcc3e3</stp>
        <tr r="D71" s="1"/>
      </tp>
    </main>
    <main first="rtdsrv_eco_1767113794c0457fa0f9656dec12470f">
      <tp>
        <v>2</v>
        <stp/>
        <stp>9f3ccc8c-df4b-46c4-beed-52abc718feec</stp>
        <tr r="K50" s="1"/>
      </tp>
    </main>
    <main first="rtdsrv_eco_1767113794c0457fa0f9656dec12470f">
      <tp>
        <v>2</v>
        <stp/>
        <stp>d022f518-a41c-48d7-9d1e-23af6be2fca5</stp>
        <tr r="K24" s="1"/>
      </tp>
      <tp>
        <v>2</v>
        <stp/>
        <stp>c3509ca8-8a77-49da-9ada-fc526fa8287a</stp>
        <tr r="H23" s="1"/>
      </tp>
    </main>
    <main first="rtdsrv_eco_1767113794c0457fa0f9656dec12470f">
      <tp>
        <v>2</v>
        <stp/>
        <stp>118dff1f-e117-4e46-9515-f11080949d62</stp>
        <tr r="F60" s="1"/>
      </tp>
    </main>
    <main first="rtdsrv_eco_1767113794c0457fa0f9656dec12470f">
      <tp>
        <v>2</v>
        <stp/>
        <stp>a7a59d62-f65e-4f3b-b32b-c503bfe23fdc</stp>
        <tr r="C59" s="1"/>
      </tp>
      <tp>
        <v>2</v>
        <stp/>
        <stp>4f7b948e-a74c-4525-bac6-6ab15ed8519a</stp>
        <tr r="G53" s="1"/>
      </tp>
    </main>
    <main first="rtdsrv_eco_1767113794c0457fa0f9656dec12470f">
      <tp>
        <v>2</v>
        <stp/>
        <stp>85fb5a4d-721c-4e55-a64e-3320532a7251</stp>
        <tr r="L74" s="1"/>
      </tp>
      <tp>
        <v>2</v>
        <stp/>
        <stp>b281dc9c-036a-4c64-9948-2cc1c15dcc3a</stp>
        <tr r="L67" s="1"/>
      </tp>
    </main>
    <main first="rtdsrv_eco_1767113794c0457fa0f9656dec12470f">
      <tp>
        <v>2</v>
        <stp/>
        <stp>c6484b87-2fd3-48ce-9523-900f302d0a48</stp>
        <tr r="K57" s="1"/>
      </tp>
    </main>
    <main first="rtdsrv_eco_1767113794c0457fa0f9656dec12470f">
      <tp>
        <v>2</v>
        <stp/>
        <stp>2b708673-689d-4469-b351-f43fe8b4026d</stp>
        <tr r="C14" s="1"/>
      </tp>
      <tp>
        <v>2</v>
        <stp/>
        <stp>5fff5335-8b04-4fdb-9f10-6c8fc40ff9b3</stp>
        <tr r="F13" s="1"/>
      </tp>
      <tp>
        <v>2</v>
        <stp/>
        <stp>e336bf83-dbf4-44fb-a5e4-ba225badfec4</stp>
        <tr r="C50" s="1"/>
      </tp>
      <tp>
        <v>2</v>
        <stp/>
        <stp>329fb432-9d5a-4fef-9e10-09e0b4f93563</stp>
        <tr r="E61" s="1"/>
      </tp>
    </main>
    <main first="rtdsrv_eco_1767113794c0457fa0f9656dec12470f">
      <tp>
        <v>2</v>
        <stp/>
        <stp>885310aa-d7be-4e02-9b36-bc9948500f32</stp>
        <tr r="J42" s="1"/>
      </tp>
      <tp>
        <v>2</v>
        <stp/>
        <stp>b31c3f96-3180-4d75-840b-e014c0ac33a5</stp>
        <tr r="C67" s="1"/>
      </tp>
    </main>
    <main first="rtdsrv_eco_1767113794c0457fa0f9656dec12470f">
      <tp>
        <v>2</v>
        <stp/>
        <stp>d9afa818-e28b-4fcd-b527-9afb9391f0c8</stp>
        <tr r="I77" s="1"/>
      </tp>
    </main>
    <main first="rtdsrv_eco_1767113794c0457fa0f9656dec12470f">
      <tp>
        <v>2</v>
        <stp/>
        <stp>74da0d38-b3f4-43b8-9574-20053e3c2848</stp>
        <tr r="F74" s="1"/>
      </tp>
      <tp>
        <v>2</v>
        <stp/>
        <stp>3d9e2502-c3a4-4b5f-8042-616ec09721a5</stp>
        <tr r="H65" s="1"/>
      </tp>
      <tp>
        <v>2</v>
        <stp/>
        <stp>9aaa4c53-4026-4136-9114-fb2ac703244c</stp>
        <tr r="E22" s="1"/>
      </tp>
      <tp>
        <v>2</v>
        <stp/>
        <stp>f2481149-c621-41bc-92a3-86066aaa1e1e</stp>
        <tr r="E16" s="1"/>
      </tp>
    </main>
    <main first="rtdsrv_eco_1767113794c0457fa0f9656dec12470f">
      <tp>
        <v>2</v>
        <stp/>
        <stp>ebd75f1f-c459-40e7-9a30-de3a8f134070</stp>
        <tr r="F71" s="1"/>
      </tp>
    </main>
    <main first="rtdsrv_eco_1767113794c0457fa0f9656dec12470f">
      <tp>
        <v>2</v>
        <stp/>
        <stp>ec946c66-7659-4f91-9f35-744f8792efec</stp>
        <tr r="G33" s="1"/>
      </tp>
    </main>
    <main first="rtdsrv_eco_1767113794c0457fa0f9656dec12470f">
      <tp>
        <v>2</v>
        <stp/>
        <stp>73fb236a-09db-49ab-b48d-dfb64876ad90</stp>
        <tr r="F69" s="1"/>
      </tp>
    </main>
    <main first="rtdsrv_eco_1767113794c0457fa0f9656dec12470f">
      <tp>
        <v>2</v>
        <stp/>
        <stp>b9b53ec5-c87d-476c-a817-e9a855d66053</stp>
        <tr r="E40" s="1"/>
      </tp>
      <tp>
        <v>2</v>
        <stp/>
        <stp>78de72e9-2846-4e3e-b4f5-98d1c3753aa2</stp>
        <tr r="F36" s="1"/>
      </tp>
    </main>
    <main first="rtdsrv_eco_1767113794c0457fa0f9656dec12470f">
      <tp>
        <v>2</v>
        <stp/>
        <stp>ca0337c1-d846-46e4-9b73-0a2c45f5445d</stp>
        <tr r="J65" s="1"/>
      </tp>
    </main>
    <main first="rtdsrv_eco_1767113794c0457fa0f9656dec12470f">
      <tp>
        <v>2</v>
        <stp/>
        <stp>a722c6f3-7395-43b3-b885-cf6f637739e1</stp>
        <tr r="L61" s="1"/>
      </tp>
      <tp>
        <v>2</v>
        <stp/>
        <stp>31d556c5-876a-4b1d-873c-4fb0f90fbf7d</stp>
        <tr r="H57" s="1"/>
      </tp>
    </main>
    <main first="rtdsrv_eco_1767113794c0457fa0f9656dec12470f">
      <tp>
        <v>2</v>
        <stp/>
        <stp>45951ad3-27e2-41c4-975f-d0571582232a</stp>
        <tr r="L29" s="1"/>
      </tp>
      <tp>
        <v>2</v>
        <stp/>
        <stp>d6f6cf78-4dce-4dcb-b750-e7c2a3363ff4</stp>
        <tr r="L54" s="1"/>
      </tp>
    </main>
    <main first="rtdsrv_eco_1767113794c0457fa0f9656dec12470f">
      <tp>
        <v>2</v>
        <stp/>
        <stp>e5481ffe-bb20-4842-b2f3-e2d08742d1ab</stp>
        <tr r="D60" s="1"/>
      </tp>
    </main>
    <main first="rtdsrv_eco_1767113794c0457fa0f9656dec12470f">
      <tp>
        <v>2</v>
        <stp/>
        <stp>91574a6d-e5c9-4565-8c11-af5a0ce44efa</stp>
        <tr r="C57" s="1"/>
      </tp>
    </main>
    <main first="rtdsrv_eco_1767113794c0457fa0f9656dec12470f">
      <tp>
        <v>2</v>
        <stp/>
        <stp>93199146-6e80-443e-b20a-3653641ac259</stp>
        <tr r="C23" s="1"/>
      </tp>
    </main>
    <main first="rtdsrv_eco_1767113794c0457fa0f9656dec12470f">
      <tp>
        <v>2</v>
        <stp/>
        <stp>e29bdf48-cf37-4d94-9350-3772744a4d75</stp>
        <tr r="D59" s="1"/>
      </tp>
    </main>
    <main first="rtdsrv_eco_1767113794c0457fa0f9656dec12470f">
      <tp>
        <v>2</v>
        <stp/>
        <stp>2fb68fec-13d6-4fb3-81c9-3ace4ade80aa</stp>
        <tr r="G35" s="1"/>
      </tp>
    </main>
    <main first="rtdsrv_eco_1767113794c0457fa0f9656dec12470f">
      <tp>
        <v>2</v>
        <stp/>
        <stp>ff7355bd-254c-4c5e-8da7-b444a11a9181</stp>
        <tr r="C30" s="1"/>
      </tp>
    </main>
    <main first="rtdsrv_eco_1767113794c0457fa0f9656dec12470f">
      <tp>
        <v>2</v>
        <stp/>
        <stp>553bc937-a19a-4a3e-879c-e2ade0bdcb9b</stp>
        <tr r="G65" s="1"/>
      </tp>
    </main>
    <main first="rtdsrv_eco_1767113794c0457fa0f9656dec12470f">
      <tp>
        <v>2</v>
        <stp/>
        <stp>abea3ef2-e7f9-48d1-8721-32480d152ff7</stp>
        <tr r="L20" s="1"/>
      </tp>
    </main>
    <main first="rtdsrv_eco_1767113794c0457fa0f9656dec12470f">
      <tp>
        <v>2</v>
        <stp/>
        <stp>ac1c2932-53d4-468a-b1c4-8da7eafbc9a4</stp>
        <tr r="C31" s="1"/>
      </tp>
    </main>
    <main first="rtdsrv_eco_1767113794c0457fa0f9656dec12470f">
      <tp>
        <v>2</v>
        <stp/>
        <stp>cdb43400-7082-4b87-ad6e-dbee5f5eb354</stp>
        <tr r="H19" s="1"/>
      </tp>
    </main>
    <main first="rtdsrv_eco_1767113794c0457fa0f9656dec12470f">
      <tp>
        <v>2</v>
        <stp/>
        <stp>a29b6884-da39-46f6-b454-fa333e7c6805</stp>
        <tr r="D55" s="1"/>
      </tp>
      <tp>
        <v>2</v>
        <stp/>
        <stp>79025a5f-63b0-4690-a582-2bb1814a0d2b</stp>
        <tr r="G69" s="1"/>
      </tp>
    </main>
    <main first="rtdsrv_eco_1767113794c0457fa0f9656dec12470f">
      <tp>
        <v>2</v>
        <stp/>
        <stp>d5a288ba-052a-4c73-ace1-339aee1a4c02</stp>
        <tr r="G67" s="1"/>
      </tp>
    </main>
    <main first="rtdsrv_eco_1767113794c0457fa0f9656dec12470f">
      <tp>
        <v>2</v>
        <stp/>
        <stp>a4745b08-fd4f-4630-a398-e4027602aebc</stp>
        <tr r="E29" s="1"/>
      </tp>
    </main>
    <main first="rtdsrv_eco_1767113794c0457fa0f9656dec12470f">
      <tp>
        <v>2</v>
        <stp/>
        <stp>9f460974-d4d8-4797-84f7-633f3d01cc76</stp>
        <tr r="L50" s="1"/>
      </tp>
    </main>
    <main first="rtdsrv_eco_1767113794c0457fa0f9656dec12470f">
      <tp>
        <v>2</v>
        <stp/>
        <stp>b7dc98ca-0b12-4b93-adf0-56938084d2fd</stp>
        <tr r="C33" s="1"/>
      </tp>
    </main>
    <main first="rtdsrv_eco_1767113794c0457fa0f9656dec12470f">
      <tp>
        <v>2</v>
        <stp/>
        <stp>b57ec542-95a9-4f25-9bec-fc763e0871b1</stp>
        <tr r="F28" s="1"/>
      </tp>
    </main>
    <main first="rtdsrv_eco_1767113794c0457fa0f9656dec12470f">
      <tp>
        <v>2</v>
        <stp/>
        <stp>69996f19-2ccc-4c94-9188-458df2272826</stp>
        <tr r="F68" s="1"/>
      </tp>
    </main>
    <main first="rtdsrv_eco_1767113794c0457fa0f9656dec12470f">
      <tp>
        <v>2</v>
        <stp/>
        <stp>65eb0000-71ce-4a4f-9735-57e9088de6f8</stp>
        <tr r="J29" s="1"/>
      </tp>
    </main>
    <main first="rtdsrv_eco_1767113794c0457fa0f9656dec12470f">
      <tp>
        <v>2</v>
        <stp/>
        <stp>188329bf-93f1-45cd-a90c-9d3c5cf4d563</stp>
        <tr r="G74" s="1"/>
      </tp>
    </main>
    <main first="rtdsrv_eco_1767113794c0457fa0f9656dec12470f">
      <tp>
        <v>2</v>
        <stp/>
        <stp>d96eb26c-559e-487e-93d3-963c3fc2b11d</stp>
        <tr r="K68" s="1"/>
      </tp>
    </main>
    <main first="rtdsrv_eco_1767113794c0457fa0f9656dec12470f">
      <tp>
        <v>2</v>
        <stp/>
        <stp>e6d492d9-3b23-45bd-8ea6-2d340845b019</stp>
        <tr r="F24" s="1"/>
      </tp>
    </main>
    <main first="rtdsrv_eco_1767113794c0457fa0f9656dec12470f">
      <tp>
        <v>2</v>
        <stp/>
        <stp>297275aa-ce1c-40fb-93f0-223aed74ecfb</stp>
        <tr r="C15" s="1"/>
      </tp>
      <tp>
        <v>2</v>
        <stp/>
        <stp>00361b96-8857-453b-b2d2-6248e0d54016</stp>
        <tr r="C61" s="1"/>
      </tp>
    </main>
    <main first="rtdsrv_eco_1767113794c0457fa0f9656dec12470f">
      <tp>
        <v>2</v>
        <stp/>
        <stp>93cbd9e4-0d57-45aa-8030-fac9e28c3d5d</stp>
        <tr r="D65" s="1"/>
      </tp>
    </main>
    <main first="rtdsrv_eco_1767113794c0457fa0f9656dec12470f">
      <tp>
        <v>2</v>
        <stp/>
        <stp>1bd00811-5a7e-42ed-bb2b-bd9371eee336</stp>
        <tr r="E19" s="1"/>
      </tp>
      <tp>
        <v>2</v>
        <stp/>
        <stp>92e4e9a0-b1c4-49d0-a98f-03c5390ab495</stp>
        <tr r="E13" s="1"/>
      </tp>
    </main>
    <main first="rtdsrv_eco_1767113794c0457fa0f9656dec12470f">
      <tp>
        <v>2</v>
        <stp/>
        <stp>ea624bb1-9167-4d37-a9c6-1a9c0af3d151</stp>
        <tr r="L63" s="1"/>
      </tp>
    </main>
    <main first="rtdsrv_eco_1767113794c0457fa0f9656dec12470f">
      <tp>
        <v>2</v>
        <stp/>
        <stp>d999ca49-2ff4-47a4-972d-ac9e3142ca72</stp>
        <tr r="L66" s="1"/>
      </tp>
    </main>
    <main first="rtdsrv_eco_1767113794c0457fa0f9656dec12470f">
      <tp>
        <v>2</v>
        <stp/>
        <stp>800923cf-7e89-4605-8c84-3ac33af1bf52</stp>
        <tr r="K16" s="1"/>
      </tp>
    </main>
    <main first="rtdsrv_eco_1767113794c0457fa0f9656dec12470f">
      <tp>
        <v>2</v>
        <stp/>
        <stp>41b5799a-2f4f-403d-8cd3-a1f03a7a951f</stp>
        <tr r="K19" s="1"/>
      </tp>
    </main>
    <main first="rtdsrv_eco_1767113794c0457fa0f9656dec12470f">
      <tp>
        <v>2</v>
        <stp/>
        <stp>29620c88-a6cf-472f-9906-5b5f16173fa4</stp>
        <tr r="C29" s="1"/>
      </tp>
      <tp>
        <v>2</v>
        <stp/>
        <stp>fbaa83de-d830-4bef-a638-d94971c66799</stp>
        <tr r="F70" s="1"/>
      </tp>
      <tp>
        <v>2</v>
        <stp/>
        <stp>2b712082-a901-47b9-9ed9-fbe06edb06e4</stp>
        <tr r="K48" s="1"/>
      </tp>
    </main>
    <main first="rtdsrv_eco_1767113794c0457fa0f9656dec12470f">
      <tp>
        <v>2</v>
        <stp/>
        <stp>02c5290b-238b-428a-9865-f494bdf02abe</stp>
        <tr r="G29" s="1"/>
      </tp>
    </main>
    <main first="rtdsrv_eco_1767113794c0457fa0f9656dec12470f">
      <tp>
        <v>2</v>
        <stp/>
        <stp>293486ed-255d-41d6-92ce-ac1e2c4817d6</stp>
        <tr r="E43" s="1"/>
      </tp>
    </main>
    <main first="rtdsrv_eco_1767113794c0457fa0f9656dec12470f">
      <tp>
        <v>2</v>
        <stp/>
        <stp>d60264c3-e7c5-4a03-8785-8ccf3d5814a2</stp>
        <tr r="L16" s="1"/>
      </tp>
    </main>
    <main first="rtdsrv_eco_1767113794c0457fa0f9656dec12470f">
      <tp>
        <v>2</v>
        <stp/>
        <stp>993d87ff-6e26-46d1-91e4-07749fb30b0c</stp>
        <tr r="C27" s="1"/>
      </tp>
    </main>
    <main first="rtdsrv_eco_1767113794c0457fa0f9656dec12470f">
      <tp>
        <v>2</v>
        <stp/>
        <stp>4032dbd6-d707-4dd4-9e86-1fbc1755a4a1</stp>
        <tr r="H60" s="1"/>
      </tp>
      <tp>
        <v>2</v>
        <stp/>
        <stp>4810117d-5f5a-4590-bb6a-81ed3fbd72f9</stp>
        <tr r="F67" s="1"/>
      </tp>
    </main>
    <main first="rtdsrv_eco_1767113794c0457fa0f9656dec12470f">
      <tp>
        <v>2</v>
        <stp/>
        <stp>d0942814-de3a-4826-a772-d60b8bc2ae30</stp>
        <tr r="H68" s="1"/>
      </tp>
    </main>
    <main first="rtdsrv_eco_1767113794c0457fa0f9656dec12470f">
      <tp>
        <v>2</v>
        <stp/>
        <stp>57f96e27-1566-4046-8b24-e54c269f98bd</stp>
        <tr r="L65" s="1"/>
      </tp>
    </main>
    <main first="rtdsrv_eco_1767113794c0457fa0f9656dec12470f">
      <tp>
        <v>2</v>
        <stp/>
        <stp>53bd94af-099e-4022-8496-5ce68f1d1ea4</stp>
        <tr r="I63" s="1"/>
      </tp>
      <tp>
        <v>2</v>
        <stp/>
        <stp>f2db1394-83a4-43cb-b3ce-3f0a9d691f53</stp>
        <tr r="F47" s="1"/>
      </tp>
      <tp>
        <v>2</v>
        <stp/>
        <stp>e0b29983-2d74-42cf-a25c-4a67ecc4f60c</stp>
        <tr r="K23" s="1"/>
      </tp>
    </main>
    <main first="rtdsrv_eco_1767113794c0457fa0f9656dec12470f">
      <tp>
        <v>2</v>
        <stp/>
        <stp>a6f148e3-106c-4360-a442-b52581cc5cfb</stp>
        <tr r="D29" s="1"/>
      </tp>
    </main>
    <main first="rtdsrv_eco_1767113794c0457fa0f9656dec12470f">
      <tp>
        <v>2</v>
        <stp/>
        <stp>470214ac-63e9-4291-a202-cf9ed68a38dd</stp>
        <tr r="L34" s="1"/>
      </tp>
    </main>
    <main first="rtdsrv_eco_1767113794c0457fa0f9656dec12470f">
      <tp>
        <v>2</v>
        <stp/>
        <stp>14b4ab69-7f52-4f9d-8787-adfe85d1c039</stp>
        <tr r="I69" s="1"/>
      </tp>
    </main>
    <main first="rtdsrv_eco_1767113794c0457fa0f9656dec12470f">
      <tp>
        <v>2</v>
        <stp/>
        <stp>9ddd4db9-8911-428f-8b6f-760ae08492b5</stp>
        <tr r="J19" s="1"/>
      </tp>
    </main>
    <main first="rtdsrv_eco_1767113794c0457fa0f9656dec12470f">
      <tp>
        <v>2</v>
        <stp/>
        <stp>f037094a-deb6-469c-bfc1-430faa565ceb</stp>
        <tr r="L33" s="1"/>
      </tp>
    </main>
    <main first="rtdsrv_eco_1767113794c0457fa0f9656dec12470f">
      <tp>
        <v>2</v>
        <stp/>
        <stp>2305778b-43d1-4c62-8989-74c9330baac9</stp>
        <tr r="J20" s="1"/>
      </tp>
    </main>
    <main first="rtdsrv_eco_1767113794c0457fa0f9656dec12470f">
      <tp>
        <v>2</v>
        <stp/>
        <stp>8c923db5-0939-4610-8653-3f04a8c50036</stp>
        <tr r="L14" s="1"/>
      </tp>
    </main>
    <main first="rtdsrv_eco_1767113794c0457fa0f9656dec12470f">
      <tp>
        <v>2</v>
        <stp/>
        <stp>a49e263a-fe1a-4287-a90d-fe6828ae1b72</stp>
        <tr r="K58" s="1"/>
      </tp>
    </main>
    <main first="rtdsrv_eco_1767113794c0457fa0f9656dec12470f">
      <tp>
        <v>2</v>
        <stp/>
        <stp>eddc6e72-9b0e-4e19-8d99-d46dccc2c370</stp>
        <tr r="C35" s="1"/>
      </tp>
    </main>
    <main first="rtdsrv_eco_1767113794c0457fa0f9656dec12470f">
      <tp>
        <v>2</v>
        <stp/>
        <stp>d4525686-4d27-4da4-9916-25b6c8d45b05</stp>
        <tr r="F14" s="1"/>
      </tp>
    </main>
    <main first="rtdsrv_eco_1767113794c0457fa0f9656dec12470f">
      <tp>
        <v>2</v>
        <stp/>
        <stp>b7bc87dc-d76c-4638-a4f6-00ec5735ba99</stp>
        <tr r="F49" s="1"/>
      </tp>
    </main>
    <main first="rtdsrv_eco_1767113794c0457fa0f9656dec12470f">
      <tp>
        <v>2</v>
        <stp/>
        <stp>7baebef4-cb0c-4c9b-887f-c928dde8e011</stp>
        <tr r="F27" s="1"/>
      </tp>
    </main>
    <main first="rtdsrv_eco_1767113794c0457fa0f9656dec12470f">
      <tp>
        <v>2</v>
        <stp/>
        <stp>84eaf5c2-d2ed-4a05-bf13-ddda7ac0e8d8</stp>
        <tr r="I46" s="1"/>
      </tp>
    </main>
    <main first="rtdsrv_eco_1767113794c0457fa0f9656dec12470f">
      <tp>
        <v>2</v>
        <stp/>
        <stp>74b8adee-9a3e-43c6-8d2a-393e6800d0ea</stp>
        <tr r="K20" s="1"/>
      </tp>
    </main>
    <main first="rtdsrv_eco_1767113794c0457fa0f9656dec12470f">
      <tp>
        <v>2</v>
        <stp/>
        <stp>e9c535bf-2733-4578-9174-688ffb44f617</stp>
        <tr r="I48" s="1"/>
      </tp>
    </main>
    <main first="rtdsrv_eco_1767113794c0457fa0f9656dec12470f">
      <tp>
        <v>2</v>
        <stp/>
        <stp>4832baee-630a-4470-a158-f0c9af8b3a93</stp>
        <tr r="E71" s="1"/>
      </tp>
    </main>
    <main first="rtdsrv_eco_1767113794c0457fa0f9656dec12470f">
      <tp>
        <v>2</v>
        <stp/>
        <stp>c6dd351c-4c5a-4ed0-a7de-c5ed281c7390</stp>
        <tr r="D36" s="1"/>
      </tp>
      <tp>
        <v>2</v>
        <stp/>
        <stp>fa925936-0315-4833-8dd8-9b4d918f3109</stp>
        <tr r="G42" s="1"/>
      </tp>
    </main>
    <main first="rtdsrv_eco_1767113794c0457fa0f9656dec12470f">
      <tp>
        <v>2</v>
        <stp/>
        <stp>80bcd008-9aeb-47d8-ac87-2b85e620b031</stp>
        <tr r="D49" s="1"/>
      </tp>
    </main>
    <main first="rtdsrv_eco_1767113794c0457fa0f9656dec12470f">
      <tp>
        <v>2</v>
        <stp/>
        <stp>eb0cd9d8-cb05-4c32-ace6-75880c0c5d14</stp>
        <tr r="C24" s="1"/>
      </tp>
    </main>
    <main first="rtdsrv_eco_1767113794c0457fa0f9656dec12470f">
      <tp>
        <v>2</v>
        <stp/>
        <stp>16635b6d-9b21-44dc-921a-4943d8f9dcfe</stp>
        <tr r="F77" s="1"/>
      </tp>
    </main>
    <main first="rtdsrv_eco_1767113794c0457fa0f9656dec12470f">
      <tp>
        <v>2</v>
        <stp/>
        <stp>c269a4fc-4f0f-47c5-808d-13664e1784b5</stp>
        <tr r="C74" s="1"/>
      </tp>
    </main>
    <main first="rtdsrv_eco_1767113794c0457fa0f9656dec12470f">
      <tp>
        <v>2</v>
        <stp/>
        <stp>f75c9d6d-5151-4e6b-a2d2-61b819c6b57f</stp>
        <tr r="L62" s="1"/>
      </tp>
    </main>
    <main first="rtdsrv_eco_1767113794c0457fa0f9656dec12470f">
      <tp>
        <v>2</v>
        <stp/>
        <stp>da9129ac-56b9-4ae6-b190-437084d95882</stp>
        <tr r="K21" s="1"/>
      </tp>
    </main>
    <main first="rtdsrv_eco_1767113794c0457fa0f9656dec12470f">
      <tp>
        <v>2</v>
        <stp/>
        <stp>0183dfdb-fc1d-46a9-bc3f-656b4fb4059b</stp>
        <tr r="C65" s="1"/>
      </tp>
    </main>
    <main first="rtdsrv_eco_1767113794c0457fa0f9656dec12470f">
      <tp>
        <v>2</v>
        <stp/>
        <stp>15ee55aa-a948-4553-83a8-23a9b91c7df9</stp>
        <tr r="C54" s="1"/>
      </tp>
    </main>
    <main first="rtdsrv_eco_1767113794c0457fa0f9656dec12470f">
      <tp>
        <v>2</v>
        <stp/>
        <stp>5549b473-31cc-42a5-bfd4-777a60ea09e4</stp>
        <tr r="C40" s="1"/>
      </tp>
    </main>
    <main first="rtdsrv_eco_1767113794c0457fa0f9656dec12470f">
      <tp>
        <v>2</v>
        <stp/>
        <stp>feaf1450-6623-4049-8d0a-74ef2ea9fb78</stp>
        <tr r="K15" s="1"/>
      </tp>
    </main>
    <main first="rtdsrv_eco_1767113794c0457fa0f9656dec12470f">
      <tp>
        <v>2</v>
        <stp/>
        <stp>a38bb9b0-53b7-459c-b7ec-87416c61b08e</stp>
        <tr r="G75" s="1"/>
      </tp>
    </main>
    <main first="rtdsrv_eco_1767113794c0457fa0f9656dec12470f">
      <tp>
        <v>2</v>
        <stp/>
        <stp>1ddd2ad2-4349-42e7-9c99-a2707f5ab6f3</stp>
        <tr r="K32" s="1"/>
      </tp>
    </main>
    <main first="rtdsrv_eco_1767113794c0457fa0f9656dec12470f">
      <tp>
        <v>2</v>
        <stp/>
        <stp>0e21bf06-243a-4098-95f8-207aefa6ed4b</stp>
        <tr r="H32" s="1"/>
      </tp>
    </main>
    <main first="rtdsrv_eco_1767113794c0457fa0f9656dec12470f">
      <tp>
        <v>2</v>
        <stp/>
        <stp>a7984c18-c951-420f-854b-e95a38639996</stp>
        <tr r="C28" s="1"/>
      </tp>
      <tp>
        <v>2</v>
        <stp/>
        <stp>ab20e48c-4d70-4ccb-b674-f57e0fffd9b3</stp>
        <tr r="F29" s="1"/>
      </tp>
      <tp>
        <v>2</v>
        <stp/>
        <stp>e59c64af-11cd-43e0-9982-c302ad3e6204</stp>
        <tr r="E15" s="1"/>
      </tp>
    </main>
    <main first="rtdsrv_eco_1767113794c0457fa0f9656dec12470f">
      <tp>
        <v>2</v>
        <stp/>
        <stp>20287815-ea67-42c3-a21a-e3abf63b2768</stp>
        <tr r="E66" s="1"/>
      </tp>
    </main>
    <main first="rtdsrv_eco_1767113794c0457fa0f9656dec12470f">
      <tp>
        <v>2</v>
        <stp/>
        <stp>09ea3634-1bc1-4710-ae80-8ac7c8318226</stp>
        <tr r="H74" s="1"/>
      </tp>
      <tp>
        <v>2</v>
        <stp/>
        <stp>83f39622-56f0-41bf-b99c-7bcec2a88be9</stp>
        <tr r="E35" s="1"/>
      </tp>
      <tp>
        <v>2</v>
        <stp/>
        <stp>944ce643-034f-434d-a284-f62c9a7cfdde</stp>
        <tr r="H33" s="1"/>
      </tp>
    </main>
    <main first="rtdsrv_eco_1767113794c0457fa0f9656dec12470f">
      <tp>
        <v>2</v>
        <stp/>
        <stp>bd29b825-6a22-41bf-8103-8fd8900c57bf</stp>
        <tr r="F22" s="1"/>
      </tp>
    </main>
    <main first="rtdsrv_eco_1767113794c0457fa0f9656dec12470f">
      <tp>
        <v>2</v>
        <stp/>
        <stp>e6d019e9-54b0-4df0-aa8e-2338f96d3e13</stp>
        <tr r="J41" s="1"/>
      </tp>
      <tp>
        <v>2</v>
        <stp/>
        <stp>f97e2bc4-6b16-4a56-8362-f4b1a20bf65f</stp>
        <tr r="D58" s="1"/>
      </tp>
    </main>
    <main first="rtdsrv_eco_1767113794c0457fa0f9656dec12470f">
      <tp>
        <v>2</v>
        <stp/>
        <stp>0a2c8f13-a288-4548-81f6-e1aac6059b6b</stp>
        <tr r="F35" s="1"/>
      </tp>
    </main>
    <main first="rtdsrv_eco_1767113794c0457fa0f9656dec12470f">
      <tp>
        <v>2</v>
        <stp/>
        <stp>e6ed8b01-c2a4-4242-a549-45d708ca9fd8</stp>
        <tr r="D63" s="1"/>
      </tp>
    </main>
    <main first="rtdsrv_eco_1767113794c0457fa0f9656dec12470f">
      <tp>
        <v>2</v>
        <stp/>
        <stp>2c90cdac-919f-4b21-b179-e108a1ae0b80</stp>
        <tr r="G25" s="1"/>
      </tp>
    </main>
    <main first="rtdsrv_eco_1767113794c0457fa0f9656dec12470f">
      <tp>
        <v>2</v>
        <stp/>
        <stp>0c182553-ea83-412f-9da5-d8e93b838455</stp>
        <tr r="J40" s="1"/>
      </tp>
    </main>
    <main first="rtdsrv_eco_1767113794c0457fa0f9656dec12470f">
      <tp>
        <v>2</v>
        <stp/>
        <stp>ece70646-eeb6-4772-a29f-64b5ae84800b</stp>
        <tr r="G40" s="1"/>
      </tp>
    </main>
    <main first="rtdsrv_eco_1767113794c0457fa0f9656dec12470f">
      <tp>
        <v>2</v>
        <stp/>
        <stp>ae3dd724-1cea-4fb2-ac22-88cee675f73e</stp>
        <tr r="D56" s="1"/>
      </tp>
    </main>
    <main first="rtdsrv_eco_1767113794c0457fa0f9656dec12470f">
      <tp>
        <v>2</v>
        <stp/>
        <stp>60b1262b-0399-43af-b6db-79d38f26e1c4</stp>
        <tr r="I55" s="1"/>
      </tp>
      <tp>
        <v>2</v>
        <stp/>
        <stp>7e0da409-730e-4b70-9fd9-4999eb11e365</stp>
        <tr r="J61" s="1"/>
      </tp>
    </main>
    <main first="rtdsrv_eco_1767113794c0457fa0f9656dec12470f">
      <tp>
        <v>2</v>
        <stp/>
        <stp>db4683b8-c0e6-41ff-b489-cf44940c9d7f</stp>
        <tr r="I14" s="1"/>
      </tp>
    </main>
    <main first="rtdsrv_eco_1767113794c0457fa0f9656dec12470f">
      <tp>
        <v>2</v>
        <stp/>
        <stp>aa3bc393-f0aa-4f29-9122-403256ec8c81</stp>
        <tr r="G57" s="1"/>
      </tp>
    </main>
    <main first="rtdsrv_eco_1767113794c0457fa0f9656dec12470f">
      <tp>
        <v>2</v>
        <stp/>
        <stp>12598122-866c-46ce-b647-cdeed74a0c14</stp>
        <tr r="I59" s="1"/>
      </tp>
    </main>
    <main first="rtdsrv_eco_1767113794c0457fa0f9656dec12470f">
      <tp>
        <v>2</v>
        <stp/>
        <stp>06cb9485-0490-4e70-bf9a-70a39dbee46b</stp>
        <tr r="G21" s="1"/>
      </tp>
    </main>
    <main first="rtdsrv_eco_1767113794c0457fa0f9656dec12470f">
      <tp>
        <v>2</v>
        <stp/>
        <stp>ebeddfc8-53fe-4fc6-bc94-0b007215e55e</stp>
        <tr r="K27" s="1"/>
      </tp>
    </main>
    <main first="rtdsrv_eco_1767113794c0457fa0f9656dec12470f">
      <tp>
        <v>2</v>
        <stp/>
        <stp>bc03d9bb-5ae0-4b74-895a-9f5712cb0a65</stp>
        <tr r="K14" s="1"/>
      </tp>
    </main>
    <main first="rtdsrv_eco_1767113794c0457fa0f9656dec12470f">
      <tp>
        <v>2</v>
        <stp/>
        <stp>d8d9b744-989d-4790-85aa-b17e789d3553</stp>
        <tr r="I29" s="1"/>
      </tp>
      <tp>
        <v>2</v>
        <stp/>
        <stp>13ae8ceb-a3ec-4a00-9aa8-66335896b54f</stp>
        <tr r="D53" s="1"/>
      </tp>
    </main>
    <main first="rtdsrv_eco_1767113794c0457fa0f9656dec12470f">
      <tp>
        <v>2</v>
        <stp/>
        <stp>55604264-7480-4475-9f52-19d23f860473</stp>
        <tr r="I65" s="1"/>
      </tp>
    </main>
    <main first="rtdsrv_eco_1767113794c0457fa0f9656dec12470f">
      <tp>
        <v>2</v>
        <stp/>
        <stp>68359212-3516-45de-86e1-8b9da7d0b733</stp>
        <tr r="J77" s="1"/>
      </tp>
    </main>
    <main first="rtdsrv_eco_1767113794c0457fa0f9656dec12470f">
      <tp>
        <v>2</v>
        <stp/>
        <stp>35ccae36-8c1e-496b-afd1-075c71c1a335</stp>
        <tr r="D33" s="1"/>
      </tp>
    </main>
    <main first="rtdsrv_eco_1767113794c0457fa0f9656dec12470f">
      <tp>
        <v>2</v>
        <stp/>
        <stp>14a471ca-0a93-4f9f-9f89-dd83425a1f42</stp>
        <tr r="F43" s="1"/>
      </tp>
    </main>
    <main first="rtdsrv_eco_1767113794c0457fa0f9656dec12470f">
      <tp>
        <v>2</v>
        <stp/>
        <stp>bbdca990-c319-4968-90ec-b900e4077023</stp>
        <tr r="D62" s="1"/>
      </tp>
    </main>
    <main first="rtdsrv_eco_1767113794c0457fa0f9656dec12470f">
      <tp>
        <v>2</v>
        <stp/>
        <stp>85624bbd-97f9-4b2e-8a4b-328f2f53135e</stp>
        <tr r="G19" s="1"/>
      </tp>
    </main>
    <main first="rtdsrv_eco_1767113794c0457fa0f9656dec12470f">
      <tp>
        <v>2</v>
        <stp/>
        <stp>851ffbd7-47d7-41dd-a298-957370ad2c5e</stp>
        <tr r="L55" s="1"/>
      </tp>
    </main>
    <main first="rtdsrv_eco_1767113794c0457fa0f9656dec12470f">
      <tp>
        <v>2</v>
        <stp/>
        <stp>2d98ad8d-fe45-48f9-bfc7-d3240dbc7365</stp>
        <tr r="C20" s="1"/>
      </tp>
    </main>
    <main first="rtdsrv_eco_1767113794c0457fa0f9656dec12470f">
      <tp>
        <v>2</v>
        <stp/>
        <stp>244a5ca7-c60a-4c96-b59b-4fc075a6600b</stp>
        <tr r="J47" s="1"/>
      </tp>
    </main>
    <main first="rtdsrv_eco_1767113794c0457fa0f9656dec12470f">
      <tp>
        <v>2</v>
        <stp/>
        <stp>07e069a2-7958-4800-986a-3a492c99fec2</stp>
        <tr r="D77" s="1"/>
      </tp>
      <tp>
        <v>2</v>
        <stp/>
        <stp>73b88c31-c329-49e6-bad9-1882195748df</stp>
        <tr r="C66" s="1"/>
      </tp>
      <tp>
        <v>2</v>
        <stp/>
        <stp>6f7e79cd-864b-4d0c-8e43-285ace7165ae</stp>
        <tr r="G61" s="1"/>
      </tp>
    </main>
    <main first="rtdsrv_eco_1767113794c0457fa0f9656dec12470f">
      <tp>
        <v>2</v>
        <stp/>
        <stp>cf9a8263-8e62-45b5-b710-34702edf7af9</stp>
        <tr r="I64" s="1"/>
      </tp>
    </main>
    <main first="rtdsrv_eco_1767113794c0457fa0f9656dec12470f">
      <tp>
        <v>2</v>
        <stp/>
        <stp>250b0310-ed85-40d6-9a9a-76a3b29f8025</stp>
        <tr r="G49" s="1"/>
      </tp>
    </main>
    <main first="rtdsrv_eco_1767113794c0457fa0f9656dec12470f">
      <tp>
        <v>2</v>
        <stp/>
        <stp>9d951b34-97e7-4c51-9ff6-b58646fce384</stp>
        <tr r="L60" s="1"/>
      </tp>
    </main>
    <main first="rtdsrv_eco_1767113794c0457fa0f9656dec12470f">
      <tp>
        <v>2</v>
        <stp/>
        <stp>cfbafde6-90b2-44a6-bdd4-bb1317a2dd87</stp>
        <tr r="I43" s="1"/>
      </tp>
    </main>
    <main first="rtdsrv_eco_1767113794c0457fa0f9656dec12470f">
      <tp>
        <v>2</v>
        <stp/>
        <stp>c66ea00d-83d9-499b-98b2-37d13f5cb704</stp>
        <tr r="I70" s="1"/>
      </tp>
    </main>
    <main first="rtdsrv_eco_1767113794c0457fa0f9656dec12470f">
      <tp>
        <v>2</v>
        <stp/>
        <stp>c9821445-865b-4396-aa09-51296c1f99da</stp>
        <tr r="H67" s="1"/>
      </tp>
      <tp>
        <v>2</v>
        <stp/>
        <stp>5f505b8c-8906-4a8b-8482-a72cb16048f7</stp>
        <tr r="I62" s="1"/>
      </tp>
      <tp>
        <v>2</v>
        <stp/>
        <stp>9d178c57-c3fc-4d11-bb05-d90cefaf7b77</stp>
        <tr r="F39" s="1"/>
      </tp>
    </main>
    <main first="rtdsrv_eco_1767113794c0457fa0f9656dec12470f">
      <tp>
        <v>2</v>
        <stp/>
        <stp>94ccfb6d-0bd8-4e58-a1fa-fd0660ed34ac</stp>
        <tr r="G50" s="1"/>
      </tp>
    </main>
    <main first="rtdsrv_eco_1767113794c0457fa0f9656dec12470f">
      <tp>
        <v>2</v>
        <stp/>
        <stp>38fb1db6-3d18-4006-970e-6761c03af6a4</stp>
        <tr r="E67" s="1"/>
      </tp>
      <tp>
        <v>2</v>
        <stp/>
        <stp>6a88e5d2-392b-448c-8681-d7b221377bd4</stp>
        <tr r="K42" s="1"/>
      </tp>
      <tp>
        <v>2</v>
        <stp/>
        <stp>b2093613-3380-425b-899d-ac005c49c437</stp>
        <tr r="J46" s="1"/>
      </tp>
    </main>
    <main first="rtdsrv_eco_1767113794c0457fa0f9656dec12470f">
      <tp>
        <v>2</v>
        <stp/>
        <stp>90574143-11f3-4e44-b03d-e8152b8d94fa</stp>
        <tr r="J23" s="1"/>
      </tp>
      <tp>
        <v>2</v>
        <stp/>
        <stp>79110d70-85b8-4caf-814c-08f8cb43149c</stp>
        <tr r="J63" s="1"/>
      </tp>
      <tp>
        <v>2</v>
        <stp/>
        <stp>68fd0420-b5ac-4b19-8889-73814691c3c5</stp>
        <tr r="I24" s="1"/>
      </tp>
    </main>
    <main first="rtdsrv_eco_1767113794c0457fa0f9656dec12470f">
      <tp>
        <v>2</v>
        <stp/>
        <stp>24934162-fc14-40f2-a298-8fc2f178df74</stp>
        <tr r="I67" s="1"/>
      </tp>
    </main>
    <main first="rtdsrv_eco_1767113794c0457fa0f9656dec12470f">
      <tp>
        <v>2</v>
        <stp/>
        <stp>f57ee7f8-868a-4e2d-8005-a0bbd6491129</stp>
        <tr r="C58" s="1"/>
      </tp>
    </main>
    <main first="rtdsrv_eco_1767113794c0457fa0f9656dec12470f">
      <tp>
        <v>2</v>
        <stp/>
        <stp>02c80c66-2981-4213-a021-2513e8f0e687</stp>
        <tr r="K40" s="1"/>
      </tp>
      <tp>
        <v>2</v>
        <stp/>
        <stp>097d4584-3514-433e-af38-ce277f2a833b</stp>
        <tr r="D34" s="1"/>
      </tp>
      <tp>
        <v>2</v>
        <stp/>
        <stp>6df9d23a-d0ae-4ab9-933a-794c89d5cae5</stp>
        <tr r="L26" s="1"/>
      </tp>
    </main>
    <main first="rtdsrv_eco_1767113794c0457fa0f9656dec12470f">
      <tp>
        <v>2</v>
        <stp/>
        <stp>6444dcb1-681a-4be3-b669-15d69068a856</stp>
        <tr r="J50" s="1"/>
      </tp>
    </main>
    <main first="rtdsrv_eco_1767113794c0457fa0f9656dec12470f">
      <tp>
        <v>2</v>
        <stp/>
        <stp>ac9ef326-b0d2-4381-8192-76047000ded7</stp>
        <tr r="I32" s="1"/>
      </tp>
      <tp>
        <v>2</v>
        <stp/>
        <stp>fc39020c-a34d-45ec-aaf8-27393847ccb4</stp>
        <tr r="H41" s="1"/>
      </tp>
    </main>
    <main first="rtdsrv_eco_1767113794c0457fa0f9656dec12470f">
      <tp>
        <v>2</v>
        <stp/>
        <stp>eff25976-3b95-4f8c-ac07-ac7556fec388</stp>
        <tr r="F54" s="1"/>
      </tp>
      <tp>
        <v>2</v>
        <stp/>
        <stp>ebd758de-f905-4d37-8d77-e0a873659f55</stp>
        <tr r="C77" s="1"/>
      </tp>
    </main>
    <main first="rtdsrv_eco_1767113794c0457fa0f9656dec12470f">
      <tp>
        <v>2</v>
        <stp/>
        <stp>ea5009ba-8089-4800-bc88-30c514b8c56b</stp>
        <tr r="K26" s="1"/>
      </tp>
    </main>
    <main first="rtdsrv_eco_1767113794c0457fa0f9656dec12470f">
      <tp>
        <v>2</v>
        <stp/>
        <stp>33eeb400-cf7c-4c79-91fb-056d3a700652</stp>
        <tr r="F62" s="1"/>
      </tp>
      <tp>
        <v>2</v>
        <stp/>
        <stp>e5b33522-9638-4dbc-9200-ebff12dacc10</stp>
        <tr r="E56" s="1"/>
      </tp>
    </main>
    <main first="rtdsrv_eco_1767113794c0457fa0f9656dec12470f">
      <tp>
        <v>2</v>
        <stp/>
        <stp>1996e9d6-72ef-475a-9e58-296a8ac87bfe</stp>
        <tr r="F20" s="1"/>
      </tp>
    </main>
    <main first="rtdsrv_eco_1767113794c0457fa0f9656dec12470f">
      <tp>
        <v>2</v>
        <stp/>
        <stp>a8cbdd68-eaff-4434-ad21-3b726758b3e5</stp>
        <tr r="J58" s="1"/>
      </tp>
    </main>
    <main first="rtdsrv_eco_1767113794c0457fa0f9656dec12470f">
      <tp>
        <v>2</v>
        <stp/>
        <stp>5eb58372-b5f7-435a-997d-edb9af12696a</stp>
        <tr r="D19" s="1"/>
      </tp>
    </main>
    <main first="rtdsrv_eco_1767113794c0457fa0f9656dec12470f">
      <tp>
        <v>2</v>
        <stp/>
        <stp>567b2431-765f-4d9c-a5d5-3cd8a853906d</stp>
        <tr r="H25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checked="Checked" firstButton="1" fmlaLink="'Indicadores Financeiros'!$C$10" lockText="1"/>
</file>

<file path=xl/ctrlProps/ctrlProp2.xml><?xml version="1.0" encoding="utf-8"?>
<formControlPr xmlns="http://schemas.microsoft.com/office/spreadsheetml/2009/9/main" objectType="Radio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926783</xdr:colOff>
          <xdr:row>9</xdr:row>
          <xdr:rowOff>37148</xdr:rowOff>
        </xdr:from>
        <xdr:to>
          <xdr:col>2</xdr:col>
          <xdr:colOff>169926</xdr:colOff>
          <xdr:row>10</xdr:row>
          <xdr:rowOff>53817</xdr:rowOff>
        </xdr:to>
        <xdr:sp macro="" textlink="">
          <xdr:nvSpPr>
            <xdr:cNvPr id="2049" name="Option 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D8DB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Consolidado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530543</xdr:colOff>
          <xdr:row>9</xdr:row>
          <xdr:rowOff>42863</xdr:rowOff>
        </xdr:from>
        <xdr:to>
          <xdr:col>3</xdr:col>
          <xdr:colOff>37625</xdr:colOff>
          <xdr:row>10</xdr:row>
          <xdr:rowOff>59532</xdr:rowOff>
        </xdr:to>
        <xdr:sp macro="" textlink="">
          <xdr:nvSpPr>
            <xdr:cNvPr id="2050" name="Option 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D8DB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Individual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241935</xdr:colOff>
      <xdr:row>0</xdr:row>
      <xdr:rowOff>99059</xdr:rowOff>
    </xdr:from>
    <xdr:to>
      <xdr:col>2</xdr:col>
      <xdr:colOff>687651</xdr:colOff>
      <xdr:row>0</xdr:row>
      <xdr:rowOff>702782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66D5A03-9B73-4EE4-9245-B6D2D3CC34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24" t="25377" r="6386" b="25763"/>
        <a:stretch/>
      </xdr:blipFill>
      <xdr:spPr>
        <a:xfrm>
          <a:off x="432435" y="99059"/>
          <a:ext cx="2350716" cy="6075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4">
    <tabColor rgb="FF023A4A"/>
  </sheetPr>
  <dimension ref="A1:Y80"/>
  <sheetViews>
    <sheetView showGridLines="0" tabSelected="1" zoomScale="80" zoomScaleNormal="80" workbookViewId="0"/>
  </sheetViews>
  <sheetFormatPr defaultColWidth="9.109375" defaultRowHeight="14.4" x14ac:dyDescent="0.3"/>
  <cols>
    <col min="1" max="1" width="2.77734375" style="20" customWidth="1"/>
    <col min="2" max="2" width="27.77734375" style="20" customWidth="1"/>
    <col min="3" max="12" width="23.77734375" style="20" customWidth="1"/>
    <col min="13" max="13" width="1.6640625" style="21" customWidth="1"/>
    <col min="14" max="14" width="8.5546875" style="21" customWidth="1"/>
    <col min="15" max="25" width="8.88671875" style="21" customWidth="1"/>
    <col min="26" max="16384" width="9.109375" style="20"/>
  </cols>
  <sheetData>
    <row r="1" spans="1:25" s="14" customFormat="1" ht="60" customHeight="1" x14ac:dyDescent="0.3">
      <c r="B1" s="1"/>
      <c r="D1" s="2" t="s">
        <v>70</v>
      </c>
      <c r="E1" s="3"/>
      <c r="F1" s="4"/>
      <c r="G1" s="4"/>
      <c r="H1" s="4"/>
      <c r="I1" s="4"/>
      <c r="J1" s="4"/>
    </row>
    <row r="2" spans="1:25" s="21" customFormat="1" x14ac:dyDescent="0.3">
      <c r="A2" s="20"/>
    </row>
    <row r="3" spans="1:25" s="21" customFormat="1" ht="12.9" customHeight="1" x14ac:dyDescent="0.3">
      <c r="A3" s="20"/>
      <c r="B3" s="5" t="s">
        <v>71</v>
      </c>
      <c r="C3" s="6">
        <f>IF($E$3="",_xll.ECONOMATICA("PETR4","Fin Statm Date"),$E$3)</f>
        <v>45473</v>
      </c>
      <c r="D3" s="7" t="s">
        <v>72</v>
      </c>
    </row>
    <row r="4" spans="1:25" s="21" customFormat="1" ht="12.9" customHeight="1" x14ac:dyDescent="0.3">
      <c r="A4" s="20"/>
      <c r="B4" s="8" t="s">
        <v>73</v>
      </c>
      <c r="C4" s="9"/>
      <c r="D4" s="7" t="s">
        <v>74</v>
      </c>
    </row>
    <row r="5" spans="1:25" s="21" customFormat="1" ht="12.9" customHeight="1" x14ac:dyDescent="0.3">
      <c r="A5" s="20"/>
      <c r="B5" s="5" t="s">
        <v>0</v>
      </c>
      <c r="C5" s="10" t="s">
        <v>40</v>
      </c>
      <c r="D5" s="11" t="s">
        <v>75</v>
      </c>
    </row>
    <row r="6" spans="1:25" s="21" customFormat="1" ht="12.9" customHeight="1" x14ac:dyDescent="0.3">
      <c r="A6" s="20"/>
      <c r="B6" s="5" t="s">
        <v>41</v>
      </c>
      <c r="C6" s="10" t="str">
        <f>_xll.ECONOMATICA($C$5,"NAME")</f>
        <v>Petrobras</v>
      </c>
      <c r="D6" s="7" t="s">
        <v>72</v>
      </c>
    </row>
    <row r="7" spans="1:25" s="21" customFormat="1" ht="12.9" customHeight="1" x14ac:dyDescent="0.3">
      <c r="A7" s="20"/>
      <c r="B7" s="5" t="s">
        <v>69</v>
      </c>
      <c r="C7" s="10" t="s">
        <v>42</v>
      </c>
      <c r="D7" s="11" t="s">
        <v>78</v>
      </c>
      <c r="E7" s="20"/>
      <c r="F7" s="20"/>
      <c r="G7" s="20"/>
    </row>
    <row r="8" spans="1:25" s="21" customFormat="1" ht="12.9" customHeight="1" x14ac:dyDescent="0.3">
      <c r="A8" s="20"/>
      <c r="B8" s="5" t="s">
        <v>1</v>
      </c>
      <c r="C8" s="10" t="s">
        <v>68</v>
      </c>
      <c r="D8" s="11" t="s">
        <v>77</v>
      </c>
    </row>
    <row r="9" spans="1:25" s="21" customFormat="1" ht="12.9" customHeight="1" x14ac:dyDescent="0.3">
      <c r="A9" s="20"/>
      <c r="B9" s="5" t="s">
        <v>43</v>
      </c>
      <c r="C9" s="10" t="s">
        <v>44</v>
      </c>
      <c r="D9" s="11" t="s">
        <v>76</v>
      </c>
    </row>
    <row r="10" spans="1:25" s="21" customFormat="1" ht="18" customHeight="1" x14ac:dyDescent="0.3">
      <c r="A10" s="20"/>
      <c r="B10" s="12" t="s">
        <v>45</v>
      </c>
      <c r="C10" s="13">
        <v>1</v>
      </c>
      <c r="D10" s="22"/>
    </row>
    <row r="11" spans="1:25" s="21" customFormat="1" x14ac:dyDescent="0.3">
      <c r="A11" s="20"/>
    </row>
    <row r="12" spans="1:25" s="15" customFormat="1" ht="15" customHeight="1" thickBot="1" x14ac:dyDescent="0.35">
      <c r="A12" s="20"/>
      <c r="B12" s="23" t="s">
        <v>2</v>
      </c>
      <c r="C12" s="75">
        <f t="shared" ref="C12:F12" si="0">EOMONTH(D12,-3)</f>
        <v>44651</v>
      </c>
      <c r="D12" s="75">
        <f t="shared" si="0"/>
        <v>44742</v>
      </c>
      <c r="E12" s="75">
        <f t="shared" si="0"/>
        <v>44834</v>
      </c>
      <c r="F12" s="75">
        <f t="shared" si="0"/>
        <v>44926</v>
      </c>
      <c r="G12" s="75">
        <f t="shared" ref="G12:J12" si="1">EOMONTH(H12,-3)</f>
        <v>45016</v>
      </c>
      <c r="H12" s="75">
        <f t="shared" si="1"/>
        <v>45107</v>
      </c>
      <c r="I12" s="75">
        <f t="shared" si="1"/>
        <v>45199</v>
      </c>
      <c r="J12" s="75">
        <f t="shared" si="1"/>
        <v>45291</v>
      </c>
      <c r="K12" s="75">
        <f>EOMONTH(L12,-3)</f>
        <v>45382</v>
      </c>
      <c r="L12" s="76">
        <f>_xll.ECONOMATICA($C$5,"Fin Statm Date",,IF(C4="","LATEST",C4))</f>
        <v>45473</v>
      </c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</row>
    <row r="13" spans="1:25" s="15" customFormat="1" ht="15" customHeight="1" thickTop="1" x14ac:dyDescent="0.3">
      <c r="A13" s="20"/>
      <c r="B13" s="24" t="s">
        <v>58</v>
      </c>
      <c r="C13" s="31">
        <f>IFERROR(_xll.ECONOMATICA($C$5,"EPS",$C$8,C$12,,,$C$7,,,,,IF($C$10=1,{"jtb.opcconscontr=2"},{"jtb.opcconscontr=3"})),"-")</f>
        <v>11.504115715999999</v>
      </c>
      <c r="D13" s="31">
        <f>IFERROR(_xll.ECONOMATICA($C$5,"EPS",$C$8,D$12,,,$C$7,,,,,IF($C$10=1,{"jtb.opcconscontr=2"},{"jtb.opcconscontr=3"})),"-")</f>
        <v>12.383816897999999</v>
      </c>
      <c r="E13" s="31">
        <f>IFERROR(_xll.ECONOMATICA($C$5,"EPS",$C$8,E$12,,,$C$7,,,,,IF($C$10=1,{"jtb.opcconscontr=2"},{"jtb.opcconscontr=3"})),"-")</f>
        <v>13.530226686000001</v>
      </c>
      <c r="F13" s="31">
        <f>IFERROR(_xll.ECONOMATICA($C$5,"EPS",$C$8,F$12,,,$C$7,,,,,IF($C$10=1,{"jtb.opcconscontr=2"},{"jtb.opcconscontr=3"})),"-")</f>
        <v>14.437679719</v>
      </c>
      <c r="G13" s="31">
        <f>IFERROR(_xll.ECONOMATICA($C$5,"EPS",$C$8,G$12,,,$C$7,,,,,IF($C$10=1,{"jtb.opcconscontr=2"},{"jtb.opcconscontr=3"})),"-")</f>
        <v>13.946656936</v>
      </c>
      <c r="H13" s="31">
        <f>IFERROR(_xll.ECONOMATICA($C$5,"EPS",$C$8,H$12,,,$C$7,,,,,IF($C$10=1,{"jtb.opcconscontr=2"},{"jtb.opcconscontr=3"})),"-")</f>
        <v>11.9880855</v>
      </c>
      <c r="I13" s="31">
        <f>IFERROR(_xll.ECONOMATICA($C$5,"EPS",$C$8,I$12,,,$C$7,,,,,IF($C$10=1,{"jtb.opcconscontr=2"},{"jtb.opcconscontr=3"})),"-")</f>
        <v>10.495454918</v>
      </c>
      <c r="J13" s="31">
        <f>IFERROR(_xll.ECONOMATICA($C$5,"EPS",$C$8,J$12,,,$C$7,,,,,IF($C$10=1,{"jtb.opcconscontr=2"},{"jtb.opcconscontr=3"})),"-")</f>
        <v>9.5581133505999993</v>
      </c>
      <c r="K13" s="31">
        <f>IFERROR(_xll.ECONOMATICA($C$5,"EPS",$C$8,K$12,,,$C$7,,,,,IF($C$10=1,{"jtb.opcconscontr=2"},{"jtb.opcconscontr=3"})),"-")</f>
        <v>8.4660854818000004</v>
      </c>
      <c r="L13" s="32">
        <f>IFERROR(_xll.ECONOMATICA($C$5,"EPS",$C$8,L$12,,,$C$7,,,,,IF($C$10=1,{"jtb.opcconscontr=2"},{"jtb.opcconscontr=3"})),"-")</f>
        <v>6.0693672160999999</v>
      </c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25" s="15" customFormat="1" ht="15" customHeight="1" x14ac:dyDescent="0.3">
      <c r="A14" s="20"/>
      <c r="B14" s="25" t="s">
        <v>59</v>
      </c>
      <c r="C14" s="33">
        <f>IFERROR(_xll.ECONOMATICA($C$5,"BVperShare",,C$12,,,$C$7,,,,,IF($C$10=1,{"jtb.opcconscontr=2"},{"jtb.opcconscontr=3"})),"-")</f>
        <v>33.286361603000003</v>
      </c>
      <c r="D14" s="33">
        <f>IFERROR(_xll.ECONOMATICA($C$5,"BVperShare",,D$12,,,$C$7,,,,,IF($C$10=1,{"jtb.opcconscontr=2"},{"jtb.opcconscontr=3"})),"-")</f>
        <v>31.473372096999999</v>
      </c>
      <c r="E14" s="33">
        <f>IFERROR(_xll.ECONOMATICA($C$5,"BVperShare",,E$12,,,$C$7,,,,,IF($C$10=1,{"jtb.opcconscontr=2"},{"jtb.opcconscontr=3"})),"-")</f>
        <v>28.556597107999998</v>
      </c>
      <c r="F14" s="33">
        <f>IFERROR(_xll.ECONOMATICA($C$5,"BVperShare",,F$12,,,$C$7,,,,,IF($C$10=1,{"jtb.opcconscontr=2"},{"jtb.opcconscontr=3"})),"-")</f>
        <v>27.797332526999998</v>
      </c>
      <c r="G14" s="33">
        <f>IFERROR(_xll.ECONOMATICA($C$5,"BVperShare",,G$12,,,$C$7,,,,,IF($C$10=1,{"jtb.opcconscontr=2"},{"jtb.opcconscontr=3"})),"-")</f>
        <v>30.824731385</v>
      </c>
      <c r="H14" s="33">
        <f>IFERROR(_xll.ECONOMATICA($C$5,"BVperShare",,H$12,,,$C$7,,,,,IF($C$10=1,{"jtb.opcconscontr=2"},{"jtb.opcconscontr=3"})),"-")</f>
        <v>28.41745482</v>
      </c>
      <c r="I14" s="33">
        <f>IFERROR(_xll.ECONOMATICA($C$5,"BVperShare",,I$12,,,$C$7,,,,,IF($C$10=1,{"jtb.opcconscontr=2"},{"jtb.opcconscontr=3"})),"-")</f>
        <v>29.65756378</v>
      </c>
      <c r="J14" s="33">
        <f>IFERROR(_xll.ECONOMATICA($C$5,"BVperShare",,J$12,,,$C$7,,,,,IF($C$10=1,{"jtb.opcconscontr=2"},{"jtb.opcconscontr=3"})),"-")</f>
        <v>29.400074537999998</v>
      </c>
      <c r="K14" s="33">
        <f>IFERROR(_xll.ECONOMATICA($C$5,"BVperShare",,K$12,,,$C$7,,,,,IF($C$10=1,{"jtb.opcconscontr=2"},{"jtb.opcconscontr=3"})),"-")</f>
        <v>31.576955344000002</v>
      </c>
      <c r="L14" s="34">
        <f>IFERROR(_xll.ECONOMATICA($C$5,"BVperShare",,L$12,,,$C$7,,,,,IF($C$10=1,{"jtb.opcconscontr=2"},{"jtb.opcconscontr=3"})),"-")</f>
        <v>28.977169976999999</v>
      </c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 s="15" customFormat="1" ht="15" customHeight="1" x14ac:dyDescent="0.3">
      <c r="A15" s="20"/>
      <c r="B15" s="26" t="s">
        <v>46</v>
      </c>
      <c r="C15" s="35">
        <f>IFERROR(_xll.ECONOMATICA($C$5,"Sales/Share",$C$8,C$12,,,$C$7,,,,,IF($C$10=1,{"jtb.opcconscontr=2"},{"jtb.opcconscontr=3"})),"-")</f>
        <v>38.954857591</v>
      </c>
      <c r="D15" s="35">
        <f>IFERROR(_xll.ECONOMATICA($C$5,"Sales/Share",$C$8,D$12,,,$C$7,,,,,IF($C$10=1,{"jtb.opcconscontr=2"},{"jtb.opcconscontr=3"})),"-")</f>
        <v>43.573768039000001</v>
      </c>
      <c r="E15" s="35">
        <f>IFERROR(_xll.ECONOMATICA($C$5,"Sales/Share",$C$8,E$12,,,$C$7,,,,,IF($C$10=1,{"jtb.opcconscontr=2"},{"jtb.opcconscontr=3"})),"-")</f>
        <v>47.290515353000004</v>
      </c>
      <c r="F15" s="35">
        <f>IFERROR(_xll.ECONOMATICA($C$5,"Sales/Share",$C$8,F$12,,,$C$7,,,,,IF($C$10=1,{"jtb.opcconscontr=2"},{"jtb.opcconscontr=3"})),"-")</f>
        <v>49.160235047999997</v>
      </c>
      <c r="G15" s="35">
        <f>IFERROR(_xll.ECONOMATICA($C$5,"Sales/Share",$C$8,G$12,,,$C$7,,,,,IF($C$10=1,{"jtb.opcconscontr=2"},{"jtb.opcconscontr=3"})),"-")</f>
        <v>48.962982648000001</v>
      </c>
      <c r="H15" s="35">
        <f>IFERROR(_xll.ECONOMATICA($C$5,"Sales/Share",$C$8,H$12,,,$C$7,,,,,IF($C$10=1,{"jtb.opcconscontr=2"},{"jtb.opcconscontr=3"})),"-")</f>
        <v>44.584025373999999</v>
      </c>
      <c r="I15" s="35">
        <f>IFERROR(_xll.ECONOMATICA($C$5,"Sales/Share",$C$8,I$12,,,$C$7,,,,,IF($C$10=1,{"jtb.opcconscontr=2"},{"jtb.opcconscontr=3"})),"-")</f>
        <v>41.115452468000001</v>
      </c>
      <c r="J15" s="35">
        <f>IFERROR(_xll.ECONOMATICA($C$5,"Sales/Share",$C$8,J$12,,,$C$7,,,,,IF($C$10=1,{"jtb.opcconscontr=2"},{"jtb.opcconscontr=3"})),"-")</f>
        <v>39.273363134999997</v>
      </c>
      <c r="K15" s="35">
        <f>IFERROR(_xll.ECONOMATICA($C$5,"Sales/Share",$C$8,K$12,,,$C$7,,,,,IF($C$10=1,{"jtb.opcconscontr=2"},{"jtb.opcconscontr=3"})),"-")</f>
        <v>37.710934575000003</v>
      </c>
      <c r="L15" s="36">
        <f>IFERROR(_xll.ECONOMATICA($C$5,"Sales/Share",$C$8,L$12,,,$C$7,,,,,IF($C$10=1,{"jtb.opcconscontr=2"},{"jtb.opcconscontr=3"})),"-")</f>
        <v>38.457254671999998</v>
      </c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</row>
    <row r="16" spans="1:25" s="15" customFormat="1" ht="15" customHeight="1" x14ac:dyDescent="0.3">
      <c r="A16" s="20"/>
      <c r="B16" s="27" t="s">
        <v>47</v>
      </c>
      <c r="C16" s="37">
        <f>IFERROR(_xll.ECONOMATICA($C$5,"EBITDA/Share",$C$8,C$12,,,$C$7,,,,,IF($C$10=1,{"jtb.opcconscontr=2"},{"jtb.opcconscontr=3"})),"-")</f>
        <v>23.485301659000001</v>
      </c>
      <c r="D16" s="37">
        <f>IFERROR(_xll.ECONOMATICA($C$5,"EBITDA/Share",$C$8,D$12,,,$C$7,,,,,IF($C$10=1,{"jtb.opcconscontr=2"},{"jtb.opcconscontr=3"})),"-")</f>
        <v>27.036381373000001</v>
      </c>
      <c r="E16" s="37">
        <f>IFERROR(_xll.ECONOMATICA($C$5,"EBITDA/Share",$C$8,E$12,,,$C$7,,,,,IF($C$10=1,{"jtb.opcconscontr=2"},{"jtb.opcconscontr=3"})),"-")</f>
        <v>27.729102976</v>
      </c>
      <c r="F16" s="37">
        <f>IFERROR(_xll.ECONOMATICA($C$5,"EBITDA/Share",$C$8,F$12,,,$C$7,,,,,IF($C$10=1,{"jtb.opcconscontr=2"},{"jtb.opcconscontr=3"})),"-")</f>
        <v>27.786829776000001</v>
      </c>
      <c r="G16" s="37">
        <f>IFERROR(_xll.ECONOMATICA($C$5,"EBITDA/Share",$C$8,G$12,,,$C$7,,,,,IF($C$10=1,{"jtb.opcconscontr=2"},{"jtb.opcconscontr=3"})),"-")</f>
        <v>27.279401236000002</v>
      </c>
      <c r="H16" s="37">
        <f>IFERROR(_xll.ECONOMATICA($C$5,"EBITDA/Share",$C$8,H$12,,,$C$7,,,,,IF($C$10=1,{"jtb.opcconscontr=2"},{"jtb.opcconscontr=3"})),"-")</f>
        <v>23.034066554999999</v>
      </c>
      <c r="I16" s="37">
        <f>IFERROR(_xll.ECONOMATICA($C$5,"EBITDA/Share",$C$8,I$12,,,$C$7,,,,,IF($C$10=1,{"jtb.opcconscontr=2"},{"jtb.opcconscontr=3"})),"-")</f>
        <v>20.944835446999999</v>
      </c>
      <c r="J16" s="37">
        <f>IFERROR(_xll.ECONOMATICA($C$5,"EBITDA/Share",$C$8,J$12,,,$C$7,,,,,IF($C$10=1,{"jtb.opcconscontr=2"},{"jtb.opcconscontr=3"})),"-")</f>
        <v>19.602086851999999</v>
      </c>
      <c r="K16" s="37">
        <f>IFERROR(_xll.ECONOMATICA($C$5,"EBITDA/Share",$C$8,K$12,,,$C$7,,,,,IF($C$10=1,{"jtb.opcconscontr=2"},{"jtb.opcconscontr=3"})),"-")</f>
        <v>18.510713529</v>
      </c>
      <c r="L16" s="38">
        <f>IFERROR(_xll.ECONOMATICA($C$5,"EBITDA/Share",$C$8,L$12,,,$C$7,,,,,IF($C$10=1,{"jtb.opcconscontr=2"},{"jtb.opcconscontr=3"})),"-")</f>
        <v>17.930690655999999</v>
      </c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</row>
    <row r="17" spans="1:25" s="21" customFormat="1" ht="8.1" customHeight="1" x14ac:dyDescent="0.3">
      <c r="A17" s="20"/>
    </row>
    <row r="18" spans="1:25" s="15" customFormat="1" ht="15" customHeight="1" thickBot="1" x14ac:dyDescent="0.35">
      <c r="A18" s="20"/>
      <c r="B18" s="17" t="s">
        <v>3</v>
      </c>
      <c r="C18" s="18"/>
      <c r="D18" s="18"/>
      <c r="E18" s="18"/>
      <c r="F18" s="18"/>
      <c r="G18" s="18"/>
      <c r="H18" s="18"/>
      <c r="I18" s="18"/>
      <c r="J18" s="18"/>
      <c r="K18" s="18"/>
      <c r="L18" s="19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</row>
    <row r="19" spans="1:25" s="15" customFormat="1" ht="15" customHeight="1" thickTop="1" x14ac:dyDescent="0.3">
      <c r="A19" s="20"/>
      <c r="B19" s="24" t="s">
        <v>57</v>
      </c>
      <c r="C19" s="31">
        <f>IFERROR(_xll.ECONOMATICA($C$5,"TtNetDebt",,C$12,,,$C$7,$C$9,,,,IF($C$10=1,{"jtb.opcconscontr=2"},{"jtb.opcconscontr=3"})),"-")</f>
        <v>189850</v>
      </c>
      <c r="D19" s="31">
        <f>IFERROR(_xll.ECONOMATICA($C$5,"TtNetDebt",,D$12,,,$C$7,$C$9,,,,IF($C$10=1,{"jtb.opcconscontr=2"},{"jtb.opcconscontr=3"})),"-")</f>
        <v>180369</v>
      </c>
      <c r="E19" s="31">
        <f>IFERROR(_xll.ECONOMATICA($C$5,"TtNetDebt",,E$12,,,$C$7,$C$9,,,,IF($C$10=1,{"jtb.opcconscontr=2"},{"jtb.opcconscontr=3"})),"-")</f>
        <v>256715</v>
      </c>
      <c r="F19" s="31">
        <f>IFERROR(_xll.ECONOMATICA($C$5,"TtNetDebt",,F$12,,,$C$7,$C$9,,,,IF($C$10=1,{"jtb.opcconscontr=2"},{"jtb.opcconscontr=3"})),"-")</f>
        <v>224510</v>
      </c>
      <c r="G19" s="31">
        <f>IFERROR(_xll.ECONOMATICA($C$5,"TtNetDebt",,G$12,,,$C$7,$C$9,,,,IF($C$10=1,{"jtb.opcconscontr=2"},{"jtb.opcconscontr=3"})),"-")</f>
        <v>204125</v>
      </c>
      <c r="H19" s="31">
        <f>IFERROR(_xll.ECONOMATICA($C$5,"TtNetDebt",,H$12,,,$C$7,$C$9,,,,IF($C$10=1,{"jtb.opcconscontr=2"},{"jtb.opcconscontr=3"})),"-")</f>
        <v>218390</v>
      </c>
      <c r="I19" s="31">
        <f>IFERROR(_xll.ECONOMATICA($C$5,"TtNetDebt",,I$12,,,$C$7,$C$9,,,,IF($C$10=1,{"jtb.opcconscontr=2"},{"jtb.opcconscontr=3"})),"-")</f>
        <v>238304</v>
      </c>
      <c r="J19" s="31">
        <f>IFERROR(_xll.ECONOMATICA($C$5,"TtNetDebt",,J$12,,,$C$7,$C$9,,,,IF($C$10=1,{"jtb.opcconscontr=2"},{"jtb.opcconscontr=3"})),"-")</f>
        <v>227799</v>
      </c>
      <c r="K19" s="31">
        <f>IFERROR(_xll.ECONOMATICA($C$5,"TtNetDebt",,K$12,,,$C$7,$C$9,,,,IF($C$10=1,{"jtb.opcconscontr=2"},{"jtb.opcconscontr=3"})),"-")</f>
        <v>227194</v>
      </c>
      <c r="L19" s="32">
        <f>IFERROR(_xll.ECONOMATICA($C$5,"TtNetDebt",,L$12,,,$C$7,$C$9,,,,IF($C$10=1,{"jtb.opcconscontr=2"},{"jtb.opcconscontr=3"})),"-")</f>
        <v>263796</v>
      </c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</row>
    <row r="20" spans="1:25" s="15" customFormat="1" ht="15" customHeight="1" x14ac:dyDescent="0.3">
      <c r="A20" s="20"/>
      <c r="B20" s="25" t="s">
        <v>48</v>
      </c>
      <c r="C20" s="33">
        <f>IFERROR(_xll.ECONOMATICA($C$5,"TtDebtGr",,C$12,,,$C$7,$C$9,,,,IF($C$10=1,{"jtb.opcconscontr=2"},{"jtb.opcconscontr=3"})),"-")</f>
        <v>277418</v>
      </c>
      <c r="D20" s="33">
        <f>IFERROR(_xll.ECONOMATICA($C$5,"TtDebtGr",,D$12,,,$C$7,$C$9,,,,IF($C$10=1,{"jtb.opcconscontr=2"},{"jtb.opcconscontr=3"})),"-")</f>
        <v>280637</v>
      </c>
      <c r="E20" s="33">
        <f>IFERROR(_xll.ECONOMATICA($C$5,"TtDebtGr",,E$12,,,$C$7,$C$9,,,,IF($C$10=1,{"jtb.opcconscontr=2"},{"jtb.opcconscontr=3"})),"-")</f>
        <v>293403</v>
      </c>
      <c r="F20" s="33">
        <f>IFERROR(_xll.ECONOMATICA($C$5,"TtDebtGr",,F$12,,,$C$7,$C$9,,,,IF($C$10=1,{"jtb.opcconscontr=2"},{"jtb.opcconscontr=3"})),"-")</f>
        <v>280703</v>
      </c>
      <c r="G20" s="33">
        <f>IFERROR(_xll.ECONOMATICA($C$5,"TtDebtGr",,G$12,,,$C$7,$C$9,,,,IF($C$10=1,{"jtb.opcconscontr=2"},{"jtb.opcconscontr=3"})),"-")</f>
        <v>271031</v>
      </c>
      <c r="H20" s="33">
        <f>IFERROR(_xll.ECONOMATICA($C$5,"TtDebtGr",,H$12,,,$C$7,$C$9,,,,IF($C$10=1,{"jtb.opcconscontr=2"},{"jtb.opcconscontr=3"})),"-")</f>
        <v>279375</v>
      </c>
      <c r="I20" s="33">
        <f>IFERROR(_xll.ECONOMATICA($C$5,"TtDebtGr",,I$12,,,$C$7,$C$9,,,,IF($C$10=1,{"jtb.opcconscontr=2"},{"jtb.opcconscontr=3"})),"-")</f>
        <v>305451</v>
      </c>
      <c r="J20" s="33">
        <f>IFERROR(_xll.ECONOMATICA($C$5,"TtDebtGr",,J$12,,,$C$7,$C$9,,,,IF($C$10=1,{"jtb.opcconscontr=2"},{"jtb.opcconscontr=3"})),"-")</f>
        <v>303062</v>
      </c>
      <c r="K20" s="33">
        <f>IFERROR(_xll.ECONOMATICA($C$5,"TtDebtGr",,K$12,,,$C$7,$C$9,,,,IF($C$10=1,{"jtb.opcconscontr=2"},{"jtb.opcconscontr=3"})),"-")</f>
        <v>308955</v>
      </c>
      <c r="L20" s="34">
        <f>IFERROR(_xll.ECONOMATICA($C$5,"TtDebtGr",,L$12,,,$C$7,$C$9,,,,IF($C$10=1,{"jtb.opcconscontr=2"},{"jtb.opcconscontr=3"})),"-")</f>
        <v>331473</v>
      </c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</row>
    <row r="21" spans="1:25" s="15" customFormat="1" ht="15" customHeight="1" x14ac:dyDescent="0.3">
      <c r="A21" s="20"/>
      <c r="B21" s="26" t="s">
        <v>60</v>
      </c>
      <c r="C21" s="39">
        <f>IFERROR(_xll.ECONOMATICA($C$5,"DebtGr/Assets",,C$12,,,,"Decimal",,,,IF($C$10=1,{"jtb.opcconscontr=2"},{"jtb.opcconscontr=3"})),"-")</f>
        <v>0.27778968259999998</v>
      </c>
      <c r="D21" s="39">
        <f>IFERROR(_xll.ECONOMATICA($C$5,"DebtGr/Assets",,D$12,,,,"Decimal",,,,IF($C$10=1,{"jtb.opcconscontr=2"},{"jtb.opcconscontr=3"})),"-")</f>
        <v>0.27930916423000002</v>
      </c>
      <c r="E21" s="39">
        <f>IFERROR(_xll.ECONOMATICA($C$5,"DebtGr/Assets",,E$12,,,,"Decimal",,,,IF($C$10=1,{"jtb.opcconscontr=2"},{"jtb.opcconscontr=3"})),"-")</f>
        <v>0.30963597566000001</v>
      </c>
      <c r="F21" s="39">
        <f>IFERROR(_xll.ECONOMATICA($C$5,"DebtGr/Assets",,F$12,,,,"Decimal",,,,IF($C$10=1,{"jtb.opcconscontr=2"},{"jtb.opcconscontr=3"})),"-")</f>
        <v>0.28739675789000002</v>
      </c>
      <c r="G21" s="39">
        <f>IFERROR(_xll.ECONOMATICA($C$5,"DebtGr/Assets",,G$12,,,,"Decimal",,,,IF($C$10=1,{"jtb.opcconscontr=2"},{"jtb.opcconscontr=3"})),"-")</f>
        <v>0.27696440851999998</v>
      </c>
      <c r="H21" s="39">
        <f>IFERROR(_xll.ECONOMATICA($C$5,"DebtGr/Assets",,H$12,,,,"Decimal",,,,IF($C$10=1,{"jtb.opcconscontr=2"},{"jtb.opcconscontr=3"})),"-")</f>
        <v>0.28206619355000001</v>
      </c>
      <c r="I21" s="39">
        <f>IFERROR(_xll.ECONOMATICA($C$5,"DebtGr/Assets",,I$12,,,,"Decimal",,,,IF($C$10=1,{"jtb.opcconscontr=2"},{"jtb.opcconscontr=3"})),"-")</f>
        <v>0.29785684196000001</v>
      </c>
      <c r="J21" s="39">
        <f>IFERROR(_xll.ECONOMATICA($C$5,"DebtGr/Assets",,J$12,,,,"Decimal",,,,IF($C$10=1,{"jtb.opcconscontr=2"},{"jtb.opcconscontr=3"})),"-")</f>
        <v>0.28838658354000002</v>
      </c>
      <c r="K21" s="39">
        <f>IFERROR(_xll.ECONOMATICA($C$5,"DebtGr/Assets",,K$12,,,,"Decimal",,,,IF($C$10=1,{"jtb.opcconscontr=2"},{"jtb.opcconscontr=3"})),"-")</f>
        <v>0.28947560743</v>
      </c>
      <c r="L21" s="40">
        <f>IFERROR(_xll.ECONOMATICA($C$5,"DebtGr/Assets",,L$12,,,,"Decimal",,,,IF($C$10=1,{"jtb.opcconscontr=2"},{"jtb.opcconscontr=3"})),"-")</f>
        <v>0.31309790987000002</v>
      </c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</row>
    <row r="22" spans="1:25" s="15" customFormat="1" ht="15" customHeight="1" x14ac:dyDescent="0.3">
      <c r="A22" s="20"/>
      <c r="B22" s="25" t="s">
        <v>49</v>
      </c>
      <c r="C22" s="41">
        <f>IFERROR(_xll.ECONOMATICA($C$5,"DebtGr/StkEq",,C$12,,,,"DECIMAL",,,,IF($C$10=1,{"jtb.opcconscontr=2"},{"jtb.opcconscontr=3"})),"-")</f>
        <v>0.63473519715000004</v>
      </c>
      <c r="D22" s="41">
        <f>IFERROR(_xll.ECONOMATICA($C$5,"DebtGr/StkEq",,D$12,,,,"DECIMAL",,,,IF($C$10=1,{"jtb.opcconscontr=2"},{"jtb.opcconscontr=3"})),"-")</f>
        <v>0.67975206612000005</v>
      </c>
      <c r="E22" s="41">
        <f>IFERROR(_xll.ECONOMATICA($C$5,"DebtGr/StkEq",,E$12,,,,"DECIMAL",,,,IF($C$10=1,{"jtb.opcconscontr=2"},{"jtb.opcconscontr=3"})),"-")</f>
        <v>0.78427981448999995</v>
      </c>
      <c r="F22" s="41">
        <f>IFERROR(_xll.ECONOMATICA($C$5,"DebtGr/StkEq",,F$12,,,,"DECIMAL",,,,IF($C$10=1,{"jtb.opcconscontr=2"},{"jtb.opcconscontr=3"})),"-")</f>
        <v>0.77034729749999997</v>
      </c>
      <c r="G22" s="41">
        <f>IFERROR(_xll.ECONOMATICA($C$5,"DebtGr/StkEq",,G$12,,,,"DECIMAL",,,,IF($C$10=1,{"jtb.opcconscontr=2"},{"jtb.opcconscontr=3"})),"-")</f>
        <v>0.67185830616999997</v>
      </c>
      <c r="H22" s="41">
        <f>IFERROR(_xll.ECONOMATICA($C$5,"DebtGr/StkEq",,H$12,,,,"DECIMAL",,,,IF($C$10=1,{"jtb.opcconscontr=2"},{"jtb.opcconscontr=3"})),"-")</f>
        <v>0.75044119898999995</v>
      </c>
      <c r="I22" s="41">
        <f>IFERROR(_xll.ECONOMATICA($C$5,"DebtGr/StkEq",,I$12,,,,"DECIMAL",,,,IF($C$10=1,{"jtb.opcconscontr=2"},{"jtb.opcconscontr=3"})),"-")</f>
        <v>0.78828098790000001</v>
      </c>
      <c r="J22" s="41">
        <f>IFERROR(_xll.ECONOMATICA($C$5,"DebtGr/StkEq",,J$12,,,,"DECIMAL",,,,IF($C$10=1,{"jtb.opcconscontr=2"},{"jtb.opcconscontr=3"})),"-")</f>
        <v>0.79265052047999995</v>
      </c>
      <c r="K22" s="41">
        <f>IFERROR(_xll.ECONOMATICA($C$5,"DebtGr/StkEq",,K$12,,,,"DECIMAL",,,,IF($C$10=1,{"jtb.opcconscontr=2"},{"jtb.opcconscontr=3"})),"-")</f>
        <v>0.75369216582999998</v>
      </c>
      <c r="L22" s="42">
        <f>IFERROR(_xll.ECONOMATICA($C$5,"DebtGr/StkEq",,L$12,,,,"DECIMAL",,,,IF($C$10=1,{"jtb.opcconscontr=2"},{"jtb.opcconscontr=3"})),"-")</f>
        <v>0.88148335284000001</v>
      </c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</row>
    <row r="23" spans="1:25" s="15" customFormat="1" ht="15" customHeight="1" x14ac:dyDescent="0.3">
      <c r="A23" s="20"/>
      <c r="B23" s="26" t="s">
        <v>50</v>
      </c>
      <c r="C23" s="43">
        <f>IFERROR(_xll.ECONOMATICA($C$5,"NetDebt/StckhEq",,C$12,,,,"DECIMAL",,,,IF($C$10=1,{"jtb.opcconscontr=2"},{"jtb.opcconscontr=3"})),"-")</f>
        <v>0.43437872516999998</v>
      </c>
      <c r="D23" s="43">
        <f>IFERROR(_xll.ECONOMATICA($C$5,"NetDebt/StckhEq",,D$12,,,,"DECIMAL",,,,IF($C$10=1,{"jtb.opcconscontr=2"},{"jtb.opcconscontr=3"})),"-")</f>
        <v>0.43688537297000002</v>
      </c>
      <c r="E23" s="43">
        <f>IFERROR(_xll.ECONOMATICA($C$5,"NetDebt/StckhEq",,E$12,,,,"DECIMAL",,,,IF($C$10=1,{"jtb.opcconscontr=2"},{"jtb.opcconscontr=3"})),"-")</f>
        <v>0.68621109046999995</v>
      </c>
      <c r="F23" s="43">
        <f>IFERROR(_xll.ECONOMATICA($C$5,"NetDebt/StckhEq",,F$12,,,,"DECIMAL",,,,IF($C$10=1,{"jtb.opcconscontr=2"},{"jtb.opcconscontr=3"})),"-")</f>
        <v>0.61613403406</v>
      </c>
      <c r="G23" s="43">
        <f>IFERROR(_xll.ECONOMATICA($C$5,"NetDebt/StckhEq",,G$12,,,,"DECIMAL",,,,IF($C$10=1,{"jtb.opcconscontr=2"},{"jtb.opcconscontr=3"})),"-")</f>
        <v>0.50600513132000002</v>
      </c>
      <c r="H23" s="43">
        <f>IFERROR(_xll.ECONOMATICA($C$5,"NetDebt/StckhEq",,H$12,,,,"DECIMAL",,,,IF($C$10=1,{"jtb.opcconscontr=2"},{"jtb.opcconscontr=3"})),"-")</f>
        <v>0.58662676848999995</v>
      </c>
      <c r="I23" s="43">
        <f>IFERROR(_xll.ECONOMATICA($C$5,"NetDebt/StckhEq",,I$12,,,,"DECIMAL",,,,IF($C$10=1,{"jtb.opcconscontr=2"},{"jtb.opcconscontr=3"})),"-")</f>
        <v>0.61499393533000002</v>
      </c>
      <c r="J23" s="43">
        <f>IFERROR(_xll.ECONOMATICA($C$5,"NetDebt/StckhEq",,J$12,,,,"DECIMAL",,,,IF($C$10=1,{"jtb.opcconscontr=2"},{"jtb.opcconscontr=3"})),"-")</f>
        <v>0.59580216560999999</v>
      </c>
      <c r="K23" s="43">
        <f>IFERROR(_xll.ECONOMATICA($C$5,"NetDebt/StckhEq",,K$12,,,,"DECIMAL",,,,IF($C$10=1,{"jtb.opcconscontr=2"},{"jtb.opcconscontr=3"})),"-")</f>
        <v>0.55423714755999998</v>
      </c>
      <c r="L23" s="44">
        <f>IFERROR(_xll.ECONOMATICA($C$5,"NetDebt/StckhEq",,L$12,,,,"DECIMAL",,,,IF($C$10=1,{"jtb.opcconscontr=2"},{"jtb.opcconscontr=3"})),"-")</f>
        <v>0.70151047760999996</v>
      </c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</row>
    <row r="24" spans="1:25" s="15" customFormat="1" ht="15" customHeight="1" x14ac:dyDescent="0.3">
      <c r="A24" s="20"/>
      <c r="B24" s="25" t="s">
        <v>4</v>
      </c>
      <c r="C24" s="41">
        <f>IFERROR(_xll.ECONOMATICA($C$5,"Cap Str (Stk Eq)",,C$12,,,,"DECIMAL",,,,IF($C$10=1,{"jtb.opcconscontr=2"},{"jtb.opcconscontr=3"})),"-")</f>
        <v>0.38984446579999998</v>
      </c>
      <c r="D24" s="41">
        <f>IFERROR(_xll.ECONOMATICA($C$5,"Cap Str (Stk Eq)",,D$12,,,,"DECIMAL",,,,IF($C$10=1,{"jtb.opcconscontr=2"},{"jtb.opcconscontr=3"})),"-")</f>
        <v>0.40602475180000003</v>
      </c>
      <c r="E24" s="41">
        <f>IFERROR(_xll.ECONOMATICA($C$5,"Cap Str (Stk Eq)",,E$12,,,,"DECIMAL",,,,IF($C$10=1,{"jtb.opcconscontr=2"},{"jtb.opcconscontr=3"})),"-")</f>
        <v>0.44061054120999998</v>
      </c>
      <c r="F24" s="41">
        <f>IFERROR(_xll.ECONOMATICA($C$5,"Cap Str (Stk Eq)",,F$12,,,,"DECIMAL",,,,IF($C$10=1,{"jtb.opcconscontr=2"},{"jtb.opcconscontr=3"})),"-")</f>
        <v>0.43635055036999998</v>
      </c>
      <c r="G24" s="41">
        <f>IFERROR(_xll.ECONOMATICA($C$5,"Cap Str (Stk Eq)",,G$12,,,,"DECIMAL",,,,IF($C$10=1,{"jtb.opcconscontr=2"},{"jtb.opcconscontr=3"})),"-")</f>
        <v>0.40265184997999998</v>
      </c>
      <c r="H24" s="41">
        <f>IFERROR(_xll.ECONOMATICA($C$5,"Cap Str (Stk Eq)",,H$12,,,,"DECIMAL",,,,IF($C$10=1,{"jtb.opcconscontr=2"},{"jtb.opcconscontr=3"})),"-")</f>
        <v>0.42976934366000002</v>
      </c>
      <c r="I24" s="41">
        <f>IFERROR(_xll.ECONOMATICA($C$5,"Cap Str (Stk Eq)",,I$12,,,,"DECIMAL",,,,IF($C$10=1,{"jtb.opcconscontr=2"},{"jtb.opcconscontr=3"})),"-")</f>
        <v>0.44174917348999998</v>
      </c>
      <c r="J24" s="41">
        <f>IFERROR(_xll.ECONOMATICA($C$5,"Cap Str (Stk Eq)",,J$12,,,,"DECIMAL",,,,IF($C$10=1,{"jtb.opcconscontr=2"},{"jtb.opcconscontr=3"})),"-")</f>
        <v>0.44339527405000001</v>
      </c>
      <c r="K24" s="41">
        <f>IFERROR(_xll.ECONOMATICA($C$5,"Cap Str (Stk Eq)",,K$12,,,,"DECIMAL",,,,IF($C$10=1,{"jtb.opcconscontr=2"},{"jtb.opcconscontr=3"})),"-")</f>
        <v>0.43114552095000003</v>
      </c>
      <c r="L24" s="42">
        <f>IFERROR(_xll.ECONOMATICA($C$5,"Cap Str (Stk Eq)",,L$12,,,,"DECIMAL",,,,IF($C$10=1,{"jtb.opcconscontr=2"},{"jtb.opcconscontr=3"})),"-")</f>
        <v>0.47020648213999999</v>
      </c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</row>
    <row r="25" spans="1:25" s="15" customFormat="1" ht="15" customHeight="1" x14ac:dyDescent="0.3">
      <c r="A25" s="20"/>
      <c r="B25" s="26" t="s">
        <v>51</v>
      </c>
      <c r="C25" s="43">
        <f>IFERROR(_xll.ECONOMATICA($C$5,"EBIT/DebtGr",$C$8,C$12,,,,"DECIMAL",,,,IF($C$10=1,{"jtb.opcconscontr=2"},{"jtb.opcconscontr=3"})),"-")</f>
        <v>0.87350135896000003</v>
      </c>
      <c r="D25" s="43">
        <f>IFERROR(_xll.ECONOMATICA($C$5,"EBIT/DebtGr",$C$8,D$12,,,,"DECIMAL",,,,IF($C$10=1,{"jtb.opcconscontr=2"},{"jtb.opcconscontr=3"})),"-")</f>
        <v>1.0211696961000001</v>
      </c>
      <c r="E25" s="43">
        <f>IFERROR(_xll.ECONOMATICA($C$5,"EBIT/DebtGr",$C$8,E$12,,,,"DECIMAL",,,,IF($C$10=1,{"jtb.opcconscontr=2"},{"jtb.opcconscontr=3"})),"-")</f>
        <v>1.0045330143</v>
      </c>
      <c r="F25" s="43">
        <f>IFERROR(_xll.ECONOMATICA($C$5,"EBIT/DebtGr",$C$8,F$12,,,,"DECIMAL",,,,IF($C$10=1,{"jtb.opcconscontr=2"},{"jtb.opcconscontr=3"})),"-")</f>
        <v>1.0482787858</v>
      </c>
      <c r="G25" s="43">
        <f>IFERROR(_xll.ECONOMATICA($C$5,"EBIT/DebtGr",$C$8,G$12,,,,"DECIMAL",,,,IF($C$10=1,{"jtb.opcconscontr=2"},{"jtb.opcconscontr=3"})),"-")</f>
        <v>1.0664979283</v>
      </c>
      <c r="H25" s="43">
        <f>IFERROR(_xll.ECONOMATICA($C$5,"EBIT/DebtGr",$C$8,H$12,,,,"DECIMAL",,,,IF($C$10=1,{"jtb.opcconscontr=2"},{"jtb.opcconscontr=3"})),"-")</f>
        <v>0.83969932885999998</v>
      </c>
      <c r="I25" s="43">
        <f>IFERROR(_xll.ECONOMATICA($C$5,"EBIT/DebtGr",$C$8,I$12,,,,"DECIMAL",,,,IF($C$10=1,{"jtb.opcconscontr=2"},{"jtb.opcconscontr=3"})),"-")</f>
        <v>0.67940520737999999</v>
      </c>
      <c r="J25" s="43">
        <f>IFERROR(_xll.ECONOMATICA($C$5,"EBIT/DebtGr",$C$8,J$12,,,,"DECIMAL",,,,IF($C$10=1,{"jtb.opcconscontr=2"},{"jtb.opcconscontr=3"})),"-")</f>
        <v>0.62476324975999997</v>
      </c>
      <c r="K25" s="43">
        <f>IFERROR(_xll.ECONOMATICA($C$5,"EBIT/DebtGr",$C$8,K$12,,,,"DECIMAL",,,,IF($C$10=1,{"jtb.opcconscontr=2"},{"jtb.opcconscontr=3"})),"-")</f>
        <v>0.56050881196000002</v>
      </c>
      <c r="L25" s="44">
        <f>IFERROR(_xll.ECONOMATICA($C$5,"EBIT/DebtGr",$C$8,L$12,,,,"DECIMAL",,,,IF($C$10=1,{"jtb.opcconscontr=2"},{"jtb.opcconscontr=3"})),"-")</f>
        <v>0.49700578931</v>
      </c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</row>
    <row r="26" spans="1:25" s="15" customFormat="1" ht="15" customHeight="1" x14ac:dyDescent="0.3">
      <c r="A26" s="20"/>
      <c r="B26" s="25" t="s">
        <v>55</v>
      </c>
      <c r="C26" s="41">
        <f>IFERROR(_xll.ECONOMATICA($C$5,"EBIT/Net Debt",$C$8,C$12,,,,"DECIMAL",,,,IF($C$10=1,{"jtb.opcconscontr=2"},{"jtb.opcconscontr=3"})),"-")</f>
        <v>1.276402423</v>
      </c>
      <c r="D26" s="41">
        <f>IFERROR(_xll.ECONOMATICA($C$5,"EBIT/Net Debt",$C$8,D$12,,,,"DECIMAL",,,,IF($C$10=1,{"jtb.opcconscontr=2"},{"jtb.opcconscontr=3"})),"-")</f>
        <v>1.5888428721000001</v>
      </c>
      <c r="E26" s="41">
        <f>IFERROR(_xll.ECONOMATICA($C$5,"EBIT/Net Debt",$C$8,E$12,,,,"DECIMAL",,,,IF($C$10=1,{"jtb.opcconscontr=2"},{"jtb.opcconscontr=3"})),"-")</f>
        <v>1.1480941900999999</v>
      </c>
      <c r="F26" s="41">
        <f>IFERROR(_xll.ECONOMATICA($C$5,"EBIT/Net Debt",$C$8,F$12,,,,"DECIMAL",,,,IF($C$10=1,{"jtb.opcconscontr=2"},{"jtb.opcconscontr=3"})),"-")</f>
        <v>1.3106543138</v>
      </c>
      <c r="G26" s="41">
        <f>IFERROR(_xll.ECONOMATICA($C$5,"EBIT/Net Debt",$C$8,G$12,,,,"DECIMAL",,,,IF($C$10=1,{"jtb.opcconscontr=2"},{"jtb.opcconscontr=3"})),"-")</f>
        <v>1.4160636865</v>
      </c>
      <c r="H26" s="41">
        <f>IFERROR(_xll.ECONOMATICA($C$5,"EBIT/Net Debt",$C$8,H$12,,,,"DECIMAL",,,,IF($C$10=1,{"jtb.opcconscontr=2"},{"jtb.opcconscontr=3"})),"-")</f>
        <v>1.0741837996000001</v>
      </c>
      <c r="I26" s="41">
        <f>IFERROR(_xll.ECONOMATICA($C$5,"EBIT/Net Debt",$C$8,I$12,,,,"DECIMAL",,,,IF($C$10=1,{"jtb.opcconscontr=2"},{"jtb.opcconscontr=3"})),"-")</f>
        <v>0.87084144622000004</v>
      </c>
      <c r="J26" s="41">
        <f>IFERROR(_xll.ECONOMATICA($C$5,"EBIT/Net Debt",$C$8,J$12,,,,"DECIMAL",,,,IF($C$10=1,{"jtb.opcconscontr=2"},{"jtb.opcconscontr=3"})),"-")</f>
        <v>0.83118011932000002</v>
      </c>
      <c r="K26" s="41">
        <f>IFERROR(_xll.ECONOMATICA($C$5,"EBIT/Net Debt",$C$8,K$12,,,,"DECIMAL",,,,IF($C$10=1,{"jtb.opcconscontr=2"},{"jtb.opcconscontr=3"})),"-")</f>
        <v>0.76222083330000001</v>
      </c>
      <c r="L26" s="42">
        <f>IFERROR(_xll.ECONOMATICA($C$5,"EBIT/Net Debt",$C$8,L$12,,,,"DECIMAL",,,,IF($C$10=1,{"jtb.opcconscontr=2"},{"jtb.opcconscontr=3"})),"-")</f>
        <v>0.62451288117000003</v>
      </c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</row>
    <row r="27" spans="1:25" s="15" customFormat="1" ht="15" customHeight="1" x14ac:dyDescent="0.3">
      <c r="A27" s="20"/>
      <c r="B27" s="26" t="s">
        <v>5</v>
      </c>
      <c r="C27" s="45">
        <f>IFERROR(_xll.ECONOMATICA($C$5,"EBIT/GrossIntExp",$C$8,C$12,,,,,,,,IF($C$10=1,{"jtb.opcconscontr=2"},{"jtb.opcconscontr=3"})),"-")</f>
        <v>7.9018162845999997</v>
      </c>
      <c r="D27" s="45">
        <f>IFERROR(_xll.ECONOMATICA($C$5,"EBIT/GrossIntExp",$C$8,D$12,,,,,,,,IF($C$10=1,{"jtb.opcconscontr=2"},{"jtb.opcconscontr=3"})),"-")</f>
        <v>4.8453461831000002</v>
      </c>
      <c r="E27" s="45">
        <f>IFERROR(_xll.ECONOMATICA($C$5,"EBIT/GrossIntExp",$C$8,E$12,,,,,,,,IF($C$10=1,{"jtb.opcconscontr=2"},{"jtb.opcconscontr=3"})),"-")</f>
        <v>6.8283715219000003</v>
      </c>
      <c r="F27" s="45">
        <f>IFERROR(_xll.ECONOMATICA($C$5,"EBIT/GrossIntExp",$C$8,F$12,,,,,,,,IF($C$10=1,{"jtb.opcconscontr=2"},{"jtb.opcconscontr=3"})),"-")</f>
        <v>10.261010565999999</v>
      </c>
      <c r="G27" s="45">
        <f>IFERROR(_xll.ECONOMATICA($C$5,"EBIT/GrossIntExp",$C$8,G$12,,,,,,,,IF($C$10=1,{"jtb.opcconscontr=2"},{"jtb.opcconscontr=3"})),"-")</f>
        <v>8.0473843926999997</v>
      </c>
      <c r="H27" s="45">
        <f>IFERROR(_xll.ECONOMATICA($C$5,"EBIT/GrossIntExp",$C$8,H$12,,,,,,,,IF($C$10=1,{"jtb.opcconscontr=2"},{"jtb.opcconscontr=3"})),"-")</f>
        <v>11.770747616</v>
      </c>
      <c r="I27" s="45">
        <f>IFERROR(_xll.ECONOMATICA($C$5,"EBIT/GrossIntExp",$C$8,I$12,,,,,,,,IF($C$10=1,{"jtb.opcconscontr=2"},{"jtb.opcconscontr=3"})),"-")</f>
        <v>9.4596134560999996</v>
      </c>
      <c r="J27" s="45">
        <f>IFERROR(_xll.ECONOMATICA($C$5,"EBIT/GrossIntExp",$C$8,J$12,,,,,,,,IF($C$10=1,{"jtb.opcconscontr=2"},{"jtb.opcconscontr=3"})),"-")</f>
        <v>8.3476765716999992</v>
      </c>
      <c r="K27" s="45">
        <f>IFERROR(_xll.ECONOMATICA($C$5,"EBIT/GrossIntExp",$C$8,K$12,,,,,,,,IF($C$10=1,{"jtb.opcconscontr=2"},{"jtb.opcconscontr=3"})),"-")</f>
        <v>5.8946150179999997</v>
      </c>
      <c r="L27" s="46">
        <f>IFERROR(_xll.ECONOMATICA($C$5,"EBIT/GrossIntExp",$C$8,L$12,,,,,,,,IF($C$10=1,{"jtb.opcconscontr=2"},{"jtb.opcconscontr=3"})),"-")</f>
        <v>2.5174816625999998</v>
      </c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</row>
    <row r="28" spans="1:25" s="15" customFormat="1" ht="15" customHeight="1" x14ac:dyDescent="0.3">
      <c r="A28" s="20"/>
      <c r="B28" s="25" t="s">
        <v>6</v>
      </c>
      <c r="C28" s="47">
        <f>IFERROR(_xll.ECONOMATICA($C$5,"EBIT/NetIntExp",$C$8,C$12,,,,,,,,IF($C$10=1,{"jtb.opcconscontr=2"},{"jtb.opcconscontr=3"})),"-")</f>
        <v>-9.4936336924999996</v>
      </c>
      <c r="D28" s="47">
        <f>IFERROR(_xll.ECONOMATICA($C$5,"EBIT/NetIntExp",$C$8,D$12,,,,,,,,IF($C$10=1,{"jtb.opcconscontr=2"},{"jtb.opcconscontr=3"})),"-")</f>
        <v>-5.5049752200000004</v>
      </c>
      <c r="E28" s="47">
        <f>IFERROR(_xll.ECONOMATICA($C$5,"EBIT/NetIntExp",$C$8,E$12,,,,,,,,IF($C$10=1,{"jtb.opcconscontr=2"},{"jtb.opcconscontr=3"})),"-")</f>
        <v>-8.5303753870999994</v>
      </c>
      <c r="F28" s="47">
        <f>IFERROR(_xll.ECONOMATICA($C$5,"EBIT/NetIntExp",$C$8,F$12,,,,,,,,IF($C$10=1,{"jtb.opcconscontr=2"},{"jtb.opcconscontr=3"})),"-")</f>
        <v>-15.280417509999999</v>
      </c>
      <c r="G28" s="47">
        <f>IFERROR(_xll.ECONOMATICA($C$5,"EBIT/NetIntExp",$C$8,G$12,,,,,,,,IF($C$10=1,{"jtb.opcconscontr=2"},{"jtb.opcconscontr=3"})),"-")</f>
        <v>-11.362185534</v>
      </c>
      <c r="H28" s="47">
        <f>IFERROR(_xll.ECONOMATICA($C$5,"EBIT/NetIntExp",$C$8,H$12,,,,,,,,IF($C$10=1,{"jtb.opcconscontr=2"},{"jtb.opcconscontr=3"})),"-")</f>
        <v>-23.572246785000001</v>
      </c>
      <c r="I28" s="47">
        <f>IFERROR(_xll.ECONOMATICA($C$5,"EBIT/NetIntExp",$C$8,I$12,,,,,,,,IF($C$10=1,{"jtb.opcconscontr=2"},{"jtb.opcconscontr=3"})),"-")</f>
        <v>-17.678251980999999</v>
      </c>
      <c r="J28" s="47">
        <f>IFERROR(_xll.ECONOMATICA($C$5,"EBIT/NetIntExp",$C$8,J$12,,,,,,,,IF($C$10=1,{"jtb.opcconscontr=2"},{"jtb.opcconscontr=3"})),"-")</f>
        <v>-15.963409493</v>
      </c>
      <c r="K28" s="47">
        <f>IFERROR(_xll.ECONOMATICA($C$5,"EBIT/NetIntExp",$C$8,K$12,,,,,,,,IF($C$10=1,{"jtb.opcconscontr=2"},{"jtb.opcconscontr=3"})),"-")</f>
        <v>-9.4940789474000002</v>
      </c>
      <c r="L28" s="48">
        <f>IFERROR(_xll.ECONOMATICA($C$5,"EBIT/NetIntExp",$C$8,L$12,,,,,,,,IF($C$10=1,{"jtb.opcconscontr=2"},{"jtb.opcconscontr=3"})),"-")</f>
        <v>-3.0302205382</v>
      </c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</row>
    <row r="29" spans="1:25" s="15" customFormat="1" ht="15" customHeight="1" x14ac:dyDescent="0.3">
      <c r="A29" s="20"/>
      <c r="B29" s="26" t="s">
        <v>52</v>
      </c>
      <c r="C29" s="45">
        <f>IFERROR(_xll.ECONOMATICA($C$5,"GrDebt/Ebitda",$C$8,C$12,,,,,,,,IF($C$10=1,{"jtb.opcconscontr=2"},{"jtb.opcconscontr=3"})),"-")</f>
        <v>0.90556786911999998</v>
      </c>
      <c r="D29" s="45">
        <f>IFERROR(_xll.ECONOMATICA($C$5,"GrDebt/Ebitda",$C$8,D$12,,,,,,,,IF($C$10=1,{"jtb.opcconscontr=2"},{"jtb.opcconscontr=3"})),"-")</f>
        <v>0.79575408032999995</v>
      </c>
      <c r="E29" s="45">
        <f>IFERROR(_xll.ECONOMATICA($C$5,"GrDebt/Ebitda",$C$8,E$12,,,,,,,,IF($C$10=1,{"jtb.opcconscontr=2"},{"jtb.opcconscontr=3"})),"-")</f>
        <v>0.81116880101</v>
      </c>
      <c r="F29" s="45">
        <f>IFERROR(_xll.ECONOMATICA($C$5,"GrDebt/Ebitda",$C$8,F$12,,,,,,,,IF($C$10=1,{"jtb.opcconscontr=2"},{"jtb.opcconscontr=3"})),"-")</f>
        <v>0.77444496864000001</v>
      </c>
      <c r="G29" s="45">
        <f>IFERROR(_xll.ECONOMATICA($C$5,"GrDebt/Ebitda",$C$8,G$12,,,,,,,,IF($C$10=1,{"jtb.opcconscontr=2"},{"jtb.opcconscontr=3"})),"-")</f>
        <v>0.76166963618000005</v>
      </c>
      <c r="H29" s="45">
        <f>IFERROR(_xll.ECONOMATICA($C$5,"GrDebt/Ebitda",$C$8,H$12,,,,,,,,IF($C$10=1,{"jtb.opcconscontr=2"},{"jtb.opcconscontr=3"})),"-")</f>
        <v>0.92982117479000004</v>
      </c>
      <c r="I29" s="45">
        <f>IFERROR(_xll.ECONOMATICA($C$5,"GrDebt/Ebitda",$C$8,I$12,,,,,,,,IF($C$10=1,{"jtb.opcconscontr=2"},{"jtb.opcconscontr=3"})),"-")</f>
        <v>1.1180204021</v>
      </c>
      <c r="J29" s="45">
        <f>IFERROR(_xll.ECONOMATICA($C$5,"GrDebt/Ebitda",$C$8,J$12,,,,,,,,IF($C$10=1,{"jtb.opcconscontr=2"},{"jtb.opcconscontr=3"})),"-")</f>
        <v>1.1859391264000001</v>
      </c>
      <c r="K29" s="45">
        <f>IFERROR(_xll.ECONOMATICA($C$5,"GrDebt/Ebitda",$C$8,K$12,,,,,,,,IF($C$10=1,{"jtb.opcconscontr=2"},{"jtb.opcconscontr=3"})),"-")</f>
        <v>1.2828332737999999</v>
      </c>
      <c r="L29" s="46">
        <f>IFERROR(_xll.ECONOMATICA($C$5,"GrDebt/Ebitda",$C$8,L$12,,,,,,,,IF($C$10=1,{"jtb.opcconscontr=2"},{"jtb.opcconscontr=3"})),"-")</f>
        <v>1.4245323157000001</v>
      </c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</row>
    <row r="30" spans="1:25" s="15" customFormat="1" ht="15" customHeight="1" x14ac:dyDescent="0.3">
      <c r="A30" s="20"/>
      <c r="B30" s="25" t="s">
        <v>53</v>
      </c>
      <c r="C30" s="47">
        <f>IFERROR(_xll.ECONOMATICA($C$5,"NetDebt/Ebitda",$C$8,C$12,,,,,,,,IF($C$10=1,{"jtb.opcconscontr=2"},{"jtb.opcconscontr=3"})),"-")</f>
        <v>0.61972207986000005</v>
      </c>
      <c r="D30" s="47">
        <f>IFERROR(_xll.ECONOMATICA($C$5,"NetDebt/Ebitda",$C$8,D$12,,,,,,,,IF($C$10=1,{"jtb.opcconscontr=2"},{"jtb.opcconscontr=3"})),"-")</f>
        <v>0.51144135561000004</v>
      </c>
      <c r="E30" s="47">
        <f>IFERROR(_xll.ECONOMATICA($C$5,"NetDebt/Ebitda",$C$8,E$12,,,,,,,,IF($C$10=1,{"jtb.opcconscontr=2"},{"jtb.opcconscontr=3"})),"-")</f>
        <v>0.70973779665000003</v>
      </c>
      <c r="F30" s="47">
        <f>IFERROR(_xll.ECONOMATICA($C$5,"NetDebt/Ebitda",$C$8,F$12,,,,,,,,IF($C$10=1,{"jtb.opcconscontr=2"},{"jtb.opcconscontr=3"})),"-")</f>
        <v>0.61941140604</v>
      </c>
      <c r="G30" s="47">
        <f>IFERROR(_xll.ECONOMATICA($C$5,"NetDebt/Ebitda",$C$8,G$12,,,,,,,,IF($C$10=1,{"jtb.opcconscontr=2"},{"jtb.opcconscontr=3"})),"-")</f>
        <v>0.57364587255999999</v>
      </c>
      <c r="H30" s="47">
        <f>IFERROR(_xll.ECONOMATICA($C$5,"NetDebt/Ebitda",$C$8,H$12,,,,,,,,IF($C$10=1,{"jtb.opcconscontr=2"},{"jtb.opcconscontr=3"})),"-")</f>
        <v>0.72684974089999999</v>
      </c>
      <c r="I30" s="47">
        <f>IFERROR(_xll.ECONOMATICA($C$5,"NetDebt/Ebitda",$C$8,I$12,,,,,,,,IF($C$10=1,{"jtb.opcconscontr=2"},{"jtb.opcconscontr=3"})),"-")</f>
        <v>0.87224705076999998</v>
      </c>
      <c r="J30" s="47">
        <f>IFERROR(_xll.ECONOMATICA($C$5,"NetDebt/Ebitda",$C$8,J$12,,,,,,,,IF($C$10=1,{"jtb.opcconscontr=2"},{"jtb.opcconscontr=3"})),"-")</f>
        <v>0.89142072268999994</v>
      </c>
      <c r="K30" s="47">
        <f>IFERROR(_xll.ECONOMATICA($C$5,"NetDebt/Ebitda",$C$8,K$12,,,,,,,,IF($C$10=1,{"jtb.opcconscontr=2"},{"jtb.opcconscontr=3"})),"-")</f>
        <v>0.94334781056000006</v>
      </c>
      <c r="L30" s="48">
        <f>IFERROR(_xll.ECONOMATICA($C$5,"NetDebt/Ebitda",$C$8,L$12,,,,,,,,IF($C$10=1,{"jtb.opcconscontr=2"},{"jtb.opcconscontr=3"})),"-")</f>
        <v>1.1336848755</v>
      </c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</row>
    <row r="31" spans="1:25" s="15" customFormat="1" ht="15" customHeight="1" x14ac:dyDescent="0.3">
      <c r="A31" s="20"/>
      <c r="B31" s="26" t="s">
        <v>54</v>
      </c>
      <c r="C31" s="43">
        <f>IFERROR(_xll.ECONOMATICA($C$5,"DebtST/DebtTt",,C$12,,,,"DECIMAL",,,,IF($C$10=1,{"jtb.opcconscontr=2"},{"jtb.opcconscontr=3"})),"-")</f>
        <v>0.15614704165000001</v>
      </c>
      <c r="D31" s="43">
        <f>IFERROR(_xll.ECONOMATICA($C$5,"DebtST/DebtTt",,D$12,,,,"DECIMAL",,,,IF($C$10=1,{"jtb.opcconscontr=2"},{"jtb.opcconscontr=3"})),"-")</f>
        <v>0.17432840288000001</v>
      </c>
      <c r="E31" s="43">
        <f>IFERROR(_xll.ECONOMATICA($C$5,"DebtST/DebtTt",,E$12,,,,"DECIMAL",,,,IF($C$10=1,{"jtb.opcconscontr=2"},{"jtb.opcconscontr=3"})),"-")</f>
        <v>0.15926217523</v>
      </c>
      <c r="F31" s="43">
        <f>IFERROR(_xll.ECONOMATICA($C$5,"DebtST/DebtTt",,F$12,,,,"DECIMAL",,,,IF($C$10=1,{"jtb.opcconscontr=2"},{"jtb.opcconscontr=3"})),"-")</f>
        <v>0.16975237171999999</v>
      </c>
      <c r="G31" s="43">
        <f>IFERROR(_xll.ECONOMATICA($C$5,"DebtST/DebtTt",,G$12,,,,"DECIMAL",,,,IF($C$10=1,{"jtb.opcconscontr=2"},{"jtb.opcconscontr=3"})),"-")</f>
        <v>0.18257321118</v>
      </c>
      <c r="H31" s="43">
        <f>IFERROR(_xll.ECONOMATICA($C$5,"DebtST/DebtTt",,H$12,,,,"DECIMAL",,,,IF($C$10=1,{"jtb.opcconscontr=2"},{"jtb.opcconscontr=3"})),"-")</f>
        <v>0.17831946308999999</v>
      </c>
      <c r="I31" s="43">
        <f>IFERROR(_xll.ECONOMATICA($C$5,"DebtST/DebtTt",,I$12,,,,"DECIMAL",,,,IF($C$10=1,{"jtb.opcconscontr=2"},{"jtb.opcconscontr=3"})),"-")</f>
        <v>0.18051667862000001</v>
      </c>
      <c r="J31" s="43">
        <f>IFERROR(_xll.ECONOMATICA($C$5,"DebtST/DebtTt",,J$12,,,,"DECIMAL",,,,IF($C$10=1,{"jtb.opcconscontr=2"},{"jtb.opcconscontr=3"})),"-")</f>
        <v>0.18405804752999999</v>
      </c>
      <c r="K31" s="43">
        <f>IFERROR(_xll.ECONOMATICA($C$5,"DebtST/DebtTt",,K$12,,,,"DECIMAL",,,,IF($C$10=1,{"jtb.opcconscontr=2"},{"jtb.opcconscontr=3"})),"-")</f>
        <v>0.20002265701999999</v>
      </c>
      <c r="L31" s="44">
        <f>IFERROR(_xll.ECONOMATICA($C$5,"DebtST/DebtTt",,L$12,,,,"DECIMAL",,,,IF($C$10=1,{"jtb.opcconscontr=2"},{"jtb.opcconscontr=3"})),"-")</f>
        <v>0.20213712731</v>
      </c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</row>
    <row r="32" spans="1:25" s="15" customFormat="1" ht="15" customHeight="1" x14ac:dyDescent="0.3">
      <c r="A32" s="20"/>
      <c r="B32" s="25" t="s">
        <v>7</v>
      </c>
      <c r="C32" s="41">
        <f>IFERROR(_xll.ECONOMATICA($C$5,"Liab/Asset",,C$12,,,,"DECIMAL",,,,IF($C$10=1,{"jtb.opcconscontr=2"},{"jtb.opcconscontr=3"})),"-")</f>
        <v>0.56235342888999995</v>
      </c>
      <c r="D32" s="41">
        <f>IFERROR(_xll.ECONOMATICA($C$5,"Liab/Asset",,D$12,,,,"DECIMAL",,,,IF($C$10=1,{"jtb.opcconscontr=2"},{"jtb.opcconscontr=3"})),"-")</f>
        <v>0.58910141188999998</v>
      </c>
      <c r="E32" s="41">
        <f>IFERROR(_xll.ECONOMATICA($C$5,"Liab/Asset",,E$12,,,,"DECIMAL",,,,IF($C$10=1,{"jtb.opcconscontr=2"},{"jtb.opcconscontr=3"})),"-")</f>
        <v>0.60519706113000005</v>
      </c>
      <c r="F32" s="41">
        <f>IFERROR(_xll.ECONOMATICA($C$5,"Liab/Asset",,F$12,,,,"DECIMAL",,,,IF($C$10=1,{"jtb.opcconscontr=2"},{"jtb.opcconscontr=3"})),"-")</f>
        <v>0.62692572711000005</v>
      </c>
      <c r="G32" s="41">
        <f>IFERROR(_xll.ECONOMATICA($C$5,"Liab/Asset",,G$12,,,,"DECIMAL",,,,IF($C$10=1,{"jtb.opcconscontr=2"},{"jtb.opcconscontr=3"})),"-")</f>
        <v>0.58776366090999999</v>
      </c>
      <c r="H32" s="41">
        <f>IFERROR(_xll.ECONOMATICA($C$5,"Liab/Asset",,H$12,,,,"DECIMAL",,,,IF($C$10=1,{"jtb.opcconscontr=2"},{"jtb.opcconscontr=3"})),"-")</f>
        <v>0.62413285153999998</v>
      </c>
      <c r="I32" s="41">
        <f>IFERROR(_xll.ECONOMATICA($C$5,"Liab/Asset",,I$12,,,,"DECIMAL",,,,IF($C$10=1,{"jtb.opcconscontr=2"},{"jtb.opcconscontr=3"})),"-")</f>
        <v>0.62214382114</v>
      </c>
      <c r="J32" s="41">
        <f>IFERROR(_xll.ECONOMATICA($C$5,"Liab/Asset",,J$12,,,,"DECIMAL",,,,IF($C$10=1,{"jtb.opcconscontr=2"},{"jtb.opcconscontr=3"})),"-")</f>
        <v>0.63617435920999998</v>
      </c>
      <c r="K32" s="41">
        <f>IFERROR(_xll.ECONOMATICA($C$5,"Liab/Asset",,K$12,,,,"DECIMAL",,,,IF($C$10=1,{"jtb.opcconscontr=2"},{"jtb.opcconscontr=3"})),"-")</f>
        <v>0.61592328997000001</v>
      </c>
      <c r="L32" s="42">
        <f>IFERROR(_xll.ECONOMATICA($C$5,"Liab/Asset",,L$12,,,,"DECIMAL",,,,IF($C$10=1,{"jtb.opcconscontr=2"},{"jtb.opcconscontr=3"})),"-")</f>
        <v>0.64480564623000003</v>
      </c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</row>
    <row r="33" spans="1:25" s="15" customFormat="1" ht="15" customHeight="1" x14ac:dyDescent="0.3">
      <c r="A33" s="20"/>
      <c r="B33" s="26" t="s">
        <v>8</v>
      </c>
      <c r="C33" s="43">
        <f>IFERROR(_xll.ECONOMATICA($C$5,"Liab/StkhEq",,C$12,,,,"DECIMAL",,,,IF($C$10=1,{"jtb.opcconscontr=2"},{"jtb.opcconscontr=3"})),"-")</f>
        <v>1.2849487828999999</v>
      </c>
      <c r="D33" s="43">
        <f>IFERROR(_xll.ECONOMATICA($C$5,"Liab/StkhEq",,D$12,,,,"DECIMAL",,,,IF($C$10=1,{"jtb.opcconscontr=2"},{"jtb.opcconscontr=3"})),"-")</f>
        <v>1.4336905234999999</v>
      </c>
      <c r="E33" s="43">
        <f>IFERROR(_xll.ECONOMATICA($C$5,"Liab/StkhEq",,E$12,,,,"DECIMAL",,,,IF($C$10=1,{"jtb.opcconscontr=2"},{"jtb.opcconscontr=3"})),"-")</f>
        <v>1.5329092099999999</v>
      </c>
      <c r="F33" s="43">
        <f>IFERROR(_xll.ECONOMATICA($C$5,"Liab/StkhEq",,F$12,,,,"DECIMAL",,,,IF($C$10=1,{"jtb.opcconscontr=2"},{"jtb.opcconscontr=3"})),"-")</f>
        <v>1.6804314118000001</v>
      </c>
      <c r="G33" s="43">
        <f>IFERROR(_xll.ECONOMATICA($C$5,"Liab/StkhEq",,G$12,,,,"DECIMAL",,,,IF($C$10=1,{"jtb.opcconscontr=2"},{"jtb.opcconscontr=3"})),"-")</f>
        <v>1.4257929376</v>
      </c>
      <c r="H33" s="43">
        <f>IFERROR(_xll.ECONOMATICA($C$5,"Liab/StkhEq",,H$12,,,,"DECIMAL",,,,IF($C$10=1,{"jtb.opcconscontr=2"},{"jtb.opcconscontr=3"})),"-")</f>
        <v>1.6605145038</v>
      </c>
      <c r="I33" s="43">
        <f>IFERROR(_xll.ECONOMATICA($C$5,"Liab/StkhEq",,I$12,,,,"DECIMAL",,,,IF($C$10=1,{"jtb.opcconscontr=2"},{"jtb.opcconscontr=3"})),"-")</f>
        <v>1.6465095873</v>
      </c>
      <c r="J33" s="43">
        <f>IFERROR(_xll.ECONOMATICA($C$5,"Liab/StkhEq",,J$12,,,,"DECIMAL",,,,IF($C$10=1,{"jtb.opcconscontr=2"},{"jtb.opcconscontr=3"})),"-")</f>
        <v>1.7485693362000001</v>
      </c>
      <c r="K33" s="43">
        <f>IFERROR(_xll.ECONOMATICA($C$5,"Liab/StkhEq",,K$12,,,,"DECIMAL",,,,IF($C$10=1,{"jtb.opcconscontr=2"},{"jtb.opcconscontr=3"})),"-")</f>
        <v>1.6036465473999999</v>
      </c>
      <c r="L33" s="44">
        <f>IFERROR(_xll.ECONOMATICA($C$5,"Liab/StkhEq",,L$12,,,,"DECIMAL",,,,IF($C$10=1,{"jtb.opcconscontr=2"},{"jtb.opcconscontr=3"})),"-")</f>
        <v>1.8153600680999999</v>
      </c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</row>
    <row r="34" spans="1:25" s="15" customFormat="1" ht="15" customHeight="1" x14ac:dyDescent="0.3">
      <c r="A34" s="20"/>
      <c r="B34" s="25" t="s">
        <v>9</v>
      </c>
      <c r="C34" s="41">
        <f>IFERROR(_xll.ECONOMATICA($C$5,"Liab/Sales",$C$8,C$12,,,,"DECIMAL",,,,IF($C$10=1,{"jtb.opcconscontr=2"},{"jtb.opcconscontr=3"})),"-")</f>
        <v>1.1052200695000001</v>
      </c>
      <c r="D34" s="41">
        <f>IFERROR(_xll.ECONOMATICA($C$5,"Liab/Sales",$C$8,D$12,,,,"DECIMAL",,,,IF($C$10=1,{"jtb.opcconscontr=2"},{"jtb.opcconscontr=3"})),"-")</f>
        <v>1.0413751243</v>
      </c>
      <c r="E34" s="41">
        <f>IFERROR(_xll.ECONOMATICA($C$5,"Liab/Sales",$C$8,E$12,,,,"DECIMAL",,,,IF($C$10=1,{"jtb.opcconscontr=2"},{"jtb.opcconscontr=3"})),"-")</f>
        <v>0.92964771985000005</v>
      </c>
      <c r="F34" s="41">
        <f>IFERROR(_xll.ECONOMATICA($C$5,"Liab/Sales",$C$8,F$12,,,,"DECIMAL",,,,IF($C$10=1,{"jtb.opcconscontr=2"},{"jtb.opcconscontr=3"})),"-")</f>
        <v>0.95488229349999998</v>
      </c>
      <c r="G34" s="41">
        <f>IFERROR(_xll.ECONOMATICA($C$5,"Liab/Sales",$C$8,G$12,,,,"DECIMAL",,,,IF($C$10=1,{"jtb.opcconscontr=2"},{"jtb.opcconscontr=3"})),"-")</f>
        <v>0.90055943246000003</v>
      </c>
      <c r="H34" s="41">
        <f>IFERROR(_xll.ECONOMATICA($C$5,"Liab/Sales",$C$8,H$12,,,,"DECIMAL",,,,IF($C$10=1,{"jtb.opcconscontr=2"},{"jtb.opcconscontr=3"})),"-")</f>
        <v>1.0629596450000001</v>
      </c>
      <c r="I34" s="41">
        <f>IFERROR(_xll.ECONOMATICA($C$5,"Liab/Sales",$C$8,I$12,,,,"DECIMAL",,,,IF($C$10=1,{"jtb.opcconscontr=2"},{"jtb.opcconscontr=3"})),"-")</f>
        <v>1.1896105832999999</v>
      </c>
      <c r="J34" s="41">
        <f>IFERROR(_xll.ECONOMATICA($C$5,"Liab/Sales",$C$8,J$12,,,,"DECIMAL",,,,IF($C$10=1,{"jtb.opcconscontr=2"},{"jtb.opcconscontr=3"})),"-")</f>
        <v>1.3057731145</v>
      </c>
      <c r="K34" s="41">
        <f>IFERROR(_xll.ECONOMATICA($C$5,"Liab/Sales",$C$8,K$12,,,,"DECIMAL",,,,IF($C$10=1,{"jtb.opcconscontr=2"},{"jtb.opcconscontr=3"})),"-")</f>
        <v>1.3398023426000001</v>
      </c>
      <c r="L34" s="42">
        <f>IFERROR(_xll.ECONOMATICA($C$5,"Liab/Sales",$C$8,L$12,,,,"DECIMAL",,,,IF($C$10=1,{"jtb.opcconscontr=2"},{"jtb.opcconscontr=3"})),"-")</f>
        <v>1.3678538868000001</v>
      </c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</row>
    <row r="35" spans="1:25" s="15" customFormat="1" ht="15" customHeight="1" x14ac:dyDescent="0.3">
      <c r="A35" s="20"/>
      <c r="B35" s="26" t="s">
        <v>10</v>
      </c>
      <c r="C35" s="43">
        <f>IFERROR(_xll.ECONOMATICA($C$5,"FixAsset/StkEq",,C$12,,,,"DECIMAL",,,,IF($C$10=1,{"jtb.opcconscontr=2"},{"jtb.opcconscontr=3"})),"-")</f>
        <v>1.571979655</v>
      </c>
      <c r="D35" s="43">
        <f>IFERROR(_xll.ECONOMATICA($C$5,"FixAsset/StkEq",,D$12,,,,"DECIMAL",,,,IF($C$10=1,{"jtb.opcconscontr=2"},{"jtb.opcconscontr=3"})),"-")</f>
        <v>1.6166156395</v>
      </c>
      <c r="E35" s="43">
        <f>IFERROR(_xll.ECONOMATICA($C$5,"FixAsset/StkEq",,E$12,,,,"DECIMAL",,,,IF($C$10=1,{"jtb.opcconscontr=2"},{"jtb.opcconscontr=3"})),"-")</f>
        <v>1.7937931864000001</v>
      </c>
      <c r="F35" s="43">
        <f>IFERROR(_xll.ECONOMATICA($C$5,"FixAsset/StkEq",,F$12,,,,"DECIMAL",,,,IF($C$10=1,{"jtb.opcconscontr=2"},{"jtb.opcconscontr=3"})),"-")</f>
        <v>1.8639131687999999</v>
      </c>
      <c r="G35" s="43">
        <f>IFERROR(_xll.ECONOMATICA($C$5,"FixAsset/StkEq",,G$12,,,,"DECIMAL",,,,IF($C$10=1,{"jtb.opcconscontr=2"},{"jtb.opcconscontr=3"})),"-")</f>
        <v>1.6822324958999999</v>
      </c>
      <c r="H35" s="43">
        <f>IFERROR(_xll.ECONOMATICA($C$5,"FixAsset/StkEq",,H$12,,,,"DECIMAL",,,,IF($C$10=1,{"jtb.opcconscontr=2"},{"jtb.opcconscontr=3"})),"-")</f>
        <v>1.8981548883999999</v>
      </c>
      <c r="I35" s="43">
        <f>IFERROR(_xll.ECONOMATICA($C$5,"FixAsset/StkEq",,I$12,,,,"DECIMAL",,,,IF($C$10=1,{"jtb.opcconscontr=2"},{"jtb.opcconscontr=3"})),"-")</f>
        <v>1.8721928308</v>
      </c>
      <c r="J35" s="43">
        <f>IFERROR(_xll.ECONOMATICA($C$5,"FixAsset/StkEq",,J$12,,,,"DECIMAL",,,,IF($C$10=1,{"jtb.opcconscontr=2"},{"jtb.opcconscontr=3"})),"-")</f>
        <v>1.9427054453999999</v>
      </c>
      <c r="K35" s="43">
        <f>IFERROR(_xll.ECONOMATICA($C$5,"FixAsset/StkEq",,K$12,,,,"DECIMAL",,,,IF($C$10=1,{"jtb.opcconscontr=2"},{"jtb.opcconscontr=3"})),"-")</f>
        <v>1.8307946390000001</v>
      </c>
      <c r="L35" s="44">
        <f>IFERROR(_xll.ECONOMATICA($C$5,"FixAsset/StkEq",,L$12,,,,"DECIMAL",,,,IF($C$10=1,{"jtb.opcconscontr=2"},{"jtb.opcconscontr=3"})),"-")</f>
        <v>2.0097303478000001</v>
      </c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</row>
    <row r="36" spans="1:25" s="15" customFormat="1" ht="15" customHeight="1" x14ac:dyDescent="0.3">
      <c r="A36" s="20"/>
      <c r="B36" s="27" t="s">
        <v>11</v>
      </c>
      <c r="C36" s="49" t="str">
        <f>IFERROR(_xll.ECONOMATICA($C$5,"Invest/StkhEq",,C$12,,,$C$7,"DECIMAL",,,,IF($C$10=1,{"jtb.opcconscontr=2"},{"jtb.opcconscontr=3"})),"-")</f>
        <v>-</v>
      </c>
      <c r="D36" s="49" t="str">
        <f>IFERROR(_xll.ECONOMATICA($C$5,"Invest/StkhEq",,D$12,,,$C$7,"DECIMAL",,,,IF($C$10=1,{"jtb.opcconscontr=2"},{"jtb.opcconscontr=3"})),"-")</f>
        <v>-</v>
      </c>
      <c r="E36" s="49" t="str">
        <f>IFERROR(_xll.ECONOMATICA($C$5,"Invest/StkhEq",,E$12,,,$C$7,"DECIMAL",,,,IF($C$10=1,{"jtb.opcconscontr=2"},{"jtb.opcconscontr=3"})),"-")</f>
        <v>-</v>
      </c>
      <c r="F36" s="49" t="str">
        <f>IFERROR(_xll.ECONOMATICA($C$5,"Invest/StkhEq",,F$12,,,$C$7,"DECIMAL",,,,IF($C$10=1,{"jtb.opcconscontr=2"},{"jtb.opcconscontr=3"})),"-")</f>
        <v>-</v>
      </c>
      <c r="G36" s="49" t="str">
        <f>IFERROR(_xll.ECONOMATICA($C$5,"Invest/StkhEq",,G$12,,,$C$7,"DECIMAL",,,,IF($C$10=1,{"jtb.opcconscontr=2"},{"jtb.opcconscontr=3"})),"-")</f>
        <v>-</v>
      </c>
      <c r="H36" s="49" t="str">
        <f>IFERROR(_xll.ECONOMATICA($C$5,"Invest/StkhEq",,H$12,,,$C$7,"DECIMAL",,,,IF($C$10=1,{"jtb.opcconscontr=2"},{"jtb.opcconscontr=3"})),"-")</f>
        <v>-</v>
      </c>
      <c r="I36" s="49" t="str">
        <f>IFERROR(_xll.ECONOMATICA($C$5,"Invest/StkhEq",,I$12,,,$C$7,"DECIMAL",,,,IF($C$10=1,{"jtb.opcconscontr=2"},{"jtb.opcconscontr=3"})),"-")</f>
        <v>-</v>
      </c>
      <c r="J36" s="49" t="str">
        <f>IFERROR(_xll.ECONOMATICA($C$5,"Invest/StkhEq",,J$12,,,$C$7,"DECIMAL",,,,IF($C$10=1,{"jtb.opcconscontr=2"},{"jtb.opcconscontr=3"})),"-")</f>
        <v>-</v>
      </c>
      <c r="K36" s="49" t="str">
        <f>IFERROR(_xll.ECONOMATICA($C$5,"Invest/StkhEq",,K$12,,,$C$7,"DECIMAL",,,,IF($C$10=1,{"jtb.opcconscontr=2"},{"jtb.opcconscontr=3"})),"-")</f>
        <v>-</v>
      </c>
      <c r="L36" s="50" t="str">
        <f>IFERROR(_xll.ECONOMATICA($C$5,"Invest/StkhEq",,L$12,,,$C$7,"DECIMAL",,,,IF($C$10=1,{"jtb.opcconscontr=2"},{"jtb.opcconscontr=3"})),"-")</f>
        <v>-</v>
      </c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</row>
    <row r="37" spans="1:25" s="21" customFormat="1" ht="8.1" customHeight="1" x14ac:dyDescent="0.3">
      <c r="A37" s="20"/>
    </row>
    <row r="38" spans="1:25" s="15" customFormat="1" ht="15" customHeight="1" thickBot="1" x14ac:dyDescent="0.35">
      <c r="A38" s="20"/>
      <c r="B38" s="17" t="s">
        <v>12</v>
      </c>
      <c r="C38" s="18"/>
      <c r="D38" s="18"/>
      <c r="E38" s="18"/>
      <c r="F38" s="18"/>
      <c r="G38" s="18"/>
      <c r="H38" s="18"/>
      <c r="I38" s="18"/>
      <c r="J38" s="18"/>
      <c r="K38" s="18"/>
      <c r="L38" s="19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</row>
    <row r="39" spans="1:25" s="15" customFormat="1" ht="15" customHeight="1" thickTop="1" x14ac:dyDescent="0.3">
      <c r="A39" s="20"/>
      <c r="B39" s="24" t="s">
        <v>13</v>
      </c>
      <c r="C39" s="51">
        <f>IFERROR(_xll.ECONOMATICA($C$5,"LiquidRatio",,C$12,,,,,,,,IF($C$10=1,{"jtb.opcconscontr=2"},{"jtb.opcconscontr=3"})),"-")</f>
        <v>0.50755607628999999</v>
      </c>
      <c r="D39" s="51">
        <f>IFERROR(_xll.ECONOMATICA($C$5,"LiquidRatio",,D$12,,,,,,,,IF($C$10=1,{"jtb.opcconscontr=2"},{"jtb.opcconscontr=3"})),"-")</f>
        <v>0.52592489973000001</v>
      </c>
      <c r="E39" s="51">
        <f>IFERROR(_xll.ECONOMATICA($C$5,"LiquidRatio",,E$12,,,,,,,,IF($C$10=1,{"jtb.opcconscontr=2"},{"jtb.opcconscontr=3"})),"-")</f>
        <v>0.43950762814</v>
      </c>
      <c r="F39" s="51">
        <f>IFERROR(_xll.ECONOMATICA($C$5,"LiquidRatio",,F$12,,,,,,,,IF($C$10=1,{"jtb.opcconscontr=2"},{"jtb.opcconscontr=3"})),"-")</f>
        <v>0.44710643384999998</v>
      </c>
      <c r="G39" s="51">
        <f>IFERROR(_xll.ECONOMATICA($C$5,"LiquidRatio",,G$12,,,,,,,,IF($C$10=1,{"jtb.opcconscontr=2"},{"jtb.opcconscontr=3"})),"-")</f>
        <v>0.48010508160999998</v>
      </c>
      <c r="H39" s="51">
        <f>IFERROR(_xll.ECONOMATICA($C$5,"LiquidRatio",,H$12,,,,,,,,IF($C$10=1,{"jtb.opcconscontr=2"},{"jtb.opcconscontr=3"})),"-")</f>
        <v>0.41989524052999999</v>
      </c>
      <c r="I39" s="51">
        <f>IFERROR(_xll.ECONOMATICA($C$5,"LiquidRatio",,I$12,,,,,,,,IF($C$10=1,{"jtb.opcconscontr=2"},{"jtb.opcconscontr=3"})),"-")</f>
        <v>0.43660717923999998</v>
      </c>
      <c r="J39" s="51">
        <f>IFERROR(_xll.ECONOMATICA($C$5,"LiquidRatio",,J$12,,,,,,,,IF($C$10=1,{"jtb.opcconscontr=2"},{"jtb.opcconscontr=3"})),"-")</f>
        <v>0.42901033284000001</v>
      </c>
      <c r="K39" s="51">
        <f>IFERROR(_xll.ECONOMATICA($C$5,"LiquidRatio",,K$12,,,,,,,,IF($C$10=1,{"jtb.opcconscontr=2"},{"jtb.opcconscontr=3"})),"-")</f>
        <v>0.45000836666999999</v>
      </c>
      <c r="L39" s="52">
        <f>IFERROR(_xll.ECONOMATICA($C$5,"LiquidRatio",,L$12,,,,,,,,IF($C$10=1,{"jtb.opcconscontr=2"},{"jtb.opcconscontr=3"})),"-")</f>
        <v>0.41386776200999997</v>
      </c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</row>
    <row r="40" spans="1:25" s="15" customFormat="1" ht="15" customHeight="1" x14ac:dyDescent="0.3">
      <c r="A40" s="20"/>
      <c r="B40" s="25" t="s">
        <v>14</v>
      </c>
      <c r="C40" s="57">
        <f>IFERROR(_xll.ECONOMATICA($C$5,"CurrRatio",,C$12,,,,,,,,IF($C$10=1,{"jtb.opcconscontr=2"},{"jtb.opcconscontr=3"})),"-")</f>
        <v>1.5320913517000001</v>
      </c>
      <c r="D40" s="57">
        <f>IFERROR(_xll.ECONOMATICA($C$5,"CurrRatio",,D$12,,,,,,,,IF($C$10=1,{"jtb.opcconscontr=2"},{"jtb.opcconscontr=3"})),"-")</f>
        <v>1.3133263611999999</v>
      </c>
      <c r="E40" s="57">
        <f>IFERROR(_xll.ECONOMATICA($C$5,"CurrRatio",,E$12,,,,,,,,IF($C$10=1,{"jtb.opcconscontr=2"},{"jtb.opcconscontr=3"})),"-")</f>
        <v>1.1731869491</v>
      </c>
      <c r="F40" s="57">
        <f>IFERROR(_xll.ECONOMATICA($C$5,"CurrRatio",,F$12,,,,,,,,IF($C$10=1,{"jtb.opcconscontr=2"},{"jtb.opcconscontr=3"})),"-")</f>
        <v>0.99585295392999995</v>
      </c>
      <c r="G40" s="57">
        <f>IFERROR(_xll.ECONOMATICA($C$5,"CurrRatio",,G$12,,,,,,,,IF($C$10=1,{"jtb.opcconscontr=2"},{"jtb.opcconscontr=3"})),"-")</f>
        <v>1.2237757882</v>
      </c>
      <c r="H40" s="57">
        <f>IFERROR(_xll.ECONOMATICA($C$5,"CurrRatio",,H$12,,,,,,,,IF($C$10=1,{"jtb.opcconscontr=2"},{"jtb.opcconscontr=3"})),"-")</f>
        <v>0.90248616416000005</v>
      </c>
      <c r="I40" s="57">
        <f>IFERROR(_xll.ECONOMATICA($C$5,"CurrRatio",,I$12,,,,,,,,IF($C$10=1,{"jtb.opcconscontr=2"},{"jtb.opcconscontr=3"})),"-")</f>
        <v>0.95303129306000001</v>
      </c>
      <c r="J40" s="57">
        <f>IFERROR(_xll.ECONOMATICA($C$5,"CurrRatio",,J$12,,,,,,,,IF($C$10=1,{"jtb.opcconscontr=2"},{"jtb.opcconscontr=3"})),"-")</f>
        <v>0.95821946219999998</v>
      </c>
      <c r="K40" s="57">
        <f>IFERROR(_xll.ECONOMATICA($C$5,"CurrRatio",,K$12,,,,,,,,IF($C$10=1,{"jtb.opcconscontr=2"},{"jtb.opcconscontr=3"})),"-")</f>
        <v>1.0785567599999999</v>
      </c>
      <c r="L40" s="58">
        <f>IFERROR(_xll.ECONOMATICA($C$5,"CurrRatio",,L$12,,,,,,,,IF($C$10=1,{"jtb.opcconscontr=2"},{"jtb.opcconscontr=3"})),"-")</f>
        <v>0.89514080867000001</v>
      </c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</row>
    <row r="41" spans="1:25" s="15" customFormat="1" ht="15" customHeight="1" x14ac:dyDescent="0.3">
      <c r="A41" s="20"/>
      <c r="B41" s="26" t="s">
        <v>15</v>
      </c>
      <c r="C41" s="53">
        <f>IFERROR(_xll.ECONOMATICA($C$5,"QuickRatio",,C$12,,,,,,,,IF($C$10=1,{"jtb.opcconscontr=2"},{"jtb.opcconscontr=3"})),"-")</f>
        <v>1.160794643</v>
      </c>
      <c r="D41" s="53">
        <f>IFERROR(_xll.ECONOMATICA($C$5,"QuickRatio",,D$12,,,,,,,,IF($C$10=1,{"jtb.opcconscontr=2"},{"jtb.opcconscontr=3"})),"-")</f>
        <v>1.0222368935999999</v>
      </c>
      <c r="E41" s="53">
        <f>IFERROR(_xll.ECONOMATICA($C$5,"QuickRatio",,E$12,,,,,,,,IF($C$10=1,{"jtb.opcconscontr=2"},{"jtb.opcconscontr=3"})),"-")</f>
        <v>0.78421583570999998</v>
      </c>
      <c r="F41" s="53">
        <f>IFERROR(_xll.ECONOMATICA($C$5,"QuickRatio",,F$12,,,,,,,,IF($C$10=1,{"jtb.opcconscontr=2"},{"jtb.opcconscontr=3"})),"-")</f>
        <v>0.71610141023999996</v>
      </c>
      <c r="G41" s="53">
        <f>IFERROR(_xll.ECONOMATICA($C$5,"QuickRatio",,G$12,,,,,,,,IF($C$10=1,{"jtb.opcconscontr=2"},{"jtb.opcconscontr=3"})),"-")</f>
        <v>0.90861035422000003</v>
      </c>
      <c r="H41" s="53">
        <f>IFERROR(_xll.ECONOMATICA($C$5,"QuickRatio",,H$12,,,,,,,,IF($C$10=1,{"jtb.opcconscontr=2"},{"jtb.opcconscontr=3"})),"-")</f>
        <v>0.64363881028000003</v>
      </c>
      <c r="I41" s="53">
        <f>IFERROR(_xll.ECONOMATICA($C$5,"QuickRatio",,I$12,,,,,,,,IF($C$10=1,{"jtb.opcconscontr=2"},{"jtb.opcconscontr=3"})),"-")</f>
        <v>0.69742060282999996</v>
      </c>
      <c r="J41" s="53">
        <f>IFERROR(_xll.ECONOMATICA($C$5,"QuickRatio",,J$12,,,,,,,,IF($C$10=1,{"jtb.opcconscontr=2"},{"jtb.opcconscontr=3"})),"-")</f>
        <v>0.73138817042000004</v>
      </c>
      <c r="K41" s="53">
        <f>IFERROR(_xll.ECONOMATICA($C$5,"QuickRatio",,K$12,,,,,,,,IF($C$10=1,{"jtb.opcconscontr=2"},{"jtb.opcconscontr=3"})),"-")</f>
        <v>0.81308976059000004</v>
      </c>
      <c r="L41" s="54">
        <f>IFERROR(_xll.ECONOMATICA($C$5,"QuickRatio",,L$12,,,,,,,,IF($C$10=1,{"jtb.opcconscontr=2"},{"jtb.opcconscontr=3"})),"-")</f>
        <v>0.66591373923999997</v>
      </c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</row>
    <row r="42" spans="1:25" s="15" customFormat="1" ht="15" customHeight="1" x14ac:dyDescent="0.3">
      <c r="A42" s="20"/>
      <c r="B42" s="25" t="s">
        <v>16</v>
      </c>
      <c r="C42" s="59">
        <f>IFERROR(_xll.ECONOMATICA($C$5,"WorkCap",,C$12,,,$C$7,$C$9,,,,IF($C$10=1,{"jtb.opcconscontr=2"},{"jtb.opcconscontr=3"})),"-")</f>
        <v>69290</v>
      </c>
      <c r="D42" s="59">
        <f>IFERROR(_xll.ECONOMATICA($C$5,"WorkCap",,D$12,,,$C$7,$C$9,,,,IF($C$10=1,{"jtb.opcconscontr=2"},{"jtb.opcconscontr=3"})),"-")</f>
        <v>53628</v>
      </c>
      <c r="E42" s="59">
        <f>IFERROR(_xll.ECONOMATICA($C$5,"WorkCap",,E$12,,,$C$7,$C$9,,,,IF($C$10=1,{"jtb.opcconscontr=2"},{"jtb.opcconscontr=3"})),"-")</f>
        <v>23520</v>
      </c>
      <c r="F42" s="59">
        <f>IFERROR(_xll.ECONOMATICA($C$5,"WorkCap",,F$12,,,$C$7,$C$9,,,,IF($C$10=1,{"jtb.opcconscontr=2"},{"jtb.opcconscontr=3"})),"-")</f>
        <v>-679</v>
      </c>
      <c r="G42" s="59">
        <f>IFERROR(_xll.ECONOMATICA($C$5,"WorkCap",,G$12,,,$C$7,$C$9,,,,IF($C$10=1,{"jtb.opcconscontr=2"},{"jtb.opcconscontr=3"})),"-")</f>
        <v>28744</v>
      </c>
      <c r="H42" s="59">
        <f>IFERROR(_xll.ECONOMATICA($C$5,"WorkCap",,H$12,,,$C$7,$C$9,,,,IF($C$10=1,{"jtb.opcconscontr=2"},{"jtb.opcconscontr=3"})),"-")</f>
        <v>-14783</v>
      </c>
      <c r="I42" s="59">
        <f>IFERROR(_xll.ECONOMATICA($C$5,"WorkCap",,I$12,,,$C$7,$C$9,,,,IF($C$10=1,{"jtb.opcconscontr=2"},{"jtb.opcconscontr=3"})),"-")</f>
        <v>-7259.9999997000004</v>
      </c>
      <c r="J42" s="59">
        <f>IFERROR(_xll.ECONOMATICA($C$5,"WorkCap",,J$12,,,$C$7,$C$9,,,,IF($C$10=1,{"jtb.opcconscontr=2"},{"jtb.opcconscontr=3"})),"-")</f>
        <v>-6849</v>
      </c>
      <c r="K42" s="59">
        <f>IFERROR(_xll.ECONOMATICA($C$5,"WorkCap",,K$12,,,$C$7,$C$9,,,,IF($C$10=1,{"jtb.opcconscontr=2"},{"jtb.opcconscontr=3"})),"-")</f>
        <v>12088</v>
      </c>
      <c r="L42" s="60">
        <f>IFERROR(_xll.ECONOMATICA($C$5,"WorkCap",,L$12,,,$C$7,$C$9,,,,IF($C$10=1,{"jtb.opcconscontr=2"},{"jtb.opcconscontr=3"})),"-")</f>
        <v>-18662</v>
      </c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</row>
    <row r="43" spans="1:25" s="15" customFormat="1" ht="15" customHeight="1" x14ac:dyDescent="0.3">
      <c r="A43" s="20"/>
      <c r="B43" s="30" t="s">
        <v>17</v>
      </c>
      <c r="C43" s="55">
        <f>IFERROR(_xll.ECONOMATICA($C$5,"CapitalEmpl",,C$12,,,$C$7,$C$9,,,,IF($C$10=1,{"jtb.opcconscontr=2"},{"jtb.opcconscontr=3"})),"-")</f>
        <v>911758</v>
      </c>
      <c r="D43" s="55">
        <f>IFERROR(_xll.ECONOMATICA($C$5,"CapitalEmpl",,D$12,,,$C$7,$C$9,,,,IF($C$10=1,{"jtb.opcconscontr=2"},{"jtb.opcconscontr=3"})),"-")</f>
        <v>882520</v>
      </c>
      <c r="E43" s="55">
        <f>IFERROR(_xll.ECONOMATICA($C$5,"CapitalEmpl",,E$12,,,$C$7,$C$9,,,,IF($C$10=1,{"jtb.opcconscontr=2"},{"jtb.opcconscontr=3"})),"-")</f>
        <v>858495</v>
      </c>
      <c r="F43" s="55">
        <f>IFERROR(_xll.ECONOMATICA($C$5,"CapitalEmpl",,F$12,,,$C$7,$C$9,,,,IF($C$10=1,{"jtb.opcconscontr=2"},{"jtb.opcconscontr=3"})),"-")</f>
        <v>860628</v>
      </c>
      <c r="G43" s="55">
        <f>IFERROR(_xll.ECONOMATICA($C$5,"CapitalEmpl",,G$12,,,$C$7,$C$9,,,,IF($C$10=1,{"jtb.opcconscontr=2"},{"jtb.opcconscontr=3"})),"-")</f>
        <v>899610</v>
      </c>
      <c r="H43" s="55">
        <f>IFERROR(_xll.ECONOMATICA($C$5,"CapitalEmpl",,H$12,,,$C$7,$C$9,,,,IF($C$10=1,{"jtb.opcconscontr=2"},{"jtb.opcconscontr=3"})),"-")</f>
        <v>888678</v>
      </c>
      <c r="I43" s="55">
        <f>IFERROR(_xll.ECONOMATICA($C$5,"CapitalEmpl",,I$12,,,$C$7,$C$9,,,,IF($C$10=1,{"jtb.opcconscontr=2"},{"jtb.opcconscontr=3"})),"-")</f>
        <v>926064</v>
      </c>
      <c r="J43" s="55">
        <f>IFERROR(_xll.ECONOMATICA($C$5,"CapitalEmpl",,J$12,,,$C$7,$C$9,,,,IF($C$10=1,{"jtb.opcconscontr=2"},{"jtb.opcconscontr=3"})),"-")</f>
        <v>942741</v>
      </c>
      <c r="K43" s="55">
        <f>IFERROR(_xll.ECONOMATICA($C$5,"CapitalEmpl",,K$12,,,$C$7,$C$9,,,,IF($C$10=1,{"jtb.opcconscontr=2"},{"jtb.opcconscontr=3"})),"-")</f>
        <v>975214</v>
      </c>
      <c r="L43" s="56">
        <f>IFERROR(_xll.ECONOMATICA($C$5,"CapitalEmpl",,L$12,,,$C$7,$C$9,,,,IF($C$10=1,{"jtb.opcconscontr=2"},{"jtb.opcconscontr=3"})),"-")</f>
        <v>947719</v>
      </c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</row>
    <row r="44" spans="1:25" s="21" customFormat="1" ht="8.1" customHeight="1" x14ac:dyDescent="0.3">
      <c r="A44" s="20"/>
    </row>
    <row r="45" spans="1:25" s="15" customFormat="1" ht="15" customHeight="1" thickBot="1" x14ac:dyDescent="0.35">
      <c r="A45" s="20"/>
      <c r="B45" s="17" t="s">
        <v>79</v>
      </c>
      <c r="C45" s="18"/>
      <c r="D45" s="18"/>
      <c r="E45" s="18"/>
      <c r="F45" s="18"/>
      <c r="G45" s="18"/>
      <c r="H45" s="18"/>
      <c r="I45" s="18"/>
      <c r="J45" s="18"/>
      <c r="K45" s="18"/>
      <c r="L45" s="19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</row>
    <row r="46" spans="1:25" s="15" customFormat="1" ht="15" customHeight="1" thickTop="1" x14ac:dyDescent="0.3">
      <c r="A46" s="20"/>
      <c r="B46" s="24" t="s">
        <v>61</v>
      </c>
      <c r="C46" s="61">
        <f>IFERROR(_xll.ECONOMATICA($C$5,"InventTurn",$C$8,C$12,,,,,,,,IF($C$10=1,{"jtb.opcconscontr=2"},{"jtb.opcconscontr=3"})),"-")</f>
        <v>67.528019708000002</v>
      </c>
      <c r="D46" s="61">
        <f>IFERROR(_xll.ECONOMATICA($C$5,"InventTurn",$C$8,D$12,,,,,,,,IF($C$10=1,{"jtb.opcconscontr=2"},{"jtb.opcconscontr=3"})),"-")</f>
        <v>64.249836114999994</v>
      </c>
      <c r="E46" s="61">
        <f>IFERROR(_xll.ECONOMATICA($C$5,"InventTurn",$C$8,E$12,,,,,,,,IF($C$10=1,{"jtb.opcconscontr=2"},{"jtb.opcconscontr=3"})),"-")</f>
        <v>63.314655559999999</v>
      </c>
      <c r="F46" s="61">
        <f>IFERROR(_xll.ECONOMATICA($C$5,"InventTurn",$C$8,F$12,,,,,,,,IF($C$10=1,{"jtb.opcconscontr=2"},{"jtb.opcconscontr=3"})),"-")</f>
        <v>53.684251650999997</v>
      </c>
      <c r="G46" s="61">
        <f>IFERROR(_xll.ECONOMATICA($C$5,"InventTurn",$C$8,G$12,,,,,,,,IF($C$10=1,{"jtb.opcconscontr=2"},{"jtb.opcconscontr=3"})),"-")</f>
        <v>47.621145085999999</v>
      </c>
      <c r="H46" s="61">
        <f>IFERROR(_xll.ECONOMATICA($C$5,"InventTurn",$C$8,H$12,,,,,,,,IF($C$10=1,{"jtb.opcconscontr=2"},{"jtb.opcconscontr=3"})),"-")</f>
        <v>49.205358449000002</v>
      </c>
      <c r="I46" s="61">
        <f>IFERROR(_xll.ECONOMATICA($C$5,"InventTurn",$C$8,I$12,,,,,,,,IF($C$10=1,{"jtb.opcconscontr=2"},{"jtb.opcconscontr=3"})),"-")</f>
        <v>54.211784076999997</v>
      </c>
      <c r="J46" s="61">
        <f>IFERROR(_xll.ECONOMATICA($C$5,"InventTurn",$C$8,J$12,,,,,,,,IF($C$10=1,{"jtb.opcconscontr=2"},{"jtb.opcconscontr=3"})),"-")</f>
        <v>55.301101787999997</v>
      </c>
      <c r="K46" s="61">
        <f>IFERROR(_xll.ECONOMATICA($C$5,"InventTurn",$C$8,K$12,,,,,,,,IF($C$10=1,{"jtb.opcconscontr=2"},{"jtb.opcconscontr=3"})),"-")</f>
        <v>63.026692496000003</v>
      </c>
      <c r="L46" s="62">
        <f>IFERROR(_xll.ECONOMATICA($C$5,"InventTurn",$C$8,L$12,,,,,,,,IF($C$10=1,{"jtb.opcconscontr=2"},{"jtb.opcconscontr=3"})),"-")</f>
        <v>61.610900426000001</v>
      </c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</row>
    <row r="47" spans="1:25" s="15" customFormat="1" ht="15" customHeight="1" x14ac:dyDescent="0.3">
      <c r="A47" s="20"/>
      <c r="B47" s="25" t="s">
        <v>62</v>
      </c>
      <c r="C47" s="67">
        <f>IFERROR(_xll.ECONOMATICA($C$5,"SupplierTurn",$C$8,C$12,,,,,,,,IF($C$10=1,{"jtb.opcconscontr=2"},{"jtb.opcconscontr=3"})),"-")</f>
        <v>39.145888696999997</v>
      </c>
      <c r="D47" s="67">
        <f>IFERROR(_xll.ECONOMATICA($C$5,"SupplierTurn",$C$8,D$12,,,,,,,,IF($C$10=1,{"jtb.opcconscontr=2"},{"jtb.opcconscontr=3"})),"-")</f>
        <v>37.338720944000002</v>
      </c>
      <c r="E47" s="67">
        <f>IFERROR(_xll.ECONOMATICA($C$5,"SupplierTurn",$C$8,E$12,,,,,,,,IF($C$10=1,{"jtb.opcconscontr=2"},{"jtb.opcconscontr=3"})),"-")</f>
        <v>33.756629611000001</v>
      </c>
      <c r="F47" s="67">
        <f>IFERROR(_xll.ECONOMATICA($C$5,"SupplierTurn",$C$8,F$12,,,,,,,,IF($C$10=1,{"jtb.opcconscontr=2"},{"jtb.opcconscontr=3"})),"-")</f>
        <v>33.411426116000001</v>
      </c>
      <c r="G47" s="67">
        <f>IFERROR(_xll.ECONOMATICA($C$5,"SupplierTurn",$C$8,G$12,,,,,,,,IF($C$10=1,{"jtb.opcconscontr=2"},{"jtb.opcconscontr=3"})),"-")</f>
        <v>30.164489376999999</v>
      </c>
      <c r="H47" s="67">
        <f>IFERROR(_xll.ECONOMATICA($C$5,"SupplierTurn",$C$8,H$12,,,,,,,,IF($C$10=1,{"jtb.opcconscontr=2"},{"jtb.opcconscontr=3"})),"-")</f>
        <v>32.812767766</v>
      </c>
      <c r="I47" s="67">
        <f>IFERROR(_xll.ECONOMATICA($C$5,"SupplierTurn",$C$8,I$12,,,,,,,,IF($C$10=1,{"jtb.opcconscontr=2"},{"jtb.opcconscontr=3"})),"-")</f>
        <v>32.083881222000002</v>
      </c>
      <c r="J47" s="67">
        <f>IFERROR(_xll.ECONOMATICA($C$5,"SupplierTurn",$C$8,J$12,,,,,,,,IF($C$10=1,{"jtb.opcconscontr=2"},{"jtb.opcconscontr=3"})),"-")</f>
        <v>34.655396779999997</v>
      </c>
      <c r="K47" s="67">
        <f>IFERROR(_xll.ECONOMATICA($C$5,"SupplierTurn",$C$8,K$12,,,,,,,,IF($C$10=1,{"jtb.opcconscontr=2"},{"jtb.opcconscontr=3"})),"-")</f>
        <v>39.808849496999997</v>
      </c>
      <c r="L47" s="68">
        <f>IFERROR(_xll.ECONOMATICA($C$5,"SupplierTurn",$C$8,L$12,,,,,,,,IF($C$10=1,{"jtb.opcconscontr=2"},{"jtb.opcconscontr=3"})),"-")</f>
        <v>40.401382689999998</v>
      </c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</row>
    <row r="48" spans="1:25" s="15" customFormat="1" ht="15" customHeight="1" x14ac:dyDescent="0.3">
      <c r="A48" s="20"/>
      <c r="B48" s="26" t="s">
        <v>63</v>
      </c>
      <c r="C48" s="63">
        <f>IFERROR(_xll.ECONOMATICA($C$5,"ReceivabTurn",$C$8,C$12,,,,,,,,IF($C$10=1,{"jtb.opcconscontr=2"},{"jtb.opcconscontr=3"})),"-")</f>
        <v>19.021795389000001</v>
      </c>
      <c r="D48" s="63">
        <f>IFERROR(_xll.ECONOMATICA($C$5,"ReceivabTurn",$C$8,D$12,,,,,,,,IF($C$10=1,{"jtb.opcconscontr=2"},{"jtb.opcconscontr=3"})),"-")</f>
        <v>16.74829561</v>
      </c>
      <c r="E48" s="63">
        <f>IFERROR(_xll.ECONOMATICA($C$5,"ReceivabTurn",$C$8,E$12,,,,,,,,IF($C$10=1,{"jtb.opcconscontr=2"},{"jtb.opcconscontr=3"})),"-")</f>
        <v>12.854245728</v>
      </c>
      <c r="F48" s="63">
        <f>IFERROR(_xll.ECONOMATICA($C$5,"ReceivabTurn",$C$8,F$12,,,,,,,,IF($C$10=1,{"jtb.opcconscontr=2"},{"jtb.opcconscontr=3"})),"-")</f>
        <v>14.676073206</v>
      </c>
      <c r="G48" s="63">
        <f>IFERROR(_xll.ECONOMATICA($C$5,"ReceivabTurn",$C$8,G$12,,,,,,,,IF($C$10=1,{"jtb.opcconscontr=2"},{"jtb.opcconscontr=3"})),"-")</f>
        <v>13.24431682</v>
      </c>
      <c r="H48" s="63">
        <f>IFERROR(_xll.ECONOMATICA($C$5,"ReceivabTurn",$C$8,H$12,,,,,,,,IF($C$10=1,{"jtb.opcconscontr=2"},{"jtb.opcconscontr=3"})),"-")</f>
        <v>13.024831359</v>
      </c>
      <c r="I48" s="63">
        <f>IFERROR(_xll.ECONOMATICA($C$5,"ReceivabTurn",$C$8,I$12,,,,,,,,IF($C$10=1,{"jtb.opcconscontr=2"},{"jtb.opcconscontr=3"})),"-")</f>
        <v>17.118148849000001</v>
      </c>
      <c r="J48" s="63">
        <f>IFERROR(_xll.ECONOMATICA($C$5,"ReceivabTurn",$C$8,J$12,,,,,,,,IF($C$10=1,{"jtb.opcconscontr=2"},{"jtb.opcconscontr=3"})),"-")</f>
        <v>20.884463490000002</v>
      </c>
      <c r="K48" s="63">
        <f>IFERROR(_xll.ECONOMATICA($C$5,"ReceivabTurn",$C$8,K$12,,,,,,,,IF($C$10=1,{"jtb.opcconscontr=2"},{"jtb.opcconscontr=3"})),"-")</f>
        <v>18.478131936</v>
      </c>
      <c r="L48" s="64">
        <f>IFERROR(_xll.ECONOMATICA($C$5,"ReceivabTurn",$C$8,L$12,,,,,,,,IF($C$10=1,{"jtb.opcconscontr=2"},{"jtb.opcconscontr=3"})),"-")</f>
        <v>17.665113763000001</v>
      </c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</row>
    <row r="49" spans="1:25" s="15" customFormat="1" ht="15" customHeight="1" x14ac:dyDescent="0.3">
      <c r="A49" s="20"/>
      <c r="B49" s="25" t="s">
        <v>64</v>
      </c>
      <c r="C49" s="67">
        <f>IFERROR(_xll.ECONOMATICA($C$5,"FinancTurn",$C$8,C$12,,,,,,,,IF($C$10=1,{"jtb.opcconscontr=2"},{"jtb.opcconscontr=3"})),"-")</f>
        <v>47.403926400000003</v>
      </c>
      <c r="D49" s="67">
        <f>IFERROR(_xll.ECONOMATICA($C$5,"FinancTurn",$C$8,D$12,,,,,,,,IF($C$10=1,{"jtb.opcconscontr=2"},{"jtb.opcconscontr=3"})),"-")</f>
        <v>43.659410780000002</v>
      </c>
      <c r="E49" s="67">
        <f>IFERROR(_xll.ECONOMATICA($C$5,"FinancTurn",$C$8,E$12,,,,,,,,IF($C$10=1,{"jtb.opcconscontr=2"},{"jtb.opcconscontr=3"})),"-")</f>
        <v>42.412271678000003</v>
      </c>
      <c r="F49" s="67">
        <f>IFERROR(_xll.ECONOMATICA($C$5,"FinancTurn",$C$8,F$12,,,,,,,,IF($C$10=1,{"jtb.opcconscontr=2"},{"jtb.opcconscontr=3"})),"-")</f>
        <v>34.948898741000001</v>
      </c>
      <c r="G49" s="67">
        <f>IFERROR(_xll.ECONOMATICA($C$5,"FinancTurn",$C$8,G$12,,,,,,,,IF($C$10=1,{"jtb.opcconscontr=2"},{"jtb.opcconscontr=3"})),"-")</f>
        <v>30.700972530000001</v>
      </c>
      <c r="H49" s="67">
        <f>IFERROR(_xll.ECONOMATICA($C$5,"FinancTurn",$C$8,H$12,,,,,,,,IF($C$10=1,{"jtb.opcconscontr=2"},{"jtb.opcconscontr=3"})),"-")</f>
        <v>29.417422042999998</v>
      </c>
      <c r="I49" s="67">
        <f>IFERROR(_xll.ECONOMATICA($C$5,"FinancTurn",$C$8,I$12,,,,,,,,IF($C$10=1,{"jtb.opcconscontr=2"},{"jtb.opcconscontr=3"})),"-")</f>
        <v>39.246051704000003</v>
      </c>
      <c r="J49" s="67">
        <f>IFERROR(_xll.ECONOMATICA($C$5,"FinancTurn",$C$8,J$12,,,,,,,,IF($C$10=1,{"jtb.opcconscontr=2"},{"jtb.opcconscontr=3"})),"-")</f>
        <v>41.530168498000002</v>
      </c>
      <c r="K49" s="67">
        <f>IFERROR(_xll.ECONOMATICA($C$5,"FinancTurn",$C$8,K$12,,,,,,,,IF($C$10=1,{"jtb.opcconscontr=2"},{"jtb.opcconscontr=3"})),"-")</f>
        <v>41.695974935000002</v>
      </c>
      <c r="L49" s="68">
        <f>IFERROR(_xll.ECONOMATICA($C$5,"FinancTurn",$C$8,L$12,,,,,,,,IF($C$10=1,{"jtb.opcconscontr=2"},{"jtb.opcconscontr=3"})),"-")</f>
        <v>38.874631499000003</v>
      </c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</row>
    <row r="50" spans="1:25" s="15" customFormat="1" ht="15" customHeight="1" x14ac:dyDescent="0.3">
      <c r="A50" s="20"/>
      <c r="B50" s="30" t="s">
        <v>65</v>
      </c>
      <c r="C50" s="65">
        <f>IFERROR(_xll.ECONOMATICA($C$5,"OperatTurn",$C$8,C$12,,,,,,,,IF($C$10=1,{"jtb.opcconscontr=2"},{"jtb.opcconscontr=3"})),"-")</f>
        <v>86.549815097000007</v>
      </c>
      <c r="D50" s="65">
        <f>IFERROR(_xll.ECONOMATICA($C$5,"OperatTurn",$C$8,D$12,,,,,,,,IF($C$10=1,{"jtb.opcconscontr=2"},{"jtb.opcconscontr=3"})),"-")</f>
        <v>80.998131724000004</v>
      </c>
      <c r="E50" s="65">
        <f>IFERROR(_xll.ECONOMATICA($C$5,"OperatTurn",$C$8,E$12,,,,,,,,IF($C$10=1,{"jtb.opcconscontr=2"},{"jtb.opcconscontr=3"})),"-")</f>
        <v>76.168901289000004</v>
      </c>
      <c r="F50" s="65">
        <f>IFERROR(_xll.ECONOMATICA($C$5,"OperatTurn",$C$8,F$12,,,,,,,,IF($C$10=1,{"jtb.opcconscontr=2"},{"jtb.opcconscontr=3"})),"-")</f>
        <v>68.360324856999995</v>
      </c>
      <c r="G50" s="65">
        <f>IFERROR(_xll.ECONOMATICA($C$5,"OperatTurn",$C$8,G$12,,,,,,,,IF($C$10=1,{"jtb.opcconscontr=2"},{"jtb.opcconscontr=3"})),"-")</f>
        <v>60.865461906999997</v>
      </c>
      <c r="H50" s="65">
        <f>IFERROR(_xll.ECONOMATICA($C$5,"OperatTurn",$C$8,H$12,,,,,,,,IF($C$10=1,{"jtb.opcconscontr=2"},{"jtb.opcconscontr=3"})),"-")</f>
        <v>62.230189809000002</v>
      </c>
      <c r="I50" s="65">
        <f>IFERROR(_xll.ECONOMATICA($C$5,"OperatTurn",$C$8,I$12,,,,,,,,IF($C$10=1,{"jtb.opcconscontr=2"},{"jtb.opcconscontr=3"})),"-")</f>
        <v>71.329932925999998</v>
      </c>
      <c r="J50" s="65">
        <f>IFERROR(_xll.ECONOMATICA($C$5,"OperatTurn",$C$8,J$12,,,,,,,,IF($C$10=1,{"jtb.opcconscontr=2"},{"jtb.opcconscontr=3"})),"-")</f>
        <v>76.185565277999999</v>
      </c>
      <c r="K50" s="65">
        <f>IFERROR(_xll.ECONOMATICA($C$5,"OperatTurn",$C$8,K$12,,,,,,,,IF($C$10=1,{"jtb.opcconscontr=2"},{"jtb.opcconscontr=3"})),"-")</f>
        <v>81.504824432000007</v>
      </c>
      <c r="L50" s="66">
        <f>IFERROR(_xll.ECONOMATICA($C$5,"OperatTurn",$C$8,L$12,,,,,,,,IF($C$10=1,{"jtb.opcconscontr=2"},{"jtb.opcconscontr=3"})),"-")</f>
        <v>79.276014188999994</v>
      </c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</row>
    <row r="51" spans="1:25" s="21" customFormat="1" ht="8.1" customHeight="1" x14ac:dyDescent="0.3">
      <c r="A51" s="20"/>
    </row>
    <row r="52" spans="1:25" s="15" customFormat="1" ht="15" customHeight="1" thickBot="1" x14ac:dyDescent="0.35">
      <c r="A52" s="20"/>
      <c r="B52" s="17" t="s">
        <v>18</v>
      </c>
      <c r="C52" s="18"/>
      <c r="D52" s="18"/>
      <c r="E52" s="18"/>
      <c r="F52" s="18"/>
      <c r="G52" s="18"/>
      <c r="H52" s="18"/>
      <c r="I52" s="18"/>
      <c r="J52" s="18"/>
      <c r="K52" s="18"/>
      <c r="L52" s="19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</row>
    <row r="53" spans="1:25" s="15" customFormat="1" ht="15" customHeight="1" thickTop="1" x14ac:dyDescent="0.3">
      <c r="A53" s="20"/>
      <c r="B53" s="24" t="s">
        <v>19</v>
      </c>
      <c r="C53" s="69">
        <f>IFERROR(_xll.ECONOMATICA($C$5,"EBITDA",$C$8,C$12,,,$C$7,$C$9,,,,IF($C$10=1,{"jtb.opcconscontr=2"},{"jtb.opcconscontr=3"})),"-")</f>
        <v>306347</v>
      </c>
      <c r="D53" s="69">
        <f>IFERROR(_xll.ECONOMATICA($C$5,"EBITDA",$C$8,D$12,,,$C$7,$C$9,,,,IF($C$10=1,{"jtb.opcconscontr=2"},{"jtb.opcconscontr=3"})),"-")</f>
        <v>352668</v>
      </c>
      <c r="E53" s="69">
        <f>IFERROR(_xll.ECONOMATICA($C$5,"EBITDA",$C$8,E$12,,,$C$7,$C$9,,,,IF($C$10=1,{"jtb.opcconscontr=2"},{"jtb.opcconscontr=3"})),"-")</f>
        <v>361704</v>
      </c>
      <c r="F53" s="69">
        <f>IFERROR(_xll.ECONOMATICA($C$5,"EBITDA",$C$8,F$12,,,$C$7,$C$9,,,,IF($C$10=1,{"jtb.opcconscontr=2"},{"jtb.opcconscontr=3"})),"-")</f>
        <v>362457</v>
      </c>
      <c r="G53" s="69">
        <f>IFERROR(_xll.ECONOMATICA($C$5,"EBITDA",$C$8,G$12,,,$C$7,$C$9,,,,IF($C$10=1,{"jtb.opcconscontr=2"},{"jtb.opcconscontr=3"})),"-")</f>
        <v>355838</v>
      </c>
      <c r="H53" s="69">
        <f>IFERROR(_xll.ECONOMATICA($C$5,"EBITDA",$C$8,H$12,,,$C$7,$C$9,,,,IF($C$10=1,{"jtb.opcconscontr=2"},{"jtb.opcconscontr=3"})),"-")</f>
        <v>300461</v>
      </c>
      <c r="I53" s="69">
        <f>IFERROR(_xll.ECONOMATICA($C$5,"EBITDA",$C$8,I$12,,,$C$7,$C$9,,,,IF($C$10=1,{"jtb.opcconscontr=2"},{"jtb.opcconscontr=3"})),"-")</f>
        <v>273207</v>
      </c>
      <c r="J53" s="69">
        <f>IFERROR(_xll.ECONOMATICA($C$5,"EBITDA",$C$8,J$12,,,$C$7,$C$9,,,,IF($C$10=1,{"jtb.opcconscontr=2"},{"jtb.opcconscontr=3"})),"-")</f>
        <v>255546</v>
      </c>
      <c r="K53" s="69">
        <f>IFERROR(_xll.ECONOMATICA($C$5,"EBITDA",$C$8,K$12,,,$C$7,$C$9,,,,IF($C$10=1,{"jtb.opcconscontr=2"},{"jtb.opcconscontr=3"})),"-")</f>
        <v>240838</v>
      </c>
      <c r="L53" s="70">
        <f>IFERROR(_xll.ECONOMATICA($C$5,"EBITDA",$C$8,L$12,,,$C$7,$C$9,,,,IF($C$10=1,{"jtb.opcconscontr=2"},{"jtb.opcconscontr=3"})),"-")</f>
        <v>232689</v>
      </c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</row>
    <row r="54" spans="1:25" s="15" customFormat="1" ht="15" customHeight="1" x14ac:dyDescent="0.3">
      <c r="A54" s="20"/>
      <c r="B54" s="25" t="s">
        <v>20</v>
      </c>
      <c r="C54" s="73">
        <f>IFERROR(_xll.ECONOMATICA($C$5,"Pretax+NetFinExp",$C$8,C$12,,,$C$7,$C$9,,,,IF($C$10=1,{"jtb.opcconscontr=2"},{"jtb.opcconscontr=3"})),"-")</f>
        <v>242325</v>
      </c>
      <c r="D54" s="73">
        <f>IFERROR(_xll.ECONOMATICA($C$5,"Pretax+NetFinExp",$C$8,D$12,,,$C$7,$C$9,,,,IF($C$10=1,{"jtb.opcconscontr=2"},{"jtb.opcconscontr=3"})),"-")</f>
        <v>286578</v>
      </c>
      <c r="E54" s="73">
        <f>IFERROR(_xll.ECONOMATICA($C$5,"Pretax+NetFinExp",$C$8,E$12,,,$C$7,$C$9,,,,IF($C$10=1,{"jtb.opcconscontr=2"},{"jtb.opcconscontr=3"})),"-")</f>
        <v>294733</v>
      </c>
      <c r="F54" s="73">
        <f>IFERROR(_xll.ECONOMATICA($C$5,"Pretax+NetFinExp",$C$8,F$12,,,$C$7,$C$9,,,,IF($C$10=1,{"jtb.opcconscontr=2"},{"jtb.opcconscontr=3"})),"-")</f>
        <v>294255</v>
      </c>
      <c r="G54" s="73">
        <f>IFERROR(_xll.ECONOMATICA($C$5,"Pretax+NetFinExp",$C$8,G$12,,,$C$7,$C$9,,,,IF($C$10=1,{"jtb.opcconscontr=2"},{"jtb.opcconscontr=3"})),"-")</f>
        <v>289054</v>
      </c>
      <c r="H54" s="73">
        <f>IFERROR(_xll.ECONOMATICA($C$5,"Pretax+NetFinExp",$C$8,H$12,,,$C$7,$C$9,,,,IF($C$10=1,{"jtb.opcconscontr=2"},{"jtb.opcconscontr=3"})),"-")</f>
        <v>234591</v>
      </c>
      <c r="I54" s="73">
        <f>IFERROR(_xll.ECONOMATICA($C$5,"Pretax+NetFinExp",$C$8,I$12,,,$C$7,$C$9,,,,IF($C$10=1,{"jtb.opcconscontr=2"},{"jtb.opcconscontr=3"})),"-")</f>
        <v>207525</v>
      </c>
      <c r="J54" s="73">
        <f>IFERROR(_xll.ECONOMATICA($C$5,"Pretax+NetFinExp",$C$8,J$12,,,$C$7,$C$9,,,,IF($C$10=1,{"jtb.opcconscontr=2"},{"jtb.opcconscontr=3"})),"-")</f>
        <v>189342</v>
      </c>
      <c r="K54" s="73">
        <f>IFERROR(_xll.ECONOMATICA($C$5,"Pretax+NetFinExp",$C$8,K$12,,,$C$7,$C$9,,,,IF($C$10=1,{"jtb.opcconscontr=2"},{"jtb.opcconscontr=3"})),"-")</f>
        <v>173172</v>
      </c>
      <c r="L54" s="74">
        <f>IFERROR(_xll.ECONOMATICA($C$5,"Pretax+NetFinExp",$C$8,L$12,,,$C$7,$C$9,,,,IF($C$10=1,{"jtb.opcconscontr=2"},{"jtb.opcconscontr=3"})),"-")</f>
        <v>164744</v>
      </c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</row>
    <row r="55" spans="1:25" s="15" customFormat="1" ht="15" customHeight="1" x14ac:dyDescent="0.3">
      <c r="A55" s="20"/>
      <c r="B55" s="26" t="s">
        <v>21</v>
      </c>
      <c r="C55" s="45">
        <f>IFERROR(_xll.ECONOMATICA($C$5,"AssetsTurn",$C$8,C$12,,,,,,,,IF($C$10=1,{"jtb.opcconscontr=2"},{"jtb.opcconscontr=3"})),"-")</f>
        <v>0.50881579553</v>
      </c>
      <c r="D55" s="45">
        <f>IFERROR(_xll.ECONOMATICA($C$5,"AssetsTurn",$C$8,D$12,,,,,,,,IF($C$10=1,{"jtb.opcconscontr=2"},{"jtb.opcconscontr=3"})),"-")</f>
        <v>0.56569568272000004</v>
      </c>
      <c r="E55" s="45">
        <f>IFERROR(_xll.ECONOMATICA($C$5,"AssetsTurn",$C$8,E$12,,,,,,,,IF($C$10=1,{"jtb.opcconscontr=2"},{"jtb.opcconscontr=3"})),"-")</f>
        <v>0.65099612272999996</v>
      </c>
      <c r="F55" s="45">
        <f>IFERROR(_xll.ECONOMATICA($C$5,"AssetsTurn",$C$8,F$12,,,,,,,,IF($C$10=1,{"jtb.opcconscontr=2"},{"jtb.opcconscontr=3"})),"-")</f>
        <v>0.65654765135000004</v>
      </c>
      <c r="G55" s="45">
        <f>IFERROR(_xll.ECONOMATICA($C$5,"AssetsTurn",$C$8,G$12,,,,,,,,IF($C$10=1,{"jtb.opcconscontr=2"},{"jtb.opcconscontr=3"})),"-")</f>
        <v>0.65266504321999996</v>
      </c>
      <c r="H55" s="45">
        <f>IFERROR(_xll.ECONOMATICA($C$5,"AssetsTurn",$C$8,H$12,,,,,,,,IF($C$10=1,{"jtb.opcconscontr=2"},{"jtb.opcconscontr=3"})),"-")</f>
        <v>0.58716514262999997</v>
      </c>
      <c r="I55" s="45">
        <f>IFERROR(_xll.ECONOMATICA($C$5,"AssetsTurn",$C$8,I$12,,,,,,,,IF($C$10=1,{"jtb.opcconscontr=2"},{"jtb.opcconscontr=3"})),"-")</f>
        <v>0.52298107451999998</v>
      </c>
      <c r="J55" s="45">
        <f>IFERROR(_xll.ECONOMATICA($C$5,"AssetsTurn",$C$8,J$12,,,,,,,,IF($C$10=1,{"jtb.opcconscontr=2"},{"jtb.opcconscontr=3"})),"-")</f>
        <v>0.48720130023000002</v>
      </c>
      <c r="K55" s="45">
        <f>IFERROR(_xll.ECONOMATICA($C$5,"AssetsTurn",$C$8,K$12,,,,,,,,IF($C$10=1,{"jtb.opcconscontr=2"},{"jtb.opcconscontr=3"})),"-")</f>
        <v>0.45971205631000001</v>
      </c>
      <c r="L55" s="46">
        <f>IFERROR(_xll.ECONOMATICA($C$5,"AssetsTurn",$C$8,L$12,,,,,,,,IF($C$10=1,{"jtb.opcconscontr=2"},{"jtb.opcconscontr=3"})),"-")</f>
        <v>0.47139950580000001</v>
      </c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</row>
    <row r="56" spans="1:25" s="15" customFormat="1" ht="15" customHeight="1" x14ac:dyDescent="0.3">
      <c r="A56" s="20"/>
      <c r="B56" s="25" t="s">
        <v>22</v>
      </c>
      <c r="C56" s="47">
        <f>IFERROR(_xll.ECONOMATICA($C$5,"EquityTurn",$C$8,C$12,,,,,,,,IF($C$10=1,{"jtb.opcconscontr=2"},{"jtb.opcconscontr=3"})),"-")</f>
        <v>1.1626180327</v>
      </c>
      <c r="D56" s="47">
        <f>IFERROR(_xll.ECONOMATICA($C$5,"EquityTurn",$C$8,D$12,,,,,,,,IF($C$10=1,{"jtb.opcconscontr=2"},{"jtb.opcconscontr=3"})),"-")</f>
        <v>1.3767282221999999</v>
      </c>
      <c r="E56" s="47">
        <f>IFERROR(_xll.ECONOMATICA($C$5,"EquityTurn",$C$8,E$12,,,,,,,,IF($C$10=1,{"jtb.opcconscontr=2"},{"jtb.opcconscontr=3"})),"-")</f>
        <v>1.6489140749</v>
      </c>
      <c r="F56" s="47">
        <f>IFERROR(_xll.ECONOMATICA($C$5,"EquityTurn",$C$8,F$12,,,,,,,,IF($C$10=1,{"jtb.opcconscontr=2"},{"jtb.opcconscontr=3"})),"-")</f>
        <v>1.7598309480000001</v>
      </c>
      <c r="G56" s="47">
        <f>IFERROR(_xll.ECONOMATICA($C$5,"EquityTurn",$C$8,G$12,,,,,,,,IF($C$10=1,{"jtb.opcconscontr=2"},{"jtb.opcconscontr=3"})),"-")</f>
        <v>1.5832302524999999</v>
      </c>
      <c r="H56" s="47">
        <f>IFERROR(_xll.ECONOMATICA($C$5,"EquityTurn",$C$8,H$12,,,,,,,,IF($C$10=1,{"jtb.opcconscontr=2"},{"jtb.opcconscontr=3"})),"-")</f>
        <v>1.5621613781000001</v>
      </c>
      <c r="I56" s="47">
        <f>IFERROR(_xll.ECONOMATICA($C$5,"EquityTurn",$C$8,I$12,,,,,,,,IF($C$10=1,{"jtb.opcconscontr=2"},{"jtb.opcconscontr=3"})),"-")</f>
        <v>1.3840744277000001</v>
      </c>
      <c r="J56" s="47">
        <f>IFERROR(_xll.ECONOMATICA($C$5,"EquityTurn",$C$8,J$12,,,,,,,,IF($C$10=1,{"jtb.opcconscontr=2"},{"jtb.opcconscontr=3"})),"-")</f>
        <v>1.3391065544</v>
      </c>
      <c r="K56" s="47">
        <f>IFERROR(_xll.ECONOMATICA($C$5,"EquityTurn",$C$8,K$12,,,,,,,,IF($C$10=1,{"jtb.opcconscontr=2"},{"jtb.opcconscontr=3"})),"-")</f>
        <v>1.1969277082000001</v>
      </c>
      <c r="L56" s="48">
        <f>IFERROR(_xll.ECONOMATICA($C$5,"EquityTurn",$C$8,L$12,,,,,,,,IF($C$10=1,{"jtb.opcconscontr=2"},{"jtb.opcconscontr=3"})),"-")</f>
        <v>1.3271593448000001</v>
      </c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</row>
    <row r="57" spans="1:25" s="15" customFormat="1" ht="15" customHeight="1" x14ac:dyDescent="0.3">
      <c r="A57" s="20"/>
      <c r="B57" s="26" t="s">
        <v>23</v>
      </c>
      <c r="C57" s="43">
        <f>IFERROR(_xll.ECONOMATICA($C$5,"GrossMargin",$C$8,C$12,,,$C$7,"DECIMAL",,,,IF($C$10=1,{"jtb.opcconscontr=2"},{"jtb.opcconscontr=3"})),"-")</f>
        <v>0.49272339044000002</v>
      </c>
      <c r="D57" s="43">
        <f>IFERROR(_xll.ECONOMATICA($C$5,"GrossMargin",$C$8,D$12,,,$C$7,"DECIMAL",,,,IF($C$10=1,{"jtb.opcconscontr=2"},{"jtb.opcconscontr=3"})),"-")</f>
        <v>0.50885579316999996</v>
      </c>
      <c r="E57" s="43">
        <f>IFERROR(_xll.ECONOMATICA($C$5,"GrossMargin",$C$8,E$12,,,$C$7,"DECIMAL",,,,IF($C$10=1,{"jtb.opcconscontr=2"},{"jtb.opcconscontr=3"})),"-")</f>
        <v>0.51309277364000005</v>
      </c>
      <c r="F57" s="43">
        <f>IFERROR(_xll.ECONOMATICA($C$5,"GrossMargin",$C$8,F$12,,,$C$7,"DECIMAL",,,,IF($C$10=1,{"jtb.opcconscontr=2"},{"jtb.opcconscontr=3"})),"-")</f>
        <v>0.52100877029000003</v>
      </c>
      <c r="G57" s="43">
        <f>IFERROR(_xll.ECONOMATICA($C$5,"GrossMargin",$C$8,G$12,,,$C$7,"DECIMAL",,,,IF($C$10=1,{"jtb.opcconscontr=2"},{"jtb.opcconscontr=3"})),"-")</f>
        <v>0.52082958211999997</v>
      </c>
      <c r="H57" s="43">
        <f>IFERROR(_xll.ECONOMATICA($C$5,"GrossMargin",$C$8,H$12,,,$C$7,"DECIMAL",,,,IF($C$10=1,{"jtb.opcconscontr=2"},{"jtb.opcconscontr=3"})),"-")</f>
        <v>0.50633379358999997</v>
      </c>
      <c r="I57" s="43">
        <f>IFERROR(_xll.ECONOMATICA($C$5,"GrossMargin",$C$8,I$12,,,$C$7,"DECIMAL",,,,IF($C$10=1,{"jtb.opcconscontr=2"},{"jtb.opcconscontr=3"})),"-")</f>
        <v>0.51078936818999998</v>
      </c>
      <c r="J57" s="43">
        <f>IFERROR(_xll.ECONOMATICA($C$5,"GrossMargin",$C$8,J$12,,,$C$7,"DECIMAL",,,,IF($C$10=1,{"jtb.opcconscontr=2"},{"jtb.opcconscontr=3"})),"-")</f>
        <v>0.52721906897000004</v>
      </c>
      <c r="K57" s="43">
        <f>IFERROR(_xll.ECONOMATICA($C$5,"GrossMargin",$C$8,K$12,,,$C$7,"DECIMAL",,,,IF($C$10=1,{"jtb.opcconscontr=2"},{"jtb.opcconscontr=3"})),"-")</f>
        <v>0.52445648297000003</v>
      </c>
      <c r="L57" s="44">
        <f>IFERROR(_xll.ECONOMATICA($C$5,"GrossMargin",$C$8,L$12,,,$C$7,"DECIMAL",,,,IF($C$10=1,{"jtb.opcconscontr=2"},{"jtb.opcconscontr=3"})),"-")</f>
        <v>0.52235480347999996</v>
      </c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</row>
    <row r="58" spans="1:25" s="15" customFormat="1" ht="15" customHeight="1" x14ac:dyDescent="0.3">
      <c r="A58" s="20"/>
      <c r="B58" s="25" t="s">
        <v>24</v>
      </c>
      <c r="C58" s="41">
        <f>IFERROR(_xll.ECONOMATICA($C$5,"EBITMargin",$C$8,C$12,,,,"DECIMAL",,,,IF($C$10=1,{"jtb.opcconscontr=2"},{"jtb.opcconscontr=3"})),"-")</f>
        <v>0.47689098369999999</v>
      </c>
      <c r="D58" s="41">
        <f>IFERROR(_xll.ECONOMATICA($C$5,"EBITMargin",$C$8,D$12,,,,"DECIMAL",,,,IF($C$10=1,{"jtb.opcconscontr=2"},{"jtb.opcconscontr=3"})),"-")</f>
        <v>0.50419697915999995</v>
      </c>
      <c r="E58" s="41">
        <f>IFERROR(_xll.ECONOMATICA($C$5,"EBITMargin",$C$8,E$12,,,,"DECIMAL",,,,IF($C$10=1,{"jtb.opcconscontr=2"},{"jtb.opcconscontr=3"})),"-")</f>
        <v>0.47779018816000002</v>
      </c>
      <c r="F58" s="41">
        <f>IFERROR(_xll.ECONOMATICA($C$5,"EBITMargin",$C$8,F$12,,,,"DECIMAL",,,,IF($C$10=1,{"jtb.opcconscontr=2"},{"jtb.opcconscontr=3"})),"-")</f>
        <v>0.45887289943999998</v>
      </c>
      <c r="G58" s="41">
        <f>IFERROR(_xll.ECONOMATICA($C$5,"EBITMargin",$C$8,G$12,,,,"DECIMAL",,,,IF($C$10=1,{"jtb.opcconscontr=2"},{"jtb.opcconscontr=3"})),"-")</f>
        <v>0.45257819606999999</v>
      </c>
      <c r="H58" s="41">
        <f>IFERROR(_xll.ECONOMATICA($C$5,"EBITMargin",$C$8,H$12,,,,"DECIMAL",,,,IF($C$10=1,{"jtb.opcconscontr=2"},{"jtb.opcconscontr=3"})),"-")</f>
        <v>0.40338020129000002</v>
      </c>
      <c r="I58" s="41">
        <f>IFERROR(_xll.ECONOMATICA($C$5,"EBITMargin",$C$8,I$12,,,,"DECIMAL",,,,IF($C$10=1,{"jtb.opcconscontr=2"},{"jtb.opcconscontr=3"})),"-")</f>
        <v>0.38694610442999999</v>
      </c>
      <c r="J58" s="41">
        <f>IFERROR(_xll.ECONOMATICA($C$5,"EBITMargin",$C$8,J$12,,,,"DECIMAL",,,,IF($C$10=1,{"jtb.opcconscontr=2"},{"jtb.opcconscontr=3"})),"-")</f>
        <v>0.3698129275</v>
      </c>
      <c r="K58" s="41">
        <f>IFERROR(_xll.ECONOMATICA($C$5,"EBITMargin",$C$8,K$12,,,,"DECIMAL",,,,IF($C$10=1,{"jtb.opcconscontr=2"},{"jtb.opcconscontr=3"})),"-")</f>
        <v>0.35294621184000002</v>
      </c>
      <c r="L58" s="42">
        <f>IFERROR(_xll.ECONOMATICA($C$5,"EBITMargin",$C$8,L$12,,,,"DECIMAL",,,,IF($C$10=1,{"jtb.opcconscontr=2"},{"jtb.opcconscontr=3"})),"-")</f>
        <v>0.33010529691000001</v>
      </c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</row>
    <row r="59" spans="1:25" s="15" customFormat="1" ht="15" customHeight="1" x14ac:dyDescent="0.3">
      <c r="A59" s="20"/>
      <c r="B59" s="26" t="s">
        <v>56</v>
      </c>
      <c r="C59" s="43">
        <f>IFERROR(_xll.ECONOMATICA($C$5,"Net Margin",$C$8,C$12,,,,"DECIMAL",,,,IF($C$10=1,{"jtb.opcconscontr=2"},{"jtb.opcconscontr=3"})),"-")</f>
        <v>0.2967144558</v>
      </c>
      <c r="D59" s="43">
        <f>IFERROR(_xll.ECONOMATICA($C$5,"Net Margin",$C$8,D$12,,,,"DECIMAL",,,,IF($C$10=1,{"jtb.opcconscontr=2"},{"jtb.opcconscontr=3"})),"-")</f>
        <v>0.28539458290000003</v>
      </c>
      <c r="E59" s="43">
        <f>IFERROR(_xll.ECONOMATICA($C$5,"Net Margin",$C$8,E$12,,,,"DECIMAL",,,,IF($C$10=1,{"jtb.opcconscontr=2"},{"jtb.opcconscontr=3"})),"-")</f>
        <v>0.28730017978</v>
      </c>
      <c r="F59" s="43">
        <f>IFERROR(_xll.ECONOMATICA($C$5,"Net Margin",$C$8,F$12,,,,"DECIMAL",,,,IF($C$10=1,{"jtb.opcconscontr=2"},{"jtb.opcconscontr=3"})),"-")</f>
        <v>0.29474188155999997</v>
      </c>
      <c r="G59" s="43">
        <f>IFERROR(_xll.ECONOMATICA($C$5,"Net Margin",$C$8,G$12,,,,"DECIMAL",,,,IF($C$10=1,{"jtb.opcconscontr=2"},{"jtb.opcconscontr=3"})),"-")</f>
        <v>0.28578966404</v>
      </c>
      <c r="H59" s="43">
        <f>IFERROR(_xll.ECONOMATICA($C$5,"Net Margin",$C$8,H$12,,,,"DECIMAL",,,,IF($C$10=1,{"jtb.opcconscontr=2"},{"jtb.opcconscontr=3"})),"-")</f>
        <v>0.26992948312999998</v>
      </c>
      <c r="I59" s="43">
        <f>IFERROR(_xll.ECONOMATICA($C$5,"Net Margin",$C$8,I$12,,,,"DECIMAL",,,,IF($C$10=1,{"jtb.opcconscontr=2"},{"jtb.opcconscontr=3"})),"-")</f>
        <v>0.25638850302999999</v>
      </c>
      <c r="J59" s="43">
        <f>IFERROR(_xll.ECONOMATICA($C$5,"Net Margin",$C$8,J$12,,,,"DECIMAL",,,,IF($C$10=1,{"jtb.opcconscontr=2"},{"jtb.opcconscontr=3"})),"-")</f>
        <v>0.24446770861</v>
      </c>
      <c r="K59" s="43">
        <f>IFERROR(_xll.ECONOMATICA($C$5,"Net Margin",$C$8,K$12,,,,"DECIMAL",,,,IF($C$10=1,{"jtb.opcconscontr=2"},{"jtb.opcconscontr=3"})),"-")</f>
        <v>0.22555727437</v>
      </c>
      <c r="L59" s="44">
        <f>IFERROR(_xll.ECONOMATICA($C$5,"Net Margin",$C$8,L$12,,,,"DECIMAL",,,,IF($C$10=1,{"jtb.opcconscontr=2"},{"jtb.opcconscontr=3"})),"-")</f>
        <v>0.15873283039</v>
      </c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</row>
    <row r="60" spans="1:25" s="15" customFormat="1" ht="15" customHeight="1" x14ac:dyDescent="0.3">
      <c r="A60" s="20"/>
      <c r="B60" s="25" t="s">
        <v>25</v>
      </c>
      <c r="C60" s="41">
        <f>IFERROR(_xll.ECONOMATICA($C$5,"EbitdaMargin",$C$8,C$12,,,,"DECIMAL",,,,IF($C$10=1,{"jtb.opcconscontr=2"},{"jtb.opcconscontr=3"})),"-")</f>
        <v>0.60288506006999998</v>
      </c>
      <c r="D60" s="41">
        <f>IFERROR(_xll.ECONOMATICA($C$5,"EbitdaMargin",$C$8,D$12,,,,"DECIMAL",,,,IF($C$10=1,{"jtb.opcconscontr=2"},{"jtb.opcconscontr=3"})),"-")</f>
        <v>0.62047379856999996</v>
      </c>
      <c r="E60" s="41">
        <f>IFERROR(_xll.ECONOMATICA($C$5,"EbitdaMargin",$C$8,E$12,,,,"DECIMAL",,,,IF($C$10=1,{"jtb.opcconscontr=2"},{"jtb.opcconscontr=3"})),"-")</f>
        <v>0.58635654038999996</v>
      </c>
      <c r="F60" s="41">
        <f>IFERROR(_xll.ECONOMATICA($C$5,"EbitdaMargin",$C$8,F$12,,,,"DECIMAL",,,,IF($C$10=1,{"jtb.opcconscontr=2"},{"jtb.opcconscontr=3"})),"-")</f>
        <v>0.56522979902000003</v>
      </c>
      <c r="G60" s="41">
        <f>IFERROR(_xll.ECONOMATICA($C$5,"EbitdaMargin",$C$8,G$12,,,,"DECIMAL",,,,IF($C$10=1,{"jtb.opcconscontr=2"},{"jtb.opcconscontr=3"})),"-")</f>
        <v>0.55714337159000005</v>
      </c>
      <c r="H60" s="41">
        <f>IFERROR(_xll.ECONOMATICA($C$5,"EbitdaMargin",$C$8,H$12,,,,"DECIMAL",,,,IF($C$10=1,{"jtb.opcconscontr=2"},{"jtb.opcconscontr=3"})),"-")</f>
        <v>0.51664394054999996</v>
      </c>
      <c r="I60" s="41">
        <f>IFERROR(_xll.ECONOMATICA($C$5,"EbitdaMargin",$C$8,I$12,,,,"DECIMAL",,,,IF($C$10=1,{"jtb.opcconscontr=2"},{"jtb.opcconscontr=3"})),"-")</f>
        <v>0.50941517577999995</v>
      </c>
      <c r="J60" s="41">
        <f>IFERROR(_xll.ECONOMATICA($C$5,"EbitdaMargin",$C$8,J$12,,,,"DECIMAL",,,,IF($C$10=1,{"jtb.opcconscontr=2"},{"jtb.opcconscontr=3"})),"-")</f>
        <v>0.49911913029999999</v>
      </c>
      <c r="K60" s="41">
        <f>IFERROR(_xll.ECONOMATICA($C$5,"EbitdaMargin",$C$8,K$12,,,,"DECIMAL",,,,IF($C$10=1,{"jtb.opcconscontr=2"},{"jtb.opcconscontr=3"})),"-")</f>
        <v>0.49085798954999998</v>
      </c>
      <c r="L60" s="42">
        <f>IFERROR(_xll.ECONOMATICA($C$5,"EbitdaMargin",$C$8,L$12,,,,"DECIMAL",,,,IF($C$10=1,{"jtb.opcconscontr=2"},{"jtb.opcconscontr=3"})),"-")</f>
        <v>0.46624988729</v>
      </c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</row>
    <row r="61" spans="1:25" s="15" customFormat="1" ht="15" customHeight="1" x14ac:dyDescent="0.3">
      <c r="A61" s="20"/>
      <c r="B61" s="26" t="s">
        <v>26</v>
      </c>
      <c r="C61" s="43">
        <f>IFERROR(_xll.ECONOMATICA($C$5,"ROA",$C$8,C$12,,,,"DECIMAL",,,,IF($C$10=1,{"jtb.opcconscontr=2"},{"jtb.opcconscontr=3"})),"-")</f>
        <v>0.15097300188000001</v>
      </c>
      <c r="D61" s="43">
        <f>IFERROR(_xll.ECONOMATICA($C$5,"ROA",$C$8,D$12,,,,"DECIMAL",,,,IF($C$10=1,{"jtb.opcconscontr=2"},{"jtb.opcconscontr=3"})),"-")</f>
        <v>0.16144648342000001</v>
      </c>
      <c r="E61" s="43">
        <f>IFERROR(_xll.ECONOMATICA($C$5,"ROA",$C$8,E$12,,,,"DECIMAL",,,,IF($C$10=1,{"jtb.opcconscontr=2"},{"jtb.opcconscontr=3"})),"-")</f>
        <v>0.18703130309999999</v>
      </c>
      <c r="F61" s="43">
        <f>IFERROR(_xll.ECONOMATICA($C$5,"ROA",$C$8,F$12,,,,"DECIMAL",,,,IF($C$10=1,{"jtb.opcconscontr=2"},{"jtb.opcconscontr=3"})),"-")</f>
        <v>0.19351209009000001</v>
      </c>
      <c r="G61" s="43">
        <f>IFERROR(_xll.ECONOMATICA($C$5,"ROA",$C$8,G$12,,,,"DECIMAL",,,,IF($C$10=1,{"jtb.opcconscontr=2"},{"jtb.opcconscontr=3"})),"-")</f>
        <v>0.18652492342999999</v>
      </c>
      <c r="H61" s="43">
        <f>IFERROR(_xll.ECONOMATICA($C$5,"ROA",$C$8,H$12,,,,"DECIMAL",,,,IF($C$10=1,{"jtb.opcconscontr=2"},{"jtb.opcconscontr=3"})),"-")</f>
        <v>0.15849318345999999</v>
      </c>
      <c r="I61" s="43">
        <f>IFERROR(_xll.ECONOMATICA($C$5,"ROA",$C$8,I$12,,,,"DECIMAL",,,,IF($C$10=1,{"jtb.opcconscontr=2"},{"jtb.opcconscontr=3"})),"-")</f>
        <v>0.13408633481000001</v>
      </c>
      <c r="J61" s="43">
        <f>IFERROR(_xll.ECONOMATICA($C$5,"ROA",$C$8,J$12,,,,"DECIMAL",,,,IF($C$10=1,{"jtb.opcconscontr=2"},{"jtb.opcconscontr=3"})),"-")</f>
        <v>0.11910498549</v>
      </c>
      <c r="K61" s="43">
        <f>IFERROR(_xll.ECONOMATICA($C$5,"ROA",$C$8,K$12,,,,"DECIMAL",,,,IF($C$10=1,{"jtb.opcconscontr=2"},{"jtb.opcconscontr=3"})),"-")</f>
        <v>0.10369139841</v>
      </c>
      <c r="L61" s="44">
        <f>IFERROR(_xll.ECONOMATICA($C$5,"ROA",$C$8,L$12,,,,"DECIMAL",,,,IF($C$10=1,{"jtb.opcconscontr=2"},{"jtb.opcconscontr=3"})),"-")</f>
        <v>7.4826577801999999E-2</v>
      </c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</row>
    <row r="62" spans="1:25" s="15" customFormat="1" ht="15" customHeight="1" x14ac:dyDescent="0.3">
      <c r="A62" s="20"/>
      <c r="B62" s="25" t="s">
        <v>27</v>
      </c>
      <c r="C62" s="41">
        <f>IFERROR(_xll.ECONOMATICA($C$5,"ROE (end)",$C$8,C$12,,,,"DECIMAL",,,,IF($C$10=1,{"jtb.opcconscontr=2"},{"jtb.opcconscontr=3"})),"-")</f>
        <v>0.34496557689000001</v>
      </c>
      <c r="D62" s="41">
        <f>IFERROR(_xll.ECONOMATICA($C$5,"ROE (end)",$C$8,D$12,,,,"DECIMAL",,,,IF($C$10=1,{"jtb.opcconscontr=2"},{"jtb.opcconscontr=3"})),"-")</f>
        <v>0.39291077674000002</v>
      </c>
      <c r="E62" s="41">
        <f>IFERROR(_xll.ECONOMATICA($C$5,"ROE (end)",$C$8,E$12,,,,"DECIMAL",,,,IF($C$10=1,{"jtb.opcconscontr=2"},{"jtb.opcconscontr=3"})),"-")</f>
        <v>0.47373331016999998</v>
      </c>
      <c r="F62" s="41">
        <f>IFERROR(_xll.ECONOMATICA($C$5,"ROE (end)",$C$8,F$12,,,,"DECIMAL",,,,IF($C$10=1,{"jtb.opcconscontr=2"},{"jtb.opcconscontr=3"})),"-")</f>
        <v>0.51869588484999996</v>
      </c>
      <c r="G62" s="41">
        <f>IFERROR(_xll.ECONOMATICA($C$5,"ROE (end)",$C$8,G$12,,,,"DECIMAL",,,,IF($C$10=1,{"jtb.opcconscontr=2"},{"jtb.opcconscontr=3"})),"-")</f>
        <v>0.45247084195999998</v>
      </c>
      <c r="H62" s="41">
        <f>IFERROR(_xll.ECONOMATICA($C$5,"ROE (end)",$C$8,H$12,,,,"DECIMAL",,,,IF($C$10=1,{"jtb.opcconscontr=2"},{"jtb.opcconscontr=3"})),"-")</f>
        <v>0.42167341336000003</v>
      </c>
      <c r="I62" s="41">
        <f>IFERROR(_xll.ECONOMATICA($C$5,"ROE (end)",$C$8,I$12,,,,"DECIMAL",,,,IF($C$10=1,{"jtb.opcconscontr=2"},{"jtb.opcconscontr=3"})),"-")</f>
        <v>0.35486077059999999</v>
      </c>
      <c r="J62" s="41">
        <f>IFERROR(_xll.ECONOMATICA($C$5,"ROE (end)",$C$8,J$12,,,,"DECIMAL",,,,IF($C$10=1,{"jtb.opcconscontr=2"},{"jtb.opcconscontr=3"})),"-")</f>
        <v>0.32736831093000002</v>
      </c>
      <c r="K62" s="41">
        <f>IFERROR(_xll.ECONOMATICA($C$5,"ROE (end)",$C$8,K$12,,,,"DECIMAL",,,,IF($C$10=1,{"jtb.opcconscontr=2"},{"jtb.opcconscontr=3"})),"-")</f>
        <v>0.26997575148000003</v>
      </c>
      <c r="L62" s="42">
        <f>IFERROR(_xll.ECONOMATICA($C$5,"ROE (end)",$C$8,L$12,,,,"DECIMAL",,,,IF($C$10=1,{"jtb.opcconscontr=2"},{"jtb.opcconscontr=3"})),"-")</f>
        <v>0.21066375916999999</v>
      </c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</row>
    <row r="63" spans="1:25" s="15" customFormat="1" ht="15" customHeight="1" x14ac:dyDescent="0.3">
      <c r="A63" s="20"/>
      <c r="B63" s="26" t="s">
        <v>67</v>
      </c>
      <c r="C63" s="43">
        <f>IFERROR(_xll.ECONOMATICA($C$5,"ROE (avg)",$C$8,C$12,,,,"DECIMAL",,,,IF($C$10=1,{"jtb.opcconscontr=2"},{"jtb.opcconscontr=3"})),"-")</f>
        <v>0.39817722294000002</v>
      </c>
      <c r="D63" s="43">
        <f>IFERROR(_xll.ECONOMATICA($C$5,"ROE (avg)",$C$8,D$12,,,,"DECIMAL",,,,IF($C$10=1,{"jtb.opcconscontr=2"},{"jtb.opcconscontr=3"})),"-")</f>
        <v>0.41848609854000002</v>
      </c>
      <c r="E63" s="43">
        <f>IFERROR(_xll.ECONOMATICA($C$5,"ROE (avg)",$C$8,E$12,,,,"DECIMAL",,,,IF($C$10=1,{"jtb.opcconscontr=2"},{"jtb.opcconscontr=3"})),"-")</f>
        <v>0.47273251052999998</v>
      </c>
      <c r="F63" s="43">
        <f>IFERROR(_xll.ECONOMATICA($C$5,"ROE (avg)",$C$8,F$12,,,,"DECIMAL",,,,IF($C$10=1,{"jtb.opcconscontr=2"},{"jtb.opcconscontr=3"})),"-")</f>
        <v>0.50136213038999999</v>
      </c>
      <c r="G63" s="43">
        <f>IFERROR(_xll.ECONOMATICA($C$5,"ROE (avg)",$C$8,G$12,,,,"DECIMAL",,,,IF($C$10=1,{"jtb.opcconscontr=2"},{"jtb.opcconscontr=3"})),"-")</f>
        <v>0.43435189526000001</v>
      </c>
      <c r="H63" s="43">
        <f>IFERROR(_xll.ECONOMATICA($C$5,"ROE (avg)",$C$8,H$12,,,,"DECIMAL",,,,IF($C$10=1,{"jtb.opcconscontr=2"},{"jtb.opcconscontr=3"})),"-")</f>
        <v>0.39988384133999999</v>
      </c>
      <c r="I63" s="43">
        <f>IFERROR(_xll.ECONOMATICA($C$5,"ROE (avg)",$C$8,I$12,,,,"DECIMAL",,,,IF($C$10=1,{"jtb.opcconscontr=2"},{"jtb.opcconscontr=3"})),"-")</f>
        <v>0.36109743368000002</v>
      </c>
      <c r="J63" s="43">
        <f>IFERROR(_xll.ECONOMATICA($C$5,"ROE (avg)",$C$8,J$12,,,,"DECIMAL",,,,IF($C$10=1,{"jtb.opcconscontr=2"},{"jtb.opcconscontr=3"})),"-")</f>
        <v>0.33523988081</v>
      </c>
      <c r="K63" s="43">
        <f>IFERROR(_xll.ECONOMATICA($C$5,"ROE (avg)",$C$8,K$12,,,,"DECIMAL",,,,IF($C$10=1,{"jtb.opcconscontr=2"},{"jtb.opcconscontr=3"})),"-")</f>
        <v>0.27213900435999999</v>
      </c>
      <c r="L63" s="44">
        <f>IFERROR(_xll.ECONOMATICA($C$5,"ROE (avg)",$C$8,L$12,,,,"DECIMAL",,,,IF($C$10=1,{"jtb.opcconscontr=2"},{"jtb.opcconscontr=3"})),"-")</f>
        <v>0.21172197493</v>
      </c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</row>
    <row r="64" spans="1:25" s="15" customFormat="1" ht="15" customHeight="1" x14ac:dyDescent="0.3">
      <c r="A64" s="20"/>
      <c r="B64" s="25" t="s">
        <v>28</v>
      </c>
      <c r="C64" s="41">
        <f>IFERROR(_xll.ECONOMATICA($C$5,"ROE (start)",$C$8,C$12,,,,"DECIMAL",,,,IF($C$10=1,{"jtb.opcconscontr=2"},{"jtb.opcconscontr=3"})),"-")</f>
        <v>0.47079891957999997</v>
      </c>
      <c r="D64" s="41">
        <f>IFERROR(_xll.ECONOMATICA($C$5,"ROE (start)",$C$8,D$12,,,,"DECIMAL",,,,IF($C$10=1,{"jtb.opcconscontr=2"},{"jtb.opcconscontr=3"})),"-")</f>
        <v>0.44762272689999999</v>
      </c>
      <c r="E64" s="41">
        <f>IFERROR(_xll.ECONOMATICA($C$5,"ROE (start)",$C$8,E$12,,,,"DECIMAL",,,,IF($C$10=1,{"jtb.opcconscontr=2"},{"jtb.opcconscontr=3"})),"-")</f>
        <v>0.47173593052000001</v>
      </c>
      <c r="F64" s="41">
        <f>IFERROR(_xll.ECONOMATICA($C$5,"ROE (start)",$C$8,F$12,,,,"DECIMAL",,,,IF($C$10=1,{"jtb.opcconscontr=2"},{"jtb.opcconscontr=3"})),"-")</f>
        <v>0.48514942976999997</v>
      </c>
      <c r="G64" s="41">
        <f>IFERROR(_xll.ECONOMATICA($C$5,"ROE (start)",$C$8,G$12,,,,"DECIMAL",,,,IF($C$10=1,{"jtb.opcconscontr=2"},{"jtb.opcconscontr=3"})),"-")</f>
        <v>0.41762820293000003</v>
      </c>
      <c r="H64" s="41">
        <f>IFERROR(_xll.ECONOMATICA($C$5,"ROE (start)",$C$8,H$12,,,,"DECIMAL",,,,IF($C$10=1,{"jtb.opcconscontr=2"},{"jtb.opcconscontr=3"})),"-")</f>
        <v>0.38023553235000002</v>
      </c>
      <c r="I64" s="41">
        <f>IFERROR(_xll.ECONOMATICA($C$5,"ROE (start)",$C$8,I$12,,,,"DECIMAL",,,,IF($C$10=1,{"jtb.opcconscontr=2"},{"jtb.opcconscontr=3"})),"-")</f>
        <v>0.36755723661</v>
      </c>
      <c r="J64" s="41">
        <f>IFERROR(_xll.ECONOMATICA($C$5,"ROE (start)",$C$8,J$12,,,,"DECIMAL",,,,IF($C$10=1,{"jtb.opcconscontr=2"},{"jtb.opcconscontr=3"})),"-")</f>
        <v>0.34349932077000001</v>
      </c>
      <c r="K64" s="41">
        <f>IFERROR(_xll.ECONOMATICA($C$5,"ROE (start)",$C$8,K$12,,,,"DECIMAL",,,,IF($C$10=1,{"jtb.opcconscontr=2"},{"jtb.opcconscontr=3"})),"-")</f>
        <v>0.27433720454999999</v>
      </c>
      <c r="L64" s="42">
        <f>IFERROR(_xll.ECONOMATICA($C$5,"ROE (start)",$C$8,L$12,,,,"DECIMAL",,,,IF($C$10=1,{"jtb.opcconscontr=2"},{"jtb.opcconscontr=3"})),"-")</f>
        <v>0.21279087570999999</v>
      </c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</row>
    <row r="65" spans="1:25" s="15" customFormat="1" ht="15" customHeight="1" x14ac:dyDescent="0.3">
      <c r="A65" s="20"/>
      <c r="B65" s="26" t="s">
        <v>29</v>
      </c>
      <c r="C65" s="43">
        <f>IFERROR(_xll.ECONOMATICA($C$5,"ROIC (IC end) %",$C$8,C$12,,,,"DECIMAL",,,,IF($C$10=1,{"jtb.opcconscontr=2"},{"jtb.opcconscontr=3"})),"-")</f>
        <v>0.19405052233</v>
      </c>
      <c r="D65" s="43">
        <f>IFERROR(_xll.ECONOMATICA($C$5,"ROIC (IC end) %",$C$8,D$12,,,,"DECIMAL",,,,IF($C$10=1,{"jtb.opcconscontr=2"},{"jtb.opcconscontr=3"})),"-")</f>
        <v>0.24179098296000001</v>
      </c>
      <c r="E65" s="43">
        <f>IFERROR(_xll.ECONOMATICA($C$5,"ROIC (IC end) %",$C$8,E$12,,,,"DECIMAL",,,,IF($C$10=1,{"jtb.opcconscontr=2"},{"jtb.opcconscontr=3"})),"-")</f>
        <v>0.23670251044000001</v>
      </c>
      <c r="F65" s="43">
        <f>IFERROR(_xll.ECONOMATICA($C$5,"ROIC (IC end) %",$C$8,F$12,,,,"DECIMAL",,,,IF($C$10=1,{"jtb.opcconscontr=2"},{"jtb.opcconscontr=3"})),"-")</f>
        <v>0.24142199182999999</v>
      </c>
      <c r="G65" s="43">
        <f>IFERROR(_xll.ECONOMATICA($C$5,"ROIC (IC end) %",$C$8,G$12,,,,"DECIMAL",,,,IF($C$10=1,{"jtb.opcconscontr=2"},{"jtb.opcconscontr=3"})),"-")</f>
        <v>0.22910378717999999</v>
      </c>
      <c r="H65" s="43">
        <f>IFERROR(_xll.ECONOMATICA($C$5,"ROIC (IC end) %",$C$8,H$12,,,,"DECIMAL",,,,IF($C$10=1,{"jtb.opcconscontr=2"},{"jtb.opcconscontr=3"})),"-")</f>
        <v>0.18706218367999999</v>
      </c>
      <c r="I65" s="43">
        <f>IFERROR(_xll.ECONOMATICA($C$5,"ROIC (IC end) %",$C$8,I$12,,,,"DECIMAL",,,,IF($C$10=1,{"jtb.opcconscontr=2"},{"jtb.opcconscontr=3"})),"-")</f>
        <v>0.15946418571000001</v>
      </c>
      <c r="J65" s="43">
        <f>IFERROR(_xll.ECONOMATICA($C$5,"ROIC (IC end) %",$C$8,J$12,,,,"DECIMAL",,,,IF($C$10=1,{"jtb.opcconscontr=2"},{"jtb.opcconscontr=3"})),"-")</f>
        <v>0.14405635647000001</v>
      </c>
      <c r="K65" s="43">
        <f>IFERROR(_xll.ECONOMATICA($C$5,"ROIC (IC end) %",$C$8,K$12,,,,"DECIMAL",,,,IF($C$10=1,{"jtb.opcconscontr=2"},{"jtb.opcconscontr=3"})),"-")</f>
        <v>0.12792337145999999</v>
      </c>
      <c r="L65" s="44">
        <f>IFERROR(_xll.ECONOMATICA($C$5,"ROIC (IC end) %",$C$8,L$12,,,,"DECIMAL",,,,IF($C$10=1,{"jtb.opcconscontr=2"},{"jtb.opcconscontr=3"})),"-")</f>
        <v>0.12355210319</v>
      </c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</row>
    <row r="66" spans="1:25" s="15" customFormat="1" ht="15" customHeight="1" x14ac:dyDescent="0.3">
      <c r="A66" s="20"/>
      <c r="B66" s="25" t="s">
        <v>30</v>
      </c>
      <c r="C66" s="41">
        <f>IFERROR(_xll.ECONOMATICA($C$5,"ROIC (avg IC) %",$C$8,C$12,,,,"DECIMAL",,,,IF($C$10=1,{"jtb.opcconscontr=2"},{"jtb.opcconscontr=3"})),"-")</f>
        <v>0.19086412724999999</v>
      </c>
      <c r="D66" s="41">
        <f>IFERROR(_xll.ECONOMATICA($C$5,"ROIC (avg IC) %",$C$8,D$12,,,,"DECIMAL",,,,IF($C$10=1,{"jtb.opcconscontr=2"},{"jtb.opcconscontr=3"})),"-")</f>
        <v>0.23674675405000001</v>
      </c>
      <c r="E66" s="41">
        <f>IFERROR(_xll.ECONOMATICA($C$5,"ROIC (avg IC) %",$C$8,E$12,,,,"DECIMAL",,,,IF($C$10=1,{"jtb.opcconscontr=2"},{"jtb.opcconscontr=3"})),"-")</f>
        <v>0.23649488132999999</v>
      </c>
      <c r="F66" s="41">
        <f>IFERROR(_xll.ECONOMATICA($C$5,"ROIC (avg IC) %",$C$8,F$12,,,,"DECIMAL",,,,IF($C$10=1,{"jtb.opcconscontr=2"},{"jtb.opcconscontr=3"})),"-")</f>
        <v>0.23813694619</v>
      </c>
      <c r="G66" s="41">
        <f>IFERROR(_xll.ECONOMATICA($C$5,"ROIC (avg IC) %",$C$8,G$12,,,,"DECIMAL",,,,IF($C$10=1,{"jtb.opcconscontr=2"},{"jtb.opcconscontr=3"})),"-")</f>
        <v>0.23028104393000001</v>
      </c>
      <c r="H66" s="41">
        <f>IFERROR(_xll.ECONOMATICA($C$5,"ROIC (avg IC) %",$C$8,H$12,,,,"DECIMAL",,,,IF($C$10=1,{"jtb.opcconscontr=2"},{"jtb.opcconscontr=3"})),"-")</f>
        <v>0.19234204895000001</v>
      </c>
      <c r="I66" s="41">
        <f>IFERROR(_xll.ECONOMATICA($C$5,"ROIC (avg IC) %",$C$8,I$12,,,,"DECIMAL",,,,IF($C$10=1,{"jtb.opcconscontr=2"},{"jtb.opcconscontr=3"})),"-")</f>
        <v>0.16298511832000001</v>
      </c>
      <c r="J66" s="41">
        <f>IFERROR(_xll.ECONOMATICA($C$5,"ROIC (avg IC) %",$C$8,J$12,,,,"DECIMAL",,,,IF($C$10=1,{"jtb.opcconscontr=2"},{"jtb.opcconscontr=3"})),"-")</f>
        <v>0.14948830470999999</v>
      </c>
      <c r="K66" s="41">
        <f>IFERROR(_xll.ECONOMATICA($C$5,"ROIC (avg IC) %",$C$8,K$12,,,,"DECIMAL",,,,IF($C$10=1,{"jtb.opcconscontr=2"},{"jtb.opcconscontr=3"})),"-")</f>
        <v>0.13242540511000001</v>
      </c>
      <c r="L66" s="42">
        <f>IFERROR(_xll.ECONOMATICA($C$5,"ROIC (avg IC) %",$C$8,L$12,,,,"DECIMAL",,,,IF($C$10=1,{"jtb.opcconscontr=2"},{"jtb.opcconscontr=3"})),"-")</f>
        <v>0.12733947597</v>
      </c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</row>
    <row r="67" spans="1:25" s="15" customFormat="1" ht="15" customHeight="1" x14ac:dyDescent="0.3">
      <c r="A67" s="20"/>
      <c r="B67" s="26" t="s">
        <v>31</v>
      </c>
      <c r="C67" s="43">
        <f>IFERROR(_xll.ECONOMATICA($C$5,"ROIC (start IC)%",$C$8,C$12,,,,"DECIMAL",,,,IF($C$10=1,{"jtb.opcconscontr=2"},{"jtb.opcconscontr=3"})),"-")</f>
        <v>0.18778068566</v>
      </c>
      <c r="D67" s="43">
        <f>IFERROR(_xll.ECONOMATICA($C$5,"ROIC (start IC)%",$C$8,D$12,,,,"DECIMAL",,,,IF($C$10=1,{"jtb.opcconscontr=2"},{"jtb.opcconscontr=3"})),"-")</f>
        <v>0.23190868897</v>
      </c>
      <c r="E67" s="43">
        <f>IFERROR(_xll.ECONOMATICA($C$5,"ROIC (start IC)%",$C$8,E$12,,,,"DECIMAL",,,,IF($C$10=1,{"jtb.opcconscontr=2"},{"jtb.opcconscontr=3"})),"-")</f>
        <v>0.23628761615999999</v>
      </c>
      <c r="F67" s="43">
        <f>IFERROR(_xll.ECONOMATICA($C$5,"ROIC (start IC)%",$C$8,F$12,,,,"DECIMAL",,,,IF($C$10=1,{"jtb.opcconscontr=2"},{"jtb.opcconscontr=3"})),"-")</f>
        <v>0.23494010008999999</v>
      </c>
      <c r="G67" s="43">
        <f>IFERROR(_xll.ECONOMATICA($C$5,"ROIC (start IC)%",$C$8,G$12,,,,"DECIMAL",,,,IF($C$10=1,{"jtb.opcconscontr=2"},{"jtb.opcconscontr=3"})),"-")</f>
        <v>0.23147046191000001</v>
      </c>
      <c r="H67" s="43">
        <f>IFERROR(_xll.ECONOMATICA($C$5,"ROIC (start IC)%",$C$8,H$12,,,,"DECIMAL",,,,IF($C$10=1,{"jtb.opcconscontr=2"},{"jtb.opcconscontr=3"})),"-")</f>
        <v>0.19792862147000001</v>
      </c>
      <c r="I67" s="43">
        <f>IFERROR(_xll.ECONOMATICA($C$5,"ROIC (start IC)%",$C$8,I$12,,,,"DECIMAL",,,,IF($C$10=1,{"jtb.opcconscontr=2"},{"jtb.opcconscontr=3"})),"-")</f>
        <v>0.16666504423</v>
      </c>
      <c r="J67" s="43">
        <f>IFERROR(_xll.ECONOMATICA($C$5,"ROIC (start IC)%",$C$8,J$12,,,,"DECIMAL",,,,IF($C$10=1,{"jtb.opcconscontr=2"},{"jtb.opcconscontr=3"})),"-")</f>
        <v>0.15534595089</v>
      </c>
      <c r="K67" s="43">
        <f>IFERROR(_xll.ECONOMATICA($C$5,"ROIC (start IC)%",$C$8,K$12,,,,"DECIMAL",,,,IF($C$10=1,{"jtb.opcconscontr=2"},{"jtb.opcconscontr=3"})),"-")</f>
        <v>0.13725587963999999</v>
      </c>
      <c r="L67" s="44">
        <f>IFERROR(_xll.ECONOMATICA($C$5,"ROIC (start IC)%",$C$8,L$12,,,,"DECIMAL",,,,IF($C$10=1,{"jtb.opcconscontr=2"},{"jtb.opcconscontr=3"})),"-")</f>
        <v>0.13136638825999999</v>
      </c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</row>
    <row r="68" spans="1:25" s="15" customFormat="1" ht="15" customHeight="1" x14ac:dyDescent="0.3">
      <c r="A68" s="20"/>
      <c r="B68" s="25" t="s">
        <v>32</v>
      </c>
      <c r="C68" s="73">
        <f>IFERROR(_xll.ECONOMATICA($C$5,"Invest Cap $",,C$12,,,$C$7,$C$9,,,,IF($C$10=1,{"jtb.opcconscontr=2"},{"jtb.opcconscontr=3"})),"-")</f>
        <v>824190</v>
      </c>
      <c r="D68" s="73">
        <f>IFERROR(_xll.ECONOMATICA($C$5,"Invest Cap $",,D$12,,,$C$7,$C$9,,,,IF($C$10=1,{"jtb.opcconscontr=2"},{"jtb.opcconscontr=3"})),"-")</f>
        <v>782252</v>
      </c>
      <c r="E68" s="73">
        <f>IFERROR(_xll.ECONOMATICA($C$5,"Invest Cap $",,E$12,,,$C$7,$C$9,,,,IF($C$10=1,{"jtb.opcconscontr=2"},{"jtb.opcconscontr=3"})),"-")</f>
        <v>821807</v>
      </c>
      <c r="F68" s="73">
        <f>IFERROR(_xll.ECONOMATICA($C$5,"Invest Cap $",,F$12,,,$C$7,$C$9,,,,IF($C$10=1,{"jtb.opcconscontr=2"},{"jtb.opcconscontr=3"})),"-")</f>
        <v>804435</v>
      </c>
      <c r="G68" s="73">
        <f>IFERROR(_xll.ECONOMATICA($C$5,"Invest Cap $",,G$12,,,$C$7,$C$9,,,,IF($C$10=1,{"jtb.opcconscontr=2"},{"jtb.opcconscontr=3"})),"-")</f>
        <v>832704</v>
      </c>
      <c r="H68" s="73">
        <f>IFERROR(_xll.ECONOMATICA($C$5,"Invest Cap $",,H$12,,,$C$7,$C$9,,,,IF($C$10=1,{"jtb.opcconscontr=2"},{"jtb.opcconscontr=3"})),"-")</f>
        <v>827693</v>
      </c>
      <c r="I68" s="73">
        <f>IFERROR(_xll.ECONOMATICA($C$5,"Invest Cap $",,I$12,,,$C$7,$C$9,,,,IF($C$10=1,{"jtb.opcconscontr=2"},{"jtb.opcconscontr=3"})),"-")</f>
        <v>858917</v>
      </c>
      <c r="J68" s="73">
        <f>IFERROR(_xll.ECONOMATICA($C$5,"Invest Cap $",,J$12,,,$C$7,$C$9,,,,IF($C$10=1,{"jtb.opcconscontr=2"},{"jtb.opcconscontr=3"})),"-")</f>
        <v>867478</v>
      </c>
      <c r="K68" s="73">
        <f>IFERROR(_xll.ECONOMATICA($C$5,"Invest Cap $",,K$12,,,$C$7,$C$9,,,,IF($C$10=1,{"jtb.opcconscontr=2"},{"jtb.opcconscontr=3"})),"-")</f>
        <v>893453</v>
      </c>
      <c r="L68" s="74">
        <f>IFERROR(_xll.ECONOMATICA($C$5,"Invest Cap $",,L$12,,,$C$7,$C$9,,,,IF($C$10=1,{"jtb.opcconscontr=2"},{"jtb.opcconscontr=3"})),"-")</f>
        <v>880042</v>
      </c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</row>
    <row r="69" spans="1:25" s="15" customFormat="1" ht="15" customHeight="1" x14ac:dyDescent="0.3">
      <c r="A69" s="20"/>
      <c r="B69" s="26" t="s">
        <v>33</v>
      </c>
      <c r="C69" s="43" t="str">
        <f>IFERROR(_xll.ECONOMATICA($C$5,"RetInvSubs",$C$8,C$12,,,$C$7,"DECIMAL",,,,IF($C$10=1,{"jtb.opcconscontr=2"},{"jtb.opcconscontr=3"})),"-")</f>
        <v>-</v>
      </c>
      <c r="D69" s="43" t="str">
        <f>IFERROR(_xll.ECONOMATICA($C$5,"RetInvSubs",$C$8,D$12,,,$C$7,"DECIMAL",,,,IF($C$10=1,{"jtb.opcconscontr=2"},{"jtb.opcconscontr=3"})),"-")</f>
        <v>-</v>
      </c>
      <c r="E69" s="43" t="str">
        <f>IFERROR(_xll.ECONOMATICA($C$5,"RetInvSubs",$C$8,E$12,,,$C$7,"DECIMAL",,,,IF($C$10=1,{"jtb.opcconscontr=2"},{"jtb.opcconscontr=3"})),"-")</f>
        <v>-</v>
      </c>
      <c r="F69" s="43" t="str">
        <f>IFERROR(_xll.ECONOMATICA($C$5,"RetInvSubs",$C$8,F$12,,,$C$7,"DECIMAL",,,,IF($C$10=1,{"jtb.opcconscontr=2"},{"jtb.opcconscontr=3"})),"-")</f>
        <v>-</v>
      </c>
      <c r="G69" s="43" t="str">
        <f>IFERROR(_xll.ECONOMATICA($C$5,"RetInvSubs",$C$8,G$12,,,$C$7,"DECIMAL",,,,IF($C$10=1,{"jtb.opcconscontr=2"},{"jtb.opcconscontr=3"})),"-")</f>
        <v>-</v>
      </c>
      <c r="H69" s="43" t="str">
        <f>IFERROR(_xll.ECONOMATICA($C$5,"RetInvSubs",$C$8,H$12,,,$C$7,"DECIMAL",,,,IF($C$10=1,{"jtb.opcconscontr=2"},{"jtb.opcconscontr=3"})),"-")</f>
        <v>-</v>
      </c>
      <c r="I69" s="43" t="str">
        <f>IFERROR(_xll.ECONOMATICA($C$5,"RetInvSubs",$C$8,I$12,,,$C$7,"DECIMAL",,,,IF($C$10=1,{"jtb.opcconscontr=2"},{"jtb.opcconscontr=3"})),"-")</f>
        <v>-</v>
      </c>
      <c r="J69" s="43" t="str">
        <f>IFERROR(_xll.ECONOMATICA($C$5,"RetInvSubs",$C$8,J$12,,,$C$7,"DECIMAL",,,,IF($C$10=1,{"jtb.opcconscontr=2"},{"jtb.opcconscontr=3"})),"-")</f>
        <v>-</v>
      </c>
      <c r="K69" s="43" t="str">
        <f>IFERROR(_xll.ECONOMATICA($C$5,"RetInvSubs",$C$8,K$12,,,$C$7,"DECIMAL",,,,IF($C$10=1,{"jtb.opcconscontr=2"},{"jtb.opcconscontr=3"})),"-")</f>
        <v>-</v>
      </c>
      <c r="L69" s="44" t="str">
        <f>IFERROR(_xll.ECONOMATICA($C$5,"RetInvSubs",$C$8,L$12,,,$C$7,"DECIMAL",,,,IF($C$10=1,{"jtb.opcconscontr=2"},{"jtb.opcconscontr=3"})),"-")</f>
        <v>-</v>
      </c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</row>
    <row r="70" spans="1:25" s="15" customFormat="1" ht="15" customHeight="1" x14ac:dyDescent="0.3">
      <c r="A70" s="20"/>
      <c r="B70" s="25" t="s">
        <v>34</v>
      </c>
      <c r="C70" s="47">
        <f>IFERROR(_xll.ECONOMATICA($C$5,"FinanLever",$C$8,C$12,,,,,,,,IF($C$10=1,{"jtb.opcconscontr=2"},{"jtb.opcconscontr=3"})),"-")</f>
        <v>1.9541226854</v>
      </c>
      <c r="D70" s="47">
        <f>IFERROR(_xll.ECONOMATICA($C$5,"FinanLever",$C$8,D$12,,,,,,,,IF($C$10=1,{"jtb.opcconscontr=2"},{"jtb.opcconscontr=3"})),"-")</f>
        <v>1.8424183961</v>
      </c>
      <c r="E70" s="47">
        <f>IFERROR(_xll.ECONOMATICA($C$5,"FinanLever",$C$8,E$12,,,,,,,,IF($C$10=1,{"jtb.opcconscontr=2"},{"jtb.opcconscontr=3"})),"-")</f>
        <v>2.1196700663999999</v>
      </c>
      <c r="F70" s="47">
        <f>IFERROR(_xll.ECONOMATICA($C$5,"FinanLever",$C$8,F$12,,,,,,,,IF($C$10=1,{"jtb.opcconscontr=2"},{"jtb.opcconscontr=3"})),"-")</f>
        <v>2.4325846241</v>
      </c>
      <c r="G70" s="47">
        <f>IFERROR(_xll.ECONOMATICA($C$5,"FinanLever",$C$8,G$12,,,,,,,,IF($C$10=1,{"jtb.opcconscontr=2"},{"jtb.opcconscontr=3"})),"-")</f>
        <v>2.1290555760999998</v>
      </c>
      <c r="H70" s="47">
        <f>IFERROR(_xll.ECONOMATICA($C$5,"FinanLever",$C$8,H$12,,,,,,,,IF($C$10=1,{"jtb.opcconscontr=2"},{"jtb.opcconscontr=3"})),"-")</f>
        <v>2.5019033224</v>
      </c>
      <c r="I70" s="47">
        <f>IFERROR(_xll.ECONOMATICA($C$5,"FinanLever",$C$8,I$12,,,,,,,,IF($C$10=1,{"jtb.opcconscontr=2"},{"jtb.opcconscontr=3"})),"-")</f>
        <v>2.4383445954999998</v>
      </c>
      <c r="J70" s="47">
        <f>IFERROR(_xll.ECONOMATICA($C$5,"FinanLever",$C$8,J$12,,,,,,,,IF($C$10=1,{"jtb.opcconscontr=2"},{"jtb.opcconscontr=3"})),"-")</f>
        <v>2.5106543202</v>
      </c>
      <c r="K70" s="47">
        <f>IFERROR(_xll.ECONOMATICA($C$5,"FinanLever",$C$8,K$12,,,,,,,,IF($C$10=1,{"jtb.opcconscontr=2"},{"jtb.opcconscontr=3"})),"-")</f>
        <v>2.2352431541</v>
      </c>
      <c r="L70" s="48">
        <f>IFERROR(_xll.ECONOMATICA($C$5,"FinanLever",$C$8,L$12,,,,,,,,IF($C$10=1,{"jtb.opcconscontr=2"},{"jtb.opcconscontr=3"})),"-")</f>
        <v>1.6695526733999999</v>
      </c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</row>
    <row r="71" spans="1:25" s="15" customFormat="1" ht="15" customHeight="1" x14ac:dyDescent="0.3">
      <c r="A71" s="20"/>
      <c r="B71" s="30" t="s">
        <v>35</v>
      </c>
      <c r="C71" s="71">
        <f>IFERROR(_xll.ECONOMATICA($C$5,"OperLever",$C$8,C$12,,,,,,,,IF($C$10=1,{"jtb.opcconscontr=2"},{"jtb.opcconscontr=3"})),"-")</f>
        <v>1.1370118074</v>
      </c>
      <c r="D71" s="71">
        <f>IFERROR(_xll.ECONOMATICA($C$5,"OperLever",$C$8,D$12,,,,,,,,IF($C$10=1,{"jtb.opcconscontr=2"},{"jtb.opcconscontr=3"})),"-")</f>
        <v>1.1191051058999999</v>
      </c>
      <c r="E71" s="71">
        <f>IFERROR(_xll.ECONOMATICA($C$5,"OperLever",$C$8,E$12,,,,,,,,IF($C$10=1,{"jtb.opcconscontr=2"},{"jtb.opcconscontr=3"})),"-")</f>
        <v>1.1099888829</v>
      </c>
      <c r="F71" s="71">
        <f>IFERROR(_xll.ECONOMATICA($C$5,"OperLever",$C$8,F$12,,,,,,,,IF($C$10=1,{"jtb.opcconscontr=2"},{"jtb.opcconscontr=3"})),"-")</f>
        <v>1.1071162290000001</v>
      </c>
      <c r="G71" s="71">
        <f>IFERROR(_xll.ECONOMATICA($C$5,"OperLever",$C$8,G$12,,,,,,,,IF($C$10=1,{"jtb.opcconscontr=2"},{"jtb.opcconscontr=3"})),"-")</f>
        <v>1.1094120511000001</v>
      </c>
      <c r="H71" s="71">
        <f>IFERROR(_xll.ECONOMATICA($C$5,"OperLever",$C$8,H$12,,,,,,,,IF($C$10=1,{"jtb.opcconscontr=2"},{"jtb.opcconscontr=3"})),"-")</f>
        <v>1.1259922911</v>
      </c>
      <c r="I71" s="71">
        <f>IFERROR(_xll.ECONOMATICA($C$5,"OperLever",$C$8,I$12,,,,,,,,IF($C$10=1,{"jtb.opcconscontr=2"},{"jtb.opcconscontr=3"})),"-")</f>
        <v>1.1372208776999999</v>
      </c>
      <c r="J71" s="71">
        <f>IFERROR(_xll.ECONOMATICA($C$5,"OperLever",$C$8,J$12,,,,,,,,IF($C$10=1,{"jtb.opcconscontr=2"},{"jtb.opcconscontr=3"})),"-")</f>
        <v>1.1398331208000001</v>
      </c>
      <c r="K71" s="71">
        <f>IFERROR(_xll.ECONOMATICA($C$5,"OperLever",$C$8,K$12,,,,,,,,IF($C$10=1,{"jtb.opcconscontr=2"},{"jtb.opcconscontr=3"})),"-")</f>
        <v>1.1508956324999999</v>
      </c>
      <c r="L71" s="72">
        <f>IFERROR(_xll.ECONOMATICA($C$5,"OperLever",$C$8,L$12,,,,,,,,IF($C$10=1,{"jtb.opcconscontr=2"},{"jtb.opcconscontr=3"})),"-")</f>
        <v>1.1569055576</v>
      </c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</row>
    <row r="72" spans="1:25" s="21" customFormat="1" ht="8.1" customHeight="1" x14ac:dyDescent="0.3">
      <c r="A72" s="20"/>
    </row>
    <row r="73" spans="1:25" s="15" customFormat="1" ht="15" customHeight="1" thickBot="1" x14ac:dyDescent="0.35">
      <c r="A73" s="20"/>
      <c r="B73" s="17" t="s">
        <v>36</v>
      </c>
      <c r="C73" s="18"/>
      <c r="D73" s="18"/>
      <c r="E73" s="18"/>
      <c r="F73" s="18"/>
      <c r="G73" s="18"/>
      <c r="H73" s="18"/>
      <c r="I73" s="18"/>
      <c r="J73" s="18"/>
      <c r="K73" s="18"/>
      <c r="L73" s="19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</row>
    <row r="74" spans="1:25" s="15" customFormat="1" ht="15" customHeight="1" thickTop="1" x14ac:dyDescent="0.3">
      <c r="A74" s="20"/>
      <c r="B74" s="24" t="s">
        <v>37</v>
      </c>
      <c r="C74" s="69">
        <f>IFERROR(_xll.ECONOMATICA($C$5,"Capex",$C$8,C$12,,,$C$7,$C$9,,,,IF($C$10=1,{"jtb.opcconscontr=2"},{"jtb.opcconscontr=3"})),"-")</f>
        <v>3970</v>
      </c>
      <c r="D74" s="69">
        <f>IFERROR(_xll.ECONOMATICA($C$5,"Capex",$C$8,D$12,,,$C$7,$C$9,,,,IF($C$10=1,{"jtb.opcconscontr=2"},{"jtb.opcconscontr=3"})),"-")</f>
        <v>-1670</v>
      </c>
      <c r="E74" s="69">
        <f>IFERROR(_xll.ECONOMATICA($C$5,"Capex",$C$8,E$12,,,$C$7,$C$9,,,,IF($C$10=1,{"jtb.opcconscontr=2"},{"jtb.opcconscontr=3"})),"-")</f>
        <v>10134</v>
      </c>
      <c r="F74" s="69">
        <f>IFERROR(_xll.ECONOMATICA($C$5,"Capex",$C$8,F$12,,,$C$7,$C$9,,,,IF($C$10=1,{"jtb.opcconscontr=2"},{"jtb.opcconscontr=3"})),"-")</f>
        <v>24979</v>
      </c>
      <c r="G74" s="69">
        <f>IFERROR(_xll.ECONOMATICA($C$5,"Capex",$C$8,G$12,,,$C$7,$C$9,,,,IF($C$10=1,{"jtb.opcconscontr=2"},{"jtb.opcconscontr=3"})),"-")</f>
        <v>24834</v>
      </c>
      <c r="H74" s="69">
        <f>IFERROR(_xll.ECONOMATICA($C$5,"Capex",$C$8,H$12,,,$C$7,$C$9,,,,IF($C$10=1,{"jtb.opcconscontr=2"},{"jtb.opcconscontr=3"})),"-")</f>
        <v>30763</v>
      </c>
      <c r="I74" s="69">
        <f>IFERROR(_xll.ECONOMATICA($C$5,"Capex",$C$8,I$12,,,$C$7,$C$9,,,,IF($C$10=1,{"jtb.opcconscontr=2"},{"jtb.opcconscontr=3"})),"-")</f>
        <v>38465</v>
      </c>
      <c r="J74" s="69">
        <f>IFERROR(_xll.ECONOMATICA($C$5,"Capex",$C$8,J$12,,,$C$7,$C$9,,,,IF($C$10=1,{"jtb.opcconscontr=2"},{"jtb.opcconscontr=3"})),"-")</f>
        <v>42203</v>
      </c>
      <c r="K74" s="69">
        <f>IFERROR(_xll.ECONOMATICA($C$5,"Capex",$C$8,K$12,,,$C$7,$C$9,,,,IF($C$10=1,{"jtb.opcconscontr=2"},{"jtb.opcconscontr=3"})),"-")</f>
        <v>50468</v>
      </c>
      <c r="L74" s="70">
        <f>IFERROR(_xll.ECONOMATICA($C$5,"Capex",$C$8,L$12,,,$C$7,$C$9,,,,IF($C$10=1,{"jtb.opcconscontr=2"},{"jtb.opcconscontr=3"})),"-")</f>
        <v>58185</v>
      </c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</row>
    <row r="75" spans="1:25" s="15" customFormat="1" ht="15" customHeight="1" x14ac:dyDescent="0.3">
      <c r="A75" s="20"/>
      <c r="B75" s="25" t="s">
        <v>66</v>
      </c>
      <c r="C75" s="73">
        <f>IFERROR(_xll.ECONOMATICA($C$5,"Depr &amp; Amor",$C$8,C$12,,,$C$7,$C$9,,,,IF($C$10=1,{"jtb.opcconscontr=2"},{"jtb.opcconscontr=3"})),"-")</f>
        <v>64022</v>
      </c>
      <c r="D75" s="73">
        <f>IFERROR(_xll.ECONOMATICA($C$5,"Depr &amp; Amor",$C$8,D$12,,,$C$7,$C$9,,,,IF($C$10=1,{"jtb.opcconscontr=2"},{"jtb.opcconscontr=3"})),"-")</f>
        <v>66090</v>
      </c>
      <c r="E75" s="73">
        <f>IFERROR(_xll.ECONOMATICA($C$5,"Depr &amp; Amor",$C$8,E$12,,,$C$7,$C$9,,,,IF($C$10=1,{"jtb.opcconscontr=2"},{"jtb.opcconscontr=3"})),"-")</f>
        <v>66971</v>
      </c>
      <c r="F75" s="73">
        <f>IFERROR(_xll.ECONOMATICA($C$5,"Depr &amp; Amor",$C$8,F$12,,,$C$7,$C$9,,,,IF($C$10=1,{"jtb.opcconscontr=2"},{"jtb.opcconscontr=3"})),"-")</f>
        <v>68202</v>
      </c>
      <c r="G75" s="73">
        <f>IFERROR(_xll.ECONOMATICA($C$5,"Depr &amp; Amor",$C$8,G$12,,,$C$7,$C$9,,,,IF($C$10=1,{"jtb.opcconscontr=2"},{"jtb.opcconscontr=3"})),"-")</f>
        <v>66784</v>
      </c>
      <c r="H75" s="73">
        <f>IFERROR(_xll.ECONOMATICA($C$5,"Depr &amp; Amor",$C$8,H$12,,,$C$7,$C$9,,,,IF($C$10=1,{"jtb.opcconscontr=2"},{"jtb.opcconscontr=3"})),"-")</f>
        <v>65870</v>
      </c>
      <c r="I75" s="73">
        <f>IFERROR(_xll.ECONOMATICA($C$5,"Depr &amp; Amor",$C$8,I$12,,,$C$7,$C$9,,,,IF($C$10=1,{"jtb.opcconscontr=2"},{"jtb.opcconscontr=3"})),"-")</f>
        <v>65682</v>
      </c>
      <c r="J75" s="73">
        <f>IFERROR(_xll.ECONOMATICA($C$5,"Depr &amp; Amor",$C$8,J$12,,,$C$7,$C$9,,,,IF($C$10=1,{"jtb.opcconscontr=2"},{"jtb.opcconscontr=3"})),"-")</f>
        <v>66204</v>
      </c>
      <c r="K75" s="73">
        <f>IFERROR(_xll.ECONOMATICA($C$5,"Depr &amp; Amor",$C$8,K$12,,,$C$7,$C$9,,,,IF($C$10=1,{"jtb.opcconscontr=2"},{"jtb.opcconscontr=3"})),"-")</f>
        <v>67666</v>
      </c>
      <c r="L75" s="74">
        <f>IFERROR(_xll.ECONOMATICA($C$5,"Depr &amp; Amor",$C$8,L$12,,,$C$7,$C$9,,,,IF($C$10=1,{"jtb.opcconscontr=2"},{"jtb.opcconscontr=3"})),"-")</f>
        <v>67945</v>
      </c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</row>
    <row r="76" spans="1:25" s="15" customFormat="1" ht="15" customHeight="1" x14ac:dyDescent="0.3">
      <c r="A76" s="20"/>
      <c r="B76" s="26" t="s">
        <v>38</v>
      </c>
      <c r="C76" s="43">
        <f>IFERROR(_xll.ECONOMATICA($C$5,"Capex(+inv)/Dep",$C$8,C$12,,,$C$7,"DECIMAL",,,,IF($C$10=1,{"jtb.opcconscontr=2"},{"jtb.opcconscontr=3"})),"-")</f>
        <v>6.2009934085000003E-2</v>
      </c>
      <c r="D76" s="43">
        <f>IFERROR(_xll.ECONOMATICA($C$5,"Capex(+inv)/Dep",$C$8,D$12,,,$C$7,"DECIMAL",,,,IF($C$10=1,{"jtb.opcconscontr=2"},{"jtb.opcconscontr=3"})),"-")</f>
        <v>-2.5268573158000001E-2</v>
      </c>
      <c r="E76" s="43">
        <f>IFERROR(_xll.ECONOMATICA($C$5,"Capex(+inv)/Dep",$C$8,E$12,,,$C$7,"DECIMAL",,,,IF($C$10=1,{"jtb.opcconscontr=2"},{"jtb.opcconscontr=3"})),"-")</f>
        <v>0.15131922773000001</v>
      </c>
      <c r="F76" s="43">
        <f>IFERROR(_xll.ECONOMATICA($C$5,"Capex(+inv)/Dep",$C$8,F$12,,,$C$7,"DECIMAL",,,,IF($C$10=1,{"jtb.opcconscontr=2"},{"jtb.opcconscontr=3"})),"-")</f>
        <v>0.36625025658999999</v>
      </c>
      <c r="G76" s="43">
        <f>IFERROR(_xll.ECONOMATICA($C$5,"Capex(+inv)/Dep",$C$8,G$12,,,$C$7,"DECIMAL",,,,IF($C$10=1,{"jtb.opcconscontr=2"},{"jtb.opcconscontr=3"})),"-")</f>
        <v>0.37185553426000001</v>
      </c>
      <c r="H76" s="43">
        <f>IFERROR(_xll.ECONOMATICA($C$5,"Capex(+inv)/Dep",$C$8,H$12,,,$C$7,"DECIMAL",,,,IF($C$10=1,{"jtb.opcconscontr=2"},{"jtb.opcconscontr=3"})),"-")</f>
        <v>0.46702596021999998</v>
      </c>
      <c r="I76" s="43">
        <f>IFERROR(_xll.ECONOMATICA($C$5,"Capex(+inv)/Dep",$C$8,I$12,,,$C$7,"DECIMAL",,,,IF($C$10=1,{"jtb.opcconscontr=2"},{"jtb.opcconscontr=3"})),"-")</f>
        <v>0.58562467647000005</v>
      </c>
      <c r="J76" s="43">
        <f>IFERROR(_xll.ECONOMATICA($C$5,"Capex(+inv)/Dep",$C$8,J$12,,,$C$7,"DECIMAL",,,,IF($C$10=1,{"jtb.opcconscontr=2"},{"jtb.opcconscontr=3"})),"-")</f>
        <v>0.63746903509999997</v>
      </c>
      <c r="K76" s="43">
        <f>IFERROR(_xll.ECONOMATICA($C$5,"Capex(+inv)/Dep",$C$8,K$12,,,$C$7,"DECIMAL",,,,IF($C$10=1,{"jtb.opcconscontr=2"},{"jtb.opcconscontr=3"})),"-")</f>
        <v>0.74583986048999995</v>
      </c>
      <c r="L76" s="44">
        <f>IFERROR(_xll.ECONOMATICA($C$5,"Capex(+inv)/Dep",$C$8,L$12,,,$C$7,"DECIMAL",,,,IF($C$10=1,{"jtb.opcconscontr=2"},{"jtb.opcconscontr=3"})),"-")</f>
        <v>0.85635440429999998</v>
      </c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</row>
    <row r="77" spans="1:25" s="15" customFormat="1" ht="15" customHeight="1" x14ac:dyDescent="0.3">
      <c r="A77" s="20"/>
      <c r="B77" s="27" t="s">
        <v>39</v>
      </c>
      <c r="C77" s="49">
        <f>IFERROR(_xll.ECONOMATICA($C$5,"Dep/FixAst&amp;Int",$C$8,C$12,,,$C$7,"DECIMAL",,,,IF($C$10=1,{"jtb.opcconscontr=2"},{"jtb.opcconscontr=3"})),"-")</f>
        <v>8.9880920626000005E-2</v>
      </c>
      <c r="D77" s="49">
        <f>IFERROR(_xll.ECONOMATICA($C$5,"Dep/FixAst&amp;Int",$C$8,D$12,,,$C$7,"DECIMAL",,,,IF($C$10=1,{"jtb.opcconscontr=2"},{"jtb.opcconscontr=3"})),"-")</f>
        <v>9.3415011985999996E-2</v>
      </c>
      <c r="E77" s="49">
        <f>IFERROR(_xll.ECONOMATICA($C$5,"Dep/FixAst&amp;Int",$C$8,E$12,,,$C$7,"DECIMAL",,,,IF($C$10=1,{"jtb.opcconscontr=2"},{"jtb.opcconscontr=3"})),"-")</f>
        <v>9.2954728101E-2</v>
      </c>
      <c r="F77" s="49">
        <f>IFERROR(_xll.ECONOMATICA($C$5,"Dep/FixAst&amp;Int",$C$8,F$12,,,$C$7,"DECIMAL",,,,IF($C$10=1,{"jtb.opcconscontr=2"},{"jtb.opcconscontr=3"})),"-")</f>
        <v>9.5216289605000004E-2</v>
      </c>
      <c r="G77" s="49">
        <f>IFERROR(_xll.ECONOMATICA($C$5,"Dep/FixAst&amp;Int",$C$8,G$12,,,$C$7,"DECIMAL",,,,IF($C$10=1,{"jtb.opcconscontr=2"},{"jtb.opcconscontr=3"})),"-")</f>
        <v>9.4861345678000003E-2</v>
      </c>
      <c r="H77" s="49">
        <f>IFERROR(_xll.ECONOMATICA($C$5,"Dep/FixAst&amp;Int",$C$8,H$12,,,$C$7,"DECIMAL",,,,IF($C$10=1,{"jtb.opcconscontr=2"},{"jtb.opcconscontr=3"})),"-")</f>
        <v>9.6235746166999994E-2</v>
      </c>
      <c r="I77" s="49">
        <f>IFERROR(_xll.ECONOMATICA($C$5,"Dep/FixAst&amp;Int",$C$8,I$12,,,$C$7,"DECIMAL",,,,IF($C$10=1,{"jtb.opcconscontr=2"},{"jtb.opcconscontr=3"})),"-")</f>
        <v>9.5678153619999998E-2</v>
      </c>
      <c r="J77" s="49">
        <f>IFERROR(_xll.ECONOMATICA($C$5,"Dep/FixAst&amp;Int",$C$8,J$12,,,$C$7,"DECIMAL",,,,IF($C$10=1,{"jtb.opcconscontr=2"},{"jtb.opcconscontr=3"})),"-")</f>
        <v>9.5290048549E-2</v>
      </c>
      <c r="K77" s="49">
        <f>IFERROR(_xll.ECONOMATICA($C$5,"Dep/FixAst&amp;Int",$C$8,K$12,,,$C$7,"DECIMAL",,,,IF($C$10=1,{"jtb.opcconscontr=2"},{"jtb.opcconscontr=3"})),"-")</f>
        <v>9.7484584797999999E-2</v>
      </c>
      <c r="L77" s="50">
        <f>IFERROR(_xll.ECONOMATICA($C$5,"Dep/FixAst&amp;Int",$C$8,L$12,,,$C$7,"DECIMAL",,,,IF($C$10=1,{"jtb.opcconscontr=2"},{"jtb.opcconscontr=3"})),"-")</f>
        <v>9.3980646446999994E-2</v>
      </c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</row>
    <row r="78" spans="1:25" s="15" customFormat="1" ht="14.1" customHeight="1" x14ac:dyDescent="0.3">
      <c r="A78" s="20"/>
      <c r="B78" s="28"/>
      <c r="C78" s="29"/>
      <c r="D78" s="20"/>
      <c r="E78" s="20"/>
      <c r="F78" s="20"/>
      <c r="G78" s="28"/>
      <c r="H78" s="28"/>
      <c r="I78" s="28"/>
      <c r="J78" s="28"/>
      <c r="K78" s="28"/>
      <c r="L78" s="28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</row>
    <row r="79" spans="1:25" s="15" customFormat="1" x14ac:dyDescent="0.3">
      <c r="A79" s="20"/>
      <c r="B79" s="16"/>
      <c r="C79" s="16"/>
      <c r="D79" s="16"/>
      <c r="E79" s="16"/>
      <c r="F79" s="16"/>
      <c r="G79" s="28"/>
      <c r="H79" s="28"/>
      <c r="I79" s="28"/>
      <c r="J79" s="28"/>
      <c r="K79" s="28"/>
      <c r="L79" s="28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</row>
    <row r="80" spans="1:25" s="15" customFormat="1" x14ac:dyDescent="0.3">
      <c r="A80" s="20"/>
      <c r="B80" s="16"/>
      <c r="C80" s="16"/>
      <c r="D80" s="16"/>
      <c r="E80" s="16"/>
      <c r="F80" s="16"/>
      <c r="G80" s="28"/>
      <c r="H80" s="28"/>
      <c r="I80" s="28"/>
      <c r="J80" s="28"/>
      <c r="K80" s="28"/>
      <c r="L80" s="28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</row>
  </sheetData>
  <mergeCells count="5">
    <mergeCell ref="B18:L18"/>
    <mergeCell ref="B38:L38"/>
    <mergeCell ref="B45:L45"/>
    <mergeCell ref="B52:L52"/>
    <mergeCell ref="B73:L73"/>
  </mergeCells>
  <dataValidations count="4">
    <dataValidation type="list" allowBlank="1" showInputMessage="1" sqref="C8" xr:uid="{AAFA1619-3D11-4940-933E-1CAF20716EE3}">
      <formula1>"3M,12M,In Fiscal Year"</formula1>
    </dataValidation>
    <dataValidation type="list" allowBlank="1" sqref="C7" xr:uid="{3AAFC4C3-C1F2-47D0-862C-9E41A5B66B5D}">
      <formula1>"ORIGINAL CURRENCY,USD,EUR,INFLATION ADJUSTED"</formula1>
    </dataValidation>
    <dataValidation type="list" allowBlank="1" showInputMessage="1" sqref="C9" xr:uid="{792C907A-DCE7-4191-81AD-0BA54F811BAA}">
      <formula1>"Units,Thousands,Millions,Billions"</formula1>
    </dataValidation>
    <dataValidation type="custom" errorStyle="information" allowBlank="1" showInputMessage="1" showErrorMessage="1" errorTitle="Economatica Excel Add-In" error="This cell contains data provided by Economatica. By changing it's value it will become inconsistent with the rest._x000a_Your change will be overwritten on the next update." sqref="G78:L80" xr:uid="{00000000-0002-0000-0100-000001000000}">
      <formula1>"FALSE"</formula1>
    </dataValidation>
  </dataValidation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68" orientation="portrait" horizontalDpi="4294967295" verticalDpi="4294967295" r:id="rId1"/>
  <ignoredErrors>
    <ignoredError sqref="C12:K12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Option Button 1">
              <controlPr defaultSize="0" autoFill="0" autoLine="0" autoPict="0">
                <anchor moveWithCells="1">
                  <from>
                    <xdr:col>1</xdr:col>
                    <xdr:colOff>929640</xdr:colOff>
                    <xdr:row>9</xdr:row>
                    <xdr:rowOff>38100</xdr:rowOff>
                  </from>
                  <to>
                    <xdr:col>2</xdr:col>
                    <xdr:colOff>167640</xdr:colOff>
                    <xdr:row>10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2">
              <controlPr defaultSize="0" autoFill="0" autoLine="0" autoPict="0">
                <anchor moveWithCells="1">
                  <from>
                    <xdr:col>2</xdr:col>
                    <xdr:colOff>533400</xdr:colOff>
                    <xdr:row>9</xdr:row>
                    <xdr:rowOff>45720</xdr:rowOff>
                  </from>
                  <to>
                    <xdr:col>3</xdr:col>
                    <xdr:colOff>38100</xdr:colOff>
                    <xdr:row>10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Indicadores Financeiros</vt:lpstr>
      <vt:lpstr>'Indicadores Financeiros'!Area_de_impressao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Milton Santiago</cp:lastModifiedBy>
  <cp:lastPrinted>2019-02-18T17:03:29Z</cp:lastPrinted>
  <dcterms:created xsi:type="dcterms:W3CDTF">2018-09-21T17:16:45Z</dcterms:created>
  <dcterms:modified xsi:type="dcterms:W3CDTF">2024-09-27T11:02:08Z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1411899185</vt:lpwstr>
  </property>
  <property fmtid="{D5CDD505-2E9C-101B-9397-08002B2CF9AE}" pid="3" name="EcoUpdateMessage">
    <vt:lpwstr>2024/09/27-10:13:05</vt:lpwstr>
  </property>
  <property fmtid="{D5CDD505-2E9C-101B-9397-08002B2CF9AE}" pid="4" name="EcoUpdateStatus">
    <vt:lpwstr>2024-09-26=BRA:St,ME,Fd,TP;USA:St,ME;ARG:St,ME,TP;MEX:St,ME,Fd,TP;CHL:St,ME,Fd;PER:St,ME,Fd;SAU:St|2022-10-17=USA:TP|2024-09-25=ARG:Fd;COL:St,ME|2021-11-17=CHL:TP|2014-02-26=VEN:St|2002-11-08=JPN:St|2024-09-09=GBR:St,ME|2016-08-18=NNN:St|2024-09-23=COL:Fd|2024-09-24=PER:TP|2007-01-31=ESP:St|2003-01-29=CHN:St|2003-01-28=TWN:St|2003-01-30=HKG:St;KOR:St|2023-01-19=OTH:St|2024-06-30=PAN:St|2024-06-24=SAU:ME</vt:lpwstr>
  </property>
</Properties>
</file>