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3 - Fundos Imobiliários - 02-05\"/>
    </mc:Choice>
  </mc:AlternateContent>
  <xr:revisionPtr revIDLastSave="0" documentId="8_{B8276567-6587-4E0A-A52D-23FFDB133460}" xr6:coauthVersionLast="47" xr6:coauthVersionMax="47" xr10:uidLastSave="{00000000-0000-0000-0000-000000000000}"/>
  <bookViews>
    <workbookView xWindow="28680" yWindow="-120" windowWidth="29040" windowHeight="15840" xr2:uid="{8546CC9A-9129-4073-994B-8D733904C803}"/>
  </bookViews>
  <sheets>
    <sheet name="Lâmina" sheetId="2" r:id="rId1"/>
    <sheet name="Comparativo" sheetId="1" r:id="rId2"/>
    <sheet name="Base Gráfico" sheetId="5" r:id="rId3"/>
  </sheets>
  <externalReferences>
    <externalReference r:id="rId4"/>
  </externalReferences>
  <definedNames>
    <definedName name="_ECO_RANGE_ID00000efdfe5f4fe69db7e69567a7f8b3" localSheetId="0" hidden="1">Lâmina!$H$27:$I$44</definedName>
    <definedName name="_ECO_RANGE_ID0044195fa98f4b11acbf2f6880ee5db6" localSheetId="1" hidden="1">Comparativo!$BB$11:$BB$125</definedName>
    <definedName name="_ECO_RANGE_ID03ede93e3cc1417e8a3893aaf09187a5" localSheetId="1" hidden="1">Comparativo!$CF$11:$CF$125</definedName>
    <definedName name="_ECO_RANGE_ID066963bf96f84dd0a700f3fc7a68c951" localSheetId="1" hidden="1">Comparativo!$BA$11:$BA$125</definedName>
    <definedName name="_ECO_RANGE_ID06c3651b089e4d9cb8af16d62452702a" localSheetId="1" hidden="1">Comparativo!$AA$11:$AA$125</definedName>
    <definedName name="_ECO_RANGE_ID094a2b4cee5e45d4aa375ce526ced7f1" localSheetId="1" hidden="1">Comparativo!$CJ$11:$CJ$125</definedName>
    <definedName name="_ECO_RANGE_ID0a8ff90f04a0495ebce5666b63f763c1" localSheetId="1" hidden="1">Comparativo!$BV$11:$BV$125</definedName>
    <definedName name="_ECO_RANGE_ID0b2d5b88fee741ecab2df668a02b9f32" localSheetId="1" hidden="1">Comparativo!$AL$11:$AL$125</definedName>
    <definedName name="_ECO_RANGE_ID0c26ae14f00e4cc1a8d19ba392acdf3f" localSheetId="1" hidden="1">Comparativo!$AJ$11:$AJ$125</definedName>
    <definedName name="_ECO_RANGE_ID118b99c5663b4e97b6d198756f0ed5bd" localSheetId="1" hidden="1">Comparativo!$BT$11:$BT$125</definedName>
    <definedName name="_ECO_RANGE_ID1603c6ab496a4ac8b1ef72df232a5bc2" localSheetId="1" hidden="1">Comparativo!$AU$11:$AU$125</definedName>
    <definedName name="_ECO_RANGE_ID161ca90a84914cd39e26953f72c7f1bd" localSheetId="1" hidden="1">Comparativo!$O$11:$O$125</definedName>
    <definedName name="_ECO_RANGE_ID17f5630a8d8a449bb98642f8b474a0d1" localSheetId="2" hidden="1">'Base Gráfico'!$C$9</definedName>
    <definedName name="_ECO_RANGE_ID1c46428da0ee4dedb696afd69a5a19f1" localSheetId="1" hidden="1">Comparativo!$BI$11:$BI$125</definedName>
    <definedName name="_ECO_RANGE_ID212db1113b694c3ab11b2c291817fea9" localSheetId="1" hidden="1">Comparativo!$CA$11:$CA$125</definedName>
    <definedName name="_ECO_RANGE_ID21345b8da8f644428f654ab1d442e554" localSheetId="1" hidden="1">Comparativo!$CE$11:$CE$125</definedName>
    <definedName name="_ECO_RANGE_ID2208e52859a24adaab16b6be15b55f7f" localSheetId="1" hidden="1">Comparativo!$C$11:$C$125</definedName>
    <definedName name="_ECO_RANGE_ID244cd58a8b04436ba6b4ace31e52d791" localSheetId="1" hidden="1">Comparativo!$M$11:$M$125</definedName>
    <definedName name="_ECO_RANGE_ID247662a4e8144b9098172fa8d9e21042" localSheetId="1" hidden="1">Comparativo!$S$11:$S$125</definedName>
    <definedName name="_ECO_RANGE_ID259ce8df23d54e3abe457b565320c898" localSheetId="1" hidden="1">Comparativo!$AN$11:$AN$125</definedName>
    <definedName name="_ECO_RANGE_ID277ee533ae984959a91a0270068c8e3b" localSheetId="0" hidden="1">Lâmina!$I$25</definedName>
    <definedName name="_ECO_RANGE_ID27898701f46d411fbe23669097f4ff93" localSheetId="1" hidden="1">Comparativo!$AM$11:$AM$125</definedName>
    <definedName name="_ECO_RANGE_ID2844123a16094e208485667cd413578f" localSheetId="1" hidden="1">Comparativo!$AS$11:$AS$125</definedName>
    <definedName name="_ECO_RANGE_ID295803a98319456aaa141bbb490dde3e" localSheetId="1" hidden="1">Comparativo!$AE$11:$AE$125</definedName>
    <definedName name="_ECO_RANGE_ID298ba21c239e42f485b7b3148fda4019" localSheetId="1" hidden="1">Comparativo!$BR$11:$BR$125</definedName>
    <definedName name="_ECO_RANGE_ID2f9b08d830af43fca41fc94a317773be" localSheetId="1" hidden="1">Comparativo!$AC$11:$AC$125</definedName>
    <definedName name="_ECO_RANGE_ID31082f69d26841b58c4353299a5ff7c3" localSheetId="1" hidden="1">Comparativo!$Z$11:$Z$125</definedName>
    <definedName name="_ECO_RANGE_ID34c8a27c9bd0448eafd50d133e2149a8" localSheetId="1" hidden="1">Comparativo!$BL$11:$BL$125</definedName>
    <definedName name="_ECO_RANGE_ID3d16524b25774bc18998a29770c26514" localSheetId="2" hidden="1">'Base Gráfico'!$D$10:$D$270</definedName>
    <definedName name="_ECO_RANGE_ID4097f8d069844b19b6d3e72fb9145801" localSheetId="1" hidden="1">Comparativo!$BO$11:$BO$125</definedName>
    <definedName name="_ECO_RANGE_ID4760f7b680704c308f05f2207753628b" localSheetId="1" hidden="1">Comparativo!$J$11:$J$125</definedName>
    <definedName name="_ECO_RANGE_ID4855608c11bc403888b77a4d723152fc" localSheetId="0" hidden="1">Lâmina!$K$27:$K$44</definedName>
    <definedName name="_ECO_RANGE_ID4868cdb9c62a41d493912bc1a65aa35a" localSheetId="1" hidden="1">Comparativo!$R$11:$R$125</definedName>
    <definedName name="_ECO_RANGE_ID4d21be5391264f77a316b03ffa040fba" localSheetId="1" hidden="1">Comparativo!$BP$11:$BP$125</definedName>
    <definedName name="_ECO_RANGE_ID4d953228f77e455189958924f23e20fc" localSheetId="1" hidden="1">Comparativo!$V$11:$V$125</definedName>
    <definedName name="_ECO_RANGE_ID51e1a711abf049069e823f77637ccf77" localSheetId="1" hidden="1">Comparativo!$CG$11:$CG$125</definedName>
    <definedName name="_ECO_RANGE_ID589eb38b5e62499eaf1ad97b5ec85e51" localSheetId="1" hidden="1">Comparativo!$F$11:$F$125</definedName>
    <definedName name="_ECO_RANGE_ID5aabc1f20d9a4edebd3fe55d01ac5867" localSheetId="1" hidden="1">Comparativo!$BF$11:$BF$125</definedName>
    <definedName name="_ECO_RANGE_ID5b944c7523674b57a41f69fe56642236" localSheetId="1" hidden="1">Comparativo!$U$11:$U$125</definedName>
    <definedName name="_ECO_RANGE_ID5ce4983b74b248238ec22be399512e3f" localSheetId="1" hidden="1">Comparativo!$BM$11:$BM$125</definedName>
    <definedName name="_ECO_RANGE_ID5d947914c74b497abf26dc4ebc850ca3" localSheetId="0" hidden="1">Lâmina!$L$27:$L$33</definedName>
    <definedName name="_ECO_RANGE_ID5da889afc88347b4bd2b5a184fb5e085" localSheetId="1" hidden="1">Comparativo!$G$11:$G$125</definedName>
    <definedName name="_ECO_RANGE_ID60459d65a0ea4a46b964132d662e25e1" localSheetId="1" hidden="1">Comparativo!$CI$11:$CI$125</definedName>
    <definedName name="_ECO_RANGE_ID61ff2f3d9a844c34933f73094d7368c1" localSheetId="1" hidden="1">Comparativo!$BC$11:$BC$125</definedName>
    <definedName name="_ECO_RANGE_ID660a273ffb334203bb6e620799d25d69" localSheetId="1" hidden="1">Comparativo!$D$11:$D$125</definedName>
    <definedName name="_ECO_RANGE_ID664ac7d2c7194ab08b7cb6d90b77b2e9" localSheetId="1" hidden="1">Comparativo!$AZ$11:$AZ$125</definedName>
    <definedName name="_ECO_RANGE_ID68fad5b32b364276a60b325a838a2da1" localSheetId="1" hidden="1">Comparativo!$B$11:$B$125</definedName>
    <definedName name="_ECO_RANGE_ID6d89f1154a1c45c0924e525a13fa9b30" localSheetId="1" hidden="1">Comparativo!$CB$11:$CB$125</definedName>
    <definedName name="_ECO_RANGE_ID6db71ec54be5457da8c89e4154f5c30e" localSheetId="1" hidden="1">Comparativo!$L$11:$L$125</definedName>
    <definedName name="_ECO_RANGE_ID716312df773745fd82225c9440d34339" localSheetId="1" hidden="1">Comparativo!$AH$11:$AH$125</definedName>
    <definedName name="_ECO_RANGE_ID766760679fcd4db48f734d5496b338f3" localSheetId="1" hidden="1">Comparativo!$E$11:$E$125</definedName>
    <definedName name="_ECO_RANGE_ID79bbc92ae6374401ba5dcc1194777e78" localSheetId="1" hidden="1">Comparativo!$Y$11:$Y$125</definedName>
    <definedName name="_ECO_RANGE_ID7be47deb680a4de5ac8702911b9c6c14" localSheetId="1" hidden="1">Comparativo!$X$11:$X$125</definedName>
    <definedName name="_ECO_RANGE_ID8019a811ff7542e5b1c1b145ae56e379" localSheetId="1" hidden="1">Comparativo!$BE$11:$BE$125</definedName>
    <definedName name="_ECO_RANGE_ID87118d19d8244be99e597abeacc3467e" localSheetId="1" hidden="1">Comparativo!$AO$11:$AO$125</definedName>
    <definedName name="_ECO_RANGE_ID87cb859aeb9344d49916235baf3b7cf5" localSheetId="1" hidden="1">Comparativo!$N$11:$N$125</definedName>
    <definedName name="_ECO_RANGE_ID8a0c44d1b98141a79f7f511641e9b87f" localSheetId="1" hidden="1">Comparativo!$AQ$11:$AQ$125</definedName>
    <definedName name="_ECO_RANGE_ID8b034ff40cf84776a21734badfb8589c" localSheetId="1" hidden="1">Comparativo!$BW$11:$BW$125</definedName>
    <definedName name="_ECO_RANGE_ID8be962de443a40cea8cbec1ee634ce39" localSheetId="1" hidden="1">Comparativo!$CD$11:$CD$125</definedName>
    <definedName name="_ECO_RANGE_ID8bfe2b57ac3d451596db1a7660208aad" localSheetId="1" hidden="1">Comparativo!$AK$11:$AK$125</definedName>
    <definedName name="_ECO_RANGE_ID8f12b1ec8a66454f85f9c04a733f76b5" localSheetId="1" hidden="1">Comparativo!$AF$11:$AF$125</definedName>
    <definedName name="_ECO_RANGE_ID90662a67454e40bca943fd2544eea89a" localSheetId="1" hidden="1">Comparativo!$BS$11:$BS$125</definedName>
    <definedName name="_ECO_RANGE_ID92254d1a780b4c0080d52345a979379f" localSheetId="1" hidden="1">Comparativo!$BQ$11:$BQ$125</definedName>
    <definedName name="_ECO_RANGE_ID92e03e1536824afaa2051f5667ed3fb0" localSheetId="1" hidden="1">Comparativo!$BY$11:$BY$125</definedName>
    <definedName name="_ECO_RANGE_ID976d302d964e42c5bed690b87b093c65" localSheetId="1" hidden="1">Comparativo!$BJ$11:$BJ$125</definedName>
    <definedName name="_ECO_RANGE_ID9a860e01e1f049a69181058809fa02ac" localSheetId="1" hidden="1">Comparativo!$I$11:$I$125</definedName>
    <definedName name="_ECO_RANGE_ID9fc581e8ccef42dd92afbeaa090671c8" localSheetId="1" hidden="1">Comparativo!$BZ$11:$BZ$125</definedName>
    <definedName name="_ECO_RANGE_IDa1bbf5f541b54f838b3afa6c6e12af3a" localSheetId="0" hidden="1">Lâmina!$J$27:$J$44</definedName>
    <definedName name="_ECO_RANGE_IDa7e2f1b93f5b494dad585cb36e6f2021" localSheetId="1" hidden="1">Comparativo!$CC$11:$CC$125</definedName>
    <definedName name="_ECO_RANGE_IDaa49ae38a7b445deb07a55b09a37db53" localSheetId="1" hidden="1">Comparativo!$H$11:$H$125</definedName>
    <definedName name="_ECO_RANGE_IDabeb47b6932342c9b39eefefbd7bfc22" localSheetId="1" hidden="1">Comparativo!$AR$11:$AR$125</definedName>
    <definedName name="_ECO_RANGE_IDb353784be9074d7fb9ec6614ee9bb677" localSheetId="1" hidden="1">Comparativo!$AD$11:$AD$125</definedName>
    <definedName name="_ECO_RANGE_IDb5aba8c2dd974147bf0c440464e2aa78" localSheetId="2" hidden="1">'Base Gráfico'!$B$10:$C$270</definedName>
    <definedName name="_ECO_RANGE_IDb7e5b368f77546d4b6e5afc9decaa80d" localSheetId="1" hidden="1">Comparativo!$AW$11:$AW$125</definedName>
    <definedName name="_ECO_RANGE_IDba4d7471a19245a19f91eacfd72edbee" localSheetId="1" hidden="1">Comparativo!$K$11:$K$125</definedName>
    <definedName name="_ECO_RANGE_IDbb49b07f899d4479a64e6b97a1eb1983" localSheetId="1" hidden="1">Comparativo!$AG$11:$AG$125</definedName>
    <definedName name="_ECO_RANGE_IDbee4b626f4ec42ce9eb6c0c4e7214b25" localSheetId="1" hidden="1">Comparativo!$BK$11:$BK$125</definedName>
    <definedName name="_ECO_RANGE_IDc08491e2564b4986a44b93c0b473e410" localSheetId="1" hidden="1">Comparativo!$T$11:$T$125</definedName>
    <definedName name="_ECO_RANGE_IDc0b5fc058c8d4fef8cfad253720ba105" localSheetId="1" hidden="1">Comparativo!$W$11:$W$125</definedName>
    <definedName name="_ECO_RANGE_IDc5799ac4d3da4342a64475b98cdabb5a" localSheetId="1" hidden="1">Comparativo!$AP$11:$AP$125</definedName>
    <definedName name="_ECO_RANGE_IDc6c32d0213cd4c4f895e1ae1a200e194" localSheetId="1" hidden="1">Comparativo!$AB$11:$AB$125</definedName>
    <definedName name="_ECO_RANGE_IDc71c758a840a4c8bac42ba81e6407467" localSheetId="1" hidden="1">Comparativo!$AY$11:$AY$125</definedName>
    <definedName name="_ECO_RANGE_IDccb476d98a6340279b98fa7bea201662" localSheetId="1" hidden="1">Comparativo!$BU$11:$BU$125</definedName>
    <definedName name="_ECO_RANGE_IDd3572d9ef1754df3beee244015ddbf79" localSheetId="1" hidden="1">Comparativo!$BG$11:$BG$125</definedName>
    <definedName name="_ECO_RANGE_IDd48b555822e543faadd752f3f1600af8" localSheetId="1" hidden="1">Comparativo!$BH$11:$BH$125</definedName>
    <definedName name="_ECO_RANGE_IDd511196e4aac445fb7be67a4ce9eeb2a" localSheetId="1" hidden="1">Comparativo!$Q$11:$Q$125</definedName>
    <definedName name="_ECO_RANGE_IDd78c3e04e3524e48a7eb540d9866a968" localSheetId="1" hidden="1">Comparativo!$AX$11:$AX$125</definedName>
    <definedName name="_ECO_RANGE_IDd952e1ba158a441bb35ea2b8ba87006d" localSheetId="1" hidden="1">Comparativo!$AI$11:$AI$125</definedName>
    <definedName name="_ECO_RANGE_IDdeaf3160233d49f88dea6b24e3da205e" localSheetId="1" hidden="1">Comparativo!$P$11:$P$125</definedName>
    <definedName name="_ECO_RANGE_IDe9693893523541d2b406d1f15af73cbf" localSheetId="1" hidden="1">Comparativo!$CH$11:$CH$125</definedName>
    <definedName name="_ECO_RANGE_IDeacc4208105c42a8bb7eea2e198c9dae" localSheetId="1" hidden="1">Comparativo!$BN$11:$BN$125</definedName>
    <definedName name="_ECO_RANGE_IDef815627975b4f28b20230020516ad05" localSheetId="1" hidden="1">Comparativo!$AT$11:$AT$125</definedName>
    <definedName name="_ECO_RANGE_IDf0983a1f1914492ca4212c91874761c8" localSheetId="1" hidden="1">Comparativo!$AV$11:$AV$125</definedName>
    <definedName name="_ECO_RANGE_IDf26d502b417748e490ac6cac6b0c0f19" localSheetId="1" hidden="1">Comparativo!$BX$11:$BX$125</definedName>
    <definedName name="_ECO_RANGE_IDfafed80a15d2412bbadc70cea3818f0a" localSheetId="1" hidden="1">Comparativo!$BD$11:$BD$125</definedName>
    <definedName name="Lista">OFFSET('[1]Fund Guide'!$C$8,0,0,COUNTA('[1]Fund Guide'!$C:$C)-5)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H1" i="2" a="1"/>
  <c r="H1" i="2" l="1"/>
  <c r="C3" i="5" l="1"/>
  <c r="C2" i="5" l="1"/>
  <c r="D9" i="2" a="1"/>
  <c r="Y10" i="1" a="1"/>
  <c r="D5" i="2" a="1"/>
  <c r="AJ10" i="1" a="1"/>
  <c r="D11" i="2" a="1"/>
  <c r="D13" i="2" a="1"/>
  <c r="AH10" i="1" a="1"/>
  <c r="P10" i="1" a="1"/>
  <c r="C5" i="5"/>
  <c r="R10" i="1" a="1"/>
  <c r="AE10" i="1" a="1"/>
  <c r="D10" i="1" a="1"/>
  <c r="AX10" i="1" a="1"/>
  <c r="K4" i="2" a="1"/>
  <c r="AI10" i="1" a="1"/>
  <c r="AC10" i="1" a="1"/>
  <c r="V10" i="1" a="1"/>
  <c r="W10" i="1" a="1"/>
  <c r="Q10" i="1" a="1"/>
  <c r="AA10" i="1" a="1"/>
  <c r="D10" i="2" a="1"/>
  <c r="D4" i="2" a="1"/>
  <c r="AR10" i="1" a="1"/>
  <c r="S10" i="1" a="1"/>
  <c r="AD10" i="1" a="1"/>
  <c r="AK10" i="1" a="1"/>
  <c r="AF10" i="1" a="1"/>
  <c r="T10" i="1" a="1"/>
  <c r="AB10" i="1" a="1"/>
  <c r="D7" i="2" a="1"/>
  <c r="AG10" i="1" a="1"/>
  <c r="Z10" i="1" a="1"/>
  <c r="X10" i="1" a="1"/>
  <c r="D12" i="2" a="1"/>
  <c r="D8" i="2" a="1"/>
  <c r="U10" i="1" a="1"/>
  <c r="AS10" i="1" a="1"/>
  <c r="K4" i="2" l="1"/>
  <c r="D10" i="1"/>
  <c r="D11" i="2"/>
  <c r="D13" i="2"/>
  <c r="D12" i="2"/>
  <c r="D10" i="2"/>
  <c r="D9" i="2"/>
  <c r="D8" i="2"/>
  <c r="D7" i="2"/>
  <c r="D5" i="2"/>
  <c r="D4" i="2"/>
  <c r="C8" i="5" s="1"/>
  <c r="AX10" i="1"/>
  <c r="AS10" i="1"/>
  <c r="AR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K12" i="2" a="1"/>
  <c r="K21" i="2" a="1"/>
  <c r="D18" i="2" a="1"/>
  <c r="N10" i="1" a="1"/>
  <c r="D17" i="2" a="1"/>
  <c r="K17" i="2" a="1"/>
  <c r="E29" i="2" a="1"/>
  <c r="D22" i="2" a="1"/>
  <c r="D14" i="2" a="1"/>
  <c r="K20" i="2" a="1"/>
  <c r="K16" i="2" a="1"/>
  <c r="D19" i="2" a="1"/>
  <c r="K7" i="2" a="1"/>
  <c r="H25" i="2" a="1"/>
  <c r="D21" i="2" a="1"/>
  <c r="J25" i="2" a="1"/>
  <c r="E37" i="2" a="1"/>
  <c r="D16" i="2" a="1"/>
  <c r="O10" i="1" a="1"/>
  <c r="E30" i="2" a="1"/>
  <c r="L25" i="2" a="1"/>
  <c r="E26" i="2" a="1"/>
  <c r="E28" i="2" a="1"/>
  <c r="K10" i="1" a="1"/>
  <c r="K11" i="2" a="1"/>
  <c r="D20" i="2" a="1"/>
  <c r="E27" i="2" a="1"/>
  <c r="K25" i="2" a="1"/>
  <c r="K18" i="2" a="1"/>
  <c r="E34" i="2" a="1"/>
  <c r="E40" i="2" a="1"/>
  <c r="E45" i="2" a="1"/>
  <c r="K9" i="2" a="1"/>
  <c r="K6" i="2" a="1"/>
  <c r="J10" i="1" a="1"/>
  <c r="D15" i="2" a="1"/>
  <c r="E35" i="2" a="1"/>
  <c r="E25" i="2" a="1"/>
  <c r="L10" i="1" a="1"/>
  <c r="K8" i="2" a="1"/>
  <c r="E41" i="2" a="1"/>
  <c r="K19" i="2" a="1"/>
  <c r="E42" i="2" a="1"/>
  <c r="K22" i="2" a="1"/>
  <c r="E44" i="2" a="1"/>
  <c r="M10" i="1" a="1"/>
  <c r="E33" i="2" a="1"/>
  <c r="E36" i="2" a="1"/>
  <c r="L25" i="2" l="1"/>
  <c r="K25" i="2"/>
  <c r="J25" i="2"/>
  <c r="H25" i="2"/>
  <c r="C4" i="5"/>
  <c r="E45" i="2"/>
  <c r="E44" i="2"/>
  <c r="E42" i="2"/>
  <c r="E41" i="2"/>
  <c r="E40" i="2"/>
  <c r="E37" i="2"/>
  <c r="E36" i="2"/>
  <c r="E35" i="2"/>
  <c r="E34" i="2"/>
  <c r="E33" i="2"/>
  <c r="E30" i="2"/>
  <c r="E29" i="2"/>
  <c r="E28" i="2"/>
  <c r="E27" i="2"/>
  <c r="E26" i="2"/>
  <c r="E25" i="2"/>
  <c r="K22" i="2"/>
  <c r="K21" i="2"/>
  <c r="K20" i="2"/>
  <c r="K19" i="2"/>
  <c r="K18" i="2"/>
  <c r="D21" i="2"/>
  <c r="K17" i="2"/>
  <c r="K16" i="2"/>
  <c r="K12" i="2"/>
  <c r="K11" i="2"/>
  <c r="K9" i="2"/>
  <c r="K8" i="2"/>
  <c r="K7" i="2"/>
  <c r="K6" i="2"/>
  <c r="D22" i="2"/>
  <c r="D20" i="2"/>
  <c r="D19" i="2"/>
  <c r="D18" i="2"/>
  <c r="D17" i="2"/>
  <c r="D16" i="2"/>
  <c r="D15" i="2"/>
  <c r="D14" i="2"/>
  <c r="O10" i="1"/>
  <c r="N10" i="1"/>
  <c r="M10" i="1"/>
  <c r="L10" i="1"/>
  <c r="K10" i="1"/>
  <c r="J10" i="1"/>
  <c r="B9" i="5"/>
  <c r="D9" i="5"/>
  <c r="B9" i="1" l="1"/>
  <c r="B8" i="1"/>
  <c r="CC10" i="1" a="1"/>
  <c r="CA10" i="1" a="1"/>
  <c r="CB10" i="1" a="1"/>
  <c r="BM10" i="1" a="1"/>
  <c r="AO10" i="1" a="1"/>
  <c r="BZ10" i="1" a="1"/>
  <c r="I10" i="1" a="1"/>
  <c r="BH10" i="1" a="1"/>
  <c r="AP10" i="1" a="1"/>
  <c r="CI10" i="1" a="1"/>
  <c r="B10" i="1"/>
  <c r="BK10" i="1" a="1"/>
  <c r="BF10" i="1" a="1"/>
  <c r="BW10" i="1" a="1"/>
  <c r="BV10" i="1" a="1"/>
  <c r="AQ10" i="1" a="1"/>
  <c r="BA10" i="1" a="1"/>
  <c r="BX10" i="1" a="1"/>
  <c r="CE10" i="1" a="1"/>
  <c r="AN10" i="1" a="1"/>
  <c r="AV10" i="1" a="1"/>
  <c r="BP10" i="1" a="1"/>
  <c r="BD10" i="1" a="1"/>
  <c r="BQ10" i="1" a="1"/>
  <c r="AM10" i="1" a="1"/>
  <c r="H10" i="1" a="1"/>
  <c r="CH10" i="1" a="1"/>
  <c r="AZ10" i="1" a="1"/>
  <c r="BN10" i="1" a="1"/>
  <c r="BR10" i="1" a="1"/>
  <c r="F10" i="1" a="1"/>
  <c r="CJ10" i="1" a="1"/>
  <c r="AW10" i="1" a="1"/>
  <c r="BL10" i="1" a="1"/>
  <c r="BI10" i="1" a="1"/>
  <c r="AL10" i="1" a="1"/>
  <c r="E10" i="1" a="1"/>
  <c r="BB10" i="1" a="1"/>
  <c r="BT10" i="1" a="1"/>
  <c r="C10" i="1" a="1"/>
  <c r="AU10" i="1" a="1"/>
  <c r="G10" i="1" a="1"/>
  <c r="BJ10" i="1" a="1"/>
  <c r="AY10" i="1" a="1"/>
  <c r="BU10" i="1" a="1"/>
  <c r="BO10" i="1" a="1"/>
  <c r="BC10" i="1" a="1"/>
  <c r="BE10" i="1" a="1"/>
  <c r="BY10" i="1" a="1"/>
  <c r="CF10" i="1" a="1"/>
  <c r="CG10" i="1" a="1"/>
  <c r="CD10" i="1" a="1"/>
  <c r="AT10" i="1" a="1"/>
  <c r="BS10" i="1" a="1"/>
  <c r="BG10" i="1" a="1"/>
  <c r="CJ10" i="1" l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W10" i="1"/>
  <c r="AV10" i="1"/>
  <c r="AU10" i="1"/>
  <c r="AT10" i="1"/>
  <c r="AQ10" i="1"/>
  <c r="AP10" i="1"/>
  <c r="AO10" i="1"/>
  <c r="AN10" i="1"/>
  <c r="AM10" i="1"/>
  <c r="AL10" i="1"/>
  <c r="H10" i="1"/>
  <c r="I10" i="1"/>
  <c r="G10" i="1"/>
  <c r="F10" i="1"/>
  <c r="E10" i="1"/>
  <c r="C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<sst xmlns="http://schemas.openxmlformats.org/spreadsheetml/2006/main" count="668" uniqueCount="438">
  <si>
    <t>AFHI11&lt;XBSP&gt;</t>
  </si>
  <si>
    <t>ALZR11&lt;XBSP&gt;</t>
  </si>
  <si>
    <t>ARRI11&lt;XBSP&gt;</t>
  </si>
  <si>
    <t>AIEC11&lt;XBSP&gt;</t>
  </si>
  <si>
    <t>BCRI11&lt;XBSP&gt;</t>
  </si>
  <si>
    <t>BLMG11&lt;XBSP&gt;</t>
  </si>
  <si>
    <t>BCIA11&lt;XBSP&gt;</t>
  </si>
  <si>
    <t>BRCO11&lt;XBSP&gt;</t>
  </si>
  <si>
    <t>BRCR11&lt;XBSP&gt;</t>
  </si>
  <si>
    <t>BTLG11&lt;XBSP&gt;</t>
  </si>
  <si>
    <t>CPTS11&lt;XBSP&gt;</t>
  </si>
  <si>
    <t>CACR11&lt;XBSP&gt;</t>
  </si>
  <si>
    <t>HGFF11&lt;XBSP&gt;</t>
  </si>
  <si>
    <t>HGLG11&lt;XBSP&gt;</t>
  </si>
  <si>
    <t>HGRE11&lt;XBSP&gt;</t>
  </si>
  <si>
    <t>HGCR11&lt;XBSP&gt;</t>
  </si>
  <si>
    <t>HGRU11&lt;XBSP&gt;</t>
  </si>
  <si>
    <t>DEVA11&lt;XBSP&gt;</t>
  </si>
  <si>
    <t>VRTA11&lt;XBSP&gt;</t>
  </si>
  <si>
    <t>BARI11&lt;XBSP&gt;</t>
  </si>
  <si>
    <t>BPFF11&lt;XBSP&gt;</t>
  </si>
  <si>
    <t>RCRB11&lt;XBSP&gt;</t>
  </si>
  <si>
    <t>RBRR11&lt;XBSP&gt;</t>
  </si>
  <si>
    <t>RBRY11&lt;XBSP&gt;</t>
  </si>
  <si>
    <t>RBVA11&lt;XBSP&gt;</t>
  </si>
  <si>
    <t>BTAL11&lt;XBSP&gt;</t>
  </si>
  <si>
    <t>BTCI11&lt;XBSP&gt;</t>
  </si>
  <si>
    <t>BCFF11&lt;XBSP&gt;</t>
  </si>
  <si>
    <t>BTRA11&lt;XBSP&gt;</t>
  </si>
  <si>
    <t>RECR11&lt;XBSP&gt;</t>
  </si>
  <si>
    <t>RECT11&lt;XBSP&gt;</t>
  </si>
  <si>
    <t>GTWR11&lt;XBSP&gt;</t>
  </si>
  <si>
    <t>RBRP11&lt;XBSP&gt;</t>
  </si>
  <si>
    <t>RZTR11&lt;XBSP&gt;</t>
  </si>
  <si>
    <t>TGAR11&lt;XBSP&gt;</t>
  </si>
  <si>
    <t>CVBI11&lt;XBSP&gt;</t>
  </si>
  <si>
    <t>PVBI11&lt;XBSP&gt;</t>
  </si>
  <si>
    <t>VILG11&lt;XBSP&gt;</t>
  </si>
  <si>
    <t>XPLG11&lt;XBSP&gt;</t>
  </si>
  <si>
    <t>GGRC11&lt;XBSP&gt;</t>
  </si>
  <si>
    <t>HABT11&lt;XBSP&gt;</t>
  </si>
  <si>
    <t>HCTR11&lt;XBSP&gt;</t>
  </si>
  <si>
    <t>HGBS11&lt;XBSP&gt;</t>
  </si>
  <si>
    <t>HFOF11&lt;XBSP&gt;</t>
  </si>
  <si>
    <t>HSAF11&lt;XBSP&gt;</t>
  </si>
  <si>
    <t>HSLG11&lt;XBSP&gt;</t>
  </si>
  <si>
    <t>HSML11&lt;XBSP&gt;</t>
  </si>
  <si>
    <t>IRDM11&lt;XBSP&gt;</t>
  </si>
  <si>
    <t>JSRE11&lt;XBSP&gt;</t>
  </si>
  <si>
    <t>KISU11&lt;XBSP&gt;</t>
  </si>
  <si>
    <t>KFOF11&lt;XBSP&gt;</t>
  </si>
  <si>
    <t>KNHY11&lt;XBSP&gt;</t>
  </si>
  <si>
    <t>KNIP11&lt;XBSP&gt;</t>
  </si>
  <si>
    <t>KNRI11&lt;XBSP&gt;</t>
  </si>
  <si>
    <t>KNCR11&lt;XBSP&gt;</t>
  </si>
  <si>
    <t>KNSC11&lt;XBSP&gt;</t>
  </si>
  <si>
    <t>MALL11&lt;XBSP&gt;</t>
  </si>
  <si>
    <t>MCCI11&lt;XBSP&gt;</t>
  </si>
  <si>
    <t>MXRF11&lt;XBSP&gt;</t>
  </si>
  <si>
    <t>MFII11&lt;XBSP&gt;</t>
  </si>
  <si>
    <t>OUJP11&lt;XBSP&gt;</t>
  </si>
  <si>
    <t>PATL11&lt;XBSP&gt;</t>
  </si>
  <si>
    <t>PORD11&lt;XBSP&gt;</t>
  </si>
  <si>
    <t>RBRF11&lt;XBSP&gt;</t>
  </si>
  <si>
    <t>RBRL11&lt;XBSP&gt;</t>
  </si>
  <si>
    <t>RBFF11&lt;XBSP&gt;</t>
  </si>
  <si>
    <t>RZAK11&lt;XBSP&gt;</t>
  </si>
  <si>
    <t>RZAT11&lt;XBSP&gt;</t>
  </si>
  <si>
    <t>SARE11&lt;XBSP&gt;</t>
  </si>
  <si>
    <t>SNFF11&lt;XBSP&gt;</t>
  </si>
  <si>
    <t>SNCI11&lt;XBSP&gt;</t>
  </si>
  <si>
    <t>TEPP11&lt;XBSP&gt;</t>
  </si>
  <si>
    <t>TRXF11&lt;XBSP&gt;</t>
  </si>
  <si>
    <t>URPR11&lt;XBSP&gt;</t>
  </si>
  <si>
    <t>VGIR11&lt;XBSP&gt;</t>
  </si>
  <si>
    <t>VGIP11&lt;XBSP&gt;</t>
  </si>
  <si>
    <t>VGHF11&lt;XBSP&gt;</t>
  </si>
  <si>
    <t>LVBI11&lt;XBSP&gt;</t>
  </si>
  <si>
    <t>VCJR11&lt;XBSP&gt;</t>
  </si>
  <si>
    <t>VSLH11&lt;XBSP&gt;</t>
  </si>
  <si>
    <t>VIUR11&lt;XBSP&gt;</t>
  </si>
  <si>
    <t>VINO11&lt;XBSP&gt;</t>
  </si>
  <si>
    <t>VISC11&lt;XBSP&gt;</t>
  </si>
  <si>
    <t>WHGR11&lt;XBSP&gt;</t>
  </si>
  <si>
    <t>XPCI11&lt;XBSP&gt;</t>
  </si>
  <si>
    <t>XPIN11&lt;XBSP&gt;</t>
  </si>
  <si>
    <t>XPML11&lt;XBSP&gt;</t>
  </si>
  <si>
    <t>XPSF11&lt;XBSP&gt;</t>
  </si>
  <si>
    <t>Títulos e Val. Mob.</t>
  </si>
  <si>
    <t>Híbrido</t>
  </si>
  <si>
    <t>Lajes Corporativas</t>
  </si>
  <si>
    <t>Outros</t>
  </si>
  <si>
    <t>Logística</t>
  </si>
  <si>
    <t>Shoppings</t>
  </si>
  <si>
    <t>AFHI11</t>
  </si>
  <si>
    <t>ALZR11</t>
  </si>
  <si>
    <t>ARRI11</t>
  </si>
  <si>
    <t>AIEC11</t>
  </si>
  <si>
    <t>BCRI11</t>
  </si>
  <si>
    <t>BLMG11</t>
  </si>
  <si>
    <t>BCIA11</t>
  </si>
  <si>
    <t>BRCO11</t>
  </si>
  <si>
    <t>BRCR11</t>
  </si>
  <si>
    <t>BTLG11</t>
  </si>
  <si>
    <t>CPTS11</t>
  </si>
  <si>
    <t>CACR11</t>
  </si>
  <si>
    <t>HGFF11</t>
  </si>
  <si>
    <t>HGLG11</t>
  </si>
  <si>
    <t>HGRE11</t>
  </si>
  <si>
    <t>HGCR11</t>
  </si>
  <si>
    <t>HGRU11</t>
  </si>
  <si>
    <t>DEVA11</t>
  </si>
  <si>
    <t>VRTA11</t>
  </si>
  <si>
    <t>BARI11</t>
  </si>
  <si>
    <t>BPFF11</t>
  </si>
  <si>
    <t>RCRB11</t>
  </si>
  <si>
    <t>RBRR11</t>
  </si>
  <si>
    <t>RBRY11</t>
  </si>
  <si>
    <t>RBVA11</t>
  </si>
  <si>
    <t>BTAL11</t>
  </si>
  <si>
    <t>BTCI11</t>
  </si>
  <si>
    <t>BCFF11</t>
  </si>
  <si>
    <t>BTRA11</t>
  </si>
  <si>
    <t>RECR11</t>
  </si>
  <si>
    <t>RECT11</t>
  </si>
  <si>
    <t>GTWR11</t>
  </si>
  <si>
    <t>RBRP11</t>
  </si>
  <si>
    <t>RZTR11</t>
  </si>
  <si>
    <t>TGAR11</t>
  </si>
  <si>
    <t>CVBI11</t>
  </si>
  <si>
    <t>PVBI11</t>
  </si>
  <si>
    <t>VILG11</t>
  </si>
  <si>
    <t>XPLG11</t>
  </si>
  <si>
    <t>GGRC11</t>
  </si>
  <si>
    <t>HABT11</t>
  </si>
  <si>
    <t>HCTR11</t>
  </si>
  <si>
    <t>HGBS11</t>
  </si>
  <si>
    <t>HFOF11</t>
  </si>
  <si>
    <t>HSAF11</t>
  </si>
  <si>
    <t>HSLG11</t>
  </si>
  <si>
    <t>HSML11</t>
  </si>
  <si>
    <t>IRDM11</t>
  </si>
  <si>
    <t>JSRE11</t>
  </si>
  <si>
    <t>KISU11</t>
  </si>
  <si>
    <t>KFOF11</t>
  </si>
  <si>
    <t>KNHY11</t>
  </si>
  <si>
    <t>KNIP11</t>
  </si>
  <si>
    <t>KNRI11</t>
  </si>
  <si>
    <t>KNCR11</t>
  </si>
  <si>
    <t>KNSC11</t>
  </si>
  <si>
    <t>MALL11</t>
  </si>
  <si>
    <t>MCCI11</t>
  </si>
  <si>
    <t>MXRF11</t>
  </si>
  <si>
    <t>MFII11</t>
  </si>
  <si>
    <t>OUJP11</t>
  </si>
  <si>
    <t>PATL11</t>
  </si>
  <si>
    <t>PORD11</t>
  </si>
  <si>
    <t>RBRF11</t>
  </si>
  <si>
    <t>RBRL11</t>
  </si>
  <si>
    <t>RBFF11</t>
  </si>
  <si>
    <t>RZAK11</t>
  </si>
  <si>
    <t>RZAT11</t>
  </si>
  <si>
    <t>SARE11</t>
  </si>
  <si>
    <t>SNFF11</t>
  </si>
  <si>
    <t>SNCI11</t>
  </si>
  <si>
    <t>TEPP11</t>
  </si>
  <si>
    <t>TRXF11</t>
  </si>
  <si>
    <t>URPR11</t>
  </si>
  <si>
    <t>VGIR11</t>
  </si>
  <si>
    <t>VGIP11</t>
  </si>
  <si>
    <t>VGHF11</t>
  </si>
  <si>
    <t>LVBI11</t>
  </si>
  <si>
    <t>VCJR11</t>
  </si>
  <si>
    <t>VSLH11</t>
  </si>
  <si>
    <t>VIUR11</t>
  </si>
  <si>
    <t>VINO11</t>
  </si>
  <si>
    <t>VISC11</t>
  </si>
  <si>
    <t>WHGR11</t>
  </si>
  <si>
    <t>XPCI11</t>
  </si>
  <si>
    <t>XPIN11</t>
  </si>
  <si>
    <t>XPML11</t>
  </si>
  <si>
    <t>XPSF11</t>
  </si>
  <si>
    <t>30/06</t>
  </si>
  <si>
    <t>31/12</t>
  </si>
  <si>
    <t>30/12</t>
  </si>
  <si>
    <t>Autonomy Edificios Corporativo-Unica</t>
  </si>
  <si>
    <t>Bluemacaw Logistica Fundo de I-Unica</t>
  </si>
  <si>
    <t>BTG Pactual Corporate Office Fund FII</t>
  </si>
  <si>
    <t>Capitania Securities II FII-Classe A</t>
  </si>
  <si>
    <t>Devant Recebiveis Imobiliarios-Unica</t>
  </si>
  <si>
    <t>Fator Verita Fundo de Investim-Unica</t>
  </si>
  <si>
    <t>FI Imobiliario Brasil Plural A-Unica</t>
  </si>
  <si>
    <t>FI Imobiliario Rio BR</t>
  </si>
  <si>
    <t>FII Agencias Caixa</t>
  </si>
  <si>
    <t>FII BTG Pactual Agro Logistica-Unica</t>
  </si>
  <si>
    <t>FII BTG Pactual Credito Imobil-Unica</t>
  </si>
  <si>
    <t>FII BTG Pactual Terras Agricol-Unica</t>
  </si>
  <si>
    <t>FII FII Rec Renda Imobiliaria-Unica</t>
  </si>
  <si>
    <t>FII Green Towers-Unica</t>
  </si>
  <si>
    <t>FII Rbr Properties - FII-Unica</t>
  </si>
  <si>
    <t>FII Riza Terrax-Classe Un</t>
  </si>
  <si>
    <t>FII Vbi Cri-Unica</t>
  </si>
  <si>
    <t>FII Vbi Prime Properties-Unica</t>
  </si>
  <si>
    <t>FII Vinci Logistica-Unica</t>
  </si>
  <si>
    <t>FII Xp Log</t>
  </si>
  <si>
    <t>Habitat II - FII</t>
  </si>
  <si>
    <t>Hectare Ce FII-Unica</t>
  </si>
  <si>
    <t>Hedge Brasil Shopping FII-Unica1</t>
  </si>
  <si>
    <t>Hedge Top Fofii 3 FII-Unica</t>
  </si>
  <si>
    <t>Hsi Ativos Financeiros - FII-Unica</t>
  </si>
  <si>
    <t>Iridium Recebiveis Imobiliario-Unica</t>
  </si>
  <si>
    <t>Kilima Fc de FII Suno 30-Unica</t>
  </si>
  <si>
    <t>Maua Capital Recebiveis Imobil-Unica</t>
  </si>
  <si>
    <t>Maxi Renda FII-Unica</t>
  </si>
  <si>
    <t>Patria Logistica Fundo de Inve-Unica</t>
  </si>
  <si>
    <t>Polo Cred Imob FII-Unica</t>
  </si>
  <si>
    <t>Rbr Alpha Multiestrategia Real-Rbrf11</t>
  </si>
  <si>
    <t>Rio Bravo Fundo de FII-Unica</t>
  </si>
  <si>
    <t>Riza Arctium Real Estate FII-Unica</t>
  </si>
  <si>
    <t>Santander Renda de Alugueis Fu-Unica</t>
  </si>
  <si>
    <t>Suno Fundo de Fundos de Invest-Unica</t>
  </si>
  <si>
    <t>Suno Recebiveis FII-Unica</t>
  </si>
  <si>
    <t>Urca Prime Renda FII-Unica</t>
  </si>
  <si>
    <t>Valora Cri CDI FII-Unica</t>
  </si>
  <si>
    <t>Valora Cri Indice de Preco FII-Unica</t>
  </si>
  <si>
    <t>Valora Hedge Fund FII-Unica</t>
  </si>
  <si>
    <t>Vbi Logistico FI Imobiliario-Unica</t>
  </si>
  <si>
    <t>Vectis Juros Real FII-Unica</t>
  </si>
  <si>
    <t>Versalhes Recebiveis Imobiliarios - FI Imobiliario</t>
  </si>
  <si>
    <t>Vinci Offices FII-Unica</t>
  </si>
  <si>
    <t>Whg Real Estate FII-Classe Un</t>
  </si>
  <si>
    <t>Xp Cred Imob - FII-Unica</t>
  </si>
  <si>
    <t>Xp Industrial FII</t>
  </si>
  <si>
    <t>Xp Malls FI-Unica</t>
  </si>
  <si>
    <t>Xp Selection FII-Unica</t>
  </si>
  <si>
    <t xml:space="preserve">Dt.a Pref. Últ. Cot.: </t>
  </si>
  <si>
    <t xml:space="preserve">Dta. Últ. Cot.: </t>
  </si>
  <si>
    <t xml:space="preserve">                                                                                                    </t>
  </si>
  <si>
    <t xml:space="preserve">Unidade: </t>
  </si>
  <si>
    <t>Thousands</t>
  </si>
  <si>
    <t>12M</t>
  </si>
  <si>
    <t xml:space="preserve">Indicadores: </t>
  </si>
  <si>
    <t>Filtros</t>
  </si>
  <si>
    <t>Nome de Pregão</t>
  </si>
  <si>
    <t>Nome Completo</t>
  </si>
  <si>
    <t>Dados Gerais</t>
  </si>
  <si>
    <t>Balanço</t>
  </si>
  <si>
    <t>CNPJ</t>
  </si>
  <si>
    <t>Segmento de Atuação</t>
  </si>
  <si>
    <t>Classificação Anbima</t>
  </si>
  <si>
    <t>Empresa Gestora</t>
  </si>
  <si>
    <t>Data IPO</t>
  </si>
  <si>
    <t>Registro na CVM</t>
  </si>
  <si>
    <t>Patrimônio</t>
  </si>
  <si>
    <t>NumCot Total</t>
  </si>
  <si>
    <t>NumCot Pessoas Físicas</t>
  </si>
  <si>
    <t>NumCot PJ não Financeira</t>
  </si>
  <si>
    <t>NumCot Bancos</t>
  </si>
  <si>
    <t>BunCot Corretores</t>
  </si>
  <si>
    <t>NumCot FII</t>
  </si>
  <si>
    <t>NumCot EAPC</t>
  </si>
  <si>
    <t>NumCot EFPC</t>
  </si>
  <si>
    <t>NumCot RPPS</t>
  </si>
  <si>
    <t>Data do Informe mais Recente</t>
  </si>
  <si>
    <t>Ativo Total</t>
  </si>
  <si>
    <t>Caixa e Inv (CP)</t>
  </si>
  <si>
    <t>Total Investido</t>
  </si>
  <si>
    <t>A Receber</t>
  </si>
  <si>
    <t>Patrimônio Liquido</t>
  </si>
  <si>
    <t>Passivo Tota</t>
  </si>
  <si>
    <t>Dado do Usuário não Encontrado ###########</t>
  </si>
  <si>
    <t>Resultado Imóveis Estoque</t>
  </si>
  <si>
    <t>Resultado Imóveis para Venda</t>
  </si>
  <si>
    <t>Resultado Líquido TVM</t>
  </si>
  <si>
    <t>Mantidos Necessidade de Líquidez</t>
  </si>
  <si>
    <t>Instrumentos Finan Derivativos</t>
  </si>
  <si>
    <t>Outros Receitas / Despesas</t>
  </si>
  <si>
    <t>ResultLiq(Cont)</t>
  </si>
  <si>
    <t>Indicadores</t>
  </si>
  <si>
    <t>Rentabilidade</t>
  </si>
  <si>
    <t>DivY (VP) Mes</t>
  </si>
  <si>
    <t>Desp Tx Adm / Pat Mes</t>
  </si>
  <si>
    <t>Des Ag Cust / Pat Mes</t>
  </si>
  <si>
    <t>Rent Efe Mes</t>
  </si>
  <si>
    <t>Rent Part Mes</t>
  </si>
  <si>
    <t>Amort Cota Mes</t>
  </si>
  <si>
    <t>Dado-doUsuário Não Encontrado ###########...</t>
  </si>
  <si>
    <t>Ate 3M (IRA / TFun)</t>
  </si>
  <si>
    <t>3A 6M (IRA / TFun)</t>
  </si>
  <si>
    <t>6A 9M (IRA / TFun)</t>
  </si>
  <si>
    <t>9A 12M (IRA / TFun)</t>
  </si>
  <si>
    <t>12A 15M (IRA / TFun)</t>
  </si>
  <si>
    <t>IGPM (IRA / TFun)</t>
  </si>
  <si>
    <t>IPCA (IRA / TFun)</t>
  </si>
  <si>
    <t>INPC (IRA / TFun)</t>
  </si>
  <si>
    <t>Vacância % (IRA)</t>
  </si>
  <si>
    <t>viNADIMP % (IRA)</t>
  </si>
  <si>
    <t>Dividendo mês</t>
  </si>
  <si>
    <t>Rentabilidade Com 18 Meses</t>
  </si>
  <si>
    <t>Fundo:</t>
  </si>
  <si>
    <t>Inicio:</t>
  </si>
  <si>
    <t>Final:</t>
  </si>
  <si>
    <t>Início da Série:</t>
  </si>
  <si>
    <t>Cotas Diárias Base 100</t>
  </si>
  <si>
    <t>Data</t>
  </si>
  <si>
    <t>IBOV</t>
  </si>
  <si>
    <t>Período:</t>
  </si>
  <si>
    <t>Opcional Cliente</t>
  </si>
  <si>
    <t>BROF11&lt;XBSP&gt;</t>
  </si>
  <si>
    <t>CYCR11&lt;XBSP&gt;</t>
  </si>
  <si>
    <t>RBRX11&lt;XBSP&gt;</t>
  </si>
  <si>
    <t>TRBL11&lt;XBSP&gt;</t>
  </si>
  <si>
    <t>HTMX11&lt;XBSP&gt;</t>
  </si>
  <si>
    <t>JSAF11&lt;XBSP&gt;</t>
  </si>
  <si>
    <t>KCRE11&lt;XBSP&gt;</t>
  </si>
  <si>
    <t>TVRI11&lt;XBSP&gt;</t>
  </si>
  <si>
    <t>BROF11</t>
  </si>
  <si>
    <t>CYCR11</t>
  </si>
  <si>
    <t>RBRX11</t>
  </si>
  <si>
    <t>TRBL11</t>
  </si>
  <si>
    <t>HTMX11</t>
  </si>
  <si>
    <t>JSAF11</t>
  </si>
  <si>
    <t>KCRE11</t>
  </si>
  <si>
    <t>TVRI11</t>
  </si>
  <si>
    <t>Af Invest Cri FII Rec Imob-Unica</t>
  </si>
  <si>
    <t>Alianza Trust Renda Imob FII-Unica</t>
  </si>
  <si>
    <t>Banestes Recebiveis Imob FII-Unica</t>
  </si>
  <si>
    <t>Brpr Corporate Offices FII-Unica</t>
  </si>
  <si>
    <t>BTG Pactual Logistica FII-Unica</t>
  </si>
  <si>
    <t>Cartesia Recebiveis Imob - FII-Unica</t>
  </si>
  <si>
    <t>Cyrela Credito - FII-Classe Un</t>
  </si>
  <si>
    <t>FII FII Rec Rec Imobiliarios-Unica</t>
  </si>
  <si>
    <t>FII Rbr Plus Mult Real Estate-Unica</t>
  </si>
  <si>
    <t>FII Tellus Rio Bravo Renda Log-Unica</t>
  </si>
  <si>
    <t>FII Tg Ativo Real-Unica</t>
  </si>
  <si>
    <t>FII Vbi Rend Imob I - FII-Unica</t>
  </si>
  <si>
    <t>Genial Malls FII-Unica</t>
  </si>
  <si>
    <t>Hotel Maxinvest FII-Unica</t>
  </si>
  <si>
    <t>Hsi Logistica FII-Unica</t>
  </si>
  <si>
    <t>Js Ativos Financeiros Fundo de-Unica</t>
  </si>
  <si>
    <t>Js Real Estate Multigestao-FII-Unica</t>
  </si>
  <si>
    <t>Kinea Creditas FII-Unica</t>
  </si>
  <si>
    <t>Kinea High Yield Cri FII-Unica</t>
  </si>
  <si>
    <t>Kinea Renda Imobiliaria FII FI-Unica</t>
  </si>
  <si>
    <t>Ourinvest Jpp - FII-Classe Un</t>
  </si>
  <si>
    <t>Rbr Log FII-Unica</t>
  </si>
  <si>
    <t>Riza Akin FII - FII-Unica</t>
  </si>
  <si>
    <t>Tellus Properties FII-Unica</t>
  </si>
  <si>
    <t>Trx Real Estate FII-Unica</t>
  </si>
  <si>
    <t>Vinci Imoveis Urbanos FII-Unica</t>
  </si>
  <si>
    <t>Vinci Shop Centers FII - FII-Unica</t>
  </si>
  <si>
    <t>Hotel</t>
  </si>
  <si>
    <t>Tivio Renda Imobiliaria FI Imob-Unica</t>
  </si>
  <si>
    <t>AJFI11&lt;XBSP&gt;</t>
  </si>
  <si>
    <t>FATN11&lt;XBSP&gt;</t>
  </si>
  <si>
    <t>CPSH11&lt;XBSP&gt;</t>
  </si>
  <si>
    <t>CLIN11&lt;XBSP&gt;</t>
  </si>
  <si>
    <t>GARE11&lt;XBSP&gt;</t>
  </si>
  <si>
    <t>BPML11&lt;XBSP&gt;</t>
  </si>
  <si>
    <t>SPXS11&lt;XBSP&gt;</t>
  </si>
  <si>
    <t>GZIT11&lt;XBSP&gt;</t>
  </si>
  <si>
    <t>INLG11&lt;XBSP&gt;</t>
  </si>
  <si>
    <t>KIVO11&lt;XBSP&gt;</t>
  </si>
  <si>
    <t>KORE11&lt;XBSP&gt;</t>
  </si>
  <si>
    <t>KNHF11&lt;XBSP&gt;</t>
  </si>
  <si>
    <t>KNUQ11&lt;XBSP&gt;</t>
  </si>
  <si>
    <t>MANA11&lt;XBSP&gt;</t>
  </si>
  <si>
    <t>MCHY11&lt;XBSP&gt;</t>
  </si>
  <si>
    <t>HGPO11&lt;XBSP&gt;</t>
  </si>
  <si>
    <t>SNEL11&lt;XBSP&gt;</t>
  </si>
  <si>
    <t>RVBI11&lt;XBSP&gt;</t>
  </si>
  <si>
    <t>ZAVI11&lt;XBSP&gt;</t>
  </si>
  <si>
    <t>AJFI11</t>
  </si>
  <si>
    <t>FATN11</t>
  </si>
  <si>
    <t>CPSH11</t>
  </si>
  <si>
    <t>CLIN11</t>
  </si>
  <si>
    <t>GARE11</t>
  </si>
  <si>
    <t>BPML11</t>
  </si>
  <si>
    <t>SPXS11</t>
  </si>
  <si>
    <t>GZIT11</t>
  </si>
  <si>
    <t>INLG11</t>
  </si>
  <si>
    <t>KIVO11</t>
  </si>
  <si>
    <t>KORE11</t>
  </si>
  <si>
    <t>KNHF11</t>
  </si>
  <si>
    <t>KNUQ11</t>
  </si>
  <si>
    <t>MANA11</t>
  </si>
  <si>
    <t>MCHY11</t>
  </si>
  <si>
    <t>HGPO11</t>
  </si>
  <si>
    <t>SNEL11</t>
  </si>
  <si>
    <t>RVBI11</t>
  </si>
  <si>
    <t>ZAVI11</t>
  </si>
  <si>
    <r>
      <t xml:space="preserve">Lâmina Individual de </t>
    </r>
    <r>
      <rPr>
        <b/>
        <sz val="28"/>
        <color rgb="FFB1AE2D"/>
        <rFont val="Calibri"/>
        <family val="2"/>
        <scheme val="minor"/>
      </rPr>
      <t>FII`s</t>
    </r>
    <r>
      <rPr>
        <b/>
        <sz val="28"/>
        <color rgb="FF023A4A"/>
        <rFont val="Calibri"/>
        <family val="2"/>
        <scheme val="minor"/>
      </rPr>
      <t xml:space="preserve"> - </t>
    </r>
  </si>
  <si>
    <t>29/12</t>
  </si>
  <si>
    <t>Código</t>
  </si>
  <si>
    <r>
      <rPr>
        <b/>
        <sz val="10"/>
        <color rgb="FFCCD8DB"/>
        <rFont val="Calibri"/>
        <family val="2"/>
        <scheme val="minor"/>
      </rPr>
      <t xml:space="preserve">Selecione os </t>
    </r>
    <r>
      <rPr>
        <b/>
        <sz val="10"/>
        <color rgb="FFB1AE2D"/>
        <rFont val="Calibri"/>
        <family val="2"/>
        <scheme val="minor"/>
      </rPr>
      <t>Meses</t>
    </r>
    <r>
      <rPr>
        <b/>
        <sz val="10"/>
        <color rgb="FFCCD8DB"/>
        <rFont val="Calibri"/>
        <family val="2"/>
        <scheme val="minor"/>
      </rPr>
      <t xml:space="preserve"> ou Digite uma </t>
    </r>
    <r>
      <rPr>
        <b/>
        <sz val="10"/>
        <color rgb="FFB1AE2D"/>
        <rFont val="Calibri"/>
        <family val="2"/>
        <scheme val="minor"/>
      </rPr>
      <t>Data</t>
    </r>
    <r>
      <rPr>
        <b/>
        <sz val="10"/>
        <color rgb="FF023A4A"/>
        <rFont val="Calibri"/>
        <family val="2"/>
        <scheme val="minor"/>
      </rPr>
      <t xml:space="preserve"> </t>
    </r>
    <r>
      <rPr>
        <b/>
        <sz val="10"/>
        <color rgb="FFB1AE2D"/>
        <rFont val="Aptos Narrow"/>
        <family val="2"/>
      </rPr>
      <t>→</t>
    </r>
  </si>
  <si>
    <t>Aj Malls FII-Unica</t>
  </si>
  <si>
    <t>Brades Cartei Imobili Ativa Fu Classe Un</t>
  </si>
  <si>
    <t>Brc Renda Corporativa FI Imobiliário</t>
  </si>
  <si>
    <t>Bresco Logistica FII Resp Lim Unica</t>
  </si>
  <si>
    <t>Capitania Shoppings FII-Unica</t>
  </si>
  <si>
    <t>Clave Indices de Precos FII-Unica</t>
  </si>
  <si>
    <t>FI Imobiliário Guardian Real Estate</t>
  </si>
  <si>
    <t>FII BTG Pa Unica</t>
  </si>
  <si>
    <t>FII BTG Pactu Fundo Fundo Resp Lim Unica</t>
  </si>
  <si>
    <t>FII Rbr Credito Imobilia Estrutur Unica</t>
  </si>
  <si>
    <t>FII Spx Syn Multiestrategia-Unica</t>
  </si>
  <si>
    <t>FII Unica</t>
  </si>
  <si>
    <t>Fundo FII Kinea Resp Lim Unica</t>
  </si>
  <si>
    <t>Gazit Malls FII Unica</t>
  </si>
  <si>
    <t>Ggr Covepi Renda FI Imobiliário - Responsabilidade</t>
  </si>
  <si>
    <t>Hsi Malls FI Imobilia Unica</t>
  </si>
  <si>
    <t>Inter Logistico FII Unica</t>
  </si>
  <si>
    <t>Kilima Volkano Rec Imob FII-Unica</t>
  </si>
  <si>
    <t>Kine Oport Real Estat FII Resp Lim Unica</t>
  </si>
  <si>
    <t>Kinea Hedge Fund FII Resp Lim Unica</t>
  </si>
  <si>
    <t>Kinea Indices Precos FII Unica</t>
  </si>
  <si>
    <t>Kinea Rendimentos Imobiliarios FII U</t>
  </si>
  <si>
    <t>Kinea Securities FII 1</t>
  </si>
  <si>
    <t>Kinea Unique Hy CDI FII-Unica</t>
  </si>
  <si>
    <t>Manati Capital Hedge Fund FII-Classe Un</t>
  </si>
  <si>
    <t>Maua Capital Real Estate FII-Unica</t>
  </si>
  <si>
    <t>Merito Desenvol Imobiliario FII Unica</t>
  </si>
  <si>
    <t>Open K Recebiveis FII-Unica</t>
  </si>
  <si>
    <t>Patria Escritorios FII Resp Lim Unica</t>
  </si>
  <si>
    <t>Patria Imobilia Fof FII Resp Lim Unica</t>
  </si>
  <si>
    <t>Patria Log FII Resp Lim Unica</t>
  </si>
  <si>
    <t>Patria Prime Offices FII Resp Lim Unica</t>
  </si>
  <si>
    <t>Patria Recebi Imobili FII Resp Lim Unica</t>
  </si>
  <si>
    <t>Patria Renda Urbana FII Resp Ltda-Unica</t>
  </si>
  <si>
    <t>Suno Energias Limpas FI Imobiliário</t>
  </si>
  <si>
    <t>Vbi Reits Multiestrategia FII-Unica</t>
  </si>
  <si>
    <t>Zavit Real Estate Fund FII-Unica</t>
  </si>
  <si>
    <r>
      <t xml:space="preserve">Comparativo de </t>
    </r>
    <r>
      <rPr>
        <b/>
        <sz val="28"/>
        <color rgb="FFB1AE2D"/>
        <rFont val="Calibri"/>
        <family val="2"/>
        <scheme val="minor"/>
      </rPr>
      <t>FII`s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</si>
  <si>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</si>
  <si>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C3</t>
    </r>
  </si>
  <si>
    <r>
      <t xml:space="preserve">Planilha Auxiliar </t>
    </r>
    <r>
      <rPr>
        <b/>
        <sz val="28"/>
        <color rgb="FFB1AE2D"/>
        <rFont val="Calibri"/>
        <family val="2"/>
        <scheme val="minor"/>
      </rPr>
      <t>Não Modificar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</si>
  <si>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>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</si>
  <si>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Um Indicador (</t>
    </r>
    <r>
      <rPr>
        <b/>
        <sz val="10"/>
        <color rgb="FFB1AE2D"/>
        <rFont val="Calibri"/>
        <family val="2"/>
        <scheme val="minor"/>
      </rPr>
      <t>3M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12M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In Fiscal Year</t>
    </r>
    <r>
      <rPr>
        <b/>
        <sz val="10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</si>
</sst>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"/>
    <numFmt numFmtId="165" formatCode="dd/mm/yyyy"/>
    <numFmt numFmtId="168" formatCode="&quot;R$&quot;\ #,##0"/>
  </numFmts>
  <fonts count="21" x14ac:knownFonts="1">
    <font>
      <sz val="11"/>
      <color theme="1"/>
      <name val="Calibri"/>
      <family val="2"/>
      <scheme val="minor"/>
    </font>
    <font>
      <sz val="10"/>
      <color rgb="FF006B66"/>
      <name val="Calibri"/>
      <family val="2"/>
      <scheme val="minor"/>
    </font>
    <font>
      <b/>
      <sz val="11"/>
      <color rgb="FFDAE2DD"/>
      <name val="Calibri"/>
      <family val="2"/>
      <scheme val="minor"/>
    </font>
    <font>
      <sz val="11"/>
      <color rgb="FF006B66"/>
      <name val="Calibri"/>
      <family val="2"/>
      <scheme val="minor"/>
    </font>
    <font>
      <b/>
      <sz val="11"/>
      <color rgb="FF006B6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B1AE2D"/>
      <name val="Aptos Narrow"/>
      <family val="2"/>
    </font>
    <font>
      <b/>
      <sz val="10"/>
      <color rgb="FFCCD8DB"/>
      <name val="Calibri"/>
      <family val="2"/>
      <scheme val="minor"/>
    </font>
    <font>
      <b/>
      <sz val="12"/>
      <color rgb="FF023A4A"/>
      <name val="Calibri"/>
      <family val="2"/>
      <scheme val="minor"/>
    </font>
    <font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41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thick">
        <color theme="0"/>
      </top>
      <bottom/>
      <diagonal/>
    </border>
    <border>
      <left style="medium">
        <color theme="0"/>
      </left>
      <right/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/>
      <top/>
      <bottom style="thick">
        <color rgb="FFB1AE2D"/>
      </bottom>
      <diagonal/>
    </border>
    <border>
      <left style="medium">
        <color theme="0"/>
      </left>
      <right/>
      <top/>
      <bottom/>
      <diagonal/>
    </border>
    <border>
      <left/>
      <right/>
      <top style="thick">
        <color rgb="FFB1AE2D"/>
      </top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/>
      <top style="thin">
        <color rgb="FF023A4A"/>
      </top>
      <bottom/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/>
      <top style="thin">
        <color rgb="FF023A4A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thick">
        <color theme="0"/>
      </right>
      <top style="thick">
        <color theme="0"/>
      </top>
      <bottom style="thick">
        <color rgb="FFB1AE2D"/>
      </bottom>
      <diagonal/>
    </border>
    <border>
      <left style="medium">
        <color rgb="FF023A4A"/>
      </left>
      <right style="thick">
        <color theme="0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thick">
        <color theme="0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thick">
        <color theme="0"/>
      </right>
      <top style="thin">
        <color rgb="FF023A4A"/>
      </top>
      <bottom/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6" fillId="0" borderId="0" xfId="0" applyFont="1"/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164" fontId="7" fillId="0" borderId="0" xfId="0" applyNumberFormat="1" applyFont="1" applyAlignment="1">
      <alignment horizontal="left"/>
    </xf>
    <xf numFmtId="14" fontId="0" fillId="0" borderId="0" xfId="0" applyNumberFormat="1"/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3" fillId="3" borderId="8" xfId="0" applyFont="1" applyFill="1" applyBorder="1" applyAlignment="1">
      <alignment horizontal="center" vertical="center"/>
    </xf>
    <xf numFmtId="14" fontId="9" fillId="2" borderId="8" xfId="0" applyNumberFormat="1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right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right" vertical="center"/>
    </xf>
    <xf numFmtId="0" fontId="19" fillId="0" borderId="11" xfId="0" applyFont="1" applyBorder="1" applyAlignment="1">
      <alignment horizontal="left" vertical="center"/>
    </xf>
    <xf numFmtId="0" fontId="5" fillId="0" borderId="11" xfId="0" applyFont="1" applyBorder="1" applyAlignment="1">
      <alignment horizontal="right" vertical="center"/>
    </xf>
    <xf numFmtId="0" fontId="9" fillId="2" borderId="11" xfId="0" applyFont="1" applyFill="1" applyBorder="1" applyAlignment="1">
      <alignment horizontal="right" vertical="center"/>
    </xf>
    <xf numFmtId="165" fontId="5" fillId="0" borderId="11" xfId="0" applyNumberFormat="1" applyFont="1" applyBorder="1" applyAlignment="1">
      <alignment horizontal="right" vertical="center"/>
    </xf>
    <xf numFmtId="4" fontId="5" fillId="0" borderId="11" xfId="0" applyNumberFormat="1" applyFont="1" applyBorder="1" applyAlignment="1">
      <alignment horizontal="right" vertical="center"/>
    </xf>
    <xf numFmtId="0" fontId="19" fillId="0" borderId="12" xfId="0" applyFont="1" applyBorder="1" applyAlignment="1">
      <alignment horizontal="left" vertical="center"/>
    </xf>
    <xf numFmtId="0" fontId="5" fillId="0" borderId="12" xfId="0" applyFont="1" applyBorder="1" applyAlignment="1">
      <alignment horizontal="right" vertical="center"/>
    </xf>
    <xf numFmtId="165" fontId="5" fillId="0" borderId="10" xfId="0" applyNumberFormat="1" applyFont="1" applyBorder="1" applyAlignment="1">
      <alignment horizontal="right" vertical="center"/>
    </xf>
    <xf numFmtId="4" fontId="5" fillId="0" borderId="12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14" fontId="19" fillId="0" borderId="13" xfId="0" applyNumberFormat="1" applyFont="1" applyBorder="1" applyAlignment="1">
      <alignment horizontal="center" vertical="center"/>
    </xf>
    <xf numFmtId="4" fontId="5" fillId="0" borderId="14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center"/>
    </xf>
    <xf numFmtId="14" fontId="19" fillId="0" borderId="16" xfId="0" applyNumberFormat="1" applyFont="1" applyBorder="1" applyAlignment="1">
      <alignment horizontal="center" vertical="center"/>
    </xf>
    <xf numFmtId="4" fontId="5" fillId="0" borderId="17" xfId="0" applyNumberFormat="1" applyFont="1" applyBorder="1" applyAlignment="1">
      <alignment horizontal="center" vertical="center"/>
    </xf>
    <xf numFmtId="4" fontId="5" fillId="0" borderId="18" xfId="0" applyNumberFormat="1" applyFont="1" applyBorder="1" applyAlignment="1">
      <alignment horizontal="center" vertical="center"/>
    </xf>
    <xf numFmtId="14" fontId="19" fillId="0" borderId="19" xfId="0" applyNumberFormat="1" applyFont="1" applyBorder="1" applyAlignment="1">
      <alignment horizontal="center" vertical="center"/>
    </xf>
    <xf numFmtId="4" fontId="5" fillId="0" borderId="20" xfId="0" applyNumberFormat="1" applyFont="1" applyBorder="1" applyAlignment="1">
      <alignment horizontal="center" vertical="center"/>
    </xf>
    <xf numFmtId="4" fontId="5" fillId="0" borderId="21" xfId="0" applyNumberFormat="1" applyFont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3" fillId="3" borderId="24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9" fillId="0" borderId="26" xfId="0" applyFont="1" applyBorder="1" applyAlignment="1">
      <alignment horizontal="left" vertical="center"/>
    </xf>
    <xf numFmtId="165" fontId="19" fillId="0" borderId="27" xfId="0" applyNumberFormat="1" applyFont="1" applyBorder="1" applyAlignment="1">
      <alignment horizontal="center" vertical="center"/>
    </xf>
    <xf numFmtId="0" fontId="19" fillId="0" borderId="28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/>
    </xf>
    <xf numFmtId="0" fontId="9" fillId="0" borderId="29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0" fillId="0" borderId="33" xfId="0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14" fontId="0" fillId="0" borderId="33" xfId="0" applyNumberFormat="1" applyBorder="1" applyAlignment="1">
      <alignment horizontal="center" vertical="center"/>
    </xf>
    <xf numFmtId="4" fontId="0" fillId="0" borderId="34" xfId="0" applyNumberForma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4" fontId="0" fillId="0" borderId="18" xfId="0" applyNumberFormat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left" vertical="center"/>
    </xf>
    <xf numFmtId="0" fontId="0" fillId="2" borderId="17" xfId="0" applyFill="1" applyBorder="1" applyAlignment="1">
      <alignment horizontal="center" vertical="center"/>
    </xf>
    <xf numFmtId="4" fontId="0" fillId="2" borderId="17" xfId="0" applyNumberFormat="1" applyFill="1" applyBorder="1" applyAlignment="1">
      <alignment horizontal="center" vertical="center"/>
    </xf>
    <xf numFmtId="14" fontId="0" fillId="2" borderId="17" xfId="0" applyNumberFormat="1" applyFill="1" applyBorder="1" applyAlignment="1">
      <alignment horizontal="center" vertical="center"/>
    </xf>
    <xf numFmtId="4" fontId="0" fillId="2" borderId="18" xfId="0" applyNumberFormat="1" applyFill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4" fontId="0" fillId="0" borderId="20" xfId="0" applyNumberForma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4" fontId="0" fillId="0" borderId="21" xfId="0" applyNumberForma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8" fontId="10" fillId="0" borderId="0" xfId="0" applyNumberFormat="1" applyFont="1" applyAlignment="1">
      <alignment vertical="center"/>
    </xf>
    <xf numFmtId="168" fontId="20" fillId="0" borderId="0" xfId="0" applyNumberFormat="1" applyFont="1" applyAlignment="1">
      <alignment vertical="center"/>
    </xf>
    <xf numFmtId="14" fontId="19" fillId="0" borderId="27" xfId="0" applyNumberFormat="1" applyFont="1" applyBorder="1" applyAlignment="1">
      <alignment horizontal="center" vertical="center"/>
    </xf>
    <xf numFmtId="14" fontId="19" fillId="0" borderId="29" xfId="0" applyNumberFormat="1" applyFont="1" applyBorder="1" applyAlignment="1">
      <alignment horizontal="center" vertical="center"/>
    </xf>
    <xf numFmtId="14" fontId="19" fillId="0" borderId="31" xfId="0" applyNumberFormat="1" applyFont="1" applyBorder="1" applyAlignment="1">
      <alignment horizontal="center" vertical="center"/>
    </xf>
    <xf numFmtId="0" fontId="13" fillId="3" borderId="35" xfId="0" applyFont="1" applyFill="1" applyBorder="1" applyAlignment="1">
      <alignment horizontal="center" vertical="center"/>
    </xf>
    <xf numFmtId="2" fontId="13" fillId="3" borderId="36" xfId="1" applyNumberFormat="1" applyFont="1" applyFill="1" applyBorder="1" applyAlignment="1">
      <alignment horizontal="center" vertical="center"/>
    </xf>
    <xf numFmtId="0" fontId="13" fillId="3" borderId="36" xfId="0" applyFont="1" applyFill="1" applyBorder="1" applyAlignment="1">
      <alignment horizontal="center" vertical="center"/>
    </xf>
    <xf numFmtId="14" fontId="19" fillId="0" borderId="32" xfId="0" applyNumberFormat="1" applyFont="1" applyBorder="1" applyAlignment="1">
      <alignment horizontal="center" vertical="center"/>
    </xf>
    <xf numFmtId="2" fontId="8" fillId="0" borderId="33" xfId="1" applyNumberFormat="1" applyFont="1" applyBorder="1" applyAlignment="1">
      <alignment horizontal="center" vertical="center"/>
    </xf>
    <xf numFmtId="14" fontId="19" fillId="2" borderId="16" xfId="0" applyNumberFormat="1" applyFont="1" applyFill="1" applyBorder="1" applyAlignment="1">
      <alignment horizontal="center" vertical="center"/>
    </xf>
    <xf numFmtId="2" fontId="8" fillId="2" borderId="17" xfId="1" applyNumberFormat="1" applyFont="1" applyFill="1" applyBorder="1" applyAlignment="1">
      <alignment horizontal="center" vertical="center"/>
    </xf>
    <xf numFmtId="2" fontId="8" fillId="0" borderId="17" xfId="1" applyNumberFormat="1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2" fontId="8" fillId="0" borderId="38" xfId="1" applyNumberFormat="1" applyFont="1" applyBorder="1" applyAlignment="1">
      <alignment horizontal="center" vertical="center"/>
    </xf>
    <xf numFmtId="2" fontId="8" fillId="2" borderId="39" xfId="1" applyNumberFormat="1" applyFont="1" applyFill="1" applyBorder="1" applyAlignment="1">
      <alignment horizontal="center" vertical="center"/>
    </xf>
    <xf numFmtId="2" fontId="8" fillId="0" borderId="39" xfId="1" applyNumberFormat="1" applyFont="1" applyBorder="1" applyAlignment="1">
      <alignment horizontal="center" vertical="center"/>
    </xf>
    <xf numFmtId="2" fontId="8" fillId="0" borderId="20" xfId="1" applyNumberFormat="1" applyFont="1" applyBorder="1" applyAlignment="1">
      <alignment horizontal="center" vertical="center"/>
    </xf>
    <xf numFmtId="2" fontId="8" fillId="0" borderId="40" xfId="1" applyNumberFormat="1" applyFont="1" applyBorder="1" applyAlignment="1">
      <alignment horizontal="center" vertical="center"/>
    </xf>
    <xf numFmtId="168" fontId="7" fillId="0" borderId="0" xfId="1" applyNumberFormat="1" applyFont="1" applyAlignment="1">
      <alignment horizontal="left" vertical="center"/>
    </xf>
  </cellXfs>
  <cellStyles count="2">
    <cellStyle name="Moeda" xfId="1" builtinId="4"/>
    <cellStyle name="Normal" xfId="0" builtinId="0"/>
  </cellStyles>
  <dxfs count="2">
    <dxf>
      <numFmt numFmtId="167" formatCode="0.00\ \x"/>
    </dxf>
    <dxf>
      <numFmt numFmtId="3" formatCode="#,##0"/>
    </dxf>
  </dxfs>
  <tableStyles count="0" defaultTableStyle="TableStyleMedium2" defaultPivotStyle="PivotStyleLight16"/>
  <colors>
    <mruColors>
      <color rgb="FFB1AE2D"/>
      <color rgb="FFCCD8DB"/>
      <color rgb="FF023A4A"/>
      <color rgb="FF006B66"/>
      <color rgb="FFC59C00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6f3371870cf64a0ba8a29196e9735f72">
      <tp>
        <v>2</v>
        <stp/>
        <stp>59b947c9-8a9f-4030-bdcc-20ed08da8a96</stp>
        <tr r="AQ10" s="1"/>
      </tp>
    </main>
    <main first="rtdsrv_eco_6f3371870cf64a0ba8a29196e9735f72">
      <tp>
        <v>2</v>
        <stp/>
        <stp>9c8aa365-7faa-4487-a145-c5da1dda78a1</stp>
        <tr r="K10" s="1"/>
      </tp>
    </main>
    <main first="rtdsrv_eco_6f3371870cf64a0ba8a29196e9735f72">
      <tp>
        <v>2</v>
        <stp/>
        <stp>947355e9-c311-4149-85e1-75594ea01c87</stp>
        <tr r="D10" s="2"/>
      </tp>
    </main>
    <main first="rtdsrv_eco_6f3371870cf64a0ba8a29196e9735f72">
      <tp>
        <v>2</v>
        <stp/>
        <stp>33be24db-4bdf-4965-a2fa-6b7b383cb747</stp>
        <tr r="E34" s="2"/>
      </tp>
      <tp>
        <v>3</v>
        <stp/>
        <stp>e8b005a8-a0eb-4b59-bcbf-461b542068a5</stp>
        <tr r="C5" s="5"/>
      </tp>
    </main>
    <main first="rtdsrv_eco_6f3371870cf64a0ba8a29196e9735f72">
      <tp>
        <v>2</v>
        <stp/>
        <stp>d411534d-849b-4ad9-8228-c7c3a654480f</stp>
        <tr r="D8" s="2"/>
      </tp>
    </main>
    <main first="rtdsrv_eco_6f3371870cf64a0ba8a29196e9735f72">
      <tp>
        <v>2</v>
        <stp/>
        <stp>610018f4-a981-4002-ae6d-f61ebed54292</stp>
        <tr r="CF10" s="1"/>
      </tp>
    </main>
    <main first="rtdsrv_eco_6f3371870cf64a0ba8a29196e9735f72">
      <tp>
        <v>2</v>
        <stp/>
        <stp>ac8be588-a1d0-4ff5-b055-68900e5cbd0e</stp>
        <tr r="AO10" s="1"/>
      </tp>
    </main>
    <main first="rtdsrv_eco_6f3371870cf64a0ba8a29196e9735f72">
      <tp>
        <v>2</v>
        <stp/>
        <stp>5de70623-d31c-4009-86dc-ee4b99bb99f8</stp>
        <tr r="E40" s="2"/>
      </tp>
      <tp>
        <v>2</v>
        <stp/>
        <stp>b9e42921-eaa9-43fb-804a-cd5c58293af9</stp>
        <tr r="Q10" s="1"/>
      </tp>
    </main>
    <main first="rtdsrv_eco_6f3371870cf64a0ba8a29196e9735f72">
      <tp>
        <v>2</v>
        <stp/>
        <stp>37270fe6-57ae-4f09-be1d-b7edd66bfc82</stp>
        <tr r="D11" s="2"/>
      </tp>
    </main>
    <main first="rtdsrv_eco_6f3371870cf64a0ba8a29196e9735f72">
      <tp>
        <v>2</v>
        <stp/>
        <stp>7e3c9038-2e29-4a09-a0f3-08a8e75c79fd</stp>
        <tr r="CJ10" s="1"/>
      </tp>
    </main>
    <main first="rtdsrv_eco_6f3371870cf64a0ba8a29196e9735f72">
      <tp>
        <v>2</v>
        <stp/>
        <stp>f8f0aa7a-0776-4195-b81f-77f51bbba718</stp>
        <tr r="D22" s="2"/>
      </tp>
    </main>
    <main first="rtdsrv_eco_6f3371870cf64a0ba8a29196e9735f72">
      <tp>
        <v>2</v>
        <stp/>
        <stp>3ae03595-8568-4c0f-9109-588de34589b3</stp>
        <tr r="E25" s="2"/>
      </tp>
    </main>
    <main first="rtdsrv_eco_6f3371870cf64a0ba8a29196e9735f72">
      <tp>
        <v>2</v>
        <stp/>
        <stp>26e9ffc4-824c-470c-a8a1-028f8bbc8244</stp>
        <tr r="D17" s="2"/>
      </tp>
    </main>
    <main first="rtdsrv_eco_6f3371870cf64a0ba8a29196e9735f72">
      <tp>
        <v>2</v>
        <stp/>
        <stp>2fd98eb8-a706-4dc5-a6d5-8fc99e0c387e</stp>
        <tr r="D9" s="5"/>
      </tp>
    </main>
    <main first="rtdsrv_eco_6f3371870cf64a0ba8a29196e9735f72">
      <tp>
        <v>2</v>
        <stp/>
        <stp>d4af2863-f71b-45f0-bfae-bb475fe89736</stp>
        <tr r="BM10" s="1"/>
      </tp>
      <tp>
        <v>2</v>
        <stp/>
        <stp>75cb89e4-5b28-4482-a70e-0181d62bd500</stp>
        <tr r="AM10" s="1"/>
      </tp>
    </main>
    <main first="rtdsrv_eco_6f3371870cf64a0ba8a29196e9735f72">
      <tp>
        <v>2</v>
        <stp/>
        <stp>ff18d22d-d2f3-4939-aab2-7c5dd93ba82d</stp>
        <tr r="E33" s="2"/>
      </tp>
    </main>
    <main first="rtdsrv_eco_6f3371870cf64a0ba8a29196e9735f72">
      <tp>
        <v>2</v>
        <stp/>
        <stp>cd9c0e9e-8354-4664-b503-a4c0436d2392</stp>
        <tr r="E42" s="2"/>
      </tp>
    </main>
    <main first="rtdsrv_eco_6f3371870cf64a0ba8a29196e9735f72">
      <tp>
        <v>2</v>
        <stp/>
        <stp>e4231f03-05b7-45f8-bfe3-159f5705f7c5</stp>
        <tr r="N10" s="1"/>
      </tp>
    </main>
    <main first="rtdsrv_eco_6f3371870cf64a0ba8a29196e9735f72">
      <tp>
        <v>2</v>
        <stp/>
        <stp>5d4a50b1-77f5-449a-8790-233d401bf21c</stp>
        <tr r="K11" s="2"/>
      </tp>
    </main>
    <main first="rtdsrv_eco_6f3371870cf64a0ba8a29196e9735f72">
      <tp>
        <v>2</v>
        <stp/>
        <stp>4dd03a71-3aa2-44c1-9874-a92337afb41b</stp>
        <tr r="D9" s="2"/>
      </tp>
    </main>
    <main first="rtdsrv_eco_6f3371870cf64a0ba8a29196e9735f72">
      <tp>
        <v>2</v>
        <stp/>
        <stp>3b25c0ae-b7ba-4ae0-af92-b2b20ccd7b13</stp>
        <tr r="BV10" s="1"/>
      </tp>
    </main>
    <main first="rtdsrv_eco_6f3371870cf64a0ba8a29196e9735f72">
      <tp>
        <v>2</v>
        <stp/>
        <stp>08a32298-0ca8-4210-b258-dc68fd88e374</stp>
        <tr r="AH10" s="1"/>
      </tp>
    </main>
    <main first="rtdsrv_eco_6f3371870cf64a0ba8a29196e9735f72">
      <tp>
        <v>2</v>
        <stp/>
        <stp>aa983129-b3a7-4ba4-a5bd-f9d395becc1c</stp>
        <tr r="R10" s="1"/>
      </tp>
      <tp>
        <v>2</v>
        <stp/>
        <stp>095e1a29-c47d-4384-a31d-556e6b5b3b59</stp>
        <tr r="J25" s="2"/>
      </tp>
      <tp>
        <v>2</v>
        <stp/>
        <stp>2e9d12b2-839e-4675-9199-83cc09d02b22</stp>
        <tr r="O10" s="1"/>
      </tp>
    </main>
    <main first="rtdsrv_eco_6f3371870cf64a0ba8a29196e9735f72">
      <tp>
        <v>2</v>
        <stp/>
        <stp>983e35e8-ceb8-4fd9-8dc9-8135c1184043</stp>
        <tr r="Z10" s="1"/>
      </tp>
      <tp>
        <v>2</v>
        <stp/>
        <stp>b25b8f9c-1abd-475b-a693-4953b76554b8</stp>
        <tr r="AV10" s="1"/>
      </tp>
    </main>
    <main first="rtdsrv_eco_6f3371870cf64a0ba8a29196e9735f72">
      <tp>
        <v>2</v>
        <stp/>
        <stp>8ad7bfe6-1e7e-445d-96a8-c648eb37aced</stp>
        <tr r="E45" s="2"/>
      </tp>
    </main>
    <main first="rtdsrv_eco_6f3371870cf64a0ba8a29196e9735f72">
      <tp>
        <v>2</v>
        <stp/>
        <stp>653b5400-ed0f-472d-8bff-1e4cc29565e3</stp>
        <tr r="E30" s="2"/>
      </tp>
    </main>
    <main first="rtdsrv_eco_6f3371870cf64a0ba8a29196e9735f72">
      <tp>
        <v>2</v>
        <stp/>
        <stp>b79cc437-e54a-40c3-9dbd-b96f591ad341</stp>
        <tr r="BH10" s="1"/>
      </tp>
    </main>
    <main first="rtdsrv_eco_6f3371870cf64a0ba8a29196e9735f72">
      <tp>
        <v>2</v>
        <stp/>
        <stp>2a4615cc-ae53-4bc6-b600-d767baacba39</stp>
        <tr r="L25" s="2"/>
      </tp>
    </main>
    <main first="rtdsrv_eco_6f3371870cf64a0ba8a29196e9735f72">
      <tp>
        <v>2</v>
        <stp/>
        <stp>84e49cd4-99fa-4b54-8660-eb2e09e2f2da</stp>
        <tr r="Y10" s="1"/>
      </tp>
    </main>
    <main first="rtdsrv_eco_6f3371870cf64a0ba8a29196e9735f72">
      <tp>
        <v>2</v>
        <stp/>
        <stp>8fa2b3ac-b487-4caf-81f6-11a4d297c2b4</stp>
        <tr r="AU10" s="1"/>
      </tp>
    </main>
    <main first="rtdsrv_eco_6f3371870cf64a0ba8a29196e9735f72">
      <tp>
        <v>2</v>
        <stp/>
        <stp>7c6f4dd9-266c-472e-a875-e7c03e693392</stp>
        <tr r="AA10" s="1"/>
      </tp>
    </main>
    <main first="rtdsrv_eco_6f3371870cf64a0ba8a29196e9735f72">
      <tp>
        <v>2</v>
        <stp/>
        <stp>2d60a679-7d42-4cea-8ddb-2d9c376ba57b</stp>
        <tr r="X10" s="1"/>
      </tp>
    </main>
    <main first="rtdsrv_eco_6f3371870cf64a0ba8a29196e9735f72">
      <tp>
        <v>2</v>
        <stp/>
        <stp>61a77e19-9cef-47bc-9c8b-327d0669e4a8</stp>
        <tr r="BJ10" s="1"/>
      </tp>
      <tp>
        <v>2</v>
        <stp/>
        <stp>332f53b1-87d3-4c7d-8b80-edbd2ddf8bc8</stp>
        <tr r="BP10" s="1"/>
      </tp>
    </main>
    <main first="rtdsrv_eco_6f3371870cf64a0ba8a29196e9735f72">
      <tp>
        <v>2</v>
        <stp/>
        <stp>86bdd0f5-f067-4193-86ca-467cc22e220f</stp>
        <tr r="D4" s="2"/>
      </tp>
    </main>
    <main first="rtdsrv_eco_6f3371870cf64a0ba8a29196e9735f72">
      <tp>
        <v>2</v>
        <stp/>
        <stp>fb3d050b-f520-4e74-99b3-b414044f6af2</stp>
        <tr r="K6" s="2"/>
      </tp>
      <tp>
        <v>2</v>
        <stp/>
        <stp>0faf5677-40b6-4472-a53e-e7c6dd83b1ac</stp>
        <tr r="BO10" s="1"/>
      </tp>
    </main>
    <main first="rtdsrv_eco_6f3371870cf64a0ba8a29196e9735f72">
      <tp>
        <v>2</v>
        <stp/>
        <stp>3c82b689-c67c-45d4-a06b-a19b9ffaed90</stp>
        <tr r="D10" s="1"/>
      </tp>
    </main>
    <main first="rtdsrv_eco_6f3371870cf64a0ba8a29196e9735f72">
      <tp>
        <v>2</v>
        <stp/>
        <stp>860545b2-4455-4de0-9fa0-071eb0fc9a99</stp>
        <tr r="BG10" s="1"/>
      </tp>
    </main>
    <main first="rtdsrv_eco_6f3371870cf64a0ba8a29196e9735f72">
      <tp>
        <v>2</v>
        <stp/>
        <stp>032fc5d9-cc75-4b7a-8963-04950cf1dee8</stp>
        <tr r="J10" s="1"/>
      </tp>
    </main>
    <main first="rtdsrv_eco_6f3371870cf64a0ba8a29196e9735f72">
      <tp>
        <v>2</v>
        <stp/>
        <stp>1709d238-6dfd-407e-85ad-3762a6251614</stp>
        <tr r="I10" s="1"/>
      </tp>
      <tp>
        <v>2</v>
        <stp/>
        <stp>03022ad5-1bd6-4110-bb22-da5d78ad18f9</stp>
        <tr r="CD10" s="1"/>
      </tp>
    </main>
    <main first="rtdsrv_eco_6f3371870cf64a0ba8a29196e9735f72">
      <tp>
        <v>2</v>
        <stp/>
        <stp>59c9a75d-c111-4b8e-9e60-888e1ef5bca0</stp>
        <tr r="D12" s="2"/>
      </tp>
    </main>
    <main first="rtdsrv_eco_6f3371870cf64a0ba8a29196e9735f72">
      <tp>
        <v>2</v>
        <stp/>
        <stp>5d80f44b-7417-43db-9eb6-807f75bbcb1c</stp>
        <tr r="K25" s="2"/>
      </tp>
      <tp>
        <v>2</v>
        <stp/>
        <stp>74df6083-5aca-4022-a0c4-2ac872c1d3d0</stp>
        <tr r="K21" s="2"/>
      </tp>
    </main>
    <main first="rtdsrv_eco_6f3371870cf64a0ba8a29196e9735f72">
      <tp>
        <v>2</v>
        <stp/>
        <stp>be7dd86c-e458-4214-ad59-e98d7aeb9a2e</stp>
        <tr r="BU10" s="1"/>
      </tp>
    </main>
    <main first="rtdsrv_eco_6f3371870cf64a0ba8a29196e9735f72">
      <tp>
        <v>2</v>
        <stp/>
        <stp>e7fafe8b-91f2-4284-a247-ad18d64fa98a</stp>
        <tr r="G10" s="1"/>
      </tp>
      <tp>
        <v>2</v>
        <stp/>
        <stp>623f002e-3eb6-4d93-b659-bf1093f60c45</stp>
        <tr r="L10" s="1"/>
      </tp>
      <tp>
        <v>2</v>
        <stp/>
        <stp>c1fb6dbb-75c5-42c2-a772-4cc4c50e10aa</stp>
        <tr r="D7" s="2"/>
      </tp>
    </main>
    <main first="rtdsrv_eco_6f3371870cf64a0ba8a29196e9735f72">
      <tp>
        <v>2</v>
        <stp/>
        <stp>370d7bd9-c1f9-49c8-b580-9dbaea16b216</stp>
        <tr r="AN10" s="1"/>
      </tp>
    </main>
    <main first="rtdsrv_eco_6f3371870cf64a0ba8a29196e9735f72">
      <tp>
        <v>2</v>
        <stp/>
        <stp>ca0f3323-3362-4185-9504-6c7255fd7384</stp>
        <tr r="D20" s="2"/>
      </tp>
    </main>
    <main first="rtdsrv_eco_6f3371870cf64a0ba8a29196e9735f72">
      <tp>
        <v>2</v>
        <stp/>
        <stp>c74b09f3-83c5-4e9b-adf7-6e31eb3e1485</stp>
        <tr r="K9" s="2"/>
      </tp>
      <tp>
        <v>2</v>
        <stp/>
        <stp>63cd2ff8-b4db-476a-9667-75606f4a92e9</stp>
        <tr r="BN10" s="1"/>
      </tp>
    </main>
    <main first="rtdsrv_eco_6f3371870cf64a0ba8a29196e9735f72">
      <tp>
        <v>2</v>
        <stp/>
        <stp>0a7c0c6a-cf5d-4a73-9416-16a8b7e6fc06</stp>
        <tr r="D18" s="2"/>
      </tp>
      <tp>
        <v>2</v>
        <stp/>
        <stp>b2264b08-81f2-4054-9114-f8b1f156ee4d</stp>
        <tr r="D15" s="2"/>
      </tp>
    </main>
    <main first="rtdsrv_eco_6f3371870cf64a0ba8a29196e9735f72">
      <tp>
        <v>2</v>
        <stp/>
        <stp>63e23825-8b67-4bb6-8fca-eb46ec371f58</stp>
        <tr r="BE10" s="1"/>
      </tp>
    </main>
    <main first="rtdsrv_eco_6f3371870cf64a0ba8a29196e9735f72">
      <tp>
        <v>2</v>
        <stp/>
        <stp>88378468-3a52-4411-b85e-68897946e808</stp>
        <tr r="CG10" s="1"/>
      </tp>
    </main>
    <main first="rtdsrv_eco_6f3371870cf64a0ba8a29196e9735f72">
      <tp>
        <v>2</v>
        <stp/>
        <stp>93f6244f-0e4e-4ffe-8402-10e08a44e10b</stp>
        <tr r="K16" s="2"/>
      </tp>
    </main>
    <main first="rtdsrv_eco_6f3371870cf64a0ba8a29196e9735f72">
      <tp>
        <v>2</v>
        <stp/>
        <stp>18c05b9e-6131-489e-863b-34f554f74926</stp>
        <tr r="D13" s="2"/>
      </tp>
    </main>
    <main first="rtdsrv_eco_6f3371870cf64a0ba8a29196e9735f72">
      <tp>
        <v>2</v>
        <stp/>
        <stp>b791753c-04db-41a5-8449-9d3aa7221c35</stp>
        <tr r="D14" s="2"/>
      </tp>
      <tp>
        <v>2</v>
        <stp/>
        <stp>5f21178c-eda6-493c-a1e7-8fce4e9f0267</stp>
        <tr r="BK10" s="1"/>
      </tp>
    </main>
    <main first="rtdsrv_eco_6f3371870cf64a0ba8a29196e9735f72">
      <tp>
        <v>2</v>
        <stp/>
        <stp>33f9ae79-5ed8-4a8a-86e2-4d10b8053804</stp>
        <tr r="M10" s="1"/>
      </tp>
    </main>
    <main first="rtdsrv_eco_6f3371870cf64a0ba8a29196e9735f72">
      <tp>
        <v>2</v>
        <stp/>
        <stp>75284f21-1776-4d3c-9344-ad1579673444</stp>
        <tr r="B9" s="5"/>
      </tp>
    </main>
    <main first="rtdsrv_eco_6f3371870cf64a0ba8a29196e9735f72">
      <tp>
        <v>3</v>
        <stp/>
        <stp>c454997a-c716-422f-9176-3d6dbc19dd6e</stp>
        <tr r="B10" s="1"/>
      </tp>
      <tp>
        <v>2</v>
        <stp/>
        <stp>7179d61b-94f2-4645-8bd7-bd5484184c54</stp>
        <tr r="D16" s="2"/>
      </tp>
    </main>
    <main first="rtdsrv_eco_6f3371870cf64a0ba8a29196e9735f72">
      <tp>
        <v>2</v>
        <stp/>
        <stp>5dc16dec-8edb-4f26-a31a-5eb26115b729</stp>
        <tr r="AT10" s="1"/>
      </tp>
    </main>
    <main first="rtdsrv_eco_6f3371870cf64a0ba8a29196e9735f72">
      <tp>
        <v>2</v>
        <stp/>
        <stp>21be96af-71bb-4bd8-9cd4-0e220119edac</stp>
        <tr r="BB10" s="1"/>
      </tp>
    </main>
    <main first="rtdsrv_eco_6f3371870cf64a0ba8a29196e9735f72">
      <tp>
        <v>2</v>
        <stp/>
        <stp>77f54fe4-8e3f-4b46-9ff8-8235705a7f6b</stp>
        <tr r="BI10" s="1"/>
      </tp>
    </main>
    <main first="rtdsrv_eco_6f3371870cf64a0ba8a29196e9735f72">
      <tp>
        <v>2</v>
        <stp/>
        <stp>6afc5ebf-8b7e-48c2-a9f4-95fd162c66b4</stp>
        <tr r="K8" s="2"/>
      </tp>
      <tp>
        <v>2</v>
        <stp/>
        <stp>a03b5358-963b-4b52-a6be-ef0c40a4fac2</stp>
        <tr r="E27" s="2"/>
      </tp>
    </main>
    <main first="rtdsrv_eco_6f3371870cf64a0ba8a29196e9735f72">
      <tp>
        <v>2</v>
        <stp/>
        <stp>fb0798fa-d2c5-4362-9632-31ec7c24430d</stp>
        <tr r="BZ10" s="1"/>
      </tp>
      <tp>
        <v>2</v>
        <stp/>
        <stp>84502ddb-55f6-46b5-9f73-92db9269b967</stp>
        <tr r="W10" s="1"/>
      </tp>
      <tp>
        <v>2</v>
        <stp/>
        <stp>894ecbc5-a9a6-40eb-abb1-aeeabb9d4c10</stp>
        <tr r="E10" s="1"/>
      </tp>
    </main>
    <main first="rtdsrv_eco_6f3371870cf64a0ba8a29196e9735f72">
      <tp>
        <v>2</v>
        <stp/>
        <stp>25a8387e-d3d6-4a19-9888-7dcb075f5ea0</stp>
        <tr r="K22" s="2"/>
      </tp>
    </main>
    <main first="rtdsrv_eco_6f3371870cf64a0ba8a29196e9735f72">
      <tp>
        <v>2</v>
        <stp/>
        <stp>a9148db2-916f-4ffc-9d04-93b2ac5c59d0</stp>
        <tr r="P10" s="1"/>
      </tp>
      <tp>
        <v>2</v>
        <stp/>
        <stp>8c0fbd06-9a0d-42bc-8941-672a7c4a7c16</stp>
        <tr r="AZ10" s="1"/>
      </tp>
      <tp>
        <v>2</v>
        <stp/>
        <stp>19703d2f-f154-4dc4-b574-d28d442f2a77</stp>
        <tr r="BA10" s="1"/>
      </tp>
    </main>
    <main first="rtdsrv_eco_6f3371870cf64a0ba8a29196e9735f72">
      <tp>
        <v>2</v>
        <stp/>
        <stp>59b960db-d3da-4e30-9652-dc095115fe93</stp>
        <tr r="CI10" s="1"/>
      </tp>
    </main>
    <main first="rtdsrv_eco_6f3371870cf64a0ba8a29196e9735f72">
      <tp>
        <v>2</v>
        <stp/>
        <stp>17c51916-455e-46c4-b945-a6534a827255</stp>
        <tr r="AG10" s="1"/>
      </tp>
    </main>
    <main first="rtdsrv_eco_6f3371870cf64a0ba8a29196e9735f72">
      <tp>
        <v>2</v>
        <stp/>
        <stp>e425797a-5e11-4e48-9d91-61191b6a4570</stp>
        <tr r="U10" s="1"/>
      </tp>
    </main>
    <main first="rtdsrv_eco_6f3371870cf64a0ba8a29196e9735f72">
      <tp>
        <v>2</v>
        <stp/>
        <stp>6d6dbc60-b53c-4c5d-ac45-61b3ecaf38ff</stp>
        <tr r="C10" s="1"/>
      </tp>
      <tp>
        <v>2</v>
        <stp/>
        <stp>b9335a60-2cb7-426b-b7eb-52411aae9a5f</stp>
        <tr r="K7" s="2"/>
      </tp>
    </main>
    <main first="rtdsrv_eco_6f3371870cf64a0ba8a29196e9735f72">
      <tp>
        <v>2</v>
        <stp/>
        <stp>fdb4b2d4-f361-4c32-97cb-2b398b3fc9d7</stp>
        <tr r="AK10" s="1"/>
      </tp>
    </main>
    <main first="rtdsrv_eco_6f3371870cf64a0ba8a29196e9735f72">
      <tp>
        <v>2</v>
        <stp/>
        <stp>26545167-069e-498e-910c-a91fa1cff2e1</stp>
        <tr r="H1" s="2"/>
      </tp>
    </main>
    <main first="rtdsrv_eco_6f3371870cf64a0ba8a29196e9735f72">
      <tp>
        <v>2</v>
        <stp/>
        <stp>26fab0ed-fe0a-4a9c-87e8-57a1f922c137</stp>
        <tr r="K20" s="2"/>
      </tp>
    </main>
    <main first="rtdsrv_eco_6f3371870cf64a0ba8a29196e9735f72">
      <tp>
        <v>2</v>
        <stp/>
        <stp>d944eed7-7924-4634-ac18-11c55b66fd13</stp>
        <tr r="BY10" s="1"/>
      </tp>
    </main>
    <main first="rtdsrv_eco_6f3371870cf64a0ba8a29196e9735f72">
      <tp>
        <v>2</v>
        <stp/>
        <stp>b46b13f3-d5c1-4e9e-9735-3127dd6379c0</stp>
        <tr r="BS10" s="1"/>
      </tp>
      <tp>
        <v>2</v>
        <stp/>
        <stp>d184c5f4-9e89-49f5-a05b-5d2c449014e9</stp>
        <tr r="CA10" s="1"/>
      </tp>
    </main>
    <main first="rtdsrv_eco_6f3371870cf64a0ba8a29196e9735f72">
      <tp>
        <v>2</v>
        <stp/>
        <stp>127b37d0-8520-4ea6-b674-60aa2b3097ac</stp>
        <tr r="E26" s="2"/>
      </tp>
    </main>
    <main first="rtdsrv_eco_6f3371870cf64a0ba8a29196e9735f72">
      <tp>
        <v>2</v>
        <stp/>
        <stp>aadad885-66ea-45a8-a885-c1bdf0185445</stp>
        <tr r="BD10" s="1"/>
      </tp>
    </main>
    <main first="rtdsrv_eco_6f3371870cf64a0ba8a29196e9735f72">
      <tp>
        <v>2</v>
        <stp/>
        <stp>890f46ca-0ce5-4501-8e7a-21da633e4a0b</stp>
        <tr r="K19" s="2"/>
      </tp>
    </main>
    <main first="rtdsrv_eco_6f3371870cf64a0ba8a29196e9735f72">
      <tp>
        <v>2</v>
        <stp/>
        <stp>6aec29b0-d539-4b2e-b1ba-a26c938f2a3d</stp>
        <tr r="BC10" s="1"/>
      </tp>
    </main>
    <main first="rtdsrv_eco_6f3371870cf64a0ba8a29196e9735f72">
      <tp>
        <v>2</v>
        <stp/>
        <stp>071ad511-13d3-4649-8eac-4c5b6a24d27c</stp>
        <tr r="AD10" s="1"/>
      </tp>
    </main>
    <main first="rtdsrv_eco_6f3371870cf64a0ba8a29196e9735f72">
      <tp>
        <v>2</v>
        <stp/>
        <stp>897a81d3-7f56-4dc4-980a-77b3183aaa53</stp>
        <tr r="H10" s="1"/>
      </tp>
    </main>
    <main first="rtdsrv_eco_6f3371870cf64a0ba8a29196e9735f72">
      <tp>
        <v>2</v>
        <stp/>
        <stp>b6564566-0302-48e4-8cad-5f6b763c0cc8</stp>
        <tr r="D21" s="2"/>
      </tp>
      <tp>
        <v>2</v>
        <stp/>
        <stp>f3a6183b-a366-46da-b73e-7f1949421235</stp>
        <tr r="AC10" s="1"/>
      </tp>
    </main>
    <main first="rtdsrv_eco_6f3371870cf64a0ba8a29196e9735f72">
      <tp>
        <v>2</v>
        <stp/>
        <stp>cdbf990d-8690-412a-bc0a-afc33e477bff</stp>
        <tr r="K12" s="2"/>
      </tp>
    </main>
    <main first="rtdsrv_eco_6f3371870cf64a0ba8a29196e9735f72">
      <tp>
        <v>2</v>
        <stp/>
        <stp>c8cebcac-5cd3-49c0-9b9e-239a509bc12e</stp>
        <tr r="E29" s="2"/>
      </tp>
    </main>
    <main first="rtdsrv_eco_6f3371870cf64a0ba8a29196e9735f72">
      <tp>
        <v>2</v>
        <stp/>
        <stp>f24a8d99-779d-49c4-9641-2fdf6e5c5710</stp>
        <tr r="H25" s="2"/>
      </tp>
      <tp>
        <v>2</v>
        <stp/>
        <stp>ba648572-d16c-4c2d-91af-7515f7513b82</stp>
        <tr r="E36" s="2"/>
      </tp>
    </main>
    <main first="rtdsrv_eco_6f3371870cf64a0ba8a29196e9735f72">
      <tp>
        <v>2</v>
        <stp/>
        <stp>4284f701-bbff-4d9f-8285-7c3db84d8792</stp>
        <tr r="CH10" s="1"/>
      </tp>
    </main>
    <main first="rtdsrv_eco_6f3371870cf64a0ba8a29196e9735f72">
      <tp>
        <v>2</v>
        <stp/>
        <stp>7a03b634-ee06-4217-84e2-13c2ddfc6b4d</stp>
        <tr r="V10" s="1"/>
      </tp>
      <tp>
        <v>2</v>
        <stp/>
        <stp>1c2b61db-a772-4ffa-993f-06ea43c801e7</stp>
        <tr r="T10" s="1"/>
      </tp>
    </main>
    <main first="rtdsrv_eco_6f3371870cf64a0ba8a29196e9735f72">
      <tp>
        <v>2</v>
        <stp/>
        <stp>d8ce64b4-6554-4687-a976-07594902faa6</stp>
        <tr r="BW10" s="1"/>
      </tp>
      <tp>
        <v>2</v>
        <stp/>
        <stp>dd62e27f-79ea-4e5f-8925-432c7cdd23b6</stp>
        <tr r="AL10" s="1"/>
      </tp>
    </main>
    <main first="rtdsrv_eco_6f3371870cf64a0ba8a29196e9735f72">
      <tp>
        <v>2</v>
        <stp/>
        <stp>0aceadfc-3831-4d01-b126-8cf6f83a48b7</stp>
        <tr r="AX10" s="1"/>
      </tp>
    </main>
    <main first="rtdsrv_eco_6f3371870cf64a0ba8a29196e9735f72">
      <tp>
        <v>2</v>
        <stp/>
        <stp>39b58d7b-450d-4f1e-94a1-7b35187caad8</stp>
        <tr r="AE10" s="1"/>
      </tp>
      <tp>
        <v>2</v>
        <stp/>
        <stp>4e9c662f-6981-48a8-be97-c4f48ec64c07</stp>
        <tr r="BX10" s="1"/>
      </tp>
      <tp>
        <v>2</v>
        <stp/>
        <stp>e2319d6a-116e-438c-92d4-59f8881f77ad</stp>
        <tr r="E37" s="2"/>
      </tp>
    </main>
    <main first="rtdsrv_eco_6f3371870cf64a0ba8a29196e9735f72">
      <tp>
        <v>2</v>
        <stp/>
        <stp>7b53fee5-bad3-46b6-8d4e-4714e24bf463</stp>
        <tr r="D5" s="2"/>
      </tp>
      <tp>
        <v>2</v>
        <stp/>
        <stp>1dca7ada-5d04-4286-a04e-cfabf4c8d6bf</stp>
        <tr r="BQ10" s="1"/>
      </tp>
      <tp>
        <v>2</v>
        <stp/>
        <stp>c0f4d31e-f16d-43ce-872c-ff95b403a714</stp>
        <tr r="AS10" s="1"/>
      </tp>
    </main>
    <main first="rtdsrv_eco_6f3371870cf64a0ba8a29196e9735f72">
      <tp>
        <v>2</v>
        <stp/>
        <stp>3f8d1e40-d583-4618-a01e-1962e0ad405b</stp>
        <tr r="D19" s="2"/>
      </tp>
    </main>
    <main first="rtdsrv_eco_6f3371870cf64a0ba8a29196e9735f72">
      <tp>
        <v>2</v>
        <stp/>
        <stp>efd241bd-df7f-419d-94c1-3b14f63e77e0</stp>
        <tr r="AI10" s="1"/>
      </tp>
      <tp>
        <v>3</v>
        <stp/>
        <stp>591b99b5-d58d-4812-9534-aba79ff9e6ce</stp>
        <tr r="C2" s="1"/>
      </tp>
    </main>
    <main first="rtdsrv_eco_6f3371870cf64a0ba8a29196e9735f72">
      <tp>
        <v>2</v>
        <stp/>
        <stp>07adeff7-535a-46b2-b7c6-072f1e20d0b9</stp>
        <tr r="K18" s="2"/>
      </tp>
      <tp>
        <v>2</v>
        <stp/>
        <stp>5015b7ba-affd-4834-b313-2c2735d07b56</stp>
        <tr r="CB10" s="1"/>
      </tp>
    </main>
    <main first="rtdsrv_eco_6f3371870cf64a0ba8a29196e9735f72">
      <tp>
        <v>2</v>
        <stp/>
        <stp>a43d565e-a53d-4872-9619-5cb476d68e06</stp>
        <tr r="E41" s="2"/>
      </tp>
    </main>
    <main first="rtdsrv_eco_6f3371870cf64a0ba8a29196e9735f72">
      <tp>
        <v>2</v>
        <stp/>
        <stp>bb5a5566-e430-433f-bc26-47c65184709b</stp>
        <tr r="AR10" s="1"/>
      </tp>
    </main>
    <main first="rtdsrv_eco_6f3371870cf64a0ba8a29196e9735f72">
      <tp>
        <v>2</v>
        <stp/>
        <stp>2db42450-0926-40d2-bd11-ae0c15bf9b61</stp>
        <tr r="BL10" s="1"/>
      </tp>
    </main>
    <main first="rtdsrv_eco_6f3371870cf64a0ba8a29196e9735f72">
      <tp>
        <v>2</v>
        <stp/>
        <stp>4232599e-07dc-4144-8112-6f4de94580e9</stp>
        <tr r="AF10" s="1"/>
      </tp>
    </main>
    <main first="rtdsrv_eco_6f3371870cf64a0ba8a29196e9735f72">
      <tp>
        <v>2</v>
        <stp/>
        <stp>a49aa50d-025d-4756-8930-df354a246bdb</stp>
        <tr r="AB10" s="1"/>
      </tp>
      <tp>
        <v>2</v>
        <stp/>
        <stp>8a3d4ccf-57e0-44f3-b834-3baa61ea655e</stp>
        <tr r="E28" s="2"/>
      </tp>
      <tp>
        <v>2</v>
        <stp/>
        <stp>41b59c29-5a61-4ea9-aed5-11c13cdac9af</stp>
        <tr r="AP10" s="1"/>
      </tp>
    </main>
    <main first="rtdsrv_eco_6f3371870cf64a0ba8a29196e9735f72">
      <tp>
        <v>2</v>
        <stp/>
        <stp>d6fe7b15-5cb5-450b-89e0-4fae249fce84</stp>
        <tr r="CE10" s="1"/>
      </tp>
    </main>
    <main first="rtdsrv_eco_6f3371870cf64a0ba8a29196e9735f72">
      <tp>
        <v>2</v>
        <stp/>
        <stp>3b76ee2f-200d-405e-86fb-9b93d564b3a4</stp>
        <tr r="AJ10" s="1"/>
      </tp>
    </main>
    <main first="rtdsrv_eco_6f3371870cf64a0ba8a29196e9735f72">
      <tp>
        <v>2</v>
        <stp/>
        <stp>5c399f4f-ba5a-4977-8da9-47d0f72b2c36</stp>
        <tr r="E44" s="2"/>
      </tp>
      <tp>
        <v>2</v>
        <stp/>
        <stp>af606c38-395a-484e-b522-1078c6124570</stp>
        <tr r="F10" s="1"/>
      </tp>
    </main>
    <main first="rtdsrv_eco_6f3371870cf64a0ba8a29196e9735f72">
      <tp>
        <v>2</v>
        <stp/>
        <stp>c89a7906-1073-484c-b9f4-20522615cadb</stp>
        <tr r="AW10" s="1"/>
      </tp>
    </main>
    <main first="rtdsrv_eco_6f3371870cf64a0ba8a29196e9735f72">
      <tp>
        <v>2</v>
        <stp/>
        <stp>6066c2b5-8af6-44b9-b6bc-01e0616373d3</stp>
        <tr r="K4" s="2"/>
      </tp>
    </main>
    <main first="rtdsrv_eco_6f3371870cf64a0ba8a29196e9735f72">
      <tp>
        <v>2</v>
        <stp/>
        <stp>14b3646a-378d-4a33-8558-41b4b1fc4fe0</stp>
        <tr r="E35" s="2"/>
      </tp>
    </main>
    <main first="rtdsrv_eco_6f3371870cf64a0ba8a29196e9735f72">
      <tp>
        <v>2</v>
        <stp/>
        <stp>1e1ec490-fd42-4538-a483-8a0852de3747</stp>
        <tr r="K17" s="2"/>
      </tp>
      <tp>
        <v>2</v>
        <stp/>
        <stp>88a59052-29dd-4d98-8a59-c2d7a3820e6f</stp>
        <tr r="BT10" s="1"/>
      </tp>
    </main>
    <main first="rtdsrv_eco_6f3371870cf64a0ba8a29196e9735f72">
      <tp>
        <v>2</v>
        <stp/>
        <stp>6b64b10a-f7ef-4e6e-bbec-671070411ad6</stp>
        <tr r="BR10" s="1"/>
      </tp>
      <tp>
        <v>2</v>
        <stp/>
        <stp>4372d637-5bfd-4e62-affa-cc20b5091a72</stp>
        <tr r="BF10" s="1"/>
      </tp>
    </main>
    <main first="rtdsrv_eco_6f3371870cf64a0ba8a29196e9735f72">
      <tp>
        <v>2</v>
        <stp/>
        <stp>fc60d42a-4d78-42c5-80a5-49faf83b7eaa</stp>
        <tr r="AY10" s="1"/>
      </tp>
    </main>
    <main first="rtdsrv_eco_6f3371870cf64a0ba8a29196e9735f72">
      <tp>
        <v>2</v>
        <stp/>
        <stp>0e3c33a5-27f0-4e25-9da0-0d0081755661</stp>
        <tr r="S10" s="1"/>
      </tp>
      <tp>
        <v>2</v>
        <stp/>
        <stp>c36f7178-7597-470d-bea2-12f8eee764ac</stp>
        <tr r="CC10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volatileDependencies" Target="volatileDependencies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'Base Gráfico'!$C$8</c:f>
              <c:strCache>
                <c:ptCount val="1"/>
                <c:pt idx="0">
                  <c:v>FII Alianza</c:v>
                </c:pt>
              </c:strCache>
            </c:strRef>
          </c:tx>
          <c:spPr>
            <a:ln w="19050" cap="rnd">
              <a:solidFill>
                <a:srgbClr val="006B66"/>
              </a:solidFill>
              <a:round/>
            </a:ln>
            <a:effectLst/>
          </c:spPr>
          <c:marker>
            <c:symbol val="none"/>
          </c:marker>
          <c:cat>
            <c:numRef>
              <c:f>'Base Gráfico'!$B$10:$B$5000</c:f>
              <c:numCache>
                <c:formatCode>m/d/yyyy</c:formatCode>
                <c:ptCount val="4991"/>
                <c:pt idx="0">
                  <c:v>45170</c:v>
                </c:pt>
                <c:pt idx="1">
                  <c:v>45173</c:v>
                </c:pt>
                <c:pt idx="2">
                  <c:v>45174</c:v>
                </c:pt>
                <c:pt idx="3">
                  <c:v>45175</c:v>
                </c:pt>
                <c:pt idx="4">
                  <c:v>45176</c:v>
                </c:pt>
                <c:pt idx="5">
                  <c:v>45177</c:v>
                </c:pt>
                <c:pt idx="6">
                  <c:v>45180</c:v>
                </c:pt>
                <c:pt idx="7">
                  <c:v>45181</c:v>
                </c:pt>
                <c:pt idx="8">
                  <c:v>45182</c:v>
                </c:pt>
                <c:pt idx="9">
                  <c:v>45183</c:v>
                </c:pt>
                <c:pt idx="10">
                  <c:v>45184</c:v>
                </c:pt>
                <c:pt idx="11">
                  <c:v>45187</c:v>
                </c:pt>
                <c:pt idx="12">
                  <c:v>45188</c:v>
                </c:pt>
                <c:pt idx="13">
                  <c:v>45189</c:v>
                </c:pt>
                <c:pt idx="14">
                  <c:v>45190</c:v>
                </c:pt>
                <c:pt idx="15">
                  <c:v>45191</c:v>
                </c:pt>
                <c:pt idx="16">
                  <c:v>45194</c:v>
                </c:pt>
                <c:pt idx="17">
                  <c:v>45195</c:v>
                </c:pt>
                <c:pt idx="18">
                  <c:v>45196</c:v>
                </c:pt>
                <c:pt idx="19">
                  <c:v>45197</c:v>
                </c:pt>
                <c:pt idx="20">
                  <c:v>45198</c:v>
                </c:pt>
                <c:pt idx="21">
                  <c:v>45201</c:v>
                </c:pt>
                <c:pt idx="22">
                  <c:v>45202</c:v>
                </c:pt>
                <c:pt idx="23">
                  <c:v>45203</c:v>
                </c:pt>
                <c:pt idx="24">
                  <c:v>45204</c:v>
                </c:pt>
                <c:pt idx="25">
                  <c:v>45205</c:v>
                </c:pt>
                <c:pt idx="26">
                  <c:v>45208</c:v>
                </c:pt>
                <c:pt idx="27">
                  <c:v>45209</c:v>
                </c:pt>
                <c:pt idx="28">
                  <c:v>45210</c:v>
                </c:pt>
                <c:pt idx="29">
                  <c:v>45211</c:v>
                </c:pt>
                <c:pt idx="30">
                  <c:v>45212</c:v>
                </c:pt>
                <c:pt idx="31">
                  <c:v>45215</c:v>
                </c:pt>
                <c:pt idx="32">
                  <c:v>45216</c:v>
                </c:pt>
                <c:pt idx="33">
                  <c:v>45217</c:v>
                </c:pt>
                <c:pt idx="34">
                  <c:v>45218</c:v>
                </c:pt>
                <c:pt idx="35">
                  <c:v>45219</c:v>
                </c:pt>
                <c:pt idx="36">
                  <c:v>45222</c:v>
                </c:pt>
                <c:pt idx="37">
                  <c:v>45223</c:v>
                </c:pt>
                <c:pt idx="38">
                  <c:v>45224</c:v>
                </c:pt>
                <c:pt idx="39">
                  <c:v>45225</c:v>
                </c:pt>
                <c:pt idx="40">
                  <c:v>45226</c:v>
                </c:pt>
                <c:pt idx="41">
                  <c:v>45229</c:v>
                </c:pt>
                <c:pt idx="42">
                  <c:v>45230</c:v>
                </c:pt>
                <c:pt idx="43">
                  <c:v>45231</c:v>
                </c:pt>
                <c:pt idx="44">
                  <c:v>45232</c:v>
                </c:pt>
                <c:pt idx="45">
                  <c:v>45233</c:v>
                </c:pt>
                <c:pt idx="46">
                  <c:v>45236</c:v>
                </c:pt>
                <c:pt idx="47">
                  <c:v>45237</c:v>
                </c:pt>
                <c:pt idx="48">
                  <c:v>45238</c:v>
                </c:pt>
                <c:pt idx="49">
                  <c:v>45239</c:v>
                </c:pt>
                <c:pt idx="50">
                  <c:v>45240</c:v>
                </c:pt>
                <c:pt idx="51">
                  <c:v>45243</c:v>
                </c:pt>
                <c:pt idx="52">
                  <c:v>45244</c:v>
                </c:pt>
                <c:pt idx="53">
                  <c:v>45245</c:v>
                </c:pt>
                <c:pt idx="54">
                  <c:v>45246</c:v>
                </c:pt>
                <c:pt idx="55">
                  <c:v>45247</c:v>
                </c:pt>
                <c:pt idx="56">
                  <c:v>45250</c:v>
                </c:pt>
                <c:pt idx="57">
                  <c:v>45251</c:v>
                </c:pt>
                <c:pt idx="58">
                  <c:v>45252</c:v>
                </c:pt>
                <c:pt idx="59">
                  <c:v>45253</c:v>
                </c:pt>
                <c:pt idx="60">
                  <c:v>45254</c:v>
                </c:pt>
                <c:pt idx="61">
                  <c:v>45257</c:v>
                </c:pt>
                <c:pt idx="62">
                  <c:v>45258</c:v>
                </c:pt>
                <c:pt idx="63">
                  <c:v>45259</c:v>
                </c:pt>
                <c:pt idx="64">
                  <c:v>45260</c:v>
                </c:pt>
                <c:pt idx="65">
                  <c:v>45261</c:v>
                </c:pt>
                <c:pt idx="66">
                  <c:v>45264</c:v>
                </c:pt>
                <c:pt idx="67">
                  <c:v>45265</c:v>
                </c:pt>
                <c:pt idx="68">
                  <c:v>45266</c:v>
                </c:pt>
                <c:pt idx="69">
                  <c:v>45267</c:v>
                </c:pt>
                <c:pt idx="70">
                  <c:v>45268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45278</c:v>
                </c:pt>
                <c:pt idx="77">
                  <c:v>45279</c:v>
                </c:pt>
                <c:pt idx="78">
                  <c:v>45280</c:v>
                </c:pt>
                <c:pt idx="79">
                  <c:v>45281</c:v>
                </c:pt>
                <c:pt idx="80">
                  <c:v>45282</c:v>
                </c:pt>
                <c:pt idx="81">
                  <c:v>45285</c:v>
                </c:pt>
                <c:pt idx="82">
                  <c:v>45286</c:v>
                </c:pt>
                <c:pt idx="83">
                  <c:v>45287</c:v>
                </c:pt>
                <c:pt idx="84">
                  <c:v>45288</c:v>
                </c:pt>
                <c:pt idx="85">
                  <c:v>45289</c:v>
                </c:pt>
                <c:pt idx="86">
                  <c:v>45292</c:v>
                </c:pt>
                <c:pt idx="87">
                  <c:v>45293</c:v>
                </c:pt>
                <c:pt idx="88">
                  <c:v>45294</c:v>
                </c:pt>
                <c:pt idx="89">
                  <c:v>45295</c:v>
                </c:pt>
                <c:pt idx="90">
                  <c:v>45296</c:v>
                </c:pt>
                <c:pt idx="91">
                  <c:v>45299</c:v>
                </c:pt>
                <c:pt idx="92">
                  <c:v>45300</c:v>
                </c:pt>
                <c:pt idx="93">
                  <c:v>45301</c:v>
                </c:pt>
                <c:pt idx="94">
                  <c:v>45302</c:v>
                </c:pt>
                <c:pt idx="95">
                  <c:v>45303</c:v>
                </c:pt>
                <c:pt idx="96">
                  <c:v>45306</c:v>
                </c:pt>
                <c:pt idx="97">
                  <c:v>45307</c:v>
                </c:pt>
                <c:pt idx="98">
                  <c:v>45308</c:v>
                </c:pt>
                <c:pt idx="99">
                  <c:v>45309</c:v>
                </c:pt>
                <c:pt idx="100">
                  <c:v>45310</c:v>
                </c:pt>
                <c:pt idx="101">
                  <c:v>45313</c:v>
                </c:pt>
                <c:pt idx="102">
                  <c:v>45314</c:v>
                </c:pt>
                <c:pt idx="103">
                  <c:v>45315</c:v>
                </c:pt>
                <c:pt idx="104">
                  <c:v>45316</c:v>
                </c:pt>
                <c:pt idx="105">
                  <c:v>45317</c:v>
                </c:pt>
                <c:pt idx="106">
                  <c:v>45320</c:v>
                </c:pt>
                <c:pt idx="107">
                  <c:v>45321</c:v>
                </c:pt>
                <c:pt idx="108">
                  <c:v>45322</c:v>
                </c:pt>
                <c:pt idx="109">
                  <c:v>45323</c:v>
                </c:pt>
                <c:pt idx="110">
                  <c:v>45324</c:v>
                </c:pt>
                <c:pt idx="111">
                  <c:v>45327</c:v>
                </c:pt>
                <c:pt idx="112">
                  <c:v>45328</c:v>
                </c:pt>
                <c:pt idx="113">
                  <c:v>45329</c:v>
                </c:pt>
                <c:pt idx="114">
                  <c:v>45330</c:v>
                </c:pt>
                <c:pt idx="115">
                  <c:v>45331</c:v>
                </c:pt>
                <c:pt idx="116">
                  <c:v>45334</c:v>
                </c:pt>
                <c:pt idx="117">
                  <c:v>45335</c:v>
                </c:pt>
                <c:pt idx="118">
                  <c:v>45336</c:v>
                </c:pt>
                <c:pt idx="119">
                  <c:v>45337</c:v>
                </c:pt>
                <c:pt idx="120">
                  <c:v>45338</c:v>
                </c:pt>
                <c:pt idx="121">
                  <c:v>45341</c:v>
                </c:pt>
                <c:pt idx="122">
                  <c:v>45342</c:v>
                </c:pt>
                <c:pt idx="123">
                  <c:v>45343</c:v>
                </c:pt>
                <c:pt idx="124">
                  <c:v>45344</c:v>
                </c:pt>
                <c:pt idx="125">
                  <c:v>45345</c:v>
                </c:pt>
                <c:pt idx="126">
                  <c:v>45348</c:v>
                </c:pt>
                <c:pt idx="127">
                  <c:v>45349</c:v>
                </c:pt>
                <c:pt idx="128">
                  <c:v>45350</c:v>
                </c:pt>
                <c:pt idx="129">
                  <c:v>45351</c:v>
                </c:pt>
                <c:pt idx="130">
                  <c:v>45352</c:v>
                </c:pt>
                <c:pt idx="131">
                  <c:v>45355</c:v>
                </c:pt>
                <c:pt idx="132">
                  <c:v>45356</c:v>
                </c:pt>
                <c:pt idx="133">
                  <c:v>45357</c:v>
                </c:pt>
                <c:pt idx="134">
                  <c:v>45358</c:v>
                </c:pt>
                <c:pt idx="135">
                  <c:v>45359</c:v>
                </c:pt>
                <c:pt idx="136">
                  <c:v>45362</c:v>
                </c:pt>
                <c:pt idx="137">
                  <c:v>45363</c:v>
                </c:pt>
                <c:pt idx="138">
                  <c:v>45364</c:v>
                </c:pt>
                <c:pt idx="139">
                  <c:v>45365</c:v>
                </c:pt>
                <c:pt idx="140">
                  <c:v>45366</c:v>
                </c:pt>
                <c:pt idx="141">
                  <c:v>45369</c:v>
                </c:pt>
                <c:pt idx="142">
                  <c:v>45370</c:v>
                </c:pt>
                <c:pt idx="143">
                  <c:v>45371</c:v>
                </c:pt>
                <c:pt idx="144">
                  <c:v>45372</c:v>
                </c:pt>
                <c:pt idx="145">
                  <c:v>45373</c:v>
                </c:pt>
                <c:pt idx="146">
                  <c:v>45376</c:v>
                </c:pt>
                <c:pt idx="147">
                  <c:v>45377</c:v>
                </c:pt>
                <c:pt idx="148">
                  <c:v>45378</c:v>
                </c:pt>
                <c:pt idx="149">
                  <c:v>45379</c:v>
                </c:pt>
                <c:pt idx="150">
                  <c:v>45380</c:v>
                </c:pt>
                <c:pt idx="151">
                  <c:v>45383</c:v>
                </c:pt>
                <c:pt idx="152">
                  <c:v>45384</c:v>
                </c:pt>
                <c:pt idx="153">
                  <c:v>45385</c:v>
                </c:pt>
                <c:pt idx="154">
                  <c:v>45386</c:v>
                </c:pt>
                <c:pt idx="155">
                  <c:v>45387</c:v>
                </c:pt>
                <c:pt idx="156">
                  <c:v>45390</c:v>
                </c:pt>
                <c:pt idx="157">
                  <c:v>45391</c:v>
                </c:pt>
                <c:pt idx="158">
                  <c:v>45392</c:v>
                </c:pt>
                <c:pt idx="159">
                  <c:v>45393</c:v>
                </c:pt>
                <c:pt idx="160">
                  <c:v>45394</c:v>
                </c:pt>
                <c:pt idx="161">
                  <c:v>45397</c:v>
                </c:pt>
                <c:pt idx="162">
                  <c:v>45398</c:v>
                </c:pt>
                <c:pt idx="163">
                  <c:v>45399</c:v>
                </c:pt>
                <c:pt idx="164">
                  <c:v>45400</c:v>
                </c:pt>
                <c:pt idx="165">
                  <c:v>45401</c:v>
                </c:pt>
                <c:pt idx="166">
                  <c:v>45404</c:v>
                </c:pt>
                <c:pt idx="167">
                  <c:v>45405</c:v>
                </c:pt>
                <c:pt idx="168">
                  <c:v>45406</c:v>
                </c:pt>
                <c:pt idx="169">
                  <c:v>45407</c:v>
                </c:pt>
                <c:pt idx="170">
                  <c:v>45408</c:v>
                </c:pt>
                <c:pt idx="171">
                  <c:v>45411</c:v>
                </c:pt>
                <c:pt idx="172">
                  <c:v>45412</c:v>
                </c:pt>
                <c:pt idx="173">
                  <c:v>45413</c:v>
                </c:pt>
                <c:pt idx="174">
                  <c:v>45414</c:v>
                </c:pt>
                <c:pt idx="175">
                  <c:v>45415</c:v>
                </c:pt>
                <c:pt idx="176">
                  <c:v>45418</c:v>
                </c:pt>
                <c:pt idx="177">
                  <c:v>45419</c:v>
                </c:pt>
                <c:pt idx="178">
                  <c:v>45420</c:v>
                </c:pt>
                <c:pt idx="179">
                  <c:v>45421</c:v>
                </c:pt>
                <c:pt idx="180">
                  <c:v>45422</c:v>
                </c:pt>
                <c:pt idx="181">
                  <c:v>45425</c:v>
                </c:pt>
                <c:pt idx="182">
                  <c:v>45426</c:v>
                </c:pt>
                <c:pt idx="183">
                  <c:v>45427</c:v>
                </c:pt>
                <c:pt idx="184">
                  <c:v>45428</c:v>
                </c:pt>
                <c:pt idx="185">
                  <c:v>45429</c:v>
                </c:pt>
                <c:pt idx="186">
                  <c:v>45432</c:v>
                </c:pt>
                <c:pt idx="187">
                  <c:v>45433</c:v>
                </c:pt>
                <c:pt idx="188">
                  <c:v>45434</c:v>
                </c:pt>
                <c:pt idx="189">
                  <c:v>45435</c:v>
                </c:pt>
                <c:pt idx="190">
                  <c:v>45436</c:v>
                </c:pt>
                <c:pt idx="191">
                  <c:v>45439</c:v>
                </c:pt>
                <c:pt idx="192">
                  <c:v>45440</c:v>
                </c:pt>
                <c:pt idx="193">
                  <c:v>45441</c:v>
                </c:pt>
                <c:pt idx="194">
                  <c:v>45442</c:v>
                </c:pt>
                <c:pt idx="195">
                  <c:v>45443</c:v>
                </c:pt>
                <c:pt idx="196">
                  <c:v>45446</c:v>
                </c:pt>
                <c:pt idx="197">
                  <c:v>45447</c:v>
                </c:pt>
                <c:pt idx="198">
                  <c:v>45448</c:v>
                </c:pt>
                <c:pt idx="199">
                  <c:v>45449</c:v>
                </c:pt>
                <c:pt idx="200">
                  <c:v>45450</c:v>
                </c:pt>
                <c:pt idx="201">
                  <c:v>45453</c:v>
                </c:pt>
                <c:pt idx="202">
                  <c:v>45454</c:v>
                </c:pt>
                <c:pt idx="203">
                  <c:v>45455</c:v>
                </c:pt>
                <c:pt idx="204">
                  <c:v>45456</c:v>
                </c:pt>
                <c:pt idx="205">
                  <c:v>45457</c:v>
                </c:pt>
                <c:pt idx="206">
                  <c:v>45460</c:v>
                </c:pt>
                <c:pt idx="207">
                  <c:v>45461</c:v>
                </c:pt>
                <c:pt idx="208">
                  <c:v>45462</c:v>
                </c:pt>
                <c:pt idx="209">
                  <c:v>45463</c:v>
                </c:pt>
                <c:pt idx="210">
                  <c:v>45464</c:v>
                </c:pt>
                <c:pt idx="211">
                  <c:v>45467</c:v>
                </c:pt>
                <c:pt idx="212">
                  <c:v>45468</c:v>
                </c:pt>
                <c:pt idx="213">
                  <c:v>45469</c:v>
                </c:pt>
                <c:pt idx="214">
                  <c:v>45470</c:v>
                </c:pt>
                <c:pt idx="215">
                  <c:v>45471</c:v>
                </c:pt>
                <c:pt idx="216">
                  <c:v>45474</c:v>
                </c:pt>
                <c:pt idx="217">
                  <c:v>45475</c:v>
                </c:pt>
                <c:pt idx="218">
                  <c:v>45476</c:v>
                </c:pt>
                <c:pt idx="219">
                  <c:v>45477</c:v>
                </c:pt>
                <c:pt idx="220">
                  <c:v>45478</c:v>
                </c:pt>
                <c:pt idx="221">
                  <c:v>45481</c:v>
                </c:pt>
                <c:pt idx="222">
                  <c:v>45482</c:v>
                </c:pt>
                <c:pt idx="223">
                  <c:v>45483</c:v>
                </c:pt>
                <c:pt idx="224">
                  <c:v>45484</c:v>
                </c:pt>
                <c:pt idx="225">
                  <c:v>45485</c:v>
                </c:pt>
                <c:pt idx="226">
                  <c:v>45488</c:v>
                </c:pt>
                <c:pt idx="227">
                  <c:v>45489</c:v>
                </c:pt>
                <c:pt idx="228">
                  <c:v>45490</c:v>
                </c:pt>
                <c:pt idx="229">
                  <c:v>45491</c:v>
                </c:pt>
                <c:pt idx="230">
                  <c:v>45492</c:v>
                </c:pt>
                <c:pt idx="231">
                  <c:v>45495</c:v>
                </c:pt>
                <c:pt idx="232">
                  <c:v>45496</c:v>
                </c:pt>
                <c:pt idx="233">
                  <c:v>45497</c:v>
                </c:pt>
                <c:pt idx="234">
                  <c:v>45498</c:v>
                </c:pt>
                <c:pt idx="235">
                  <c:v>45499</c:v>
                </c:pt>
                <c:pt idx="236">
                  <c:v>45502</c:v>
                </c:pt>
                <c:pt idx="237">
                  <c:v>45503</c:v>
                </c:pt>
                <c:pt idx="238">
                  <c:v>45504</c:v>
                </c:pt>
                <c:pt idx="239">
                  <c:v>45505</c:v>
                </c:pt>
                <c:pt idx="240">
                  <c:v>45506</c:v>
                </c:pt>
                <c:pt idx="241">
                  <c:v>45509</c:v>
                </c:pt>
                <c:pt idx="242">
                  <c:v>45510</c:v>
                </c:pt>
                <c:pt idx="243">
                  <c:v>45511</c:v>
                </c:pt>
                <c:pt idx="244">
                  <c:v>45512</c:v>
                </c:pt>
                <c:pt idx="245">
                  <c:v>45513</c:v>
                </c:pt>
                <c:pt idx="246">
                  <c:v>45516</c:v>
                </c:pt>
                <c:pt idx="247">
                  <c:v>45517</c:v>
                </c:pt>
                <c:pt idx="248">
                  <c:v>45518</c:v>
                </c:pt>
                <c:pt idx="249">
                  <c:v>45519</c:v>
                </c:pt>
                <c:pt idx="250">
                  <c:v>45520</c:v>
                </c:pt>
                <c:pt idx="251">
                  <c:v>45523</c:v>
                </c:pt>
                <c:pt idx="252">
                  <c:v>45524</c:v>
                </c:pt>
                <c:pt idx="253">
                  <c:v>45525</c:v>
                </c:pt>
                <c:pt idx="254">
                  <c:v>45526</c:v>
                </c:pt>
                <c:pt idx="255">
                  <c:v>45527</c:v>
                </c:pt>
                <c:pt idx="256">
                  <c:v>45530</c:v>
                </c:pt>
                <c:pt idx="257">
                  <c:v>45531</c:v>
                </c:pt>
                <c:pt idx="258">
                  <c:v>45532</c:v>
                </c:pt>
                <c:pt idx="259">
                  <c:v>45533</c:v>
                </c:pt>
                <c:pt idx="260">
                  <c:v>45534</c:v>
                </c:pt>
              </c:numCache>
            </c:numRef>
          </c:cat>
          <c:val>
            <c:numRef>
              <c:f>'Base Gráfico'!$C$10:$C$5000</c:f>
              <c:numCache>
                <c:formatCode>0.00</c:formatCode>
                <c:ptCount val="4991"/>
                <c:pt idx="0">
                  <c:v>100.15416238</c:v>
                </c:pt>
                <c:pt idx="1">
                  <c:v>100.29976019</c:v>
                </c:pt>
                <c:pt idx="2">
                  <c:v>100.24837273</c:v>
                </c:pt>
                <c:pt idx="3">
                  <c:v>100.0342583</c:v>
                </c:pt>
                <c:pt idx="5">
                  <c:v>100.09421034</c:v>
                </c:pt>
                <c:pt idx="6">
                  <c:v>100.02569373</c:v>
                </c:pt>
                <c:pt idx="7">
                  <c:v>100.11990407</c:v>
                </c:pt>
                <c:pt idx="8">
                  <c:v>100.13703323</c:v>
                </c:pt>
                <c:pt idx="9">
                  <c:v>100.09421034</c:v>
                </c:pt>
                <c:pt idx="10">
                  <c:v>99.768756422999999</c:v>
                </c:pt>
                <c:pt idx="11">
                  <c:v>99.871531345999998</c:v>
                </c:pt>
                <c:pt idx="12">
                  <c:v>99.884469749000004</c:v>
                </c:pt>
                <c:pt idx="13">
                  <c:v>99.953474564000004</c:v>
                </c:pt>
                <c:pt idx="14">
                  <c:v>100.00522817</c:v>
                </c:pt>
                <c:pt idx="15">
                  <c:v>100.30712423999999</c:v>
                </c:pt>
                <c:pt idx="16">
                  <c:v>100.05698178</c:v>
                </c:pt>
                <c:pt idx="17">
                  <c:v>99.970725767999994</c:v>
                </c:pt>
                <c:pt idx="18">
                  <c:v>99.625701692999996</c:v>
                </c:pt>
                <c:pt idx="19">
                  <c:v>97.857453308000004</c:v>
                </c:pt>
                <c:pt idx="20">
                  <c:v>100.73840432999999</c:v>
                </c:pt>
                <c:pt idx="21">
                  <c:v>100.79015794</c:v>
                </c:pt>
                <c:pt idx="22">
                  <c:v>100.35887785</c:v>
                </c:pt>
                <c:pt idx="23">
                  <c:v>99.841341740000004</c:v>
                </c:pt>
                <c:pt idx="24">
                  <c:v>100.03973058</c:v>
                </c:pt>
                <c:pt idx="25">
                  <c:v>99.798213730000001</c:v>
                </c:pt>
                <c:pt idx="26">
                  <c:v>100.46238507</c:v>
                </c:pt>
                <c:pt idx="27">
                  <c:v>100.37612905</c:v>
                </c:pt>
                <c:pt idx="28">
                  <c:v>100.02247937</c:v>
                </c:pt>
                <c:pt idx="30">
                  <c:v>99.987976971999998</c:v>
                </c:pt>
                <c:pt idx="31">
                  <c:v>99.987976971999998</c:v>
                </c:pt>
                <c:pt idx="32">
                  <c:v>99.875844146999995</c:v>
                </c:pt>
                <c:pt idx="33">
                  <c:v>99.599824886999997</c:v>
                </c:pt>
                <c:pt idx="34">
                  <c:v>100.03855236</c:v>
                </c:pt>
                <c:pt idx="35">
                  <c:v>99.830048216999998</c:v>
                </c:pt>
                <c:pt idx="36">
                  <c:v>99.413039921999996</c:v>
                </c:pt>
                <c:pt idx="37">
                  <c:v>99.274037156999995</c:v>
                </c:pt>
                <c:pt idx="38">
                  <c:v>99.395664576000001</c:v>
                </c:pt>
                <c:pt idx="39">
                  <c:v>99.039469991000004</c:v>
                </c:pt>
                <c:pt idx="40">
                  <c:v>98.909154899000001</c:v>
                </c:pt>
                <c:pt idx="41">
                  <c:v>99.664982433000006</c:v>
                </c:pt>
                <c:pt idx="42">
                  <c:v>99.586793377999996</c:v>
                </c:pt>
                <c:pt idx="43">
                  <c:v>99.508604323</c:v>
                </c:pt>
                <c:pt idx="45">
                  <c:v>99.951675636000004</c:v>
                </c:pt>
                <c:pt idx="46">
                  <c:v>99.647607088000001</c:v>
                </c:pt>
                <c:pt idx="47">
                  <c:v>99.647607088000001</c:v>
                </c:pt>
                <c:pt idx="48">
                  <c:v>99.647607088000001</c:v>
                </c:pt>
                <c:pt idx="49">
                  <c:v>99.612856395999998</c:v>
                </c:pt>
                <c:pt idx="50">
                  <c:v>99.421727594999993</c:v>
                </c:pt>
                <c:pt idx="51">
                  <c:v>99.334850867</c:v>
                </c:pt>
                <c:pt idx="52">
                  <c:v>99.413039921999996</c:v>
                </c:pt>
                <c:pt idx="54">
                  <c:v>99.517291995999997</c:v>
                </c:pt>
                <c:pt idx="55">
                  <c:v>99.647607088000001</c:v>
                </c:pt>
                <c:pt idx="56">
                  <c:v>99.940752627999998</c:v>
                </c:pt>
                <c:pt idx="57">
                  <c:v>99.739488526000002</c:v>
                </c:pt>
                <c:pt idx="58">
                  <c:v>99.643231780999997</c:v>
                </c:pt>
                <c:pt idx="59">
                  <c:v>99.678234234000001</c:v>
                </c:pt>
                <c:pt idx="60">
                  <c:v>99.748239139000006</c:v>
                </c:pt>
                <c:pt idx="61">
                  <c:v>99.573226876000007</c:v>
                </c:pt>
                <c:pt idx="62">
                  <c:v>99.100693766999996</c:v>
                </c:pt>
                <c:pt idx="63">
                  <c:v>99.135696218999996</c:v>
                </c:pt>
                <c:pt idx="64">
                  <c:v>100.01075753000001</c:v>
                </c:pt>
                <c:pt idx="65">
                  <c:v>100.54454493</c:v>
                </c:pt>
                <c:pt idx="66">
                  <c:v>99.765740364999999</c:v>
                </c:pt>
                <c:pt idx="67">
                  <c:v>100.26452531</c:v>
                </c:pt>
                <c:pt idx="68">
                  <c:v>100.61454983</c:v>
                </c:pt>
                <c:pt idx="69">
                  <c:v>100.85081639000001</c:v>
                </c:pt>
                <c:pt idx="70">
                  <c:v>100.92957191000001</c:v>
                </c:pt>
                <c:pt idx="71">
                  <c:v>101.28834705</c:v>
                </c:pt>
                <c:pt idx="72">
                  <c:v>101.43710747</c:v>
                </c:pt>
                <c:pt idx="73">
                  <c:v>101.47210991999999</c:v>
                </c:pt>
                <c:pt idx="74">
                  <c:v>101.94464302999999</c:v>
                </c:pt>
                <c:pt idx="75">
                  <c:v>102.73219821000001</c:v>
                </c:pt>
                <c:pt idx="76">
                  <c:v>102.64847906999999</c:v>
                </c:pt>
                <c:pt idx="77">
                  <c:v>102.48985333</c:v>
                </c:pt>
                <c:pt idx="78">
                  <c:v>102.40172792</c:v>
                </c:pt>
                <c:pt idx="79">
                  <c:v>102.78947973</c:v>
                </c:pt>
                <c:pt idx="80">
                  <c:v>103.71479655</c:v>
                </c:pt>
                <c:pt idx="82">
                  <c:v>103.59142097</c:v>
                </c:pt>
                <c:pt idx="83">
                  <c:v>102.50747841</c:v>
                </c:pt>
                <c:pt idx="84">
                  <c:v>103.67073384</c:v>
                </c:pt>
                <c:pt idx="87">
                  <c:v>103.98798532000001</c:v>
                </c:pt>
                <c:pt idx="88">
                  <c:v>105.00142755</c:v>
                </c:pt>
                <c:pt idx="89">
                  <c:v>105.46849223</c:v>
                </c:pt>
                <c:pt idx="90">
                  <c:v>105.34511666</c:v>
                </c:pt>
                <c:pt idx="91">
                  <c:v>105.34511666</c:v>
                </c:pt>
                <c:pt idx="92">
                  <c:v>105.25699125</c:v>
                </c:pt>
                <c:pt idx="93">
                  <c:v>105.57424272999999</c:v>
                </c:pt>
                <c:pt idx="94">
                  <c:v>105.54780510000001</c:v>
                </c:pt>
                <c:pt idx="95">
                  <c:v>105.57424272999999</c:v>
                </c:pt>
                <c:pt idx="96">
                  <c:v>105.53018002</c:v>
                </c:pt>
                <c:pt idx="97">
                  <c:v>105.38036682000001</c:v>
                </c:pt>
                <c:pt idx="98">
                  <c:v>105.30986649</c:v>
                </c:pt>
                <c:pt idx="99">
                  <c:v>105.04549025999999</c:v>
                </c:pt>
                <c:pt idx="100">
                  <c:v>103.92546141</c:v>
                </c:pt>
                <c:pt idx="101">
                  <c:v>104.39567223</c:v>
                </c:pt>
                <c:pt idx="102">
                  <c:v>104.50213505000001</c:v>
                </c:pt>
                <c:pt idx="103">
                  <c:v>104.42228793</c:v>
                </c:pt>
                <c:pt idx="104">
                  <c:v>104.40454413</c:v>
                </c:pt>
                <c:pt idx="105">
                  <c:v>104.688445</c:v>
                </c:pt>
                <c:pt idx="106">
                  <c:v>104.42228793</c:v>
                </c:pt>
                <c:pt idx="107">
                  <c:v>104.32469700999999</c:v>
                </c:pt>
                <c:pt idx="108">
                  <c:v>102.29303142000001</c:v>
                </c:pt>
                <c:pt idx="109">
                  <c:v>102.51482898</c:v>
                </c:pt>
                <c:pt idx="110">
                  <c:v>103.14473403</c:v>
                </c:pt>
                <c:pt idx="111">
                  <c:v>103.79238288000001</c:v>
                </c:pt>
                <c:pt idx="112">
                  <c:v>104.51100695</c:v>
                </c:pt>
                <c:pt idx="113">
                  <c:v>104.57311027</c:v>
                </c:pt>
                <c:pt idx="114">
                  <c:v>104.77716402</c:v>
                </c:pt>
                <c:pt idx="115">
                  <c:v>105.10542439</c:v>
                </c:pt>
                <c:pt idx="118">
                  <c:v>104.67957309000001</c:v>
                </c:pt>
                <c:pt idx="119">
                  <c:v>104.15613087</c:v>
                </c:pt>
                <c:pt idx="120">
                  <c:v>105.09655248999999</c:v>
                </c:pt>
                <c:pt idx="121">
                  <c:v>104.77281521</c:v>
                </c:pt>
                <c:pt idx="122">
                  <c:v>104.59417444</c:v>
                </c:pt>
                <c:pt idx="123">
                  <c:v>104.7460191</c:v>
                </c:pt>
                <c:pt idx="124">
                  <c:v>104.68349482000001</c:v>
                </c:pt>
                <c:pt idx="125">
                  <c:v>105.3444657</c:v>
                </c:pt>
                <c:pt idx="126">
                  <c:v>104.63883463000001</c:v>
                </c:pt>
                <c:pt idx="127">
                  <c:v>104.61203851</c:v>
                </c:pt>
                <c:pt idx="128">
                  <c:v>104.68349482000001</c:v>
                </c:pt>
                <c:pt idx="129">
                  <c:v>103.51339774</c:v>
                </c:pt>
                <c:pt idx="130">
                  <c:v>103.96893172</c:v>
                </c:pt>
                <c:pt idx="131">
                  <c:v>103.95999968</c:v>
                </c:pt>
                <c:pt idx="132">
                  <c:v>104.59417444</c:v>
                </c:pt>
                <c:pt idx="133">
                  <c:v>104.75495112999999</c:v>
                </c:pt>
                <c:pt idx="134">
                  <c:v>105.30873754</c:v>
                </c:pt>
                <c:pt idx="135">
                  <c:v>105.79999967000001</c:v>
                </c:pt>
                <c:pt idx="136">
                  <c:v>105.45165016</c:v>
                </c:pt>
                <c:pt idx="137">
                  <c:v>105.04970842</c:v>
                </c:pt>
                <c:pt idx="138">
                  <c:v>105.21941715</c:v>
                </c:pt>
                <c:pt idx="139">
                  <c:v>104.95145599</c:v>
                </c:pt>
                <c:pt idx="140">
                  <c:v>105.19262104000001</c:v>
                </c:pt>
                <c:pt idx="141">
                  <c:v>105.48737832</c:v>
                </c:pt>
                <c:pt idx="142">
                  <c:v>105.03554114000001</c:v>
                </c:pt>
                <c:pt idx="143">
                  <c:v>105.19741098</c:v>
                </c:pt>
                <c:pt idx="144">
                  <c:v>105.30532420999999</c:v>
                </c:pt>
                <c:pt idx="145">
                  <c:v>105.33230251000001</c:v>
                </c:pt>
                <c:pt idx="146">
                  <c:v>105.21539652</c:v>
                </c:pt>
                <c:pt idx="147">
                  <c:v>105.21539652</c:v>
                </c:pt>
                <c:pt idx="148">
                  <c:v>105.12546883</c:v>
                </c:pt>
                <c:pt idx="149">
                  <c:v>106.07870233</c:v>
                </c:pt>
                <c:pt idx="151">
                  <c:v>105.84489034000001</c:v>
                </c:pt>
                <c:pt idx="152">
                  <c:v>106.33049986</c:v>
                </c:pt>
                <c:pt idx="153">
                  <c:v>106.06970957</c:v>
                </c:pt>
                <c:pt idx="154">
                  <c:v>105.90783972</c:v>
                </c:pt>
                <c:pt idx="155">
                  <c:v>106.10568064</c:v>
                </c:pt>
                <c:pt idx="156">
                  <c:v>105.97078911</c:v>
                </c:pt>
                <c:pt idx="157">
                  <c:v>105.76395542</c:v>
                </c:pt>
                <c:pt idx="158">
                  <c:v>105.08050498</c:v>
                </c:pt>
                <c:pt idx="159">
                  <c:v>105.31431696999999</c:v>
                </c:pt>
                <c:pt idx="160">
                  <c:v>105.87186865</c:v>
                </c:pt>
                <c:pt idx="161">
                  <c:v>105.61107835</c:v>
                </c:pt>
                <c:pt idx="162">
                  <c:v>105.43122296999999</c:v>
                </c:pt>
                <c:pt idx="163">
                  <c:v>104.99957006</c:v>
                </c:pt>
                <c:pt idx="164">
                  <c:v>104.96359898999999</c:v>
                </c:pt>
                <c:pt idx="165">
                  <c:v>104.37606854000001</c:v>
                </c:pt>
                <c:pt idx="166">
                  <c:v>103.48891722</c:v>
                </c:pt>
                <c:pt idx="167">
                  <c:v>102.88239539999999</c:v>
                </c:pt>
                <c:pt idx="168">
                  <c:v>102.24871589</c:v>
                </c:pt>
                <c:pt idx="169">
                  <c:v>103.2897608</c:v>
                </c:pt>
                <c:pt idx="170">
                  <c:v>104.12259674000001</c:v>
                </c:pt>
                <c:pt idx="171">
                  <c:v>104.75627625</c:v>
                </c:pt>
                <c:pt idx="172">
                  <c:v>105.67058526</c:v>
                </c:pt>
                <c:pt idx="174">
                  <c:v>105.43521859000001</c:v>
                </c:pt>
                <c:pt idx="175">
                  <c:v>105.91500449999999</c:v>
                </c:pt>
                <c:pt idx="176">
                  <c:v>105.64342757</c:v>
                </c:pt>
                <c:pt idx="177">
                  <c:v>104.12259674000001</c:v>
                </c:pt>
                <c:pt idx="178">
                  <c:v>105.44427115000001</c:v>
                </c:pt>
                <c:pt idx="179">
                  <c:v>104.10449161</c:v>
                </c:pt>
                <c:pt idx="180">
                  <c:v>104.73817112</c:v>
                </c:pt>
                <c:pt idx="181">
                  <c:v>101.92282356</c:v>
                </c:pt>
                <c:pt idx="182">
                  <c:v>102.33924153</c:v>
                </c:pt>
                <c:pt idx="183">
                  <c:v>103.19923516</c:v>
                </c:pt>
                <c:pt idx="184">
                  <c:v>102.4557762</c:v>
                </c:pt>
                <c:pt idx="185">
                  <c:v>102.29952356</c:v>
                </c:pt>
                <c:pt idx="186">
                  <c:v>101.68330514</c:v>
                </c:pt>
                <c:pt idx="187">
                  <c:v>101.57227696</c:v>
                </c:pt>
                <c:pt idx="188">
                  <c:v>101.12816426000001</c:v>
                </c:pt>
                <c:pt idx="189">
                  <c:v>101.22068774</c:v>
                </c:pt>
                <c:pt idx="190">
                  <c:v>101.32246357</c:v>
                </c:pt>
                <c:pt idx="191">
                  <c:v>101.39648235</c:v>
                </c:pt>
                <c:pt idx="192">
                  <c:v>101.31321122</c:v>
                </c:pt>
                <c:pt idx="193">
                  <c:v>101.36872531</c:v>
                </c:pt>
                <c:pt idx="195">
                  <c:v>101.76657627</c:v>
                </c:pt>
                <c:pt idx="196">
                  <c:v>101.58152930999999</c:v>
                </c:pt>
                <c:pt idx="197">
                  <c:v>100.91536025000001</c:v>
                </c:pt>
                <c:pt idx="198">
                  <c:v>100.66554685</c:v>
                </c:pt>
                <c:pt idx="199">
                  <c:v>100.72106094</c:v>
                </c:pt>
                <c:pt idx="200">
                  <c:v>101.02638843</c:v>
                </c:pt>
                <c:pt idx="201">
                  <c:v>100.90610789999999</c:v>
                </c:pt>
                <c:pt idx="202">
                  <c:v>100.82283676999999</c:v>
                </c:pt>
                <c:pt idx="203">
                  <c:v>100.66554685</c:v>
                </c:pt>
                <c:pt idx="204">
                  <c:v>100.48975224</c:v>
                </c:pt>
                <c:pt idx="205">
                  <c:v>100.90610789999999</c:v>
                </c:pt>
                <c:pt idx="206">
                  <c:v>101.08190252</c:v>
                </c:pt>
                <c:pt idx="207">
                  <c:v>101.09115486</c:v>
                </c:pt>
                <c:pt idx="208">
                  <c:v>100.86049066</c:v>
                </c:pt>
                <c:pt idx="209">
                  <c:v>100.82323151999999</c:v>
                </c:pt>
                <c:pt idx="210">
                  <c:v>100.95363851</c:v>
                </c:pt>
                <c:pt idx="211">
                  <c:v>100.83254631</c:v>
                </c:pt>
                <c:pt idx="212">
                  <c:v>101.00952722</c:v>
                </c:pt>
                <c:pt idx="213">
                  <c:v>100.88843502</c:v>
                </c:pt>
                <c:pt idx="214">
                  <c:v>100.97226808000001</c:v>
                </c:pt>
                <c:pt idx="215">
                  <c:v>101.00952722</c:v>
                </c:pt>
                <c:pt idx="216">
                  <c:v>100.78597239</c:v>
                </c:pt>
                <c:pt idx="217">
                  <c:v>100.78597239</c:v>
                </c:pt>
                <c:pt idx="218">
                  <c:v>100.69282454</c:v>
                </c:pt>
                <c:pt idx="219">
                  <c:v>100.9629533</c:v>
                </c:pt>
                <c:pt idx="220">
                  <c:v>101.0840455</c:v>
                </c:pt>
                <c:pt idx="221">
                  <c:v>101.06541593</c:v>
                </c:pt>
                <c:pt idx="222">
                  <c:v>101.10267507</c:v>
                </c:pt>
                <c:pt idx="223">
                  <c:v>101.05610115</c:v>
                </c:pt>
                <c:pt idx="224">
                  <c:v>101.25171163</c:v>
                </c:pt>
                <c:pt idx="225">
                  <c:v>101.71745086999999</c:v>
                </c:pt>
                <c:pt idx="226">
                  <c:v>101.87580222</c:v>
                </c:pt>
                <c:pt idx="227">
                  <c:v>101.81059872</c:v>
                </c:pt>
                <c:pt idx="228">
                  <c:v>102.06209791000001</c:v>
                </c:pt>
                <c:pt idx="229">
                  <c:v>101.92237614</c:v>
                </c:pt>
                <c:pt idx="230">
                  <c:v>101.70747124</c:v>
                </c:pt>
                <c:pt idx="231">
                  <c:v>101.72622260999999</c:v>
                </c:pt>
                <c:pt idx="232">
                  <c:v>101.50120609</c:v>
                </c:pt>
                <c:pt idx="233">
                  <c:v>101.58558728</c:v>
                </c:pt>
                <c:pt idx="234">
                  <c:v>101.42620058</c:v>
                </c:pt>
                <c:pt idx="235">
                  <c:v>101.16368129</c:v>
                </c:pt>
                <c:pt idx="236">
                  <c:v>100.97616752</c:v>
                </c:pt>
                <c:pt idx="237">
                  <c:v>100.56363721</c:v>
                </c:pt>
                <c:pt idx="238">
                  <c:v>101.05117303</c:v>
                </c:pt>
                <c:pt idx="239">
                  <c:v>101.30431661999999</c:v>
                </c:pt>
                <c:pt idx="240">
                  <c:v>101.61371435</c:v>
                </c:pt>
                <c:pt idx="241">
                  <c:v>101.25743817999999</c:v>
                </c:pt>
                <c:pt idx="242">
                  <c:v>101.52933315</c:v>
                </c:pt>
                <c:pt idx="243">
                  <c:v>101.41682489</c:v>
                </c:pt>
                <c:pt idx="244">
                  <c:v>100.90116200999999</c:v>
                </c:pt>
                <c:pt idx="245">
                  <c:v>101.14492991</c:v>
                </c:pt>
                <c:pt idx="246">
                  <c:v>100.97616752</c:v>
                </c:pt>
                <c:pt idx="247">
                  <c:v>101.20118404999999</c:v>
                </c:pt>
                <c:pt idx="248">
                  <c:v>101.36057074999999</c:v>
                </c:pt>
                <c:pt idx="249">
                  <c:v>101.6512171</c:v>
                </c:pt>
                <c:pt idx="250">
                  <c:v>101.45432764</c:v>
                </c:pt>
                <c:pt idx="251">
                  <c:v>101.49917610999999</c:v>
                </c:pt>
                <c:pt idx="252">
                  <c:v>101.60303574</c:v>
                </c:pt>
                <c:pt idx="253">
                  <c:v>101.49917610999999</c:v>
                </c:pt>
                <c:pt idx="254">
                  <c:v>101.39531649</c:v>
                </c:pt>
                <c:pt idx="255">
                  <c:v>101.47085076</c:v>
                </c:pt>
                <c:pt idx="256">
                  <c:v>101.47085076</c:v>
                </c:pt>
                <c:pt idx="257">
                  <c:v>101.5086179</c:v>
                </c:pt>
                <c:pt idx="258">
                  <c:v>101.59359395</c:v>
                </c:pt>
                <c:pt idx="259">
                  <c:v>101.97126531000001</c:v>
                </c:pt>
                <c:pt idx="260">
                  <c:v>101.69745358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9B4-44BC-B0FA-93613E40CFA4}"/>
            </c:ext>
          </c:extLst>
        </c:ser>
        <c:ser>
          <c:idx val="2"/>
          <c:order val="2"/>
          <c:tx>
            <c:strRef>
              <c:f>'Base Gráfico'!$D$8</c:f>
              <c:strCache>
                <c:ptCount val="1"/>
                <c:pt idx="0">
                  <c:v>IBOV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'Base Gráfico'!$B$10:$B$5000</c:f>
              <c:numCache>
                <c:formatCode>m/d/yyyy</c:formatCode>
                <c:ptCount val="4991"/>
                <c:pt idx="0">
                  <c:v>45170</c:v>
                </c:pt>
                <c:pt idx="1">
                  <c:v>45173</c:v>
                </c:pt>
                <c:pt idx="2">
                  <c:v>45174</c:v>
                </c:pt>
                <c:pt idx="3">
                  <c:v>45175</c:v>
                </c:pt>
                <c:pt idx="4">
                  <c:v>45176</c:v>
                </c:pt>
                <c:pt idx="5">
                  <c:v>45177</c:v>
                </c:pt>
                <c:pt idx="6">
                  <c:v>45180</c:v>
                </c:pt>
                <c:pt idx="7">
                  <c:v>45181</c:v>
                </c:pt>
                <c:pt idx="8">
                  <c:v>45182</c:v>
                </c:pt>
                <c:pt idx="9">
                  <c:v>45183</c:v>
                </c:pt>
                <c:pt idx="10">
                  <c:v>45184</c:v>
                </c:pt>
                <c:pt idx="11">
                  <c:v>45187</c:v>
                </c:pt>
                <c:pt idx="12">
                  <c:v>45188</c:v>
                </c:pt>
                <c:pt idx="13">
                  <c:v>45189</c:v>
                </c:pt>
                <c:pt idx="14">
                  <c:v>45190</c:v>
                </c:pt>
                <c:pt idx="15">
                  <c:v>45191</c:v>
                </c:pt>
                <c:pt idx="16">
                  <c:v>45194</c:v>
                </c:pt>
                <c:pt idx="17">
                  <c:v>45195</c:v>
                </c:pt>
                <c:pt idx="18">
                  <c:v>45196</c:v>
                </c:pt>
                <c:pt idx="19">
                  <c:v>45197</c:v>
                </c:pt>
                <c:pt idx="20">
                  <c:v>45198</c:v>
                </c:pt>
                <c:pt idx="21">
                  <c:v>45201</c:v>
                </c:pt>
                <c:pt idx="22">
                  <c:v>45202</c:v>
                </c:pt>
                <c:pt idx="23">
                  <c:v>45203</c:v>
                </c:pt>
                <c:pt idx="24">
                  <c:v>45204</c:v>
                </c:pt>
                <c:pt idx="25">
                  <c:v>45205</c:v>
                </c:pt>
                <c:pt idx="26">
                  <c:v>45208</c:v>
                </c:pt>
                <c:pt idx="27">
                  <c:v>45209</c:v>
                </c:pt>
                <c:pt idx="28">
                  <c:v>45210</c:v>
                </c:pt>
                <c:pt idx="29">
                  <c:v>45211</c:v>
                </c:pt>
                <c:pt idx="30">
                  <c:v>45212</c:v>
                </c:pt>
                <c:pt idx="31">
                  <c:v>45215</c:v>
                </c:pt>
                <c:pt idx="32">
                  <c:v>45216</c:v>
                </c:pt>
                <c:pt idx="33">
                  <c:v>45217</c:v>
                </c:pt>
                <c:pt idx="34">
                  <c:v>45218</c:v>
                </c:pt>
                <c:pt idx="35">
                  <c:v>45219</c:v>
                </c:pt>
                <c:pt idx="36">
                  <c:v>45222</c:v>
                </c:pt>
                <c:pt idx="37">
                  <c:v>45223</c:v>
                </c:pt>
                <c:pt idx="38">
                  <c:v>45224</c:v>
                </c:pt>
                <c:pt idx="39">
                  <c:v>45225</c:v>
                </c:pt>
                <c:pt idx="40">
                  <c:v>45226</c:v>
                </c:pt>
                <c:pt idx="41">
                  <c:v>45229</c:v>
                </c:pt>
                <c:pt idx="42">
                  <c:v>45230</c:v>
                </c:pt>
                <c:pt idx="43">
                  <c:v>45231</c:v>
                </c:pt>
                <c:pt idx="44">
                  <c:v>45232</c:v>
                </c:pt>
                <c:pt idx="45">
                  <c:v>45233</c:v>
                </c:pt>
                <c:pt idx="46">
                  <c:v>45236</c:v>
                </c:pt>
                <c:pt idx="47">
                  <c:v>45237</c:v>
                </c:pt>
                <c:pt idx="48">
                  <c:v>45238</c:v>
                </c:pt>
                <c:pt idx="49">
                  <c:v>45239</c:v>
                </c:pt>
                <c:pt idx="50">
                  <c:v>45240</c:v>
                </c:pt>
                <c:pt idx="51">
                  <c:v>45243</c:v>
                </c:pt>
                <c:pt idx="52">
                  <c:v>45244</c:v>
                </c:pt>
                <c:pt idx="53">
                  <c:v>45245</c:v>
                </c:pt>
                <c:pt idx="54">
                  <c:v>45246</c:v>
                </c:pt>
                <c:pt idx="55">
                  <c:v>45247</c:v>
                </c:pt>
                <c:pt idx="56">
                  <c:v>45250</c:v>
                </c:pt>
                <c:pt idx="57">
                  <c:v>45251</c:v>
                </c:pt>
                <c:pt idx="58">
                  <c:v>45252</c:v>
                </c:pt>
                <c:pt idx="59">
                  <c:v>45253</c:v>
                </c:pt>
                <c:pt idx="60">
                  <c:v>45254</c:v>
                </c:pt>
                <c:pt idx="61">
                  <c:v>45257</c:v>
                </c:pt>
                <c:pt idx="62">
                  <c:v>45258</c:v>
                </c:pt>
                <c:pt idx="63">
                  <c:v>45259</c:v>
                </c:pt>
                <c:pt idx="64">
                  <c:v>45260</c:v>
                </c:pt>
                <c:pt idx="65">
                  <c:v>45261</c:v>
                </c:pt>
                <c:pt idx="66">
                  <c:v>45264</c:v>
                </c:pt>
                <c:pt idx="67">
                  <c:v>45265</c:v>
                </c:pt>
                <c:pt idx="68">
                  <c:v>45266</c:v>
                </c:pt>
                <c:pt idx="69">
                  <c:v>45267</c:v>
                </c:pt>
                <c:pt idx="70">
                  <c:v>45268</c:v>
                </c:pt>
                <c:pt idx="71">
                  <c:v>45271</c:v>
                </c:pt>
                <c:pt idx="72">
                  <c:v>45272</c:v>
                </c:pt>
                <c:pt idx="73">
                  <c:v>45273</c:v>
                </c:pt>
                <c:pt idx="74">
                  <c:v>45274</c:v>
                </c:pt>
                <c:pt idx="75">
                  <c:v>45275</c:v>
                </c:pt>
                <c:pt idx="76">
                  <c:v>45278</c:v>
                </c:pt>
                <c:pt idx="77">
                  <c:v>45279</c:v>
                </c:pt>
                <c:pt idx="78">
                  <c:v>45280</c:v>
                </c:pt>
                <c:pt idx="79">
                  <c:v>45281</c:v>
                </c:pt>
                <c:pt idx="80">
                  <c:v>45282</c:v>
                </c:pt>
                <c:pt idx="81">
                  <c:v>45285</c:v>
                </c:pt>
                <c:pt idx="82">
                  <c:v>45286</c:v>
                </c:pt>
                <c:pt idx="83">
                  <c:v>45287</c:v>
                </c:pt>
                <c:pt idx="84">
                  <c:v>45288</c:v>
                </c:pt>
                <c:pt idx="85">
                  <c:v>45289</c:v>
                </c:pt>
                <c:pt idx="86">
                  <c:v>45292</c:v>
                </c:pt>
                <c:pt idx="87">
                  <c:v>45293</c:v>
                </c:pt>
                <c:pt idx="88">
                  <c:v>45294</c:v>
                </c:pt>
                <c:pt idx="89">
                  <c:v>45295</c:v>
                </c:pt>
                <c:pt idx="90">
                  <c:v>45296</c:v>
                </c:pt>
                <c:pt idx="91">
                  <c:v>45299</c:v>
                </c:pt>
                <c:pt idx="92">
                  <c:v>45300</c:v>
                </c:pt>
                <c:pt idx="93">
                  <c:v>45301</c:v>
                </c:pt>
                <c:pt idx="94">
                  <c:v>45302</c:v>
                </c:pt>
                <c:pt idx="95">
                  <c:v>45303</c:v>
                </c:pt>
                <c:pt idx="96">
                  <c:v>45306</c:v>
                </c:pt>
                <c:pt idx="97">
                  <c:v>45307</c:v>
                </c:pt>
                <c:pt idx="98">
                  <c:v>45308</c:v>
                </c:pt>
                <c:pt idx="99">
                  <c:v>45309</c:v>
                </c:pt>
                <c:pt idx="100">
                  <c:v>45310</c:v>
                </c:pt>
                <c:pt idx="101">
                  <c:v>45313</c:v>
                </c:pt>
                <c:pt idx="102">
                  <c:v>45314</c:v>
                </c:pt>
                <c:pt idx="103">
                  <c:v>45315</c:v>
                </c:pt>
                <c:pt idx="104">
                  <c:v>45316</c:v>
                </c:pt>
                <c:pt idx="105">
                  <c:v>45317</c:v>
                </c:pt>
                <c:pt idx="106">
                  <c:v>45320</c:v>
                </c:pt>
                <c:pt idx="107">
                  <c:v>45321</c:v>
                </c:pt>
                <c:pt idx="108">
                  <c:v>45322</c:v>
                </c:pt>
                <c:pt idx="109">
                  <c:v>45323</c:v>
                </c:pt>
                <c:pt idx="110">
                  <c:v>45324</c:v>
                </c:pt>
                <c:pt idx="111">
                  <c:v>45327</c:v>
                </c:pt>
                <c:pt idx="112">
                  <c:v>45328</c:v>
                </c:pt>
                <c:pt idx="113">
                  <c:v>45329</c:v>
                </c:pt>
                <c:pt idx="114">
                  <c:v>45330</c:v>
                </c:pt>
                <c:pt idx="115">
                  <c:v>45331</c:v>
                </c:pt>
                <c:pt idx="116">
                  <c:v>45334</c:v>
                </c:pt>
                <c:pt idx="117">
                  <c:v>45335</c:v>
                </c:pt>
                <c:pt idx="118">
                  <c:v>45336</c:v>
                </c:pt>
                <c:pt idx="119">
                  <c:v>45337</c:v>
                </c:pt>
                <c:pt idx="120">
                  <c:v>45338</c:v>
                </c:pt>
                <c:pt idx="121">
                  <c:v>45341</c:v>
                </c:pt>
                <c:pt idx="122">
                  <c:v>45342</c:v>
                </c:pt>
                <c:pt idx="123">
                  <c:v>45343</c:v>
                </c:pt>
                <c:pt idx="124">
                  <c:v>45344</c:v>
                </c:pt>
                <c:pt idx="125">
                  <c:v>45345</c:v>
                </c:pt>
                <c:pt idx="126">
                  <c:v>45348</c:v>
                </c:pt>
                <c:pt idx="127">
                  <c:v>45349</c:v>
                </c:pt>
                <c:pt idx="128">
                  <c:v>45350</c:v>
                </c:pt>
                <c:pt idx="129">
                  <c:v>45351</c:v>
                </c:pt>
                <c:pt idx="130">
                  <c:v>45352</c:v>
                </c:pt>
                <c:pt idx="131">
                  <c:v>45355</c:v>
                </c:pt>
                <c:pt idx="132">
                  <c:v>45356</c:v>
                </c:pt>
                <c:pt idx="133">
                  <c:v>45357</c:v>
                </c:pt>
                <c:pt idx="134">
                  <c:v>45358</c:v>
                </c:pt>
                <c:pt idx="135">
                  <c:v>45359</c:v>
                </c:pt>
                <c:pt idx="136">
                  <c:v>45362</c:v>
                </c:pt>
                <c:pt idx="137">
                  <c:v>45363</c:v>
                </c:pt>
                <c:pt idx="138">
                  <c:v>45364</c:v>
                </c:pt>
                <c:pt idx="139">
                  <c:v>45365</c:v>
                </c:pt>
                <c:pt idx="140">
                  <c:v>45366</c:v>
                </c:pt>
                <c:pt idx="141">
                  <c:v>45369</c:v>
                </c:pt>
                <c:pt idx="142">
                  <c:v>45370</c:v>
                </c:pt>
                <c:pt idx="143">
                  <c:v>45371</c:v>
                </c:pt>
                <c:pt idx="144">
                  <c:v>45372</c:v>
                </c:pt>
                <c:pt idx="145">
                  <c:v>45373</c:v>
                </c:pt>
                <c:pt idx="146">
                  <c:v>45376</c:v>
                </c:pt>
                <c:pt idx="147">
                  <c:v>45377</c:v>
                </c:pt>
                <c:pt idx="148">
                  <c:v>45378</c:v>
                </c:pt>
                <c:pt idx="149">
                  <c:v>45379</c:v>
                </c:pt>
                <c:pt idx="150">
                  <c:v>45380</c:v>
                </c:pt>
                <c:pt idx="151">
                  <c:v>45383</c:v>
                </c:pt>
                <c:pt idx="152">
                  <c:v>45384</c:v>
                </c:pt>
                <c:pt idx="153">
                  <c:v>45385</c:v>
                </c:pt>
                <c:pt idx="154">
                  <c:v>45386</c:v>
                </c:pt>
                <c:pt idx="155">
                  <c:v>45387</c:v>
                </c:pt>
                <c:pt idx="156">
                  <c:v>45390</c:v>
                </c:pt>
                <c:pt idx="157">
                  <c:v>45391</c:v>
                </c:pt>
                <c:pt idx="158">
                  <c:v>45392</c:v>
                </c:pt>
                <c:pt idx="159">
                  <c:v>45393</c:v>
                </c:pt>
                <c:pt idx="160">
                  <c:v>45394</c:v>
                </c:pt>
                <c:pt idx="161">
                  <c:v>45397</c:v>
                </c:pt>
                <c:pt idx="162">
                  <c:v>45398</c:v>
                </c:pt>
                <c:pt idx="163">
                  <c:v>45399</c:v>
                </c:pt>
                <c:pt idx="164">
                  <c:v>45400</c:v>
                </c:pt>
                <c:pt idx="165">
                  <c:v>45401</c:v>
                </c:pt>
                <c:pt idx="166">
                  <c:v>45404</c:v>
                </c:pt>
                <c:pt idx="167">
                  <c:v>45405</c:v>
                </c:pt>
                <c:pt idx="168">
                  <c:v>45406</c:v>
                </c:pt>
                <c:pt idx="169">
                  <c:v>45407</c:v>
                </c:pt>
                <c:pt idx="170">
                  <c:v>45408</c:v>
                </c:pt>
                <c:pt idx="171">
                  <c:v>45411</c:v>
                </c:pt>
                <c:pt idx="172">
                  <c:v>45412</c:v>
                </c:pt>
                <c:pt idx="173">
                  <c:v>45413</c:v>
                </c:pt>
                <c:pt idx="174">
                  <c:v>45414</c:v>
                </c:pt>
                <c:pt idx="175">
                  <c:v>45415</c:v>
                </c:pt>
                <c:pt idx="176">
                  <c:v>45418</c:v>
                </c:pt>
                <c:pt idx="177">
                  <c:v>45419</c:v>
                </c:pt>
                <c:pt idx="178">
                  <c:v>45420</c:v>
                </c:pt>
                <c:pt idx="179">
                  <c:v>45421</c:v>
                </c:pt>
                <c:pt idx="180">
                  <c:v>45422</c:v>
                </c:pt>
                <c:pt idx="181">
                  <c:v>45425</c:v>
                </c:pt>
                <c:pt idx="182">
                  <c:v>45426</c:v>
                </c:pt>
                <c:pt idx="183">
                  <c:v>45427</c:v>
                </c:pt>
                <c:pt idx="184">
                  <c:v>45428</c:v>
                </c:pt>
                <c:pt idx="185">
                  <c:v>45429</c:v>
                </c:pt>
                <c:pt idx="186">
                  <c:v>45432</c:v>
                </c:pt>
                <c:pt idx="187">
                  <c:v>45433</c:v>
                </c:pt>
                <c:pt idx="188">
                  <c:v>45434</c:v>
                </c:pt>
                <c:pt idx="189">
                  <c:v>45435</c:v>
                </c:pt>
                <c:pt idx="190">
                  <c:v>45436</c:v>
                </c:pt>
                <c:pt idx="191">
                  <c:v>45439</c:v>
                </c:pt>
                <c:pt idx="192">
                  <c:v>45440</c:v>
                </c:pt>
                <c:pt idx="193">
                  <c:v>45441</c:v>
                </c:pt>
                <c:pt idx="194">
                  <c:v>45442</c:v>
                </c:pt>
                <c:pt idx="195">
                  <c:v>45443</c:v>
                </c:pt>
                <c:pt idx="196">
                  <c:v>45446</c:v>
                </c:pt>
                <c:pt idx="197">
                  <c:v>45447</c:v>
                </c:pt>
                <c:pt idx="198">
                  <c:v>45448</c:v>
                </c:pt>
                <c:pt idx="199">
                  <c:v>45449</c:v>
                </c:pt>
                <c:pt idx="200">
                  <c:v>45450</c:v>
                </c:pt>
                <c:pt idx="201">
                  <c:v>45453</c:v>
                </c:pt>
                <c:pt idx="202">
                  <c:v>45454</c:v>
                </c:pt>
                <c:pt idx="203">
                  <c:v>45455</c:v>
                </c:pt>
                <c:pt idx="204">
                  <c:v>45456</c:v>
                </c:pt>
                <c:pt idx="205">
                  <c:v>45457</c:v>
                </c:pt>
                <c:pt idx="206">
                  <c:v>45460</c:v>
                </c:pt>
                <c:pt idx="207">
                  <c:v>45461</c:v>
                </c:pt>
                <c:pt idx="208">
                  <c:v>45462</c:v>
                </c:pt>
                <c:pt idx="209">
                  <c:v>45463</c:v>
                </c:pt>
                <c:pt idx="210">
                  <c:v>45464</c:v>
                </c:pt>
                <c:pt idx="211">
                  <c:v>45467</c:v>
                </c:pt>
                <c:pt idx="212">
                  <c:v>45468</c:v>
                </c:pt>
                <c:pt idx="213">
                  <c:v>45469</c:v>
                </c:pt>
                <c:pt idx="214">
                  <c:v>45470</c:v>
                </c:pt>
                <c:pt idx="215">
                  <c:v>45471</c:v>
                </c:pt>
                <c:pt idx="216">
                  <c:v>45474</c:v>
                </c:pt>
                <c:pt idx="217">
                  <c:v>45475</c:v>
                </c:pt>
                <c:pt idx="218">
                  <c:v>45476</c:v>
                </c:pt>
                <c:pt idx="219">
                  <c:v>45477</c:v>
                </c:pt>
                <c:pt idx="220">
                  <c:v>45478</c:v>
                </c:pt>
                <c:pt idx="221">
                  <c:v>45481</c:v>
                </c:pt>
                <c:pt idx="222">
                  <c:v>45482</c:v>
                </c:pt>
                <c:pt idx="223">
                  <c:v>45483</c:v>
                </c:pt>
                <c:pt idx="224">
                  <c:v>45484</c:v>
                </c:pt>
                <c:pt idx="225">
                  <c:v>45485</c:v>
                </c:pt>
                <c:pt idx="226">
                  <c:v>45488</c:v>
                </c:pt>
                <c:pt idx="227">
                  <c:v>45489</c:v>
                </c:pt>
                <c:pt idx="228">
                  <c:v>45490</c:v>
                </c:pt>
                <c:pt idx="229">
                  <c:v>45491</c:v>
                </c:pt>
                <c:pt idx="230">
                  <c:v>45492</c:v>
                </c:pt>
                <c:pt idx="231">
                  <c:v>45495</c:v>
                </c:pt>
                <c:pt idx="232">
                  <c:v>45496</c:v>
                </c:pt>
                <c:pt idx="233">
                  <c:v>45497</c:v>
                </c:pt>
                <c:pt idx="234">
                  <c:v>45498</c:v>
                </c:pt>
                <c:pt idx="235">
                  <c:v>45499</c:v>
                </c:pt>
                <c:pt idx="236">
                  <c:v>45502</c:v>
                </c:pt>
                <c:pt idx="237">
                  <c:v>45503</c:v>
                </c:pt>
                <c:pt idx="238">
                  <c:v>45504</c:v>
                </c:pt>
                <c:pt idx="239">
                  <c:v>45505</c:v>
                </c:pt>
                <c:pt idx="240">
                  <c:v>45506</c:v>
                </c:pt>
                <c:pt idx="241">
                  <c:v>45509</c:v>
                </c:pt>
                <c:pt idx="242">
                  <c:v>45510</c:v>
                </c:pt>
                <c:pt idx="243">
                  <c:v>45511</c:v>
                </c:pt>
                <c:pt idx="244">
                  <c:v>45512</c:v>
                </c:pt>
                <c:pt idx="245">
                  <c:v>45513</c:v>
                </c:pt>
                <c:pt idx="246">
                  <c:v>45516</c:v>
                </c:pt>
                <c:pt idx="247">
                  <c:v>45517</c:v>
                </c:pt>
                <c:pt idx="248">
                  <c:v>45518</c:v>
                </c:pt>
                <c:pt idx="249">
                  <c:v>45519</c:v>
                </c:pt>
                <c:pt idx="250">
                  <c:v>45520</c:v>
                </c:pt>
                <c:pt idx="251">
                  <c:v>45523</c:v>
                </c:pt>
                <c:pt idx="252">
                  <c:v>45524</c:v>
                </c:pt>
                <c:pt idx="253">
                  <c:v>45525</c:v>
                </c:pt>
                <c:pt idx="254">
                  <c:v>45526</c:v>
                </c:pt>
                <c:pt idx="255">
                  <c:v>45527</c:v>
                </c:pt>
                <c:pt idx="256">
                  <c:v>45530</c:v>
                </c:pt>
                <c:pt idx="257">
                  <c:v>45531</c:v>
                </c:pt>
                <c:pt idx="258">
                  <c:v>45532</c:v>
                </c:pt>
                <c:pt idx="259">
                  <c:v>45533</c:v>
                </c:pt>
                <c:pt idx="260">
                  <c:v>45534</c:v>
                </c:pt>
              </c:numCache>
            </c:numRef>
          </c:cat>
          <c:val>
            <c:numRef>
              <c:f>'Base Gráfico'!$D$10:$D$5000</c:f>
              <c:numCache>
                <c:formatCode>0.00</c:formatCode>
                <c:ptCount val="4991"/>
                <c:pt idx="0">
                  <c:v>101.85857643</c:v>
                </c:pt>
                <c:pt idx="1">
                  <c:v>101.75805959</c:v>
                </c:pt>
                <c:pt idx="2">
                  <c:v>101.37330667000001</c:v>
                </c:pt>
                <c:pt idx="3">
                  <c:v>100.21040797000001</c:v>
                </c:pt>
                <c:pt idx="5">
                  <c:v>99.629857180000002</c:v>
                </c:pt>
                <c:pt idx="6">
                  <c:v>100.98627279999999</c:v>
                </c:pt>
                <c:pt idx="7">
                  <c:v>101.92351407</c:v>
                </c:pt>
                <c:pt idx="8">
                  <c:v>102.10309481</c:v>
                </c:pt>
                <c:pt idx="9">
                  <c:v>103.15334622</c:v>
                </c:pt>
                <c:pt idx="10">
                  <c:v>102.605558</c:v>
                </c:pt>
                <c:pt idx="11">
                  <c:v>102.20006927</c:v>
                </c:pt>
                <c:pt idx="12">
                  <c:v>101.81781328</c:v>
                </c:pt>
                <c:pt idx="13">
                  <c:v>102.55180906</c:v>
                </c:pt>
                <c:pt idx="14">
                  <c:v>100.34839614000001</c:v>
                </c:pt>
                <c:pt idx="15">
                  <c:v>100.23053899</c:v>
                </c:pt>
                <c:pt idx="16">
                  <c:v>100.15793773999999</c:v>
                </c:pt>
                <c:pt idx="17">
                  <c:v>98.662212038999996</c:v>
                </c:pt>
                <c:pt idx="18">
                  <c:v>98.777658653000003</c:v>
                </c:pt>
                <c:pt idx="19">
                  <c:v>99.990452887999993</c:v>
                </c:pt>
                <c:pt idx="20">
                  <c:v>100.71137646</c:v>
                </c:pt>
                <c:pt idx="21">
                  <c:v>99.408208666999997</c:v>
                </c:pt>
                <c:pt idx="22">
                  <c:v>97.993145260000006</c:v>
                </c:pt>
                <c:pt idx="23">
                  <c:v>98.155929995999998</c:v>
                </c:pt>
                <c:pt idx="24">
                  <c:v>97.876540898000002</c:v>
                </c:pt>
                <c:pt idx="25">
                  <c:v>98.641649029000007</c:v>
                </c:pt>
                <c:pt idx="26">
                  <c:v>99.493925314999998</c:v>
                </c:pt>
                <c:pt idx="27">
                  <c:v>100.85979301</c:v>
                </c:pt>
                <c:pt idx="28">
                  <c:v>101.13090507</c:v>
                </c:pt>
                <c:pt idx="30">
                  <c:v>100.01060117999999</c:v>
                </c:pt>
                <c:pt idx="31">
                  <c:v>100.68431622999999</c:v>
                </c:pt>
                <c:pt idx="32">
                  <c:v>100.14395835000001</c:v>
                </c:pt>
                <c:pt idx="33">
                  <c:v>98.546618546999994</c:v>
                </c:pt>
                <c:pt idx="34">
                  <c:v>98.498805228999998</c:v>
                </c:pt>
                <c:pt idx="35">
                  <c:v>97.765258724999995</c:v>
                </c:pt>
                <c:pt idx="36">
                  <c:v>97.444925045000005</c:v>
                </c:pt>
                <c:pt idx="37">
                  <c:v>98.289373562999998</c:v>
                </c:pt>
                <c:pt idx="38">
                  <c:v>97.484193481999995</c:v>
                </c:pt>
                <c:pt idx="39">
                  <c:v>99.166290902</c:v>
                </c:pt>
                <c:pt idx="40">
                  <c:v>97.891462039999993</c:v>
                </c:pt>
                <c:pt idx="41">
                  <c:v>97.226335063999997</c:v>
                </c:pt>
                <c:pt idx="42">
                  <c:v>97.755227778000005</c:v>
                </c:pt>
                <c:pt idx="43">
                  <c:v>99.404839097999997</c:v>
                </c:pt>
                <c:pt idx="45">
                  <c:v>102.08927093</c:v>
                </c:pt>
                <c:pt idx="46">
                  <c:v>102.32365469</c:v>
                </c:pt>
                <c:pt idx="47">
                  <c:v>103.04665185</c:v>
                </c:pt>
                <c:pt idx="48">
                  <c:v>102.96769162</c:v>
                </c:pt>
                <c:pt idx="49">
                  <c:v>102.84454684000001</c:v>
                </c:pt>
                <c:pt idx="50">
                  <c:v>104.16991059</c:v>
                </c:pt>
                <c:pt idx="51">
                  <c:v>104.03342576999999</c:v>
                </c:pt>
                <c:pt idx="52">
                  <c:v>106.41423354</c:v>
                </c:pt>
                <c:pt idx="54">
                  <c:v>107.6873085</c:v>
                </c:pt>
                <c:pt idx="55">
                  <c:v>107.80305751</c:v>
                </c:pt>
                <c:pt idx="56">
                  <c:v>108.82589446</c:v>
                </c:pt>
                <c:pt idx="57">
                  <c:v>108.53988717999999</c:v>
                </c:pt>
                <c:pt idx="58">
                  <c:v>108.89349319</c:v>
                </c:pt>
                <c:pt idx="59">
                  <c:v>109.36043768</c:v>
                </c:pt>
                <c:pt idx="60">
                  <c:v>108.44591941</c:v>
                </c:pt>
                <c:pt idx="61">
                  <c:v>108.63096922</c:v>
                </c:pt>
                <c:pt idx="62">
                  <c:v>109.32809846000001</c:v>
                </c:pt>
                <c:pt idx="63">
                  <c:v>109.00610591</c:v>
                </c:pt>
                <c:pt idx="64">
                  <c:v>110.01307133</c:v>
                </c:pt>
                <c:pt idx="65">
                  <c:v>110.75073908</c:v>
                </c:pt>
                <c:pt idx="66">
                  <c:v>109.55659842999999</c:v>
                </c:pt>
                <c:pt idx="67">
                  <c:v>109.64339507</c:v>
                </c:pt>
                <c:pt idx="68">
                  <c:v>108.53696689</c:v>
                </c:pt>
                <c:pt idx="69">
                  <c:v>108.87126268</c:v>
                </c:pt>
                <c:pt idx="70">
                  <c:v>109.80783003000001</c:v>
                </c:pt>
                <c:pt idx="71">
                  <c:v>109.6547652</c:v>
                </c:pt>
                <c:pt idx="72">
                  <c:v>109.21120897999999</c:v>
                </c:pt>
                <c:pt idx="73">
                  <c:v>111.85679574</c:v>
                </c:pt>
                <c:pt idx="74">
                  <c:v>113.04652139</c:v>
                </c:pt>
                <c:pt idx="75">
                  <c:v>112.48925517000001</c:v>
                </c:pt>
                <c:pt idx="76">
                  <c:v>113.25537418</c:v>
                </c:pt>
                <c:pt idx="77">
                  <c:v>113.91812517</c:v>
                </c:pt>
                <c:pt idx="78">
                  <c:v>113.01375881</c:v>
                </c:pt>
                <c:pt idx="79">
                  <c:v>114.20420157</c:v>
                </c:pt>
                <c:pt idx="80">
                  <c:v>114.69747189</c:v>
                </c:pt>
                <c:pt idx="82">
                  <c:v>115.37137703</c:v>
                </c:pt>
                <c:pt idx="83">
                  <c:v>115.94230295</c:v>
                </c:pt>
                <c:pt idx="84">
                  <c:v>115.9349763</c:v>
                </c:pt>
                <c:pt idx="87">
                  <c:v>114.64882914</c:v>
                </c:pt>
                <c:pt idx="88">
                  <c:v>114.76747253000001</c:v>
                </c:pt>
                <c:pt idx="89">
                  <c:v>113.3781388</c:v>
                </c:pt>
                <c:pt idx="90">
                  <c:v>114.06674907999999</c:v>
                </c:pt>
                <c:pt idx="91">
                  <c:v>114.41547353999999</c:v>
                </c:pt>
                <c:pt idx="92">
                  <c:v>113.56880456</c:v>
                </c:pt>
                <c:pt idx="93">
                  <c:v>113.04565739</c:v>
                </c:pt>
                <c:pt idx="94">
                  <c:v>112.87947717</c:v>
                </c:pt>
                <c:pt idx="95">
                  <c:v>113.17230134</c:v>
                </c:pt>
                <c:pt idx="96">
                  <c:v>113.63301645</c:v>
                </c:pt>
                <c:pt idx="97">
                  <c:v>111.70901854</c:v>
                </c:pt>
                <c:pt idx="98">
                  <c:v>111.04356325000001</c:v>
                </c:pt>
                <c:pt idx="99">
                  <c:v>109.99978313</c:v>
                </c:pt>
                <c:pt idx="100">
                  <c:v>110.27618282</c:v>
                </c:pt>
                <c:pt idx="101">
                  <c:v>109.38272867000001</c:v>
                </c:pt>
                <c:pt idx="102">
                  <c:v>110.81779349999999</c:v>
                </c:pt>
                <c:pt idx="103">
                  <c:v>110.43174458</c:v>
                </c:pt>
                <c:pt idx="104">
                  <c:v>110.73675969</c:v>
                </c:pt>
                <c:pt idx="105">
                  <c:v>111.42673507000001</c:v>
                </c:pt>
                <c:pt idx="106">
                  <c:v>111.02527254</c:v>
                </c:pt>
                <c:pt idx="107">
                  <c:v>110.07414693</c:v>
                </c:pt>
                <c:pt idx="108">
                  <c:v>110.37695021</c:v>
                </c:pt>
                <c:pt idx="109">
                  <c:v>111.00657575</c:v>
                </c:pt>
                <c:pt idx="110">
                  <c:v>109.88444884</c:v>
                </c:pt>
                <c:pt idx="111">
                  <c:v>110.23975692</c:v>
                </c:pt>
                <c:pt idx="112">
                  <c:v>112.67865087</c:v>
                </c:pt>
                <c:pt idx="113">
                  <c:v>112.27567635</c:v>
                </c:pt>
                <c:pt idx="114">
                  <c:v>110.77839546</c:v>
                </c:pt>
                <c:pt idx="115">
                  <c:v>110.61318291000001</c:v>
                </c:pt>
                <c:pt idx="118">
                  <c:v>109.74278871</c:v>
                </c:pt>
                <c:pt idx="119">
                  <c:v>110.4217482</c:v>
                </c:pt>
                <c:pt idx="120">
                  <c:v>111.21813284</c:v>
                </c:pt>
                <c:pt idx="121">
                  <c:v>111.48584940000001</c:v>
                </c:pt>
                <c:pt idx="122">
                  <c:v>112.24648206000001</c:v>
                </c:pt>
                <c:pt idx="123">
                  <c:v>112.34624722</c:v>
                </c:pt>
                <c:pt idx="124">
                  <c:v>112.52679563</c:v>
                </c:pt>
                <c:pt idx="125">
                  <c:v>111.81674971</c:v>
                </c:pt>
                <c:pt idx="126">
                  <c:v>111.98118467</c:v>
                </c:pt>
                <c:pt idx="127">
                  <c:v>113.77856454</c:v>
                </c:pt>
                <c:pt idx="128">
                  <c:v>112.45325262999999</c:v>
                </c:pt>
                <c:pt idx="129">
                  <c:v>111.47226745</c:v>
                </c:pt>
                <c:pt idx="130">
                  <c:v>111.61080857</c:v>
                </c:pt>
                <c:pt idx="131">
                  <c:v>110.88520215</c:v>
                </c:pt>
                <c:pt idx="132">
                  <c:v>110.67574457000001</c:v>
                </c:pt>
                <c:pt idx="133">
                  <c:v>111.36012993</c:v>
                </c:pt>
                <c:pt idx="134">
                  <c:v>110.88452823999999</c:v>
                </c:pt>
                <c:pt idx="135">
                  <c:v>109.78814829</c:v>
                </c:pt>
                <c:pt idx="136">
                  <c:v>108.96974913</c:v>
                </c:pt>
                <c:pt idx="137">
                  <c:v>110.30399472000001</c:v>
                </c:pt>
                <c:pt idx="138">
                  <c:v>110.59620545999999</c:v>
                </c:pt>
                <c:pt idx="139">
                  <c:v>110.32311487</c:v>
                </c:pt>
                <c:pt idx="140">
                  <c:v>109.50391218999999</c:v>
                </c:pt>
                <c:pt idx="141">
                  <c:v>109.68739818</c:v>
                </c:pt>
                <c:pt idx="142">
                  <c:v>110.18390847000001</c:v>
                </c:pt>
                <c:pt idx="143">
                  <c:v>111.56282245</c:v>
                </c:pt>
                <c:pt idx="144">
                  <c:v>110.72798152999999</c:v>
                </c:pt>
                <c:pt idx="145">
                  <c:v>109.75040048</c:v>
                </c:pt>
                <c:pt idx="146">
                  <c:v>109.66777691999999</c:v>
                </c:pt>
                <c:pt idx="147">
                  <c:v>109.60863667</c:v>
                </c:pt>
                <c:pt idx="148">
                  <c:v>110.32367646</c:v>
                </c:pt>
                <c:pt idx="149">
                  <c:v>110.68264787</c:v>
                </c:pt>
                <c:pt idx="151">
                  <c:v>109.71873517</c:v>
                </c:pt>
                <c:pt idx="152">
                  <c:v>110.2009032</c:v>
                </c:pt>
                <c:pt idx="153">
                  <c:v>110.00207270999999</c:v>
                </c:pt>
                <c:pt idx="154">
                  <c:v>110.09636879999999</c:v>
                </c:pt>
                <c:pt idx="155">
                  <c:v>109.55022217</c:v>
                </c:pt>
                <c:pt idx="156">
                  <c:v>111.33155771</c:v>
                </c:pt>
                <c:pt idx="157">
                  <c:v>112.22424289999999</c:v>
                </c:pt>
                <c:pt idx="158">
                  <c:v>110.63740924</c:v>
                </c:pt>
                <c:pt idx="159">
                  <c:v>110.06942952999999</c:v>
                </c:pt>
                <c:pt idx="160">
                  <c:v>108.81641646999999</c:v>
                </c:pt>
                <c:pt idx="161">
                  <c:v>108.28748055</c:v>
                </c:pt>
                <c:pt idx="162">
                  <c:v>107.47077482</c:v>
                </c:pt>
                <c:pt idx="163">
                  <c:v>107.28288247</c:v>
                </c:pt>
                <c:pt idx="164">
                  <c:v>107.30450819000001</c:v>
                </c:pt>
                <c:pt idx="165">
                  <c:v>108.10639647000001</c:v>
                </c:pt>
                <c:pt idx="166">
                  <c:v>108.49420791999999</c:v>
                </c:pt>
                <c:pt idx="167">
                  <c:v>108.12693356</c:v>
                </c:pt>
                <c:pt idx="168">
                  <c:v>107.77496049</c:v>
                </c:pt>
                <c:pt idx="169">
                  <c:v>107.69278620999999</c:v>
                </c:pt>
                <c:pt idx="170">
                  <c:v>109.31768735999999</c:v>
                </c:pt>
                <c:pt idx="171">
                  <c:v>110.03093004999999</c:v>
                </c:pt>
                <c:pt idx="172">
                  <c:v>108.79749504</c:v>
                </c:pt>
                <c:pt idx="174">
                  <c:v>109.83260932</c:v>
                </c:pt>
                <c:pt idx="175">
                  <c:v>111.03046513</c:v>
                </c:pt>
                <c:pt idx="176">
                  <c:v>110.99333075</c:v>
                </c:pt>
                <c:pt idx="177">
                  <c:v>111.63682337</c:v>
                </c:pt>
                <c:pt idx="178">
                  <c:v>111.87045544999999</c:v>
                </c:pt>
                <c:pt idx="179">
                  <c:v>110.75370257</c:v>
                </c:pt>
                <c:pt idx="180">
                  <c:v>110.24500999</c:v>
                </c:pt>
                <c:pt idx="181">
                  <c:v>110.72471564</c:v>
                </c:pt>
                <c:pt idx="182">
                  <c:v>111.03635756</c:v>
                </c:pt>
                <c:pt idx="183">
                  <c:v>110.61481585</c:v>
                </c:pt>
                <c:pt idx="184">
                  <c:v>110.83602372999999</c:v>
                </c:pt>
                <c:pt idx="185">
                  <c:v>110.72119055</c:v>
                </c:pt>
                <c:pt idx="186">
                  <c:v>110.37577518000001</c:v>
                </c:pt>
                <c:pt idx="187">
                  <c:v>110.08256221000001</c:v>
                </c:pt>
                <c:pt idx="188">
                  <c:v>108.56062299</c:v>
                </c:pt>
                <c:pt idx="189">
                  <c:v>107.76520601999999</c:v>
                </c:pt>
                <c:pt idx="190">
                  <c:v>107.39902028</c:v>
                </c:pt>
                <c:pt idx="191">
                  <c:v>107.5632738</c:v>
                </c:pt>
                <c:pt idx="192">
                  <c:v>106.94453455999999</c:v>
                </c:pt>
                <c:pt idx="193">
                  <c:v>106.01811048</c:v>
                </c:pt>
                <c:pt idx="195">
                  <c:v>105.49177518</c:v>
                </c:pt>
                <c:pt idx="196">
                  <c:v>105.43431107000001</c:v>
                </c:pt>
                <c:pt idx="197">
                  <c:v>105.23600762</c:v>
                </c:pt>
                <c:pt idx="198">
                  <c:v>104.89496405</c:v>
                </c:pt>
                <c:pt idx="199">
                  <c:v>106.18358223</c:v>
                </c:pt>
                <c:pt idx="200">
                  <c:v>104.3418882</c:v>
                </c:pt>
                <c:pt idx="201">
                  <c:v>104.33525274</c:v>
                </c:pt>
                <c:pt idx="202">
                  <c:v>105.09172096</c:v>
                </c:pt>
                <c:pt idx="203">
                  <c:v>103.62376396000001</c:v>
                </c:pt>
                <c:pt idx="204">
                  <c:v>103.30539154</c:v>
                </c:pt>
                <c:pt idx="205">
                  <c:v>103.38734118000001</c:v>
                </c:pt>
                <c:pt idx="206">
                  <c:v>102.93416009000001</c:v>
                </c:pt>
                <c:pt idx="207">
                  <c:v>103.35974528</c:v>
                </c:pt>
                <c:pt idx="208">
                  <c:v>103.90483784</c:v>
                </c:pt>
                <c:pt idx="209">
                  <c:v>104.06430485</c:v>
                </c:pt>
                <c:pt idx="210">
                  <c:v>104.83776777999999</c:v>
                </c:pt>
                <c:pt idx="211">
                  <c:v>105.95735456</c:v>
                </c:pt>
                <c:pt idx="212">
                  <c:v>105.69334452</c:v>
                </c:pt>
                <c:pt idx="213">
                  <c:v>105.96110428</c:v>
                </c:pt>
                <c:pt idx="214">
                  <c:v>107.4009729</c:v>
                </c:pt>
                <c:pt idx="215">
                  <c:v>107.05427019</c:v>
                </c:pt>
                <c:pt idx="216">
                  <c:v>107.75541699</c:v>
                </c:pt>
                <c:pt idx="217">
                  <c:v>107.81504108</c:v>
                </c:pt>
                <c:pt idx="218">
                  <c:v>108.57086993</c:v>
                </c:pt>
                <c:pt idx="219">
                  <c:v>109.00467169</c:v>
                </c:pt>
                <c:pt idx="220">
                  <c:v>109.09372334</c:v>
                </c:pt>
                <c:pt idx="221">
                  <c:v>109.33675565999999</c:v>
                </c:pt>
                <c:pt idx="222">
                  <c:v>109.82048751000001</c:v>
                </c:pt>
                <c:pt idx="223">
                  <c:v>109.91554391</c:v>
                </c:pt>
                <c:pt idx="224">
                  <c:v>110.84465501</c:v>
                </c:pt>
                <c:pt idx="225">
                  <c:v>111.36596187000001</c:v>
                </c:pt>
                <c:pt idx="226">
                  <c:v>111.73227721000001</c:v>
                </c:pt>
                <c:pt idx="227">
                  <c:v>111.55033777</c:v>
                </c:pt>
                <c:pt idx="228">
                  <c:v>111.84404322</c:v>
                </c:pt>
                <c:pt idx="229">
                  <c:v>110.29036093000001</c:v>
                </c:pt>
                <c:pt idx="230">
                  <c:v>110.25960281</c:v>
                </c:pt>
                <c:pt idx="231">
                  <c:v>110.46969975</c:v>
                </c:pt>
                <c:pt idx="232">
                  <c:v>109.37261133</c:v>
                </c:pt>
                <c:pt idx="233">
                  <c:v>109.22822961999999</c:v>
                </c:pt>
                <c:pt idx="234">
                  <c:v>108.82332839999999</c:v>
                </c:pt>
                <c:pt idx="235">
                  <c:v>110.15249372</c:v>
                </c:pt>
                <c:pt idx="236">
                  <c:v>109.68712170000001</c:v>
                </c:pt>
                <c:pt idx="237">
                  <c:v>108.9832706</c:v>
                </c:pt>
                <c:pt idx="238">
                  <c:v>110.29014493</c:v>
                </c:pt>
                <c:pt idx="239">
                  <c:v>110.06834954</c:v>
                </c:pt>
                <c:pt idx="240">
                  <c:v>108.73692920000001</c:v>
                </c:pt>
                <c:pt idx="241">
                  <c:v>108.23188267</c:v>
                </c:pt>
                <c:pt idx="242">
                  <c:v>109.09342095</c:v>
                </c:pt>
                <c:pt idx="243">
                  <c:v>110.17097450999999</c:v>
                </c:pt>
                <c:pt idx="244">
                  <c:v>111.16197336</c:v>
                </c:pt>
                <c:pt idx="245">
                  <c:v>112.8499632</c:v>
                </c:pt>
                <c:pt idx="246">
                  <c:v>113.28309104</c:v>
                </c:pt>
                <c:pt idx="247">
                  <c:v>114.39078929</c:v>
                </c:pt>
                <c:pt idx="248">
                  <c:v>115.18539411</c:v>
                </c:pt>
                <c:pt idx="249">
                  <c:v>115.90748408</c:v>
                </c:pt>
                <c:pt idx="250">
                  <c:v>115.73453879</c:v>
                </c:pt>
                <c:pt idx="251">
                  <c:v>117.31109094999999</c:v>
                </c:pt>
                <c:pt idx="252">
                  <c:v>117.578436</c:v>
                </c:pt>
                <c:pt idx="253">
                  <c:v>117.90350436</c:v>
                </c:pt>
                <c:pt idx="254">
                  <c:v>116.78873000999999</c:v>
                </c:pt>
                <c:pt idx="255">
                  <c:v>117.16463566</c:v>
                </c:pt>
                <c:pt idx="256">
                  <c:v>118.2707528</c:v>
                </c:pt>
                <c:pt idx="257">
                  <c:v>118.1732945</c:v>
                </c:pt>
                <c:pt idx="258">
                  <c:v>118.66408517000001</c:v>
                </c:pt>
                <c:pt idx="259">
                  <c:v>117.53864053</c:v>
                </c:pt>
                <c:pt idx="260">
                  <c:v>117.50637906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B4-44BC-B0FA-93613E40C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5758768"/>
        <c:axId val="825751224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'Base Gráfico'!$E$8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19050" cap="rnd">
                    <a:solidFill>
                      <a:srgbClr val="C59C00"/>
                    </a:solidFill>
                    <a:round/>
                  </a:ln>
                  <a:effectLst/>
                </c:spPr>
                <c:marker>
                  <c:symbol val="none"/>
                </c:marker>
                <c:dPt>
                  <c:idx val="250"/>
                  <c:marker>
                    <c:symbol val="none"/>
                  </c:marker>
                  <c:bubble3D val="0"/>
                  <c:extLst>
                    <c:ext xmlns:c16="http://schemas.microsoft.com/office/drawing/2014/chart" uri="{C3380CC4-5D6E-409C-BE32-E72D297353CC}">
                      <c16:uniqueId val="{00000000-68B0-46CB-81DD-6CC9E0DC3A6C}"/>
                    </c:ext>
                  </c:extLst>
                </c:dPt>
                <c:cat>
                  <c:numRef>
                    <c:extLst>
                      <c:ext uri="{02D57815-91ED-43cb-92C2-25804820EDAC}">
                        <c15:formulaRef>
                          <c15:sqref>'Base Gráfico'!$B$10:$B$5000</c15:sqref>
                        </c15:formulaRef>
                      </c:ext>
                    </c:extLst>
                    <c:numCache>
                      <c:formatCode>m/d/yyyy</c:formatCode>
                      <c:ptCount val="4991"/>
                      <c:pt idx="0">
                        <c:v>45170</c:v>
                      </c:pt>
                      <c:pt idx="1">
                        <c:v>45173</c:v>
                      </c:pt>
                      <c:pt idx="2">
                        <c:v>45174</c:v>
                      </c:pt>
                      <c:pt idx="3">
                        <c:v>45175</c:v>
                      </c:pt>
                      <c:pt idx="4">
                        <c:v>45176</c:v>
                      </c:pt>
                      <c:pt idx="5">
                        <c:v>45177</c:v>
                      </c:pt>
                      <c:pt idx="6">
                        <c:v>45180</c:v>
                      </c:pt>
                      <c:pt idx="7">
                        <c:v>45181</c:v>
                      </c:pt>
                      <c:pt idx="8">
                        <c:v>45182</c:v>
                      </c:pt>
                      <c:pt idx="9">
                        <c:v>45183</c:v>
                      </c:pt>
                      <c:pt idx="10">
                        <c:v>45184</c:v>
                      </c:pt>
                      <c:pt idx="11">
                        <c:v>45187</c:v>
                      </c:pt>
                      <c:pt idx="12">
                        <c:v>45188</c:v>
                      </c:pt>
                      <c:pt idx="13">
                        <c:v>45189</c:v>
                      </c:pt>
                      <c:pt idx="14">
                        <c:v>45190</c:v>
                      </c:pt>
                      <c:pt idx="15">
                        <c:v>45191</c:v>
                      </c:pt>
                      <c:pt idx="16">
                        <c:v>45194</c:v>
                      </c:pt>
                      <c:pt idx="17">
                        <c:v>45195</c:v>
                      </c:pt>
                      <c:pt idx="18">
                        <c:v>45196</c:v>
                      </c:pt>
                      <c:pt idx="19">
                        <c:v>45197</c:v>
                      </c:pt>
                      <c:pt idx="20">
                        <c:v>45198</c:v>
                      </c:pt>
                      <c:pt idx="21">
                        <c:v>45201</c:v>
                      </c:pt>
                      <c:pt idx="22">
                        <c:v>45202</c:v>
                      </c:pt>
                      <c:pt idx="23">
                        <c:v>45203</c:v>
                      </c:pt>
                      <c:pt idx="24">
                        <c:v>45204</c:v>
                      </c:pt>
                      <c:pt idx="25">
                        <c:v>45205</c:v>
                      </c:pt>
                      <c:pt idx="26">
                        <c:v>45208</c:v>
                      </c:pt>
                      <c:pt idx="27">
                        <c:v>45209</c:v>
                      </c:pt>
                      <c:pt idx="28">
                        <c:v>45210</c:v>
                      </c:pt>
                      <c:pt idx="29">
                        <c:v>45211</c:v>
                      </c:pt>
                      <c:pt idx="30">
                        <c:v>45212</c:v>
                      </c:pt>
                      <c:pt idx="31">
                        <c:v>45215</c:v>
                      </c:pt>
                      <c:pt idx="32">
                        <c:v>45216</c:v>
                      </c:pt>
                      <c:pt idx="33">
                        <c:v>45217</c:v>
                      </c:pt>
                      <c:pt idx="34">
                        <c:v>45218</c:v>
                      </c:pt>
                      <c:pt idx="35">
                        <c:v>45219</c:v>
                      </c:pt>
                      <c:pt idx="36">
                        <c:v>45222</c:v>
                      </c:pt>
                      <c:pt idx="37">
                        <c:v>45223</c:v>
                      </c:pt>
                      <c:pt idx="38">
                        <c:v>45224</c:v>
                      </c:pt>
                      <c:pt idx="39">
                        <c:v>45225</c:v>
                      </c:pt>
                      <c:pt idx="40">
                        <c:v>45226</c:v>
                      </c:pt>
                      <c:pt idx="41">
                        <c:v>45229</c:v>
                      </c:pt>
                      <c:pt idx="42">
                        <c:v>45230</c:v>
                      </c:pt>
                      <c:pt idx="43">
                        <c:v>45231</c:v>
                      </c:pt>
                      <c:pt idx="44">
                        <c:v>45232</c:v>
                      </c:pt>
                      <c:pt idx="45">
                        <c:v>45233</c:v>
                      </c:pt>
                      <c:pt idx="46">
                        <c:v>45236</c:v>
                      </c:pt>
                      <c:pt idx="47">
                        <c:v>45237</c:v>
                      </c:pt>
                      <c:pt idx="48">
                        <c:v>45238</c:v>
                      </c:pt>
                      <c:pt idx="49">
                        <c:v>45239</c:v>
                      </c:pt>
                      <c:pt idx="50">
                        <c:v>45240</c:v>
                      </c:pt>
                      <c:pt idx="51">
                        <c:v>45243</c:v>
                      </c:pt>
                      <c:pt idx="52">
                        <c:v>45244</c:v>
                      </c:pt>
                      <c:pt idx="53">
                        <c:v>45245</c:v>
                      </c:pt>
                      <c:pt idx="54">
                        <c:v>45246</c:v>
                      </c:pt>
                      <c:pt idx="55">
                        <c:v>45247</c:v>
                      </c:pt>
                      <c:pt idx="56">
                        <c:v>45250</c:v>
                      </c:pt>
                      <c:pt idx="57">
                        <c:v>45251</c:v>
                      </c:pt>
                      <c:pt idx="58">
                        <c:v>45252</c:v>
                      </c:pt>
                      <c:pt idx="59">
                        <c:v>45253</c:v>
                      </c:pt>
                      <c:pt idx="60">
                        <c:v>45254</c:v>
                      </c:pt>
                      <c:pt idx="61">
                        <c:v>45257</c:v>
                      </c:pt>
                      <c:pt idx="62">
                        <c:v>45258</c:v>
                      </c:pt>
                      <c:pt idx="63">
                        <c:v>45259</c:v>
                      </c:pt>
                      <c:pt idx="64">
                        <c:v>45260</c:v>
                      </c:pt>
                      <c:pt idx="65">
                        <c:v>45261</c:v>
                      </c:pt>
                      <c:pt idx="66">
                        <c:v>45264</c:v>
                      </c:pt>
                      <c:pt idx="67">
                        <c:v>45265</c:v>
                      </c:pt>
                      <c:pt idx="68">
                        <c:v>45266</c:v>
                      </c:pt>
                      <c:pt idx="69">
                        <c:v>45267</c:v>
                      </c:pt>
                      <c:pt idx="70">
                        <c:v>45268</c:v>
                      </c:pt>
                      <c:pt idx="71">
                        <c:v>45271</c:v>
                      </c:pt>
                      <c:pt idx="72">
                        <c:v>45272</c:v>
                      </c:pt>
                      <c:pt idx="73">
                        <c:v>45273</c:v>
                      </c:pt>
                      <c:pt idx="74">
                        <c:v>45274</c:v>
                      </c:pt>
                      <c:pt idx="75">
                        <c:v>45275</c:v>
                      </c:pt>
                      <c:pt idx="76">
                        <c:v>45278</c:v>
                      </c:pt>
                      <c:pt idx="77">
                        <c:v>45279</c:v>
                      </c:pt>
                      <c:pt idx="78">
                        <c:v>45280</c:v>
                      </c:pt>
                      <c:pt idx="79">
                        <c:v>45281</c:v>
                      </c:pt>
                      <c:pt idx="80">
                        <c:v>45282</c:v>
                      </c:pt>
                      <c:pt idx="81">
                        <c:v>45285</c:v>
                      </c:pt>
                      <c:pt idx="82">
                        <c:v>45286</c:v>
                      </c:pt>
                      <c:pt idx="83">
                        <c:v>45287</c:v>
                      </c:pt>
                      <c:pt idx="84">
                        <c:v>45288</c:v>
                      </c:pt>
                      <c:pt idx="85">
                        <c:v>45289</c:v>
                      </c:pt>
                      <c:pt idx="86">
                        <c:v>45292</c:v>
                      </c:pt>
                      <c:pt idx="87">
                        <c:v>45293</c:v>
                      </c:pt>
                      <c:pt idx="88">
                        <c:v>45294</c:v>
                      </c:pt>
                      <c:pt idx="89">
                        <c:v>45295</c:v>
                      </c:pt>
                      <c:pt idx="90">
                        <c:v>45296</c:v>
                      </c:pt>
                      <c:pt idx="91">
                        <c:v>45299</c:v>
                      </c:pt>
                      <c:pt idx="92">
                        <c:v>45300</c:v>
                      </c:pt>
                      <c:pt idx="93">
                        <c:v>45301</c:v>
                      </c:pt>
                      <c:pt idx="94">
                        <c:v>45302</c:v>
                      </c:pt>
                      <c:pt idx="95">
                        <c:v>45303</c:v>
                      </c:pt>
                      <c:pt idx="96">
                        <c:v>45306</c:v>
                      </c:pt>
                      <c:pt idx="97">
                        <c:v>45307</c:v>
                      </c:pt>
                      <c:pt idx="98">
                        <c:v>45308</c:v>
                      </c:pt>
                      <c:pt idx="99">
                        <c:v>45309</c:v>
                      </c:pt>
                      <c:pt idx="100">
                        <c:v>45310</c:v>
                      </c:pt>
                      <c:pt idx="101">
                        <c:v>45313</c:v>
                      </c:pt>
                      <c:pt idx="102">
                        <c:v>45314</c:v>
                      </c:pt>
                      <c:pt idx="103">
                        <c:v>45315</c:v>
                      </c:pt>
                      <c:pt idx="104">
                        <c:v>45316</c:v>
                      </c:pt>
                      <c:pt idx="105">
                        <c:v>45317</c:v>
                      </c:pt>
                      <c:pt idx="106">
                        <c:v>45320</c:v>
                      </c:pt>
                      <c:pt idx="107">
                        <c:v>45321</c:v>
                      </c:pt>
                      <c:pt idx="108">
                        <c:v>45322</c:v>
                      </c:pt>
                      <c:pt idx="109">
                        <c:v>45323</c:v>
                      </c:pt>
                      <c:pt idx="110">
                        <c:v>45324</c:v>
                      </c:pt>
                      <c:pt idx="111">
                        <c:v>45327</c:v>
                      </c:pt>
                      <c:pt idx="112">
                        <c:v>45328</c:v>
                      </c:pt>
                      <c:pt idx="113">
                        <c:v>45329</c:v>
                      </c:pt>
                      <c:pt idx="114">
                        <c:v>45330</c:v>
                      </c:pt>
                      <c:pt idx="115">
                        <c:v>45331</c:v>
                      </c:pt>
                      <c:pt idx="116">
                        <c:v>45334</c:v>
                      </c:pt>
                      <c:pt idx="117">
                        <c:v>45335</c:v>
                      </c:pt>
                      <c:pt idx="118">
                        <c:v>45336</c:v>
                      </c:pt>
                      <c:pt idx="119">
                        <c:v>45337</c:v>
                      </c:pt>
                      <c:pt idx="120">
                        <c:v>45338</c:v>
                      </c:pt>
                      <c:pt idx="121">
                        <c:v>45341</c:v>
                      </c:pt>
                      <c:pt idx="122">
                        <c:v>45342</c:v>
                      </c:pt>
                      <c:pt idx="123">
                        <c:v>45343</c:v>
                      </c:pt>
                      <c:pt idx="124">
                        <c:v>45344</c:v>
                      </c:pt>
                      <c:pt idx="125">
                        <c:v>45345</c:v>
                      </c:pt>
                      <c:pt idx="126">
                        <c:v>45348</c:v>
                      </c:pt>
                      <c:pt idx="127">
                        <c:v>45349</c:v>
                      </c:pt>
                      <c:pt idx="128">
                        <c:v>45350</c:v>
                      </c:pt>
                      <c:pt idx="129">
                        <c:v>45351</c:v>
                      </c:pt>
                      <c:pt idx="130">
                        <c:v>45352</c:v>
                      </c:pt>
                      <c:pt idx="131">
                        <c:v>45355</c:v>
                      </c:pt>
                      <c:pt idx="132">
                        <c:v>45356</c:v>
                      </c:pt>
                      <c:pt idx="133">
                        <c:v>45357</c:v>
                      </c:pt>
                      <c:pt idx="134">
                        <c:v>45358</c:v>
                      </c:pt>
                      <c:pt idx="135">
                        <c:v>45359</c:v>
                      </c:pt>
                      <c:pt idx="136">
                        <c:v>45362</c:v>
                      </c:pt>
                      <c:pt idx="137">
                        <c:v>45363</c:v>
                      </c:pt>
                      <c:pt idx="138">
                        <c:v>45364</c:v>
                      </c:pt>
                      <c:pt idx="139">
                        <c:v>45365</c:v>
                      </c:pt>
                      <c:pt idx="140">
                        <c:v>45366</c:v>
                      </c:pt>
                      <c:pt idx="141">
                        <c:v>45369</c:v>
                      </c:pt>
                      <c:pt idx="142">
                        <c:v>45370</c:v>
                      </c:pt>
                      <c:pt idx="143">
                        <c:v>45371</c:v>
                      </c:pt>
                      <c:pt idx="144">
                        <c:v>45372</c:v>
                      </c:pt>
                      <c:pt idx="145">
                        <c:v>45373</c:v>
                      </c:pt>
                      <c:pt idx="146">
                        <c:v>45376</c:v>
                      </c:pt>
                      <c:pt idx="147">
                        <c:v>45377</c:v>
                      </c:pt>
                      <c:pt idx="148">
                        <c:v>45378</c:v>
                      </c:pt>
                      <c:pt idx="149">
                        <c:v>45379</c:v>
                      </c:pt>
                      <c:pt idx="150">
                        <c:v>45380</c:v>
                      </c:pt>
                      <c:pt idx="151">
                        <c:v>45383</c:v>
                      </c:pt>
                      <c:pt idx="152">
                        <c:v>45384</c:v>
                      </c:pt>
                      <c:pt idx="153">
                        <c:v>45385</c:v>
                      </c:pt>
                      <c:pt idx="154">
                        <c:v>45386</c:v>
                      </c:pt>
                      <c:pt idx="155">
                        <c:v>45387</c:v>
                      </c:pt>
                      <c:pt idx="156">
                        <c:v>45390</c:v>
                      </c:pt>
                      <c:pt idx="157">
                        <c:v>45391</c:v>
                      </c:pt>
                      <c:pt idx="158">
                        <c:v>45392</c:v>
                      </c:pt>
                      <c:pt idx="159">
                        <c:v>45393</c:v>
                      </c:pt>
                      <c:pt idx="160">
                        <c:v>45394</c:v>
                      </c:pt>
                      <c:pt idx="161">
                        <c:v>45397</c:v>
                      </c:pt>
                      <c:pt idx="162">
                        <c:v>45398</c:v>
                      </c:pt>
                      <c:pt idx="163">
                        <c:v>45399</c:v>
                      </c:pt>
                      <c:pt idx="164">
                        <c:v>45400</c:v>
                      </c:pt>
                      <c:pt idx="165">
                        <c:v>45401</c:v>
                      </c:pt>
                      <c:pt idx="166">
                        <c:v>45404</c:v>
                      </c:pt>
                      <c:pt idx="167">
                        <c:v>45405</c:v>
                      </c:pt>
                      <c:pt idx="168">
                        <c:v>45406</c:v>
                      </c:pt>
                      <c:pt idx="169">
                        <c:v>45407</c:v>
                      </c:pt>
                      <c:pt idx="170">
                        <c:v>45408</c:v>
                      </c:pt>
                      <c:pt idx="171">
                        <c:v>45411</c:v>
                      </c:pt>
                      <c:pt idx="172">
                        <c:v>45412</c:v>
                      </c:pt>
                      <c:pt idx="173">
                        <c:v>45413</c:v>
                      </c:pt>
                      <c:pt idx="174">
                        <c:v>45414</c:v>
                      </c:pt>
                      <c:pt idx="175">
                        <c:v>45415</c:v>
                      </c:pt>
                      <c:pt idx="176">
                        <c:v>45418</c:v>
                      </c:pt>
                      <c:pt idx="177">
                        <c:v>45419</c:v>
                      </c:pt>
                      <c:pt idx="178">
                        <c:v>45420</c:v>
                      </c:pt>
                      <c:pt idx="179">
                        <c:v>45421</c:v>
                      </c:pt>
                      <c:pt idx="180">
                        <c:v>45422</c:v>
                      </c:pt>
                      <c:pt idx="181">
                        <c:v>45425</c:v>
                      </c:pt>
                      <c:pt idx="182">
                        <c:v>45426</c:v>
                      </c:pt>
                      <c:pt idx="183">
                        <c:v>45427</c:v>
                      </c:pt>
                      <c:pt idx="184">
                        <c:v>45428</c:v>
                      </c:pt>
                      <c:pt idx="185">
                        <c:v>45429</c:v>
                      </c:pt>
                      <c:pt idx="186">
                        <c:v>45432</c:v>
                      </c:pt>
                      <c:pt idx="187">
                        <c:v>45433</c:v>
                      </c:pt>
                      <c:pt idx="188">
                        <c:v>45434</c:v>
                      </c:pt>
                      <c:pt idx="189">
                        <c:v>45435</c:v>
                      </c:pt>
                      <c:pt idx="190">
                        <c:v>45436</c:v>
                      </c:pt>
                      <c:pt idx="191">
                        <c:v>45439</c:v>
                      </c:pt>
                      <c:pt idx="192">
                        <c:v>45440</c:v>
                      </c:pt>
                      <c:pt idx="193">
                        <c:v>45441</c:v>
                      </c:pt>
                      <c:pt idx="194">
                        <c:v>45442</c:v>
                      </c:pt>
                      <c:pt idx="195">
                        <c:v>45443</c:v>
                      </c:pt>
                      <c:pt idx="196">
                        <c:v>45446</c:v>
                      </c:pt>
                      <c:pt idx="197">
                        <c:v>45447</c:v>
                      </c:pt>
                      <c:pt idx="198">
                        <c:v>45448</c:v>
                      </c:pt>
                      <c:pt idx="199">
                        <c:v>45449</c:v>
                      </c:pt>
                      <c:pt idx="200">
                        <c:v>45450</c:v>
                      </c:pt>
                      <c:pt idx="201">
                        <c:v>45453</c:v>
                      </c:pt>
                      <c:pt idx="202">
                        <c:v>45454</c:v>
                      </c:pt>
                      <c:pt idx="203">
                        <c:v>45455</c:v>
                      </c:pt>
                      <c:pt idx="204">
                        <c:v>45456</c:v>
                      </c:pt>
                      <c:pt idx="205">
                        <c:v>45457</c:v>
                      </c:pt>
                      <c:pt idx="206">
                        <c:v>45460</c:v>
                      </c:pt>
                      <c:pt idx="207">
                        <c:v>45461</c:v>
                      </c:pt>
                      <c:pt idx="208">
                        <c:v>45462</c:v>
                      </c:pt>
                      <c:pt idx="209">
                        <c:v>45463</c:v>
                      </c:pt>
                      <c:pt idx="210">
                        <c:v>45464</c:v>
                      </c:pt>
                      <c:pt idx="211">
                        <c:v>45467</c:v>
                      </c:pt>
                      <c:pt idx="212">
                        <c:v>45468</c:v>
                      </c:pt>
                      <c:pt idx="213">
                        <c:v>45469</c:v>
                      </c:pt>
                      <c:pt idx="214">
                        <c:v>45470</c:v>
                      </c:pt>
                      <c:pt idx="215">
                        <c:v>45471</c:v>
                      </c:pt>
                      <c:pt idx="216">
                        <c:v>45474</c:v>
                      </c:pt>
                      <c:pt idx="217">
                        <c:v>45475</c:v>
                      </c:pt>
                      <c:pt idx="218">
                        <c:v>45476</c:v>
                      </c:pt>
                      <c:pt idx="219">
                        <c:v>45477</c:v>
                      </c:pt>
                      <c:pt idx="220">
                        <c:v>45478</c:v>
                      </c:pt>
                      <c:pt idx="221">
                        <c:v>45481</c:v>
                      </c:pt>
                      <c:pt idx="222">
                        <c:v>45482</c:v>
                      </c:pt>
                      <c:pt idx="223">
                        <c:v>45483</c:v>
                      </c:pt>
                      <c:pt idx="224">
                        <c:v>45484</c:v>
                      </c:pt>
                      <c:pt idx="225">
                        <c:v>45485</c:v>
                      </c:pt>
                      <c:pt idx="226">
                        <c:v>45488</c:v>
                      </c:pt>
                      <c:pt idx="227">
                        <c:v>45489</c:v>
                      </c:pt>
                      <c:pt idx="228">
                        <c:v>45490</c:v>
                      </c:pt>
                      <c:pt idx="229">
                        <c:v>45491</c:v>
                      </c:pt>
                      <c:pt idx="230">
                        <c:v>45492</c:v>
                      </c:pt>
                      <c:pt idx="231">
                        <c:v>45495</c:v>
                      </c:pt>
                      <c:pt idx="232">
                        <c:v>45496</c:v>
                      </c:pt>
                      <c:pt idx="233">
                        <c:v>45497</c:v>
                      </c:pt>
                      <c:pt idx="234">
                        <c:v>45498</c:v>
                      </c:pt>
                      <c:pt idx="235">
                        <c:v>45499</c:v>
                      </c:pt>
                      <c:pt idx="236">
                        <c:v>45502</c:v>
                      </c:pt>
                      <c:pt idx="237">
                        <c:v>45503</c:v>
                      </c:pt>
                      <c:pt idx="238">
                        <c:v>45504</c:v>
                      </c:pt>
                      <c:pt idx="239">
                        <c:v>45505</c:v>
                      </c:pt>
                      <c:pt idx="240">
                        <c:v>45506</c:v>
                      </c:pt>
                      <c:pt idx="241">
                        <c:v>45509</c:v>
                      </c:pt>
                      <c:pt idx="242">
                        <c:v>45510</c:v>
                      </c:pt>
                      <c:pt idx="243">
                        <c:v>45511</c:v>
                      </c:pt>
                      <c:pt idx="244">
                        <c:v>45512</c:v>
                      </c:pt>
                      <c:pt idx="245">
                        <c:v>45513</c:v>
                      </c:pt>
                      <c:pt idx="246">
                        <c:v>45516</c:v>
                      </c:pt>
                      <c:pt idx="247">
                        <c:v>45517</c:v>
                      </c:pt>
                      <c:pt idx="248">
                        <c:v>45518</c:v>
                      </c:pt>
                      <c:pt idx="249">
                        <c:v>45519</c:v>
                      </c:pt>
                      <c:pt idx="250">
                        <c:v>45520</c:v>
                      </c:pt>
                      <c:pt idx="251">
                        <c:v>45523</c:v>
                      </c:pt>
                      <c:pt idx="252">
                        <c:v>45524</c:v>
                      </c:pt>
                      <c:pt idx="253">
                        <c:v>45525</c:v>
                      </c:pt>
                      <c:pt idx="254">
                        <c:v>45526</c:v>
                      </c:pt>
                      <c:pt idx="255">
                        <c:v>45527</c:v>
                      </c:pt>
                      <c:pt idx="256">
                        <c:v>45530</c:v>
                      </c:pt>
                      <c:pt idx="257">
                        <c:v>45531</c:v>
                      </c:pt>
                      <c:pt idx="258">
                        <c:v>45532</c:v>
                      </c:pt>
                      <c:pt idx="259">
                        <c:v>45533</c:v>
                      </c:pt>
                      <c:pt idx="260">
                        <c:v>45534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'Base Gráfico'!$E$10:$E$5000</c15:sqref>
                        </c15:formulaRef>
                      </c:ext>
                    </c:extLst>
                    <c:numCache>
                      <c:formatCode>0.00</c:formatCode>
                      <c:ptCount val="4991"/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2-19B4-44BC-B0FA-93613E40CFA4}"/>
                  </c:ext>
                </c:extLst>
              </c15:ser>
            </c15:filteredLineSeries>
          </c:ext>
        </c:extLst>
      </c:lineChart>
      <c:dateAx>
        <c:axId val="825758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-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25751224"/>
        <c:crosses val="autoZero"/>
        <c:auto val="1"/>
        <c:lblOffset val="100"/>
        <c:baseTimeUnit val="days"/>
        <c:majorUnit val="3"/>
        <c:majorTimeUnit val="months"/>
      </c:dateAx>
      <c:valAx>
        <c:axId val="825751224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25758768"/>
        <c:crosses val="autoZero"/>
        <c:crossBetween val="between"/>
      </c:val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+mn-lt"/>
        </a:defRPr>
      </a:pPr>
      <a:endParaRPr lang="pt-BR"/>
    </a:p>
  </c:txPr>
  <c:printSettings>
    <c:headerFooter/>
    <c:pageMargins b="0.78740157499999996" l="0.511811024" r="0.511811024" t="1.3474015750000001" header="0.31496062000000002" footer="0.31496062000000002"/>
    <c:pageSetup paperSize="9"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92233</xdr:colOff>
      <xdr:row>47</xdr:row>
      <xdr:rowOff>98265</xdr:rowOff>
    </xdr:from>
    <xdr:to>
      <xdr:col>11</xdr:col>
      <xdr:colOff>1418748</xdr:colOff>
      <xdr:row>66</xdr:row>
      <xdr:rowOff>47624</xdr:rowOff>
    </xdr:to>
    <xdr:graphicFrame macro="">
      <xdr:nvGraphicFramePr>
        <xdr:cNvPr id="3" name="Acumulado">
          <a:extLst>
            <a:ext uri="{FF2B5EF4-FFF2-40B4-BE49-F238E27FC236}">
              <a16:creationId xmlns:a16="http://schemas.microsoft.com/office/drawing/2014/main" id="{10954121-DFDB-4EB0-BEA6-5B43A4A1F3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130969</xdr:colOff>
      <xdr:row>0</xdr:row>
      <xdr:rowOff>95250</xdr:rowOff>
    </xdr:from>
    <xdr:to>
      <xdr:col>2</xdr:col>
      <xdr:colOff>935779</xdr:colOff>
      <xdr:row>0</xdr:row>
      <xdr:rowOff>647538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4A2EEA2-A7F9-48CE-A8F9-C8DFF6A617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4329" y="91440"/>
          <a:ext cx="2349765" cy="5560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130969</xdr:colOff>
      <xdr:row>0</xdr:row>
      <xdr:rowOff>95250</xdr:rowOff>
    </xdr:from>
    <xdr:to>
      <xdr:col>2</xdr:col>
      <xdr:colOff>817669</xdr:colOff>
      <xdr:row>0</xdr:row>
      <xdr:rowOff>647538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F38F86B-817D-4F91-A1A0-F872922DFD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4329" y="91440"/>
          <a:ext cx="2349765" cy="5560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142874</xdr:colOff>
      <xdr:row>0</xdr:row>
      <xdr:rowOff>142875</xdr:rowOff>
    </xdr:from>
    <xdr:to>
      <xdr:col>2</xdr:col>
      <xdr:colOff>818144</xdr:colOff>
      <xdr:row>0</xdr:row>
      <xdr:rowOff>708498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73559A71-C1CF-4029-BDE3-70B6975F3F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31469" y="140970"/>
          <a:ext cx="2305950" cy="56752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eu%20Drive\Add-In\1-%20Planilhas%20Tc%20Economatica\Planilhas\2-%20Fundos\FIA's%20L&#226;mina%20Individual%20e%20Fund%20Guide.xlsm" TargetMode="External"/><Relationship Id="rId1" Type="http://schemas.openxmlformats.org/officeDocument/2006/relationships/externalLinkPath" Target="/Meu%20Drive/Add-In/1-%20Planilhas%20Tc%20Economatica/Planilhas/2-%20Fundos/FIA's%20L&#226;mina%20Individual%20e%20Fund%20Guid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âmina Individual"/>
      <sheetName val="Fund Guide"/>
      <sheetName val="Base Gráfico"/>
      <sheetName val="Versão"/>
    </sheetNames>
    <sheetDataSet>
      <sheetData sheetId="0">
        <row r="7">
          <cell r="M7">
            <v>43461</v>
          </cell>
        </row>
      </sheetData>
      <sheetData sheetId="1">
        <row r="2">
          <cell r="C2">
            <v>44673</v>
          </cell>
        </row>
        <row r="3">
          <cell r="C3" t="str">
            <v>2022-04-22</v>
          </cell>
        </row>
        <row r="4">
          <cell r="C4" t="str">
            <v>Anbima class=Ações</v>
          </cell>
        </row>
        <row r="5">
          <cell r="C5" t="str">
            <v>Net Assets[date=2022-04-22]&gt;1000000000</v>
          </cell>
        </row>
        <row r="7">
          <cell r="C7" t="str">
            <v>Nome</v>
          </cell>
        </row>
        <row r="8">
          <cell r="C8" t="str">
            <v>A10 Investimentos FIA Ie</v>
          </cell>
        </row>
        <row r="9">
          <cell r="C9" t="str">
            <v>Absolute Pace Lb Master FIA</v>
          </cell>
        </row>
        <row r="10">
          <cell r="C10" t="str">
            <v>Absoluto Partners I.2 Fc de FIA</v>
          </cell>
        </row>
        <row r="11">
          <cell r="C11" t="str">
            <v>Absoluto Partners Master FIA</v>
          </cell>
        </row>
        <row r="12">
          <cell r="C12" t="str">
            <v>Alaska Black FIC FIA Bdr Nivel I</v>
          </cell>
        </row>
        <row r="13">
          <cell r="C13" t="str">
            <v>Alaska Black Master FIA Bdr Nivel I</v>
          </cell>
        </row>
        <row r="14">
          <cell r="C14" t="str">
            <v>Alaska Institucional FIA</v>
          </cell>
        </row>
        <row r="15">
          <cell r="C15" t="str">
            <v>Alaska Poland FIA Bdr Nivel I Ie</v>
          </cell>
        </row>
        <row r="16">
          <cell r="C16" t="str">
            <v>Alden FIA</v>
          </cell>
        </row>
        <row r="17">
          <cell r="C17" t="str">
            <v>Ap LS Master FIA</v>
          </cell>
        </row>
        <row r="18">
          <cell r="C18" t="str">
            <v>Atena FIA Ie</v>
          </cell>
        </row>
        <row r="19">
          <cell r="C19" t="str">
            <v>Atmos Atit Fc de FIA</v>
          </cell>
        </row>
        <row r="20">
          <cell r="C20" t="str">
            <v>Atmos Institucional Master FIA</v>
          </cell>
        </row>
        <row r="21">
          <cell r="C21" t="str">
            <v>Atmos Master FIA</v>
          </cell>
        </row>
        <row r="22">
          <cell r="C22" t="str">
            <v>Atmr II Fc FIA</v>
          </cell>
        </row>
        <row r="23">
          <cell r="C23" t="str">
            <v>Az Quest Small Caps Mid Mast FIA</v>
          </cell>
        </row>
        <row r="24">
          <cell r="C24" t="str">
            <v>Az Quest Small Mid Caps Fc FIA</v>
          </cell>
        </row>
        <row r="25">
          <cell r="C25" t="str">
            <v>BB Acoes Bolsa Americana FIA</v>
          </cell>
        </row>
        <row r="26">
          <cell r="C26" t="str">
            <v>BB Acoes Esg Is FIA -Bdr Nivel I</v>
          </cell>
        </row>
        <row r="27">
          <cell r="C27" t="str">
            <v>BB Acoes Retorno Total Fc</v>
          </cell>
        </row>
        <row r="28">
          <cell r="C28" t="str">
            <v>BB Acoes Selecao Fatorial Fc FI</v>
          </cell>
        </row>
        <row r="29">
          <cell r="C29" t="str">
            <v>BB Acoes Vale FI</v>
          </cell>
        </row>
        <row r="30">
          <cell r="C30" t="str">
            <v>BB Ações Valor FICFIA</v>
          </cell>
        </row>
        <row r="31">
          <cell r="C31" t="str">
            <v>BB Top Acoes Quantitativo FI</v>
          </cell>
        </row>
        <row r="32">
          <cell r="C32" t="str">
            <v>BB Top Acoes Total Return FI</v>
          </cell>
        </row>
        <row r="33">
          <cell r="C33" t="str">
            <v>BB Top Acoes Valor FIA</v>
          </cell>
        </row>
        <row r="34">
          <cell r="C34" t="str">
            <v>Bergen FIA Bdr Nivel I Ie</v>
          </cell>
        </row>
        <row r="35">
          <cell r="C35" t="str">
            <v>Bogari Value A Fc FIA</v>
          </cell>
        </row>
        <row r="36">
          <cell r="C36" t="str">
            <v>Bogari Value Fc FIA</v>
          </cell>
        </row>
        <row r="37">
          <cell r="C37" t="str">
            <v>Bogari Value Master FIA</v>
          </cell>
        </row>
        <row r="38">
          <cell r="C38" t="str">
            <v>Bogari Value Master II FIA</v>
          </cell>
        </row>
        <row r="39">
          <cell r="C39" t="str">
            <v>Bradesco FIA Mid Small Caps</v>
          </cell>
        </row>
        <row r="40">
          <cell r="C40" t="str">
            <v>Brasil Capital 30 Master FIA</v>
          </cell>
        </row>
        <row r="41">
          <cell r="C41" t="str">
            <v>BTG Pactual Absolut Institucional Fc FIA</v>
          </cell>
        </row>
        <row r="42">
          <cell r="C42" t="str">
            <v>BTG Pactual Absoluto Institu Master FIA</v>
          </cell>
        </row>
        <row r="43">
          <cell r="C43" t="str">
            <v>Caixa FIA Institucional Bdr Nivel I</v>
          </cell>
        </row>
        <row r="44">
          <cell r="C44" t="str">
            <v>Carteira Ativa II FIA</v>
          </cell>
        </row>
        <row r="45">
          <cell r="C45" t="str">
            <v>Chardonnay FIA Ie</v>
          </cell>
        </row>
        <row r="46">
          <cell r="C46" t="str">
            <v>Clique Master FIA</v>
          </cell>
        </row>
        <row r="47">
          <cell r="C47" t="str">
            <v>Constancia Fundamento FIA</v>
          </cell>
        </row>
        <row r="48">
          <cell r="C48" t="str">
            <v>Constellation Master FIA</v>
          </cell>
        </row>
        <row r="49">
          <cell r="C49" t="str">
            <v>Constellation Qualifi Master FIA</v>
          </cell>
        </row>
        <row r="50">
          <cell r="C50" t="str">
            <v>CSHG Novo Tempo FIA Ie</v>
          </cell>
        </row>
        <row r="51">
          <cell r="C51" t="str">
            <v>Cx Fc Acoes Expert Vinci Valor Div Rpps</v>
          </cell>
        </row>
        <row r="52">
          <cell r="C52" t="str">
            <v>De Duero FIA Ie</v>
          </cell>
        </row>
        <row r="53">
          <cell r="C53" t="str">
            <v>Delta Fm&amp;B FIA</v>
          </cell>
        </row>
        <row r="54">
          <cell r="C54" t="str">
            <v>Dibra FIA</v>
          </cell>
        </row>
        <row r="55">
          <cell r="C55" t="str">
            <v>Due Nipoti FIA Ie</v>
          </cell>
        </row>
        <row r="56">
          <cell r="C56" t="str">
            <v>Dybra FIC FIA</v>
          </cell>
        </row>
        <row r="57">
          <cell r="C57" t="str">
            <v>Dynamo Cougar FIC FIA</v>
          </cell>
        </row>
        <row r="58">
          <cell r="C58" t="str">
            <v>Dynamo Cougar Master - FIA</v>
          </cell>
        </row>
        <row r="59">
          <cell r="C59" t="str">
            <v>Eneva FIA</v>
          </cell>
        </row>
        <row r="60">
          <cell r="C60" t="str">
            <v>Equitas Master Selection FIA</v>
          </cell>
        </row>
        <row r="61">
          <cell r="C61" t="str">
            <v>Fc de FIA Vrd</v>
          </cell>
        </row>
        <row r="62">
          <cell r="C62" t="str">
            <v>FI de Ações Ponta Sul Ie Bdr Nível I</v>
          </cell>
        </row>
        <row r="63">
          <cell r="C63" t="str">
            <v>FIA Aleluia Aleluia - Ie</v>
          </cell>
        </row>
        <row r="64">
          <cell r="C64" t="str">
            <v>FIA Alvorada</v>
          </cell>
        </row>
        <row r="65">
          <cell r="C65" t="str">
            <v>FIA Aspen IE</v>
          </cell>
        </row>
        <row r="66">
          <cell r="C66" t="str">
            <v>FIA Dividendos 114</v>
          </cell>
        </row>
        <row r="67">
          <cell r="C67" t="str">
            <v>FIA Dom Bosco</v>
          </cell>
        </row>
        <row r="68">
          <cell r="C68" t="str">
            <v>FIA Fundamentalista 114</v>
          </cell>
        </row>
        <row r="69">
          <cell r="C69" t="str">
            <v>FIA Hs Ie</v>
          </cell>
        </row>
        <row r="70">
          <cell r="C70" t="str">
            <v>FIA Maina</v>
          </cell>
        </row>
        <row r="71">
          <cell r="C71" t="str">
            <v>FIA Mistyque Ie</v>
          </cell>
        </row>
        <row r="72">
          <cell r="C72" t="str">
            <v>FIA Petros Ativo</v>
          </cell>
        </row>
        <row r="73">
          <cell r="C73" t="str">
            <v>FIA Petros Selecao Alta Liquidez</v>
          </cell>
        </row>
        <row r="74">
          <cell r="C74" t="str">
            <v>FIA Wpa Global Ie</v>
          </cell>
        </row>
        <row r="75">
          <cell r="C75" t="str">
            <v>FIA Wpa I Ie</v>
          </cell>
        </row>
        <row r="76">
          <cell r="C76" t="str">
            <v>FICFI em Acoes Div 114</v>
          </cell>
        </row>
        <row r="77">
          <cell r="C77" t="str">
            <v>FICFI em Acoes Valor</v>
          </cell>
        </row>
        <row r="78">
          <cell r="C78" t="str">
            <v>Forluz FIA</v>
          </cell>
        </row>
        <row r="79">
          <cell r="C79" t="str">
            <v>Fp Fof Acoes Fc de FIA</v>
          </cell>
        </row>
        <row r="80">
          <cell r="C80" t="str">
            <v>Fp Ibovespa FIA</v>
          </cell>
        </row>
        <row r="81">
          <cell r="C81" t="str">
            <v>Geracao L.Par FIA</v>
          </cell>
        </row>
        <row r="82">
          <cell r="C82" t="str">
            <v>Honor Acoes FI</v>
          </cell>
        </row>
        <row r="83">
          <cell r="C83" t="str">
            <v>Honor Master FIA</v>
          </cell>
        </row>
        <row r="84">
          <cell r="C84" t="str">
            <v>Icatu Vanguarda Dividendos FIA</v>
          </cell>
        </row>
        <row r="85">
          <cell r="C85" t="str">
            <v>Ip Value Hedge Master FIA Bdr Nivel I</v>
          </cell>
        </row>
        <row r="86">
          <cell r="C86" t="str">
            <v>Itau Acoes Dunamis Fc</v>
          </cell>
        </row>
        <row r="87">
          <cell r="C87" t="str">
            <v>Itau Acoes Fof Multigestor X FI</v>
          </cell>
        </row>
        <row r="88">
          <cell r="C88" t="str">
            <v>Itau Asgard Acoes FI</v>
          </cell>
        </row>
        <row r="89">
          <cell r="C89" t="str">
            <v>Itau Crescimento Fc FIA</v>
          </cell>
        </row>
        <row r="90">
          <cell r="C90" t="str">
            <v>Itau Dunamis Master FIA</v>
          </cell>
        </row>
        <row r="91">
          <cell r="C91" t="str">
            <v>Itau Fof Master Long Bias FIA</v>
          </cell>
        </row>
        <row r="92">
          <cell r="C92" t="str">
            <v>Itau Index Acoes Ibovespa FI</v>
          </cell>
        </row>
        <row r="93">
          <cell r="C93" t="str">
            <v>Itau Index Acoes Ibrx FI</v>
          </cell>
        </row>
        <row r="94">
          <cell r="C94" t="str">
            <v>Itau Momento II Acoes FI</v>
          </cell>
        </row>
        <row r="95">
          <cell r="C95" t="str">
            <v>Itau Private Mult Acoes FICFI</v>
          </cell>
        </row>
        <row r="96">
          <cell r="C96" t="str">
            <v>Itau Vertice Ibovespa Equities FIA</v>
          </cell>
        </row>
        <row r="97">
          <cell r="C97" t="str">
            <v>Kairos FIA - Ie</v>
          </cell>
        </row>
        <row r="98">
          <cell r="C98" t="str">
            <v>Lab FIA Ie</v>
          </cell>
        </row>
        <row r="99">
          <cell r="C99" t="str">
            <v>Lince Plus Acoes FI</v>
          </cell>
        </row>
        <row r="100">
          <cell r="C100" t="str">
            <v>Master Private Mult Acoes Fc</v>
          </cell>
        </row>
        <row r="101">
          <cell r="C101" t="str">
            <v>Moat Capital Fc em Acoes</v>
          </cell>
        </row>
        <row r="102">
          <cell r="C102" t="str">
            <v>Moat Capital FIA Master</v>
          </cell>
        </row>
        <row r="103">
          <cell r="C103" t="str">
            <v>Mobi FIA Ie</v>
          </cell>
        </row>
        <row r="104">
          <cell r="C104" t="str">
            <v>Navi Institucional Master FIA</v>
          </cell>
        </row>
        <row r="105">
          <cell r="C105" t="str">
            <v>Nucleo Master FIA</v>
          </cell>
        </row>
        <row r="106">
          <cell r="C106" t="str">
            <v>Occam Fc de FIA</v>
          </cell>
        </row>
        <row r="107">
          <cell r="C107" t="str">
            <v>Occam FIA</v>
          </cell>
        </row>
        <row r="108">
          <cell r="C108" t="str">
            <v>Oceana Long Biased Master FIA</v>
          </cell>
        </row>
        <row r="109">
          <cell r="C109" t="str">
            <v>Opeg FIA Ie</v>
          </cell>
        </row>
        <row r="110">
          <cell r="C110" t="str">
            <v>Opp I FIA Bdr Nivel I Ie</v>
          </cell>
        </row>
        <row r="111">
          <cell r="C111" t="str">
            <v>Opp Log FIA Bdr Nivel I Ie</v>
          </cell>
        </row>
        <row r="112">
          <cell r="C112" t="str">
            <v>Opport Acoes FIA -Bdr Nivel I-Ie</v>
          </cell>
        </row>
        <row r="113">
          <cell r="C113" t="str">
            <v>Opportunity Capital FIA</v>
          </cell>
        </row>
        <row r="114">
          <cell r="C114" t="str">
            <v>Opportunity Log II FIA Bdr Niv I Ie</v>
          </cell>
        </row>
        <row r="115">
          <cell r="C115" t="str">
            <v>Opportunity Logica Master FIA</v>
          </cell>
        </row>
        <row r="116">
          <cell r="C116" t="str">
            <v>Orbix Acoes FI Ie</v>
          </cell>
        </row>
        <row r="117">
          <cell r="C117" t="str">
            <v>Perfin Ares 2 FIA</v>
          </cell>
        </row>
        <row r="118">
          <cell r="C118" t="str">
            <v>Porto e Fc em Acoes Ie</v>
          </cell>
        </row>
        <row r="119">
          <cell r="C119" t="str">
            <v>Progresso FIA Ie</v>
          </cell>
        </row>
        <row r="120">
          <cell r="C120" t="str">
            <v>Real Investor Fc FIA - Bdr Nivel I</v>
          </cell>
        </row>
        <row r="121">
          <cell r="C121" t="str">
            <v>Real Investor Master FIA - Bdr Nivel I</v>
          </cell>
        </row>
        <row r="122">
          <cell r="C122" t="str">
            <v>Rt Constellation FIA</v>
          </cell>
        </row>
        <row r="123">
          <cell r="C123" t="str">
            <v>S Arquimedes Lb Master FIA Bdr Nivel I</v>
          </cell>
        </row>
        <row r="124">
          <cell r="C124" t="str">
            <v>Safra Consumo Americano Fc FIA Bdr Nivel</v>
          </cell>
        </row>
        <row r="125">
          <cell r="C125" t="str">
            <v>Safra Consumo Americano FIA Bdr Nivel I</v>
          </cell>
        </row>
        <row r="126">
          <cell r="C126" t="str">
            <v>Samambaia Master FIA Ie Bdr Nivel1</v>
          </cell>
        </row>
        <row r="127">
          <cell r="C127" t="str">
            <v>Santa Rita FIA Ie</v>
          </cell>
        </row>
        <row r="128">
          <cell r="C128" t="str">
            <v>Sharp Equity Value Master FIA</v>
          </cell>
        </row>
        <row r="129">
          <cell r="C129" t="str">
            <v>Sharp Long Biased Master FIA</v>
          </cell>
        </row>
        <row r="130">
          <cell r="C130" t="str">
            <v>Singular FIA</v>
          </cell>
        </row>
        <row r="131">
          <cell r="C131" t="str">
            <v>Spx Falcon Master FIA</v>
          </cell>
        </row>
        <row r="132">
          <cell r="C132" t="str">
            <v>Squadra Long Biased FI Cotas de FIA</v>
          </cell>
        </row>
        <row r="133">
          <cell r="C133" t="str">
            <v>Squadra Long Only Str Fc de FIA</v>
          </cell>
        </row>
        <row r="134">
          <cell r="C134" t="str">
            <v>Squadra Master Long Biased FIA</v>
          </cell>
        </row>
        <row r="135">
          <cell r="C135" t="str">
            <v>Squadra Master Long Only FIA</v>
          </cell>
        </row>
        <row r="136">
          <cell r="C136" t="str">
            <v>Tarpon Gt Master FIA</v>
          </cell>
        </row>
        <row r="137">
          <cell r="C137" t="str">
            <v>Tavola FIA - Ie</v>
          </cell>
        </row>
        <row r="138">
          <cell r="C138" t="str">
            <v>Tempo Capital Principal FIA</v>
          </cell>
        </row>
        <row r="139">
          <cell r="C139" t="str">
            <v>Tempranillo FIA Ie</v>
          </cell>
        </row>
        <row r="140">
          <cell r="C140" t="str">
            <v>Tork Master FIA</v>
          </cell>
        </row>
        <row r="141">
          <cell r="C141" t="str">
            <v>Truxt I Valor Institucional FIC FIA</v>
          </cell>
        </row>
        <row r="142">
          <cell r="C142" t="str">
            <v>Truxt II Valor FIC FIA</v>
          </cell>
        </row>
        <row r="143">
          <cell r="C143" t="str">
            <v>Truxt Long Bias Master FIA</v>
          </cell>
        </row>
        <row r="144">
          <cell r="C144" t="str">
            <v>Truxt Valor Master FIA</v>
          </cell>
        </row>
        <row r="145">
          <cell r="C145" t="str">
            <v>Truxt Valor Master Inst FIA</v>
          </cell>
        </row>
        <row r="146">
          <cell r="C146" t="str">
            <v>Velt Master FIA</v>
          </cell>
        </row>
        <row r="147">
          <cell r="C147" t="str">
            <v>Veredas FIA Ie</v>
          </cell>
        </row>
        <row r="148">
          <cell r="C148" t="str">
            <v>Veritas FIA Ie</v>
          </cell>
        </row>
        <row r="149">
          <cell r="C149" t="str">
            <v>Western Asset FIA Bdr Nivel I</v>
          </cell>
        </row>
      </sheetData>
      <sheetData sheetId="2">
        <row r="9">
          <cell r="B9">
            <v>44600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1CF54-DB70-47EA-AEB2-D90B9EA68F1D}">
  <sheetPr codeName="Planilha1">
    <tabColor rgb="FF023A4A"/>
  </sheetPr>
  <dimension ref="B1:AA66"/>
  <sheetViews>
    <sheetView showGridLines="0" tabSelected="1" zoomScale="80" zoomScaleNormal="80" workbookViewId="0"/>
  </sheetViews>
  <sheetFormatPr defaultColWidth="8.77734375" defaultRowHeight="14.4" x14ac:dyDescent="0.3"/>
  <cols>
    <col min="1" max="1" width="2.77734375" style="1" customWidth="1"/>
    <col min="2" max="6" width="22.6640625" style="1" customWidth="1"/>
    <col min="7" max="7" width="3" style="1" customWidth="1"/>
    <col min="8" max="12" width="22.6640625" style="1" customWidth="1"/>
    <col min="13" max="13" width="8.77734375" style="1"/>
    <col min="14" max="14" width="11" style="1" bestFit="1" customWidth="1"/>
    <col min="15" max="16384" width="8.77734375" style="1"/>
  </cols>
  <sheetData>
    <row r="1" spans="2:27" s="13" customFormat="1" ht="60" customHeight="1" x14ac:dyDescent="0.3">
      <c r="D1" s="12" t="s">
        <v>391</v>
      </c>
      <c r="H1" s="14" t="str" cm="1">
        <f t="array" ref="H1">_xll.ECONOMATICA($D$6,"Name")</f>
        <v>Alianza Trust Renda Imob FII-Unica</v>
      </c>
      <c r="AA1" s="16"/>
    </row>
    <row r="3" spans="2:27" ht="16.2" thickBot="1" x14ac:dyDescent="0.35">
      <c r="B3" s="15" t="s">
        <v>245</v>
      </c>
      <c r="C3" s="15"/>
      <c r="D3" s="15"/>
      <c r="E3" s="15"/>
      <c r="F3" s="15"/>
      <c r="H3" s="15" t="s">
        <v>246</v>
      </c>
      <c r="I3" s="15"/>
      <c r="J3" s="15"/>
      <c r="K3" s="15"/>
      <c r="L3" s="15"/>
    </row>
    <row r="4" spans="2:27" ht="16.2" thickTop="1" x14ac:dyDescent="0.3">
      <c r="B4" s="29" t="s">
        <v>243</v>
      </c>
      <c r="C4" s="29"/>
      <c r="D4" s="30" t="str" cm="1">
        <f t="array" ref="D4">_xll.ECONOMATICA($D$6,"Name (according to B3)")</f>
        <v>FII Alianza</v>
      </c>
      <c r="E4" s="30"/>
      <c r="F4" s="30"/>
      <c r="H4" s="29" t="s">
        <v>263</v>
      </c>
      <c r="I4" s="29"/>
      <c r="J4" s="29"/>
      <c r="K4" s="38" cm="1">
        <f t="array" ref="K4">_xll.ECONOMATICA($D$6,"Fin Statm Date")</f>
        <v>45535</v>
      </c>
      <c r="L4" s="30"/>
      <c r="N4" s="5"/>
    </row>
    <row r="5" spans="2:27" ht="15.6" x14ac:dyDescent="0.3">
      <c r="B5" s="31" t="s">
        <v>244</v>
      </c>
      <c r="C5" s="31"/>
      <c r="D5" s="32" t="str" cm="1">
        <f t="array" ref="D5">_xll.ECONOMATICA($D$6,"Name")</f>
        <v>Alianza Trust Renda Imob FII-Unica</v>
      </c>
      <c r="E5" s="32"/>
      <c r="F5" s="32"/>
      <c r="H5" s="31"/>
      <c r="I5" s="31"/>
      <c r="J5" s="31"/>
      <c r="K5" s="32"/>
      <c r="L5" s="32"/>
    </row>
    <row r="6" spans="2:27" ht="15.6" x14ac:dyDescent="0.3">
      <c r="B6" s="31" t="s">
        <v>393</v>
      </c>
      <c r="C6" s="31"/>
      <c r="D6" s="33" t="s">
        <v>95</v>
      </c>
      <c r="E6" s="33"/>
      <c r="F6" s="33"/>
      <c r="H6" s="31" t="s">
        <v>264</v>
      </c>
      <c r="I6" s="31"/>
      <c r="J6" s="31"/>
      <c r="K6" s="35" cm="1">
        <f t="array" ref="K6">_xll.ECONOMATICA($D$6,"Total Assets",,$K$4)</f>
        <v>1646828009.8</v>
      </c>
      <c r="L6" s="35"/>
    </row>
    <row r="7" spans="2:27" ht="15.6" x14ac:dyDescent="0.3">
      <c r="B7" s="31" t="s">
        <v>247</v>
      </c>
      <c r="C7" s="31"/>
      <c r="D7" s="32" t="str" cm="1">
        <f t="array" ref="D7">_xll.ECONOMATICA($D$6,"Employer ID number")</f>
        <v>28737771000185</v>
      </c>
      <c r="E7" s="32"/>
      <c r="F7" s="32"/>
      <c r="H7" s="31" t="s">
        <v>265</v>
      </c>
      <c r="I7" s="31"/>
      <c r="J7" s="31"/>
      <c r="K7" s="35" cm="1">
        <f t="array" ref="K7">_xll.ECONOMATICA($D$6,"TotNecesLiquid",,$K$4)</f>
        <v>294841159.51999998</v>
      </c>
      <c r="L7" s="35"/>
    </row>
    <row r="8" spans="2:27" ht="15.6" x14ac:dyDescent="0.3">
      <c r="B8" s="31" t="s">
        <v>248</v>
      </c>
      <c r="C8" s="31"/>
      <c r="D8" s="32" t="str" cm="1">
        <f t="array" ref="D8">_xll.ECONOMATICA($D$6,"Segmento de atuação")</f>
        <v>Híbrido</v>
      </c>
      <c r="E8" s="32"/>
      <c r="F8" s="32"/>
      <c r="H8" s="31" t="s">
        <v>266</v>
      </c>
      <c r="I8" s="31"/>
      <c r="J8" s="31"/>
      <c r="K8" s="35" cm="1">
        <f t="array" ref="K8">_xll.ECONOMATICA($D$6,"TotInvest",,$K$4)</f>
        <v>1315390513.2</v>
      </c>
      <c r="L8" s="35"/>
    </row>
    <row r="9" spans="2:27" ht="15.6" x14ac:dyDescent="0.3">
      <c r="B9" s="31" t="s">
        <v>249</v>
      </c>
      <c r="C9" s="31"/>
      <c r="D9" s="32" t="str" cm="1">
        <f t="array" ref="D9">_xll.ECONOMATICA($D$6,"Anbima classification")</f>
        <v>FII Renda Gestão Ativa</v>
      </c>
      <c r="E9" s="32"/>
      <c r="F9" s="32"/>
      <c r="H9" s="31" t="s">
        <v>267</v>
      </c>
      <c r="I9" s="31"/>
      <c r="J9" s="31"/>
      <c r="K9" s="35" cm="1">
        <f t="array" ref="K9">_xll.ECONOMATICA($D$6,"ValARec",,$K$4)</f>
        <v>36596337.100000001</v>
      </c>
      <c r="L9" s="35"/>
    </row>
    <row r="10" spans="2:27" ht="15.6" x14ac:dyDescent="0.3">
      <c r="B10" s="31" t="s">
        <v>250</v>
      </c>
      <c r="C10" s="31"/>
      <c r="D10" s="32" t="str" cm="1">
        <f t="array" ref="D10">_xll.ECONOMATICA($D$6,"Fund manager")</f>
        <v>Alianza Gestao de Recursos</v>
      </c>
      <c r="E10" s="32"/>
      <c r="F10" s="32"/>
      <c r="H10" s="31"/>
      <c r="I10" s="31"/>
      <c r="J10" s="31"/>
      <c r="K10" s="32"/>
      <c r="L10" s="32"/>
    </row>
    <row r="11" spans="2:27" ht="15.6" x14ac:dyDescent="0.3">
      <c r="B11" s="31" t="s">
        <v>251</v>
      </c>
      <c r="C11" s="31"/>
      <c r="D11" s="34" cm="1">
        <f t="array" ref="D11">_xll.ECONOMATICA($D$6,"Series Start Date")</f>
        <v>43103</v>
      </c>
      <c r="E11" s="32"/>
      <c r="F11" s="32"/>
      <c r="H11" s="31" t="s">
        <v>269</v>
      </c>
      <c r="I11" s="31"/>
      <c r="J11" s="31"/>
      <c r="K11" s="35" cm="1">
        <f t="array" ref="K11">_xll.ECONOMATICA($D$6,"Total Liability",,$K$4)</f>
        <v>349394477.07999998</v>
      </c>
      <c r="L11" s="35"/>
    </row>
    <row r="12" spans="2:27" ht="15.6" x14ac:dyDescent="0.3">
      <c r="B12" s="31" t="s">
        <v>252</v>
      </c>
      <c r="C12" s="31"/>
      <c r="D12" s="34" cm="1">
        <f t="array" ref="D12">_xll.ECONOMATICA($D$6,"Fund inception date")</f>
        <v>43096</v>
      </c>
      <c r="E12" s="32"/>
      <c r="F12" s="32"/>
      <c r="H12" s="31" t="s">
        <v>268</v>
      </c>
      <c r="I12" s="31"/>
      <c r="J12" s="31"/>
      <c r="K12" s="35" cm="1">
        <f t="array" ref="K12">_xll.ECONOMATICA($D$6,"Stock Eq Par",,$K$4)</f>
        <v>1297433532.7</v>
      </c>
      <c r="L12" s="35"/>
      <c r="R12" s="16"/>
    </row>
    <row r="13" spans="2:27" ht="15.6" x14ac:dyDescent="0.3">
      <c r="B13" s="31" t="s">
        <v>253</v>
      </c>
      <c r="C13" s="31"/>
      <c r="D13" s="35" cm="1">
        <f t="array" ref="D13">_xll.ECONOMATICA($D$6,"Stock Eq Par")</f>
        <v>1297433532.7</v>
      </c>
      <c r="E13" s="35"/>
      <c r="F13" s="35"/>
      <c r="H13" s="31"/>
      <c r="I13" s="31"/>
      <c r="J13" s="31"/>
      <c r="K13" s="32"/>
      <c r="L13" s="32"/>
      <c r="R13" s="16"/>
    </row>
    <row r="14" spans="2:27" ht="15.6" x14ac:dyDescent="0.3">
      <c r="B14" s="31" t="s">
        <v>254</v>
      </c>
      <c r="C14" s="31"/>
      <c r="D14" s="35" cm="1">
        <f t="array" ref="D14">_xll.ECONOMATICA($D$6,"NumShHold",,$K$4)</f>
        <v>154920</v>
      </c>
      <c r="E14" s="35"/>
      <c r="F14" s="35"/>
      <c r="H14" s="31" t="s">
        <v>270</v>
      </c>
      <c r="I14" s="31"/>
      <c r="J14" s="31"/>
      <c r="K14" s="32" t="s">
        <v>307</v>
      </c>
      <c r="L14" s="32"/>
      <c r="R14" s="16"/>
    </row>
    <row r="15" spans="2:27" ht="15.6" x14ac:dyDescent="0.3">
      <c r="B15" s="31" t="s">
        <v>255</v>
      </c>
      <c r="C15" s="31"/>
      <c r="D15" s="35" cm="1">
        <f t="array" ref="D15">_xll.ECONOMATICA($D$6,"PhysicPers",,$K$4)</f>
        <v>154696</v>
      </c>
      <c r="E15" s="35"/>
      <c r="F15" s="35"/>
      <c r="H15" s="31"/>
      <c r="I15" s="31"/>
      <c r="J15" s="31"/>
      <c r="K15" s="32"/>
      <c r="L15" s="32"/>
      <c r="R15" s="16"/>
    </row>
    <row r="16" spans="2:27" ht="15.6" x14ac:dyDescent="0.3">
      <c r="B16" s="31" t="s">
        <v>256</v>
      </c>
      <c r="C16" s="31"/>
      <c r="D16" s="35" cm="1">
        <f t="array" ref="D16">_xll.ECONOMATICA($D$6,"NonFinLegEnt",,$K$4)</f>
        <v>182</v>
      </c>
      <c r="E16" s="35"/>
      <c r="F16" s="35"/>
      <c r="H16" s="31" t="s">
        <v>271</v>
      </c>
      <c r="I16" s="31"/>
      <c r="J16" s="31"/>
      <c r="K16" s="35" cm="1">
        <f t="array" ref="K16">IFERROR(_xll.ECONOMATICA($D$6,"ResLiqImovEst(Cont)",,$K$4),"-")</f>
        <v>0</v>
      </c>
      <c r="L16" s="35"/>
      <c r="R16" s="16"/>
    </row>
    <row r="17" spans="2:18" ht="15.6" x14ac:dyDescent="0.3">
      <c r="B17" s="31" t="s">
        <v>257</v>
      </c>
      <c r="C17" s="31"/>
      <c r="D17" s="32" cm="1">
        <f t="array" ref="D17">IFERROR(_xll.ECONOMATICA($D$6,"CommerBank",,$K$4),"-")</f>
        <v>0</v>
      </c>
      <c r="E17" s="32"/>
      <c r="F17" s="32"/>
      <c r="H17" s="31" t="s">
        <v>272</v>
      </c>
      <c r="I17" s="31"/>
      <c r="J17" s="31"/>
      <c r="K17" s="35" cm="1">
        <f t="array" ref="K17">IFERROR(_xll.ECONOMATICA($D$6,"ResLiqImoRen(Cont)",,$K$4),"-")</f>
        <v>76778631.549999997</v>
      </c>
      <c r="L17" s="35"/>
      <c r="R17" s="16"/>
    </row>
    <row r="18" spans="2:18" ht="15.6" x14ac:dyDescent="0.3">
      <c r="B18" s="31" t="s">
        <v>258</v>
      </c>
      <c r="C18" s="31"/>
      <c r="D18" s="32" cm="1">
        <f t="array" ref="D18">IFERROR(_xll.ECONOMATICA($D$6,"BrokerOrDistr",,$K$4),"-")</f>
        <v>1</v>
      </c>
      <c r="E18" s="32"/>
      <c r="F18" s="32"/>
      <c r="H18" s="31" t="s">
        <v>273</v>
      </c>
      <c r="I18" s="31"/>
      <c r="J18" s="31"/>
      <c r="K18" s="35" cm="1">
        <f t="array" ref="K18">IFERROR(_xll.ECONOMATICA($D$6,"ResLiqTVM(Cont)",,$K$4),"-")</f>
        <v>19101523.27</v>
      </c>
      <c r="L18" s="35"/>
      <c r="R18" s="16"/>
    </row>
    <row r="19" spans="2:18" ht="15.6" x14ac:dyDescent="0.3">
      <c r="B19" s="31" t="s">
        <v>259</v>
      </c>
      <c r="C19" s="31"/>
      <c r="D19" s="35" cm="1">
        <f t="array" ref="D19">_xll.ECONOMATICA($D$6,"RealEstInFun",,$K$4)</f>
        <v>15</v>
      </c>
      <c r="E19" s="35"/>
      <c r="F19" s="35"/>
      <c r="H19" s="31" t="s">
        <v>274</v>
      </c>
      <c r="I19" s="31"/>
      <c r="J19" s="31"/>
      <c r="K19" s="35" cm="1">
        <f t="array" ref="K19">IFERROR(_xll.ECONOMATICA($D$6,"ResLiqNecesLiq(Cont)",,$K$4),"-")</f>
        <v>18145883.27</v>
      </c>
      <c r="L19" s="35"/>
      <c r="R19" s="16"/>
    </row>
    <row r="20" spans="2:18" ht="15.6" x14ac:dyDescent="0.3">
      <c r="B20" s="31" t="s">
        <v>260</v>
      </c>
      <c r="C20" s="31"/>
      <c r="D20" s="32" cm="1">
        <f t="array" ref="D20">IFERROR(_xll.ECONOMATICA($D$6,"OpenSupPenEnt",,$K$4),"-")</f>
        <v>1</v>
      </c>
      <c r="E20" s="32"/>
      <c r="F20" s="32"/>
      <c r="H20" s="31" t="s">
        <v>275</v>
      </c>
      <c r="I20" s="31"/>
      <c r="J20" s="31"/>
      <c r="K20" s="35" cm="1">
        <f t="array" ref="K20">IFERROR(_xll.ECONOMATICA($D$6,"ResLiqDerivat(Cont)",,$K$4),"-")</f>
        <v>0</v>
      </c>
      <c r="L20" s="35"/>
      <c r="R20" s="16"/>
    </row>
    <row r="21" spans="2:18" ht="15.6" x14ac:dyDescent="0.3">
      <c r="B21" s="31" t="s">
        <v>261</v>
      </c>
      <c r="C21" s="31"/>
      <c r="D21" s="35" cm="1">
        <f t="array" ref="D21">IFERROR(_xll.ECONOMATICA($D$6,"ClosedSupPeEnt",,$K$4),"-")</f>
        <v>2</v>
      </c>
      <c r="E21" s="35"/>
      <c r="F21" s="35"/>
      <c r="H21" s="31" t="s">
        <v>276</v>
      </c>
      <c r="I21" s="31"/>
      <c r="J21" s="31"/>
      <c r="K21" s="35" cm="1">
        <f t="array" ref="K21">IFERROR(_xll.ECONOMATICA($D$6,"TotOutRecDesp(Cont)",,$K$4),"-")</f>
        <v>-10724209.23</v>
      </c>
      <c r="L21" s="35"/>
    </row>
    <row r="22" spans="2:18" ht="15.6" x14ac:dyDescent="0.3">
      <c r="B22" s="36" t="s">
        <v>262</v>
      </c>
      <c r="C22" s="36"/>
      <c r="D22" s="37" cm="1">
        <f t="array" ref="D22">IFERROR(_xll.ECONOMATICA($D$6,"PriPenPlaPubSer",,$K$4),"-")</f>
        <v>0</v>
      </c>
      <c r="E22" s="37"/>
      <c r="F22" s="37"/>
      <c r="H22" s="36" t="s">
        <v>277</v>
      </c>
      <c r="I22" s="36"/>
      <c r="J22" s="36"/>
      <c r="K22" s="39" cm="1">
        <f t="array" ref="K22">IFERROR(_xll.ECONOMATICA($D$6,"ResultLiq(Cont)",,$K$4),"-")</f>
        <v>103301828.86</v>
      </c>
      <c r="L22" s="39"/>
    </row>
    <row r="23" spans="2:18" x14ac:dyDescent="0.3">
      <c r="D23" s="4"/>
      <c r="E23" s="4"/>
      <c r="F23" s="4"/>
    </row>
    <row r="24" spans="2:18" ht="16.2" thickBot="1" x14ac:dyDescent="0.35">
      <c r="B24" s="15" t="s">
        <v>278</v>
      </c>
      <c r="C24" s="15"/>
      <c r="D24" s="15"/>
      <c r="E24" s="15"/>
      <c r="F24" s="15"/>
      <c r="H24" s="15" t="s">
        <v>298</v>
      </c>
      <c r="I24" s="15"/>
      <c r="J24" s="15"/>
      <c r="K24" s="15"/>
      <c r="L24" s="15"/>
      <c r="O24" s="5"/>
    </row>
    <row r="25" spans="2:18" ht="15" customHeight="1" thickTop="1" x14ac:dyDescent="0.3">
      <c r="B25" s="29" t="s">
        <v>281</v>
      </c>
      <c r="C25" s="29"/>
      <c r="D25" s="29"/>
      <c r="E25" s="30" cm="1">
        <f t="array" ref="E25">_xll.ECONOMATICA($D$6,"AdmFeeEx/StkEMon",,$K$4)</f>
        <v>0</v>
      </c>
      <c r="F25" s="30"/>
      <c r="H25" s="20" t="str" cm="1">
        <f t="array" ref="H25">_xll.ECONOMATICA($D$6,"Divid per Share","1M",$K$4,"16M","M","ORIGINAL CURRENCY",,"true","true","Dividendo mês")</f>
        <v>data</v>
      </c>
      <c r="I25" s="21" t="s">
        <v>297</v>
      </c>
      <c r="J25" s="22" t="str" cm="1">
        <f t="array" ref="J25">_xll.ECONOMATICA($D$6,"Div Yld (start)","1M",$K$4,"16M","M","ORIGINAL CURRENCY",,"false","true","Dividend Yield 1 Mês",{"tc.per=2"})</f>
        <v>Dividend Yield 1 Mês</v>
      </c>
      <c r="K25" s="22" t="str" cm="1">
        <f t="array" ref="K25">_xll.ECONOMATICA($D$6,"Div Yld (start)","1Y",$K$4,"16M","M","ORIGINAL CURRENCY",,"false","true","Dividend Yield 1 ano",{"tc.per=2"})</f>
        <v>Dividend Yield 1 ano</v>
      </c>
      <c r="L25" s="23" t="str" cm="1">
        <f t="array" ref="L25">_xll.ECONOMATICA(D6,"BVperShare",,K4,"16M","Q","ORIGINAL CURRENCY",,"false","true","Valor Patrimonial Por Cota")</f>
        <v>Valor Patrimonial Por Cota</v>
      </c>
      <c r="O25" s="5"/>
    </row>
    <row r="26" spans="2:18" ht="15" customHeight="1" thickBot="1" x14ac:dyDescent="0.35">
      <c r="B26" s="31" t="s">
        <v>282</v>
      </c>
      <c r="C26" s="31"/>
      <c r="D26" s="31"/>
      <c r="E26" s="35" cm="1">
        <f t="array" ref="E26">_xll.ECONOMATICA($D$6,"CustAgEx/StkEMon",,$K$4)</f>
        <v>0</v>
      </c>
      <c r="F26" s="35"/>
      <c r="H26" s="20"/>
      <c r="I26" s="21"/>
      <c r="J26" s="24"/>
      <c r="K26" s="24"/>
      <c r="L26" s="25"/>
      <c r="O26" s="5"/>
    </row>
    <row r="27" spans="2:18" ht="16.2" thickTop="1" x14ac:dyDescent="0.3">
      <c r="B27" s="31" t="s">
        <v>283</v>
      </c>
      <c r="C27" s="31"/>
      <c r="D27" s="31"/>
      <c r="E27" s="32" cm="1">
        <f t="array" ref="E27">_xll.ECONOMATICA($D$6,"EffecMontRet",,$K$4)</f>
        <v>0</v>
      </c>
      <c r="F27" s="32"/>
      <c r="H27" s="26"/>
      <c r="I27" s="27" t="s">
        <v>95</v>
      </c>
      <c r="J27" s="27" t="s">
        <v>95</v>
      </c>
      <c r="K27" s="27" t="s">
        <v>95</v>
      </c>
      <c r="L27" s="28" t="s">
        <v>95</v>
      </c>
      <c r="O27" s="5"/>
    </row>
    <row r="28" spans="2:18" ht="15.6" x14ac:dyDescent="0.3">
      <c r="B28" s="31" t="s">
        <v>284</v>
      </c>
      <c r="C28" s="31"/>
      <c r="D28" s="31"/>
      <c r="E28" s="32" cm="1">
        <f t="array" ref="E28">_xll.ECONOMATICA($D$6,"RetOfEqtyMonth",,$K$4)</f>
        <v>0</v>
      </c>
      <c r="F28" s="32"/>
      <c r="H28" s="44">
        <v>45046</v>
      </c>
      <c r="I28" s="45"/>
      <c r="J28" s="45"/>
      <c r="K28" s="45"/>
      <c r="L28" s="46">
        <v>106.68794489</v>
      </c>
      <c r="O28" s="5"/>
    </row>
    <row r="29" spans="2:18" ht="15.6" x14ac:dyDescent="0.3">
      <c r="B29" s="31" t="s">
        <v>280</v>
      </c>
      <c r="C29" s="31"/>
      <c r="D29" s="31"/>
      <c r="E29" s="32" cm="1">
        <f t="array" ref="E29">_xll.ECONOMATICA($D$6,"DivY(BV)Month",,$K$4)</f>
        <v>0</v>
      </c>
      <c r="F29" s="32"/>
      <c r="H29" s="47">
        <v>45077</v>
      </c>
      <c r="I29" s="48">
        <v>0.81575500000000001</v>
      </c>
      <c r="J29" s="48">
        <v>0.69788262468999995</v>
      </c>
      <c r="K29" s="48"/>
      <c r="L29" s="49">
        <v>105.56252434</v>
      </c>
      <c r="O29" s="5"/>
    </row>
    <row r="30" spans="2:18" ht="15.6" x14ac:dyDescent="0.3">
      <c r="B30" s="31" t="s">
        <v>285</v>
      </c>
      <c r="C30" s="31"/>
      <c r="D30" s="31"/>
      <c r="E30" s="32" cm="1">
        <f t="array" ref="E30">_xll.ECONOMATICA($D$6,"ShareAmortMonth",,$K$4)</f>
        <v>0</v>
      </c>
      <c r="F30" s="32"/>
      <c r="H30" s="47">
        <v>45107</v>
      </c>
      <c r="I30" s="48">
        <v>0.81575500000000001</v>
      </c>
      <c r="J30" s="48">
        <v>0.73524560613000001</v>
      </c>
      <c r="K30" s="48"/>
      <c r="L30" s="49">
        <v>105.38849235000001</v>
      </c>
      <c r="O30" s="5"/>
    </row>
    <row r="31" spans="2:18" ht="15.6" x14ac:dyDescent="0.3">
      <c r="B31" s="31"/>
      <c r="C31" s="31"/>
      <c r="D31" s="31"/>
      <c r="E31" s="32"/>
      <c r="F31" s="32"/>
      <c r="H31" s="47">
        <v>45138</v>
      </c>
      <c r="I31" s="48">
        <v>0.82499999999999996</v>
      </c>
      <c r="J31" s="48">
        <v>0.71515256587999998</v>
      </c>
      <c r="K31" s="48"/>
      <c r="L31" s="49">
        <v>106.13346507</v>
      </c>
      <c r="O31" s="5"/>
    </row>
    <row r="32" spans="2:18" ht="15.6" x14ac:dyDescent="0.3">
      <c r="B32" s="31" t="s">
        <v>286</v>
      </c>
      <c r="C32" s="31"/>
      <c r="D32" s="31"/>
      <c r="E32" s="32" t="s">
        <v>307</v>
      </c>
      <c r="F32" s="32"/>
      <c r="H32" s="47">
        <v>45169</v>
      </c>
      <c r="I32" s="48">
        <v>0.82499999999999996</v>
      </c>
      <c r="J32" s="48">
        <v>0.71720420760000003</v>
      </c>
      <c r="K32" s="48"/>
      <c r="L32" s="49">
        <v>105.77562802</v>
      </c>
      <c r="O32" s="5"/>
    </row>
    <row r="33" spans="2:18" ht="15.6" x14ac:dyDescent="0.3">
      <c r="B33" s="31" t="s">
        <v>287</v>
      </c>
      <c r="C33" s="31"/>
      <c r="D33" s="31"/>
      <c r="E33" s="32" cm="1">
        <f t="array" ref="E33">IFERROR(_xll.ECONOMATICA($D$6,"UpTo3M(RPF/TFun)",,$K$4),"-")</f>
        <v>0</v>
      </c>
      <c r="F33" s="32"/>
      <c r="H33" s="47">
        <v>45199</v>
      </c>
      <c r="I33" s="48">
        <v>0.82499999999999996</v>
      </c>
      <c r="J33" s="48">
        <v>0.70657759506999995</v>
      </c>
      <c r="K33" s="48"/>
      <c r="L33" s="49">
        <v>106.115427</v>
      </c>
      <c r="O33" s="5"/>
    </row>
    <row r="34" spans="2:18" ht="15.6" x14ac:dyDescent="0.3">
      <c r="B34" s="31" t="s">
        <v>288</v>
      </c>
      <c r="C34" s="31"/>
      <c r="D34" s="31"/>
      <c r="E34" s="32" cm="1">
        <f t="array" ref="E34">IFERROR(_xll.ECONOMATICA($D$6,"3To6M(RPF/TFun)",,$K$4),"-")</f>
        <v>0</v>
      </c>
      <c r="F34" s="32"/>
      <c r="H34" s="47">
        <v>45230</v>
      </c>
      <c r="I34" s="48">
        <v>0.82499999999999996</v>
      </c>
      <c r="J34" s="48">
        <v>0.70639609556000005</v>
      </c>
      <c r="K34" s="48"/>
      <c r="L34" s="49"/>
      <c r="O34" s="5"/>
    </row>
    <row r="35" spans="2:18" ht="15.6" x14ac:dyDescent="0.3">
      <c r="B35" s="31" t="s">
        <v>289</v>
      </c>
      <c r="C35" s="31"/>
      <c r="D35" s="31"/>
      <c r="E35" s="32" cm="1">
        <f t="array" ref="E35">IFERROR(_xll.ECONOMATICA($D$6,"6To9M(RPF/TFun)",,$K$4),"-")</f>
        <v>0</v>
      </c>
      <c r="F35" s="32"/>
      <c r="H35" s="47">
        <v>45260</v>
      </c>
      <c r="I35" s="48">
        <v>0.82499999999999996</v>
      </c>
      <c r="J35" s="48">
        <v>0.71970688300999996</v>
      </c>
      <c r="K35" s="48"/>
      <c r="L35" s="49"/>
      <c r="O35" s="5"/>
    </row>
    <row r="36" spans="2:18" ht="15.6" x14ac:dyDescent="0.3">
      <c r="B36" s="31" t="s">
        <v>290</v>
      </c>
      <c r="C36" s="31"/>
      <c r="D36" s="31"/>
      <c r="E36" s="32" cm="1">
        <f t="array" ref="E36">IFERROR(_xll.ECONOMATICA($D$6,"9To12M(RPF/TFun)",,$K$4),"-")</f>
        <v>0</v>
      </c>
      <c r="F36" s="32"/>
      <c r="H36" s="47">
        <v>45291</v>
      </c>
      <c r="I36" s="48">
        <v>0.82499999999999996</v>
      </c>
      <c r="J36" s="48">
        <v>0.72184793069999997</v>
      </c>
      <c r="K36" s="48"/>
      <c r="L36" s="49"/>
      <c r="O36" s="5"/>
    </row>
    <row r="37" spans="2:18" ht="15.6" x14ac:dyDescent="0.3">
      <c r="B37" s="31" t="s">
        <v>291</v>
      </c>
      <c r="C37" s="31"/>
      <c r="D37" s="31"/>
      <c r="E37" s="32" cm="1">
        <f t="array" ref="E37">IFERROR(_xll.ECONOMATICA($D$6,"12T15M(RPF/TFun)",,$K$4),"-")</f>
        <v>0</v>
      </c>
      <c r="F37" s="32"/>
      <c r="H37" s="47">
        <v>45322</v>
      </c>
      <c r="I37" s="48">
        <v>0.79755500000000001</v>
      </c>
      <c r="J37" s="48">
        <v>0.67796242775000004</v>
      </c>
      <c r="K37" s="48"/>
      <c r="L37" s="49"/>
      <c r="O37" s="5"/>
    </row>
    <row r="38" spans="2:18" ht="15.6" x14ac:dyDescent="0.3">
      <c r="B38" s="31"/>
      <c r="C38" s="31"/>
      <c r="D38" s="31"/>
      <c r="E38" s="32"/>
      <c r="F38" s="32"/>
      <c r="H38" s="47">
        <v>45351</v>
      </c>
      <c r="I38" s="48">
        <v>0.79755500000000001</v>
      </c>
      <c r="J38" s="48">
        <v>0.69172159584000004</v>
      </c>
      <c r="K38" s="48"/>
      <c r="L38" s="49"/>
      <c r="O38" s="5"/>
    </row>
    <row r="39" spans="2:18" ht="15.6" x14ac:dyDescent="0.3">
      <c r="B39" s="31" t="s">
        <v>286</v>
      </c>
      <c r="C39" s="31"/>
      <c r="D39" s="31"/>
      <c r="E39" s="32" t="s">
        <v>307</v>
      </c>
      <c r="F39" s="32"/>
      <c r="H39" s="47">
        <v>45382</v>
      </c>
      <c r="I39" s="48">
        <v>0.79755500000000001</v>
      </c>
      <c r="J39" s="48">
        <v>0.68820001726000002</v>
      </c>
      <c r="K39" s="48"/>
      <c r="L39" s="49"/>
      <c r="O39" s="5"/>
    </row>
    <row r="40" spans="2:18" ht="15.6" x14ac:dyDescent="0.3">
      <c r="B40" s="31" t="s">
        <v>292</v>
      </c>
      <c r="C40" s="31"/>
      <c r="D40" s="31"/>
      <c r="E40" s="32" cm="1">
        <f t="array" ref="E40">IFERROR(_xll.ECONOMATICA($D$6,"IGPM(RPF/TFun)",,$K$4),"-")</f>
        <v>0</v>
      </c>
      <c r="F40" s="32"/>
      <c r="H40" s="47">
        <v>45412</v>
      </c>
      <c r="I40" s="48">
        <v>0.77097899999999997</v>
      </c>
      <c r="J40" s="48">
        <v>0.65359359105000003</v>
      </c>
      <c r="K40" s="48">
        <v>8.3370296859999993</v>
      </c>
      <c r="L40" s="49"/>
      <c r="O40" s="5"/>
    </row>
    <row r="41" spans="2:18" ht="15.6" x14ac:dyDescent="0.3">
      <c r="B41" s="31" t="s">
        <v>293</v>
      </c>
      <c r="C41" s="31"/>
      <c r="D41" s="31"/>
      <c r="E41" s="32" cm="1">
        <f t="array" ref="E41">IFERROR(_xll.ECONOMATICA($D$6,"IPCA(RPF/TFRP)",,$K$4),"-")</f>
        <v>100</v>
      </c>
      <c r="F41" s="32"/>
      <c r="H41" s="47">
        <v>45443</v>
      </c>
      <c r="I41" s="48">
        <v>0.73398698799999995</v>
      </c>
      <c r="J41" s="48">
        <v>0.62879036066000005</v>
      </c>
      <c r="K41" s="48">
        <v>8.7096764199999992</v>
      </c>
      <c r="L41" s="49"/>
      <c r="O41" s="5"/>
    </row>
    <row r="42" spans="2:18" ht="15.6" x14ac:dyDescent="0.3">
      <c r="B42" s="31" t="s">
        <v>294</v>
      </c>
      <c r="C42" s="31"/>
      <c r="D42" s="31"/>
      <c r="E42" s="32" cm="1">
        <f t="array" ref="E42">IFERROR(_xll.ECONOMATICA($D$6,"INPC(RPF/TFRP)",,$K$4),"-")</f>
        <v>0</v>
      </c>
      <c r="F42" s="32"/>
      <c r="H42" s="47">
        <v>45473</v>
      </c>
      <c r="I42" s="48">
        <v>0.73236765699999995</v>
      </c>
      <c r="J42" s="48">
        <v>0.66584931084999999</v>
      </c>
      <c r="K42" s="48">
        <v>8.3044371055999999</v>
      </c>
      <c r="L42" s="49"/>
      <c r="O42" s="5"/>
    </row>
    <row r="43" spans="2:18" ht="15.6" x14ac:dyDescent="0.3">
      <c r="B43" s="31"/>
      <c r="C43" s="31"/>
      <c r="D43" s="31"/>
      <c r="E43" s="32"/>
      <c r="F43" s="32"/>
      <c r="H43" s="47">
        <v>45504</v>
      </c>
      <c r="I43" s="48">
        <v>0.71078494199999998</v>
      </c>
      <c r="J43" s="48">
        <v>0.65546379749000006</v>
      </c>
      <c r="K43" s="48">
        <v>8.2289694748999995</v>
      </c>
      <c r="L43" s="49"/>
      <c r="O43" s="5"/>
    </row>
    <row r="44" spans="2:18" ht="15.6" x14ac:dyDescent="0.3">
      <c r="B44" s="31" t="s">
        <v>295</v>
      </c>
      <c r="C44" s="31"/>
      <c r="D44" s="31"/>
      <c r="E44" s="32" t="str" cm="1">
        <f t="array" ref="E44">IFERROR(_xll.ECONOMATICA($D$6,"Vacancy % (RPF)",,$K$4),"-")</f>
        <v>-</v>
      </c>
      <c r="F44" s="32"/>
      <c r="H44" s="47">
        <v>45535</v>
      </c>
      <c r="I44" s="48">
        <v>0.75749999999999995</v>
      </c>
      <c r="J44" s="48">
        <v>0.70282056039999996</v>
      </c>
      <c r="K44" s="48">
        <v>8.0492322602000002</v>
      </c>
      <c r="L44" s="49"/>
      <c r="O44" s="5"/>
    </row>
    <row r="45" spans="2:18" ht="15.6" x14ac:dyDescent="0.3">
      <c r="B45" s="36" t="s">
        <v>296</v>
      </c>
      <c r="C45" s="36"/>
      <c r="D45" s="36"/>
      <c r="E45" s="37" t="str" cm="1">
        <f t="array" ref="E45">IFERROR(_xll.ECONOMATICA($D$6,"Default % (RPF)",,$K$4),"-")</f>
        <v>-</v>
      </c>
      <c r="F45" s="37"/>
      <c r="H45" s="50"/>
      <c r="I45" s="51"/>
      <c r="J45" s="51"/>
      <c r="K45" s="51"/>
      <c r="L45" s="52"/>
      <c r="O45" s="5"/>
    </row>
    <row r="46" spans="2:18" ht="15.6" x14ac:dyDescent="0.3">
      <c r="B46" s="40"/>
      <c r="C46" s="40"/>
      <c r="D46" s="40"/>
      <c r="E46" s="41"/>
      <c r="F46" s="41"/>
      <c r="H46" s="42"/>
      <c r="I46" s="43"/>
      <c r="J46" s="43"/>
      <c r="K46" s="43"/>
      <c r="L46" s="43"/>
      <c r="O46" s="5"/>
    </row>
    <row r="47" spans="2:18" ht="16.2" thickBot="1" x14ac:dyDescent="0.35">
      <c r="B47" s="15" t="s">
        <v>279</v>
      </c>
      <c r="C47" s="15"/>
      <c r="D47" s="15"/>
      <c r="E47" s="15"/>
      <c r="F47" s="15"/>
      <c r="G47" s="15"/>
      <c r="H47" s="15"/>
      <c r="I47" s="19" t="s">
        <v>394</v>
      </c>
      <c r="J47" s="17" t="s">
        <v>306</v>
      </c>
      <c r="K47" s="18" t="s">
        <v>240</v>
      </c>
      <c r="L47" s="18"/>
      <c r="M47" s="9"/>
      <c r="R47" s="16"/>
    </row>
    <row r="48" spans="2:18" ht="15" thickTop="1" x14ac:dyDescent="0.3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6"/>
      <c r="R48" s="16"/>
    </row>
    <row r="49" spans="2:18" x14ac:dyDescent="0.3"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</row>
    <row r="50" spans="2:18" x14ac:dyDescent="0.3"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</row>
    <row r="51" spans="2:18" x14ac:dyDescent="0.3"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</row>
    <row r="52" spans="2:18" x14ac:dyDescent="0.3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</row>
    <row r="53" spans="2:18" x14ac:dyDescent="0.3"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</row>
    <row r="54" spans="2:18" x14ac:dyDescent="0.3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</row>
    <row r="55" spans="2:18" x14ac:dyDescent="0.3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</row>
    <row r="56" spans="2:18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</row>
    <row r="57" spans="2:18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</row>
    <row r="58" spans="2:18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2:18" x14ac:dyDescent="0.3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</row>
    <row r="60" spans="2:18" x14ac:dyDescent="0.3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</row>
    <row r="61" spans="2:18" x14ac:dyDescent="0.3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</row>
    <row r="62" spans="2:18" x14ac:dyDescent="0.3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</row>
    <row r="63" spans="2:18" x14ac:dyDescent="0.3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</row>
    <row r="64" spans="2:18" x14ac:dyDescent="0.3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</row>
    <row r="65" spans="2:18" x14ac:dyDescent="0.3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</row>
    <row r="66" spans="2:18" x14ac:dyDescent="0.3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6"/>
      <c r="R66" s="16"/>
    </row>
  </sheetData>
  <sortState xmlns:xlrd2="http://schemas.microsoft.com/office/spreadsheetml/2017/richdata2" ref="R1:R20">
    <sortCondition ref="R1:R20"/>
  </sortState>
  <mergeCells count="128">
    <mergeCell ref="K47:L47"/>
    <mergeCell ref="H18:J18"/>
    <mergeCell ref="H19:J19"/>
    <mergeCell ref="H20:J20"/>
    <mergeCell ref="H21:J21"/>
    <mergeCell ref="H22:J22"/>
    <mergeCell ref="K4:L4"/>
    <mergeCell ref="K5:L5"/>
    <mergeCell ref="K6:L6"/>
    <mergeCell ref="K7:L7"/>
    <mergeCell ref="K8:L8"/>
    <mergeCell ref="K9:L9"/>
    <mergeCell ref="K10:L10"/>
    <mergeCell ref="K11:L11"/>
    <mergeCell ref="K12:L12"/>
    <mergeCell ref="K22:L22"/>
    <mergeCell ref="K13:L13"/>
    <mergeCell ref="K14:L14"/>
    <mergeCell ref="K15:L15"/>
    <mergeCell ref="K16:L16"/>
    <mergeCell ref="K17:L17"/>
    <mergeCell ref="K18:L18"/>
    <mergeCell ref="K19:L19"/>
    <mergeCell ref="K20:L20"/>
    <mergeCell ref="K21:L21"/>
    <mergeCell ref="H9:J9"/>
    <mergeCell ref="H10:J10"/>
    <mergeCell ref="H11:J11"/>
    <mergeCell ref="H12:J12"/>
    <mergeCell ref="H13:J13"/>
    <mergeCell ref="H14:J14"/>
    <mergeCell ref="H15:J15"/>
    <mergeCell ref="H16:J16"/>
    <mergeCell ref="H17:J17"/>
    <mergeCell ref="B18:C18"/>
    <mergeCell ref="B19:C19"/>
    <mergeCell ref="B20:C20"/>
    <mergeCell ref="B21:C21"/>
    <mergeCell ref="B22:C2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H3:L3"/>
    <mergeCell ref="B3:F3"/>
    <mergeCell ref="B4:C4"/>
    <mergeCell ref="B5:C5"/>
    <mergeCell ref="H4:J4"/>
    <mergeCell ref="H5:J5"/>
    <mergeCell ref="B6:C6"/>
    <mergeCell ref="B7:C7"/>
    <mergeCell ref="B8:C8"/>
    <mergeCell ref="H6:J6"/>
    <mergeCell ref="H7:J7"/>
    <mergeCell ref="H8:J8"/>
    <mergeCell ref="H24:L24"/>
    <mergeCell ref="B25:D25"/>
    <mergeCell ref="B26:D26"/>
    <mergeCell ref="B27:D27"/>
    <mergeCell ref="J25:J26"/>
    <mergeCell ref="K25:K26"/>
    <mergeCell ref="L25:L26"/>
    <mergeCell ref="E29:F29"/>
    <mergeCell ref="E30:F30"/>
    <mergeCell ref="E25:F25"/>
    <mergeCell ref="E26:F26"/>
    <mergeCell ref="B37:D37"/>
    <mergeCell ref="B28:D28"/>
    <mergeCell ref="B29:D29"/>
    <mergeCell ref="B30:D30"/>
    <mergeCell ref="B31:D31"/>
    <mergeCell ref="B32:D32"/>
    <mergeCell ref="B24:F24"/>
    <mergeCell ref="E31:F31"/>
    <mergeCell ref="E32:F32"/>
    <mergeCell ref="E33:F33"/>
    <mergeCell ref="E34:F34"/>
    <mergeCell ref="E35:F35"/>
    <mergeCell ref="E36:F36"/>
    <mergeCell ref="B33:D33"/>
    <mergeCell ref="B34:D34"/>
    <mergeCell ref="E27:F27"/>
    <mergeCell ref="E28:F28"/>
    <mergeCell ref="B35:D35"/>
    <mergeCell ref="B36:D36"/>
    <mergeCell ref="B47:H47"/>
    <mergeCell ref="B45:D45"/>
    <mergeCell ref="E45:F45"/>
    <mergeCell ref="H25:H26"/>
    <mergeCell ref="B42:D42"/>
    <mergeCell ref="E42:F42"/>
    <mergeCell ref="B43:D43"/>
    <mergeCell ref="E43:F43"/>
    <mergeCell ref="B44:D44"/>
    <mergeCell ref="E44:F44"/>
    <mergeCell ref="E37:F37"/>
    <mergeCell ref="E38:F38"/>
    <mergeCell ref="E39:F39"/>
    <mergeCell ref="E40:F40"/>
    <mergeCell ref="E41:F41"/>
    <mergeCell ref="B38:D38"/>
    <mergeCell ref="B39:D39"/>
    <mergeCell ref="B40:D40"/>
    <mergeCell ref="B41:D41"/>
  </mergeCells>
  <dataValidations count="1">
    <dataValidation type="list" allowBlank="1" showInputMessage="1" sqref="K47" xr:uid="{CAED8087-D291-4008-8D7D-C57AE87EB0A2}">
      <formula1>"1M,3M,6M,12M,18M,24M,36M,48M,60M,DESDE O INÍCIO"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245382F0-11D0-44F6-ABC1-971B7A59FC87}">
          <x14:formula1>
            <xm:f>Comparativo!$D$11:$D$121</xm:f>
          </x14:formula1>
          <xm:sqref>D6:F6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00FF5-D0AC-4C1C-B408-D4BF3BC24703}">
  <sheetPr codeName="Planilha2">
    <tabColor rgb="FF023A4A"/>
  </sheetPr>
  <dimension ref="B1:CJ207"/>
  <sheetViews>
    <sheetView showGridLines="0" zoomScale="80" zoomScaleNormal="80" workbookViewId="0"/>
  </sheetViews>
  <sheetFormatPr defaultColWidth="8.77734375" defaultRowHeight="14.4" x14ac:dyDescent="0.3"/>
  <cols>
    <col min="1" max="1" width="2.77734375" style="1" customWidth="1"/>
    <col min="2" max="2" width="24.33203125" style="1" customWidth="1"/>
    <col min="3" max="3" width="43.21875" style="1" customWidth="1"/>
    <col min="4" max="88" width="22.77734375" style="1" customWidth="1"/>
    <col min="89" max="16384" width="8.77734375" style="1"/>
  </cols>
  <sheetData>
    <row r="1" spans="2:88" s="6" customFormat="1" ht="60" customHeight="1" x14ac:dyDescent="0.3">
      <c r="D1" s="12" t="s">
        <v>432</v>
      </c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/>
    </row>
    <row r="2" spans="2:88" ht="15.6" x14ac:dyDescent="0.3">
      <c r="B2" s="60" t="s">
        <v>236</v>
      </c>
      <c r="C2" s="61">
        <f>IF(C3="",_xll.ECONOMATICA("IBOV","Date of Last Quote"),C3)</f>
        <v>45560</v>
      </c>
      <c r="D2" s="91" t="s">
        <v>433</v>
      </c>
      <c r="I2" s="1" t="s">
        <v>237</v>
      </c>
    </row>
    <row r="3" spans="2:88" ht="15.6" x14ac:dyDescent="0.3">
      <c r="B3" s="62" t="s">
        <v>235</v>
      </c>
      <c r="C3" s="66"/>
      <c r="D3" s="91" t="s">
        <v>434</v>
      </c>
    </row>
    <row r="4" spans="2:88" ht="15.6" x14ac:dyDescent="0.3">
      <c r="B4" s="62" t="s">
        <v>238</v>
      </c>
      <c r="C4" s="64" t="s">
        <v>239</v>
      </c>
      <c r="D4" s="112" t="s">
        <v>436</v>
      </c>
      <c r="E4" s="2"/>
    </row>
    <row r="5" spans="2:88" ht="15.6" x14ac:dyDescent="0.3">
      <c r="B5" s="63" t="s">
        <v>241</v>
      </c>
      <c r="C5" s="65" t="s">
        <v>240</v>
      </c>
      <c r="D5" s="112" t="s">
        <v>437</v>
      </c>
      <c r="E5" s="2"/>
    </row>
    <row r="6" spans="2:88" x14ac:dyDescent="0.3">
      <c r="C6" s="59"/>
      <c r="E6" s="2"/>
    </row>
    <row r="7" spans="2:88" ht="16.2" thickBot="1" x14ac:dyDescent="0.35">
      <c r="B7" s="56" t="s">
        <v>242</v>
      </c>
      <c r="C7" s="56"/>
      <c r="D7" s="3"/>
      <c r="E7" s="2"/>
    </row>
    <row r="8" spans="2:88" ht="15" thickTop="1" x14ac:dyDescent="0.3">
      <c r="B8" s="57" t="str">
        <f>"Fund type (classific BM&amp;FBovespa)=FII - Fundos de Investimento Imobiliário"</f>
        <v>Fund type (classific BM&amp;FBovespa)=FII - Fundos de Investimento Imobiliário</v>
      </c>
      <c r="C8" s="57"/>
      <c r="D8" s="91" t="s">
        <v>433</v>
      </c>
      <c r="E8" s="2"/>
    </row>
    <row r="9" spans="2:88" ht="15" thickBot="1" x14ac:dyDescent="0.35">
      <c r="B9" s="58" t="str">
        <f>"Partic in IFIX&gt;0"</f>
        <v>Partic in IFIX&gt;0</v>
      </c>
      <c r="C9" s="58"/>
      <c r="D9" s="91" t="s">
        <v>433</v>
      </c>
    </row>
    <row r="10" spans="2:88" ht="79.2" thickTop="1" thickBot="1" x14ac:dyDescent="0.35">
      <c r="B10" s="53" t="str">
        <f>_xll.ECOSECURITIES(,"active",,"BRA","XBSP",,"Código B3",B8:B9)</f>
        <v>Código B3</v>
      </c>
      <c r="C10" s="54" t="str" cm="1">
        <f t="array" ref="C10">_xll.ECONOMATICA($B$11:$B$135,"Name",,,,,,,"false","true")</f>
        <v>Nome</v>
      </c>
      <c r="D10" s="54" t="str" cm="1">
        <f t="array" ref="D10">_xll.ECONOMATICA($B$11:$B$135,"Ticker",,,,,,,"false","true")</f>
        <v>Código</v>
      </c>
      <c r="E10" s="54" t="str" cm="1">
        <f t="array" ref="E10">_xll.ECONOMATICA($B$11:$B$135,"Employer ID number",,,,,,,"false","true")</f>
        <v>CNPJ</v>
      </c>
      <c r="F10" s="54" t="str" cm="1">
        <f t="array" ref="F10">_xll.ECONOMATICA($B$11:$B$135,"Index comp",,"LATEST",,,,,"false","true",,{"AmountInvestedBy=IFIX&lt;XBSP&gt;"})</f>
        <v>Comp carteira Mais Recente em % Ind Fdo Imob</v>
      </c>
      <c r="G10" s="54" t="str" cm="1">
        <f t="array" ref="G10">_xll.ECONOMATICA($B$11:$B$135,"Segmento de atuação",,,,,,,"false","true")</f>
        <v>Segmento de atuação</v>
      </c>
      <c r="H10" s="54" t="str" cm="1">
        <f t="array" ref="H10">_xll.ECONOMATICA($B$11:$B$135,"Administr % fee",,$C$2,,,,,"false","true",,{"ind.rveda=true";"ind.mvtm=true"})</f>
        <v>Taxa % de administração 25Set24</v>
      </c>
      <c r="I10" s="54" t="str" cm="1">
        <f t="array" ref="I10">_xll.ECONOMATICA($B$11:$B$135,"Encerramento do exercício social",,,,,,,"false","true")</f>
        <v>Encerramento do exercício social</v>
      </c>
      <c r="J10" s="54" t="str" cm="1">
        <f t="array" ref="J10">_xll.ECONOMATICA($B$11:$B$135,"Total Assets",,"LATEST",,,"ORIGINAL CURRENCY",$C$4,"false","true")</f>
        <v xml:space="preserve"> Ativo Tot  Mais recente  Em moeda orig  em milhares  consolid:sim*</v>
      </c>
      <c r="K10" s="54" t="str" cm="1">
        <f t="array" ref="K10">_xll.ECONOMATICA($B$11:$B$135,"TotInvest",,"LATEST",,,"ORIGINAL CURRENCY",$C$4,"false","true")</f>
        <v xml:space="preserve"> TotInvest  Mais recente  Em moeda orig  em milhares  consolid:sim*</v>
      </c>
      <c r="L10" s="54" t="str" cm="1">
        <f t="array" ref="L10">_xll.ECONOMATICA($B$11:$B$135,"DirRealBemImo",,"LATEST",,,"ORIGINAL CURRENCY",$C$4,"false","true")</f>
        <v xml:space="preserve"> DirRealBemImo  Mais recente  Em moeda orig  em milhares  consolid:sim*</v>
      </c>
      <c r="M10" s="54" t="str" cm="1">
        <f t="array" ref="M10">_xll.ECONOMATICA($B$11:$B$135,"ValARec",,"LATEST",,,"ORIGINAL CURRENCY",$C$4,"false","true")</f>
        <v xml:space="preserve"> ValARec  Mais recente  Em moeda orig  em milhares  consolid:sim*</v>
      </c>
      <c r="N10" s="54" t="str" cm="1">
        <f t="array" ref="N10">_xll.ECONOMATICA($B$11:$B$135,"Total Liability",,"LATEST",,,"ORIGINAL CURRENCY",$C$4,"false","true")</f>
        <v xml:space="preserve"> PssvTt  Mais recente  Em moeda orig  em milhares  consolid:sim*</v>
      </c>
      <c r="O10" s="54" t="str" cm="1">
        <f t="array" ref="O10">_xll.ECONOMATICA($B$11:$B$135,"Stock Eq Par",,"LATEST",,,"ORIGINAL CURRENCY",$C$4,"false","true")</f>
        <v xml:space="preserve"> Patrim Liq  Mais recente  Em moeda orig  em milhares  consolid:sim*</v>
      </c>
      <c r="P10" s="54" t="str" cm="1">
        <f t="array" ref="P10">_xll.ECONOMATICA($B$11:$B$135,"ResLiqAtvImob(Fin)",$C$5,"LATEST",,,"ORIGINAL CURRENCY",$C$4,"false","true")</f>
        <v xml:space="preserve"> ResLiqAtvImob(Fin)  Mais recente  Em moeda orig  em milhares  de 12 meses  consolid:sim*</v>
      </c>
      <c r="Q10" s="54" t="str" cm="1">
        <f t="array" ref="Q10">_xll.ECONOMATICA($B$11:$B$135,"ResLiqImovEst(Fin)",$C$5,"LATEST",,,"ORIGINAL CURRENCY",$C$4,"false","true")</f>
        <v xml:space="preserve"> ResLiqImovEst(Fin)  Mais recente  Em moeda orig  em milhares  de 12 meses  consolid:sim*</v>
      </c>
      <c r="R10" s="54" t="str" cm="1">
        <f t="array" ref="R10">_xll.ECONOMATICA($B$11:$B$135,"ResLiqImoRen(Fin)",$C$5,"LATEST",,,"ORIGINAL CURRENCY",$C$4,"false","true")</f>
        <v xml:space="preserve"> ResLiqImoRen(Fin)  Mais recente  Em moeda orig  em milhares  de 12 meses  consolid:sim*</v>
      </c>
      <c r="S10" s="54" t="str" cm="1">
        <f t="array" ref="S10">_xll.ECONOMATICA($B$11:$B$135,"ResLiqTVM(Fin)",$C$5,"LATEST",,,"ORIGINAL CURRENCY",$C$4,"false","true")</f>
        <v xml:space="preserve"> ResLiqTVM(Fin)  Mais recente  Em moeda orig  em milhares  de 12 meses  consolid:sim*</v>
      </c>
      <c r="T10" s="54" t="str" cm="1">
        <f t="array" ref="T10">_xll.ECONOMATICA($B$11:$B$135,"ResLiqNecesLiq(Fin)",$C$5,"LATEST",,,"ORIGINAL CURRENCY",$C$4,"false","true")</f>
        <v xml:space="preserve"> ResLiqNecesLiq(Fin)  Mais recente  Em moeda orig  em milhares  de 12 meses  consolid:sim*</v>
      </c>
      <c r="U10" s="54" t="str" cm="1">
        <f t="array" ref="U10">_xll.ECONOMATICA($B$11:$B$135,"ResLiqDerivat(Fin)",$C$5,"LATEST",,,"ORIGINAL CURRENCY",$C$4,"false","true")</f>
        <v xml:space="preserve"> ResLiqDerivat(Fin)  Mais recente  Em moeda orig  em milhares  de 12 meses  consolid:sim*</v>
      </c>
      <c r="V10" s="54" t="str" cm="1">
        <f t="array" ref="V10">_xll.ECONOMATICA($B$11:$B$135,"TotOutRecDesp(Fin)",$C$5,"LATEST",,,"ORIGINAL CURRENCY",$C$4,"false","true")</f>
        <v xml:space="preserve"> TotOutRecDesp(Fin)  Mais recente  Em moeda orig  em milhares  de 12 meses  consolid:sim*</v>
      </c>
      <c r="W10" s="54" t="str" cm="1">
        <f t="array" ref="W10">_xll.ECONOMATICA($B$11:$B$135,"ResulLiq(Fin)",$C$5,"LATEST",,,"ORIGINAL CURRENCY",$C$4,"false","true")</f>
        <v xml:space="preserve"> ResulLiq(Fin)  Mais recente  Em moeda orig  em milhares  de 12 meses  consolid:sim*</v>
      </c>
      <c r="X10" s="54" t="str" cm="1">
        <f t="array" ref="X10">_xll.ECONOMATICA($B$11:$B$135,"ResFinLiqAcum",$C$5,"LATEST",,,"ORIGINAL CURRENCY",$C$4,"false","true")</f>
        <v xml:space="preserve"> ResFinLiqAcum  Mais recente  Em moeda orig  em milhares  de 12 meses  consolid:sim*</v>
      </c>
      <c r="Y10" s="54" t="str" cm="1">
        <f t="array" ref="Y10">_xll.ECONOMATICA($B$11:$B$135,"95ResFinLiqAc",$C$5,"LATEST",,,"ORIGINAL CURRENCY",$C$4,"false","true")</f>
        <v xml:space="preserve"> 95ResFinLiqAc  Mais recente  Em moeda orig  em milhares  de 12 meses  consolid:sim*</v>
      </c>
      <c r="Z10" s="54" t="str" cm="1">
        <f t="array" ref="Z10">_xll.ECONOMATICA($B$11:$B$135,"RendmtDeclard",$C$5,"LATEST",,,"ORIGINAL CURRENCY",$C$4,"false","true")</f>
        <v xml:space="preserve"> RendmtDeclard  Mais recente  Em moeda orig  em milhares  de 12 meses  consolid:sim*</v>
      </c>
      <c r="AA10" s="54" t="str" cm="1">
        <f t="array" ref="AA10">_xll.ECONOMATICA($B$11:$B$135,"RendmtLiqAPgr",$C$5,"LATEST",,,"ORIGINAL CURRENCY",$C$4,"false","true")</f>
        <v xml:space="preserve"> RendmtLiqAPgr  Mais recente  Em moeda orig  em milhares  de 12 meses  consolid:sim*</v>
      </c>
      <c r="AB10" s="54" t="str" cm="1">
        <f t="array" ref="AB10">_xll.ECONOMATICA($B$11:$B$135,"PercentResFinLiqDeclrd",,"LATEST",,,,,"false","true")</f>
        <v xml:space="preserve"> PercentResFinLiqDeclrd  Mais recente  consolid:sim*</v>
      </c>
      <c r="AC10" s="54" t="str" cm="1">
        <f t="array" ref="AC10">_xll.ECONOMATICA($B$11:$B$135,"Value $ (FNA)",,"LATEST",,,"ORIGINAL CURRENCY",$C$4,"false","true",,{"AssetClass=Stocks"})</f>
        <v>Valor $ (TVM) Mais Recente Ações em milhares Em moeda orig</v>
      </c>
      <c r="AD10" s="54" t="str" cm="1">
        <f t="array" ref="AD10">_xll.ECONOMATICA($B$11:$B$135,"Value $ (FNA)",,"LATEST",,,"ORIGINAL CURRENCY",$C$4,"false","true",,{"AssetClass=Brazilian depos receipt BDR"})</f>
        <v>Valor $ (TVM) Mais Recente Brazilian depos receipt BDR em milhares Em moeda orig</v>
      </c>
      <c r="AE10" s="54" t="str" cm="1">
        <f t="array" ref="AE10">_xll.ECONOMATICA($B$11:$B$135,"Value $ (FNA)",,"LATEST",,,"ORIGINAL CURRENCY",$C$4,"false","true",,{"AssetClass=Cert ou rec de dep de val mob"})</f>
        <v>Valor $ (TVM) Mais Recente Cert ou rec de dep de val mob em milhares Em moeda orig</v>
      </c>
      <c r="AF10" s="54" t="str" cm="1">
        <f t="array" ref="AF10">_xll.ECONOMATICA($B$11:$B$135,"Value $ (FNA)",,"LATEST",,,"ORIGINAL CURRENCY",$C$4,"false","true",,{"AssetClass=Mutual funds"})</f>
        <v>Valor $ (TVM) Mais Recente Cotas de fundos em milhares Em moeda orig</v>
      </c>
      <c r="AG10" s="54" t="str" cm="1">
        <f t="array" ref="AG10">_xll.ECONOMATICA($B$11:$B$135,"Value $ (FNA)",,"LATEST",,,"ORIGINAL CURRENCY",$C$4,"false","true",,{"AssetClass=Priv issued - LCI LCA"})</f>
        <v>Valor $ (TVM) Mais Recente Cred priv - LCI LCA em milhares Em moeda orig</v>
      </c>
      <c r="AH10" s="54" t="str" cm="1">
        <f t="array" ref="AH10">_xll.ECONOMATICA($B$11:$B$135,"Value $ (FNA)",,"LATEST",,,"ORIGINAL CURRENCY",$C$4,"false","true",,{"AssetClass=Priv issued - LIG"})</f>
        <v>Valor $ (TVM) Mais Recente Cred priv - LIG em milhares Em moeda orig</v>
      </c>
      <c r="AI10" s="54" t="str" cm="1">
        <f t="array" ref="AI10">_xll.ECONOMATICA($B$11:$B$135,"Value $ (FNA)",,"LATEST",,,"ORIGINAL CURRENCY",$C$4,"false","true",,{"AssetClass=Corporate bonds"})</f>
        <v>Valor $ (TVM) Mais Recente Debêntures em milhares Em moeda orig</v>
      </c>
      <c r="AJ10" s="54" t="str" cm="1">
        <f t="array" ref="AJ10">_xll.ECONOMATICA($B$11:$B$135,"Value $ (FNA)",,"LATEST",,,"ORIGINAL CURRENCY",$C$4,"false","true",,{"std.cac.quaistpapl=210,211,212,213,214,215,216,74"})</f>
        <v>Valor $ (TVM) Mais Recente vários tipos de investimentos em milhares Em moeda orig</v>
      </c>
      <c r="AK10" s="54" t="str" cm="1">
        <f t="array" ref="AK10">_xll.ECONOMATICA($B$11:$B$135,"Value $ (FNA)",,"LATEST",,,"ORIGINAL CURRENCY",$C$4,"false","true",,{"AssetClass=Difference in swap payables,Difference in swap receivables,Cash and cash equivalents,Gold,Stocks leased to others,Stocks borrowed from others,Foreign investments,Futures contract - buyer,Futures contra";"AssetClass=ct - seller,Call option holder,Call option writer,Undisclosed - option writer,Undisclosed - option holder,Put option writer,Put option holder,Securities under rep agreement,Priv issued - CRI CRA,Other privetly issued securities,Oth fin assets,O";"AssetClass=ther invesments,Other liabilities,Forward mkt - purchase receivable,Forward mkt - purchase payable,Forward mkt - sale deliverable,Forward mkt - sale receivable,Government bonds,Accounts payable,Accounts receivable,Other CVM regulated securities"})</f>
        <v>Valor $ (TVM) Mais Recente vários tipos de investimentos em milhares Em moeda orig</v>
      </c>
      <c r="AL10" s="54" t="str" cm="1">
        <f t="array" ref="AL10">_xll.ECONOMATICA($B$11:$B$135,"Area m2 (RPF)",,"LATEST",,,,,"false","true")</f>
        <v>Área m2 (IRA) Mais Recente do fundo</v>
      </c>
      <c r="AM10" s="54" t="str" cm="1">
        <f t="array" ref="AM10">_xll.ECONOMATICA($B$11:$B$135,"Vacancy % (RPF)",,"LATEST",,,,,"false","true")</f>
        <v>Vacância % (IRA) Mais Recente do fundo méd pond por área</v>
      </c>
      <c r="AN10" s="54" t="str" cm="1">
        <f t="array" ref="AN10">_xll.ECONOMATICA($B$11:$B$135,"Default % (RPF)",,"LATEST",,,,,"false","true")</f>
        <v>Inadimp % (IRA) Mais Recente do fundo méd pond por área</v>
      </c>
      <c r="AO10" s="54" t="str" cm="1">
        <f t="array" ref="AO10">_xll.ECONOMATICA($B$11:$B$135,"Rev RPF / Fd % (RPF)",,"LATEST",,,,,"false","true")</f>
        <v>Rec IRA / Fdo % (IRA) Mais Recente do fundo</v>
      </c>
      <c r="AP10" s="54" t="str" cm="1">
        <f t="array" ref="AP10">_xll.ECONOMATICA($B$11:$B$135,"Area m2 (RPC)",,"LATEST",,,,,"false","true")</f>
        <v>Área m2 (IRC) Mais Recente do fundo</v>
      </c>
      <c r="AQ10" s="54" t="str" cm="1">
        <f t="array" ref="AQ10">_xll.ECONOMATICA($B$11:$B$135,"% concl (RPC)",,"LATEST",,,,,"false","true")</f>
        <v>% realiz (IRC) Mais Recente do fundo méd pond por área</v>
      </c>
      <c r="AR10" s="54" t="str" cm="1">
        <f t="array" ref="AR10">_xll.ECONOMATICA($B$11:$B$135,"$ completed (RPC)",,"LATEST",,,"ORIGINAL CURRENCY",$C$4,"false","true")</f>
        <v>$ realiz (IRC) Mais Recente do fundo Em moeda orig em milhares</v>
      </c>
      <c r="AS10" s="54" t="str" cm="1">
        <f t="array" ref="AS10">_xll.ECONOMATICA($B$11:$B$135,"$ forecasted (RPC)",,"LATEST",,,"ORIGINAL CURRENCY",$C$4,"false","true")</f>
        <v>$ previst (IRC) Mais Recente do fundo Em moeda orig em milhares</v>
      </c>
      <c r="AT10" s="54" t="str" cm="1">
        <f t="array" ref="AT10">_xll.ECONOMATICA($B$11:$B$135,"Area m2 (PSF)",,"LATEST",,,,,"false","true")</f>
        <v>Área m2 (IVA) Mais Recente do fundo</v>
      </c>
      <c r="AU10" s="54" t="str" cm="1">
        <f t="array" ref="AU10">_xll.ECONOMATICA($B$11:$B$135,"Value $ (PSF)",,"LATEST",,,"ORIGINAL CURRENCY",,"false","true")</f>
        <v>Valor $(IVA) Mais Recente do fundo Em moeda orig</v>
      </c>
      <c r="AV10" s="54" t="str" cm="1">
        <f t="array" ref="AV10">_xll.ECONOMATICA($B$11:$B$135,"% Net Inc (PSF)",,"LATEST",,,,,"false","true")</f>
        <v>% PL (IVA) Mais Recente do fundo</v>
      </c>
      <c r="AW10" s="54" t="str" cm="1">
        <f t="array" ref="AW10">_xll.ECONOMATICA($B$11:$B$135,"Area m2 (LTS)",,"LATEST",,,,,"false","true")</f>
        <v>Área m2 (TER) Mais Recente do fundo</v>
      </c>
      <c r="AX10" s="54" t="str" cm="1">
        <f t="array" ref="AX10">_xll.ECONOMATICA($B$11:$B$135,"Value $ (LTS)",,"LATEST",,,"ORIGINAL CURRENCY",$C$4,"false","true")</f>
        <v>Valor $ (TER) Mais Recente do fundo Em moeda orig em milhares</v>
      </c>
      <c r="AY10" s="54" t="str" cm="1">
        <f t="array" ref="AY10">_xll.ECONOMATICA($B$11:$B$135,"% Net Inc (LTS)",,"LATEST",,,,,"false","true")</f>
        <v>% PL (TER) Mais Recente do fundo</v>
      </c>
      <c r="AZ10" s="54" t="str" cm="1">
        <f t="array" ref="AZ10">_xll.ECONOMATICA($B$11:$B$135,"BVperQuota",,"LATEST",,,"ORIGINAL CURRENCY",,"false","true")</f>
        <v xml:space="preserve"> VPC  Mais recente  Em moeda orig  consolid:sim*  ajust p/ prov</v>
      </c>
      <c r="BA10" s="54" t="str" cm="1">
        <f t="array" ref="BA10">_xll.ECONOMATICA($B$11:$B$135,"AdmFeeEx/StkEMon",,"LATEST",,,,,"false","true")</f>
        <v xml:space="preserve"> DespTxAdm/PatMes  Mais recente</v>
      </c>
      <c r="BB10" s="54" t="str" cm="1">
        <f t="array" ref="BB10">_xll.ECONOMATICA($B$11:$B$135,"CustAgEx/StkEMon",,"LATEST",,,,,"false","true")</f>
        <v xml:space="preserve"> DesAgCust/PatMes  Mais recente</v>
      </c>
      <c r="BC10" s="54" t="str" cm="1">
        <f t="array" ref="BC10">_xll.ECONOMATICA($B$11:$B$135,"DivY(BV)Month",,"LATEST",,,,,"false","true")</f>
        <v xml:space="preserve"> DivY(VP)Mes  Mais recente</v>
      </c>
      <c r="BD10" s="54" t="str" cm="1">
        <f t="array" ref="BD10">_xll.ECONOMATICA($B$11:$B$135,"EffecMontRet",,"LATEST",,,,,"false","true")</f>
        <v xml:space="preserve"> RentEfeMes  Mais recente</v>
      </c>
      <c r="BE10" s="54" t="str" cm="1">
        <f t="array" ref="BE10">_xll.ECONOMATICA($B$11:$B$135,"NumShHold",,"LATEST",,,,,"false","true")</f>
        <v xml:space="preserve"> NumCot  Mais recente</v>
      </c>
      <c r="BF10" s="54" t="str" cm="1">
        <f t="array" ref="BF10">_xll.ECONOMATICA($B$11:$B$135,"PhysicPers",,"LATEST",,,,,"false","true")</f>
        <v xml:space="preserve"> PFisica  Mais recente</v>
      </c>
      <c r="BG10" s="54" t="str" cm="1">
        <f t="array" ref="BG10">_xll.ECONOMATICA($B$11:$B$135,"NonFinLegEnt",,"LATEST",,,,,"false","true")</f>
        <v xml:space="preserve"> PJurNaoFin  Mais recente</v>
      </c>
      <c r="BH10" s="54" t="str" cm="1">
        <f t="array" ref="BH10">_xll.ECONOMATICA($B$11:$B$135,"CommerBank",,"LATEST",,,,,"false","true")</f>
        <v xml:space="preserve"> BancoComer  Mais recente</v>
      </c>
      <c r="BI10" s="54" t="str" cm="1">
        <f t="array" ref="BI10">_xll.ECONOMATICA($B$11:$B$135,"BrokerOrDistr",,"LATEST",,,,,"false","true")</f>
        <v xml:space="preserve"> CorretOuDistr  Mais recente</v>
      </c>
      <c r="BJ10" s="54" t="str" cm="1">
        <f t="array" ref="BJ10">_xll.ECONOMATICA($B$11:$B$135,"OtFinLegEnt",,"LATEST",,,,,"false","true")</f>
        <v xml:space="preserve"> OuPessJurFin  Mais recente</v>
      </c>
      <c r="BK10" s="54" t="str" cm="1">
        <f t="array" ref="BK10">_xll.ECONOMATICA($B$11:$B$135,"NonResidInvest",,"LATEST",,,,,"false","true")</f>
        <v xml:space="preserve"> InvestNaoResid  Mais recente</v>
      </c>
      <c r="BL10" s="54" t="str" cm="1">
        <f t="array" ref="BL10">_xll.ECONOMATICA($B$11:$B$135,"OpenSupPenEnt",,"LATEST",,,,,"false","true")</f>
        <v xml:space="preserve"> EntAberPrComp  Mais recente</v>
      </c>
      <c r="BM10" s="54" t="str" cm="1">
        <f t="array" ref="BM10">_xll.ECONOMATICA($B$11:$B$135,"ClosedSupPeEnt",,"LATEST",,,,,"false","true")</f>
        <v xml:space="preserve"> EntFecPrevComp  Mais recente</v>
      </c>
      <c r="BN10" s="54" t="str" cm="1">
        <f t="array" ref="BN10">_xll.ECONOMATICA($B$11:$B$135,"PriPenPlaPubSer",,"LATEST",,,,,"false","true")</f>
        <v xml:space="preserve"> RegPrPrevSerPub  Mais recente</v>
      </c>
      <c r="BO10" s="54" t="str" cm="1">
        <f t="array" ref="BO10">_xll.ECONOMATICA($B$11:$B$135,"InsurOrReinsCo",,"LATEST",,,,,"false","true")</f>
        <v xml:space="preserve"> SocSegOuResseg  Mais recente</v>
      </c>
      <c r="BP10" s="54" t="str" cm="1">
        <f t="array" ref="BP10">_xll.ECONOMATICA($B$11:$B$135,"CapAndLeasCo",,"LATEST",,,,,"false","true")</f>
        <v xml:space="preserve"> SocCapEArrMerc  Mais recente</v>
      </c>
      <c r="BQ10" s="54" t="str" cm="1">
        <f t="array" ref="BQ10">_xll.ECONOMATICA($B$11:$B$135,"RealEstInFun",,"LATEST",,,,,"false","true")</f>
        <v xml:space="preserve"> FunInvImob  Mais recente</v>
      </c>
      <c r="BR10" s="54" t="str" cm="1">
        <f t="array" ref="BR10">_xll.ECONOMATICA($B$11:$B$135,"OthInvFund",,"LATEST",,,,,"false","true")</f>
        <v xml:space="preserve"> OutFundInv  Mais recente</v>
      </c>
      <c r="BS10" s="54" t="str" cm="1">
        <f t="array" ref="BS10">_xll.ECONOMATICA($B$11:$B$135,"ShHolFunDist",,"LATEST",,,,,"false","true")</f>
        <v xml:space="preserve"> CotDistFund  Mais recente</v>
      </c>
      <c r="BT10" s="54" t="str" cm="1">
        <f t="array" ref="BT10">_xll.ECONOMATICA($B$11:$B$135,"OthTypShHol",,"LATEST",,,,,"false","true")</f>
        <v xml:space="preserve"> OutTiCoNaoRel  Mais recente</v>
      </c>
      <c r="BU10" s="54" t="str" cm="1">
        <f t="array" ref="BU10">_xll.ECONOMATICA($B$11:$B$135,"UpTo3M(RPF/TRPF)",,"LATEST",,,,,"false","true")</f>
        <v xml:space="preserve"> Ate3M(IRA/TIRA)  Mais recente</v>
      </c>
      <c r="BV10" s="54" t="str" cm="1">
        <f t="array" ref="BV10">_xll.ECONOMATICA($B$11:$B$135,"3To6M(RPF/TRPF)",,"LATEST",,,,,"false","true")</f>
        <v xml:space="preserve"> 3A6M(IRA/TIRA)  Mais recente</v>
      </c>
      <c r="BW10" s="54" t="str" cm="1">
        <f t="array" ref="BW10">_xll.ECONOMATICA($B$11:$B$135,"6To9M(RPF/TRPF)",,"LATEST",,,,,"false","true")</f>
        <v xml:space="preserve"> 6A9M(IRA/TIRA)  Mais recente</v>
      </c>
      <c r="BX10" s="54" t="str" cm="1">
        <f t="array" ref="BX10">_xll.ECONOMATICA($B$11:$B$135,"9To12M(RPF/TRPF)",,"LATEST",,,,,"false","true")</f>
        <v xml:space="preserve"> 9A12M(IRA/TIRA)  Mais recente</v>
      </c>
      <c r="BY10" s="54" t="str" cm="1">
        <f t="array" ref="BY10">_xll.ECONOMATICA($B$11:$B$135,"12T15M(RPF/TRPF)",,"LATEST",,,,,"false","true")</f>
        <v xml:space="preserve"> 12A15M(IRA/TIRA)  Mais recente</v>
      </c>
      <c r="BZ10" s="54" t="str" cm="1">
        <f t="array" ref="BZ10">_xll.ECONOMATICA($B$11:$B$135,"15T18M(RPF/TRPF)",,"LATEST",,,,,"false","true")</f>
        <v xml:space="preserve"> 15A18M(IRA/TIRA)  Mais recente</v>
      </c>
      <c r="CA10" s="54" t="str" cm="1">
        <f t="array" ref="CA10">_xll.ECONOMATICA($B$11:$B$135,"18T21M(RPF/TRPF)",,"LATEST",,,,,"false","true")</f>
        <v xml:space="preserve"> 18A21M(IRA/TIRA)  Mais recente</v>
      </c>
      <c r="CB10" s="54" t="str" cm="1">
        <f t="array" ref="CB10">_xll.ECONOMATICA($B$11:$B$135,"21T24M(RPF/TRPF)",,"LATEST",,,,,"false","true")</f>
        <v xml:space="preserve"> 21A24M(IRA/TIRA)  Mais recente</v>
      </c>
      <c r="CC10" s="54" t="str" cm="1">
        <f t="array" ref="CC10">_xll.ECONOMATICA($B$11:$B$135,"24T27M(RPF/TRPF)",,"LATEST",,,,,"false","true")</f>
        <v xml:space="preserve"> 24A27M(IRA/TIRA)  Mais recente</v>
      </c>
      <c r="CD10" s="54" t="str" cm="1">
        <f t="array" ref="CD10">_xll.ECONOMATICA($B$11:$B$135,"27T30M(RPF/TRPF)",,"LATEST",,,,,"false","true")</f>
        <v xml:space="preserve"> 27A30M(IRA/TIRA)  Mais recente</v>
      </c>
      <c r="CE10" s="54" t="str" cm="1">
        <f t="array" ref="CE10">_xll.ECONOMATICA($B$11:$B$135,"30T33M(RPF/TRPF)",,"LATEST",,,,,"false","true")</f>
        <v xml:space="preserve"> 30A33M(IRA/TIRA)  Mais recente</v>
      </c>
      <c r="CF10" s="54" t="str" cm="1">
        <f t="array" ref="CF10">_xll.ECONOMATICA($B$11:$B$135,"33T36M(RPF/TRPF)",,"LATEST",,,,,"false","true")</f>
        <v xml:space="preserve"> 33A36M(IRA/TIRA)  Mais recente</v>
      </c>
      <c r="CG10" s="54" t="str" cm="1">
        <f t="array" ref="CG10">_xll.ECONOMATICA($B$11:$B$135,"Ovr36M(RPF/TRPF)",,"LATEST",,,,,"false","true")</f>
        <v xml:space="preserve"> Acm36M(IRA/TIRA)  Mais recente</v>
      </c>
      <c r="CH10" s="54" t="str" cm="1">
        <f t="array" ref="CH10">_xll.ECONOMATICA($B$11:$B$135,"IndPrd(RPF/TRPF)",,"LATEST",,,,,"false","true")</f>
        <v xml:space="preserve"> PrzInd(IRA/TIRA)  Mais recente</v>
      </c>
      <c r="CI10" s="54" t="str" cm="1">
        <f t="array" ref="CI10">_xll.ECONOMATICA($B$11:$B$135,"P/BV",,$C$2,,,"ORIGINAL CURRENCY",,"false","true")</f>
        <v>P/VPA 25Set24 Em moeda orig consolid:sim*</v>
      </c>
      <c r="CJ10" s="55" t="str" cm="1">
        <f t="array" ref="CJ10">_xll.ECONOMATICA($B$11:$B$135,"MarketCapitaliz",,$C$2,,,"ORIGINAL CURRENCY",$C$4,"false","true")</f>
        <v>Valor Mercado da empresa 25Set24 Em moeda orig em milhares</v>
      </c>
    </row>
    <row r="11" spans="2:88" ht="16.2" thickTop="1" x14ac:dyDescent="0.3">
      <c r="B11" s="67" t="s">
        <v>0</v>
      </c>
      <c r="C11" s="68" t="s">
        <v>324</v>
      </c>
      <c r="D11" s="69" t="s">
        <v>94</v>
      </c>
      <c r="E11" s="69">
        <v>36642293000158</v>
      </c>
      <c r="F11" s="70">
        <v>0.313</v>
      </c>
      <c r="G11" s="68" t="s">
        <v>88</v>
      </c>
      <c r="H11" s="70">
        <v>0.95</v>
      </c>
      <c r="I11" s="71" t="s">
        <v>182</v>
      </c>
      <c r="J11" s="70">
        <v>438683.73346999998</v>
      </c>
      <c r="K11" s="70">
        <v>413541.76386000001</v>
      </c>
      <c r="L11" s="70">
        <v>0</v>
      </c>
      <c r="M11" s="70">
        <v>18.808910000000001</v>
      </c>
      <c r="N11" s="70">
        <v>411.11128000000002</v>
      </c>
      <c r="O11" s="70">
        <v>438272.62219000002</v>
      </c>
      <c r="P11" s="70">
        <v>43447.222329999997</v>
      </c>
      <c r="Q11" s="70">
        <v>0</v>
      </c>
      <c r="R11" s="70">
        <v>0</v>
      </c>
      <c r="S11" s="70">
        <v>43447.222329999997</v>
      </c>
      <c r="T11" s="70">
        <v>2121.6196500000001</v>
      </c>
      <c r="U11" s="70">
        <v>0</v>
      </c>
      <c r="V11" s="70">
        <v>-3860.1576799999998</v>
      </c>
      <c r="W11" s="70">
        <v>41708.684300000001</v>
      </c>
      <c r="X11" s="70">
        <v>41708.684300000001</v>
      </c>
      <c r="Y11" s="70">
        <v>39623.250085</v>
      </c>
      <c r="Z11" s="70">
        <v>41167.827259999998</v>
      </c>
      <c r="AA11" s="70">
        <v>7238.4426776999999</v>
      </c>
      <c r="AB11" s="70">
        <v>0.99537200000000003</v>
      </c>
      <c r="AC11" s="70"/>
      <c r="AD11" s="70">
        <v>0</v>
      </c>
      <c r="AE11" s="70">
        <v>0</v>
      </c>
      <c r="AF11" s="70">
        <v>46105.787109999997</v>
      </c>
      <c r="AG11" s="70">
        <v>0</v>
      </c>
      <c r="AH11" s="70">
        <v>0</v>
      </c>
      <c r="AI11" s="70">
        <v>0</v>
      </c>
      <c r="AJ11" s="70">
        <v>0</v>
      </c>
      <c r="AK11" s="70">
        <v>384116.57497000002</v>
      </c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>
        <v>96.204866648000007</v>
      </c>
      <c r="BA11" s="70">
        <v>8.3900000000000002E-2</v>
      </c>
      <c r="BB11" s="70">
        <v>0</v>
      </c>
      <c r="BC11" s="70">
        <v>0.95530000000000004</v>
      </c>
      <c r="BD11" s="70">
        <v>0.84460000000000002</v>
      </c>
      <c r="BE11" s="70">
        <v>41366</v>
      </c>
      <c r="BF11" s="70">
        <v>41178</v>
      </c>
      <c r="BG11" s="70">
        <v>166</v>
      </c>
      <c r="BH11" s="70">
        <v>0</v>
      </c>
      <c r="BI11" s="70">
        <v>0</v>
      </c>
      <c r="BJ11" s="70">
        <v>0</v>
      </c>
      <c r="BK11" s="70">
        <v>5</v>
      </c>
      <c r="BL11" s="70">
        <v>0</v>
      </c>
      <c r="BM11" s="70">
        <v>0</v>
      </c>
      <c r="BN11" s="70">
        <v>0</v>
      </c>
      <c r="BO11" s="70">
        <v>0</v>
      </c>
      <c r="BP11" s="70">
        <v>0</v>
      </c>
      <c r="BQ11" s="70">
        <v>3</v>
      </c>
      <c r="BR11" s="70">
        <v>11</v>
      </c>
      <c r="BS11" s="70">
        <v>0</v>
      </c>
      <c r="BT11" s="70">
        <v>3</v>
      </c>
      <c r="BU11" s="70">
        <v>0</v>
      </c>
      <c r="BV11" s="70">
        <v>0</v>
      </c>
      <c r="BW11" s="70">
        <v>0</v>
      </c>
      <c r="BX11" s="70">
        <v>0</v>
      </c>
      <c r="BY11" s="70">
        <v>0</v>
      </c>
      <c r="BZ11" s="70">
        <v>0</v>
      </c>
      <c r="CA11" s="70">
        <v>0</v>
      </c>
      <c r="CB11" s="70">
        <v>0</v>
      </c>
      <c r="CC11" s="70">
        <v>0</v>
      </c>
      <c r="CD11" s="70">
        <v>0</v>
      </c>
      <c r="CE11" s="70">
        <v>0</v>
      </c>
      <c r="CF11" s="70">
        <v>0</v>
      </c>
      <c r="CG11" s="70">
        <v>0</v>
      </c>
      <c r="CH11" s="70">
        <v>0</v>
      </c>
      <c r="CI11" s="70">
        <v>1.0035874833</v>
      </c>
      <c r="CJ11" s="72">
        <v>439844.9179</v>
      </c>
    </row>
    <row r="12" spans="2:88" ht="15.6" x14ac:dyDescent="0.3">
      <c r="B12" s="79" t="s">
        <v>353</v>
      </c>
      <c r="C12" s="80" t="s">
        <v>395</v>
      </c>
      <c r="D12" s="81" t="s">
        <v>372</v>
      </c>
      <c r="E12" s="81">
        <v>51472985000199</v>
      </c>
      <c r="F12" s="82">
        <v>0.17299999999999999</v>
      </c>
      <c r="G12" s="80" t="s">
        <v>88</v>
      </c>
      <c r="H12" s="82">
        <v>0.7</v>
      </c>
      <c r="I12" s="83" t="s">
        <v>182</v>
      </c>
      <c r="J12" s="82">
        <v>410675.82264000003</v>
      </c>
      <c r="K12" s="82">
        <v>395594.1765</v>
      </c>
      <c r="L12" s="82">
        <v>389645.12</v>
      </c>
      <c r="M12" s="82">
        <v>62.156010000000002</v>
      </c>
      <c r="N12" s="82">
        <v>23077.371220000001</v>
      </c>
      <c r="O12" s="82">
        <v>387598.45142</v>
      </c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>
        <v>0.99212100000000003</v>
      </c>
      <c r="AC12" s="82"/>
      <c r="AD12" s="82">
        <v>0</v>
      </c>
      <c r="AE12" s="82">
        <v>0</v>
      </c>
      <c r="AF12" s="82">
        <v>18966.370419999999</v>
      </c>
      <c r="AG12" s="82">
        <v>0</v>
      </c>
      <c r="AH12" s="82">
        <v>0</v>
      </c>
      <c r="AI12" s="82">
        <v>0</v>
      </c>
      <c r="AJ12" s="82">
        <v>0</v>
      </c>
      <c r="AK12" s="82">
        <v>-21192.315500000001</v>
      </c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>
        <v>12.255698509</v>
      </c>
      <c r="BA12" s="82">
        <v>6.0900000000000003E-2</v>
      </c>
      <c r="BB12" s="82">
        <v>0</v>
      </c>
      <c r="BC12" s="82">
        <v>0.55700000000000005</v>
      </c>
      <c r="BD12" s="82">
        <v>0.5544</v>
      </c>
      <c r="BE12" s="82">
        <v>13583</v>
      </c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>
        <v>0.62991105683000004</v>
      </c>
      <c r="CJ12" s="84">
        <v>244152.55016000001</v>
      </c>
    </row>
    <row r="13" spans="2:88" ht="15.6" x14ac:dyDescent="0.3">
      <c r="B13" s="73" t="s">
        <v>1</v>
      </c>
      <c r="C13" s="74" t="s">
        <v>325</v>
      </c>
      <c r="D13" s="75" t="s">
        <v>95</v>
      </c>
      <c r="E13" s="75">
        <v>28737771000185</v>
      </c>
      <c r="F13" s="76">
        <v>0.90800000000000003</v>
      </c>
      <c r="G13" s="74" t="s">
        <v>89</v>
      </c>
      <c r="H13" s="76">
        <v>1</v>
      </c>
      <c r="I13" s="77" t="s">
        <v>182</v>
      </c>
      <c r="J13" s="76">
        <v>1646828.0098000001</v>
      </c>
      <c r="K13" s="76">
        <v>1315390.5131999999</v>
      </c>
      <c r="L13" s="76">
        <v>889235.43455000001</v>
      </c>
      <c r="M13" s="76">
        <v>36596.337099999997</v>
      </c>
      <c r="N13" s="76">
        <v>349394.47707999998</v>
      </c>
      <c r="O13" s="76">
        <v>1297433.5327000001</v>
      </c>
      <c r="P13" s="76">
        <v>70029.267479999995</v>
      </c>
      <c r="Q13" s="76">
        <v>0</v>
      </c>
      <c r="R13" s="76">
        <v>51501.251250000001</v>
      </c>
      <c r="S13" s="76">
        <v>18528.016230000001</v>
      </c>
      <c r="T13" s="76">
        <v>18029.662260000001</v>
      </c>
      <c r="U13" s="76">
        <v>0</v>
      </c>
      <c r="V13" s="76">
        <v>-10495.36845</v>
      </c>
      <c r="W13" s="76">
        <v>77563.561289999998</v>
      </c>
      <c r="X13" s="76">
        <v>55901.602610000002</v>
      </c>
      <c r="Y13" s="76">
        <v>53106.52248</v>
      </c>
      <c r="Z13" s="76">
        <v>56082.974369000003</v>
      </c>
      <c r="AA13" s="76">
        <v>11841.964919</v>
      </c>
      <c r="AB13" s="76">
        <v>1.031385</v>
      </c>
      <c r="AC13" s="76"/>
      <c r="AD13" s="76">
        <v>0</v>
      </c>
      <c r="AE13" s="76">
        <v>0</v>
      </c>
      <c r="AF13" s="76">
        <v>687605.67494000006</v>
      </c>
      <c r="AG13" s="76">
        <v>0</v>
      </c>
      <c r="AH13" s="76">
        <v>0</v>
      </c>
      <c r="AI13" s="76">
        <v>0</v>
      </c>
      <c r="AJ13" s="76">
        <v>0</v>
      </c>
      <c r="AK13" s="76">
        <v>-150033.53701</v>
      </c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>
        <v>106.115427</v>
      </c>
      <c r="BA13" s="76">
        <v>0</v>
      </c>
      <c r="BB13" s="76">
        <v>0</v>
      </c>
      <c r="BC13" s="76">
        <v>0</v>
      </c>
      <c r="BD13" s="76">
        <v>0</v>
      </c>
      <c r="BE13" s="76">
        <v>154920</v>
      </c>
      <c r="BF13" s="76">
        <v>154696</v>
      </c>
      <c r="BG13" s="76">
        <v>182</v>
      </c>
      <c r="BH13" s="76">
        <v>0</v>
      </c>
      <c r="BI13" s="76">
        <v>1</v>
      </c>
      <c r="BJ13" s="76">
        <v>0</v>
      </c>
      <c r="BK13" s="76">
        <v>5</v>
      </c>
      <c r="BL13" s="76">
        <v>1</v>
      </c>
      <c r="BM13" s="76">
        <v>2</v>
      </c>
      <c r="BN13" s="76">
        <v>0</v>
      </c>
      <c r="BO13" s="76">
        <v>0</v>
      </c>
      <c r="BP13" s="76">
        <v>0</v>
      </c>
      <c r="BQ13" s="76">
        <v>15</v>
      </c>
      <c r="BR13" s="76">
        <v>15</v>
      </c>
      <c r="BS13" s="76">
        <v>0</v>
      </c>
      <c r="BT13" s="76">
        <v>3</v>
      </c>
      <c r="BU13" s="76">
        <v>0</v>
      </c>
      <c r="BV13" s="76">
        <v>0</v>
      </c>
      <c r="BW13" s="76">
        <v>0</v>
      </c>
      <c r="BX13" s="76">
        <v>0</v>
      </c>
      <c r="BY13" s="76">
        <v>0</v>
      </c>
      <c r="BZ13" s="76">
        <v>10.544898767999999</v>
      </c>
      <c r="CA13" s="76">
        <v>0</v>
      </c>
      <c r="CB13" s="76">
        <v>0</v>
      </c>
      <c r="CC13" s="76">
        <v>0</v>
      </c>
      <c r="CD13" s="76">
        <v>0</v>
      </c>
      <c r="CE13" s="76">
        <v>0</v>
      </c>
      <c r="CF13" s="76">
        <v>0</v>
      </c>
      <c r="CG13" s="76">
        <v>100</v>
      </c>
      <c r="CH13" s="76">
        <v>0</v>
      </c>
      <c r="CI13" s="76">
        <v>0.98430551471000005</v>
      </c>
      <c r="CJ13" s="78">
        <v>1277070.9812</v>
      </c>
    </row>
    <row r="14" spans="2:88" ht="15.6" x14ac:dyDescent="0.3">
      <c r="B14" s="79" t="s">
        <v>3</v>
      </c>
      <c r="C14" s="80" t="s">
        <v>185</v>
      </c>
      <c r="D14" s="81" t="s">
        <v>97</v>
      </c>
      <c r="E14" s="81">
        <v>35765826000126</v>
      </c>
      <c r="F14" s="82">
        <v>0.184</v>
      </c>
      <c r="G14" s="80" t="s">
        <v>90</v>
      </c>
      <c r="H14" s="82">
        <v>0.75</v>
      </c>
      <c r="I14" s="83" t="s">
        <v>183</v>
      </c>
      <c r="J14" s="82">
        <v>411884.83896999998</v>
      </c>
      <c r="K14" s="82">
        <v>390673</v>
      </c>
      <c r="L14" s="82">
        <v>390673</v>
      </c>
      <c r="M14" s="82">
        <v>6900.42209</v>
      </c>
      <c r="N14" s="82">
        <v>3783.3206599999999</v>
      </c>
      <c r="O14" s="82">
        <v>408101.51831000001</v>
      </c>
      <c r="P14" s="82">
        <v>44458.758370000003</v>
      </c>
      <c r="Q14" s="82">
        <v>0</v>
      </c>
      <c r="R14" s="82">
        <v>44458.758370000003</v>
      </c>
      <c r="S14" s="82">
        <v>0</v>
      </c>
      <c r="T14" s="82">
        <v>817.32622000000003</v>
      </c>
      <c r="U14" s="82">
        <v>0</v>
      </c>
      <c r="V14" s="82">
        <v>-80.403189995999995</v>
      </c>
      <c r="W14" s="82">
        <v>45195.681400000001</v>
      </c>
      <c r="X14" s="82">
        <v>45195.681389999998</v>
      </c>
      <c r="Y14" s="82">
        <v>42935.897320999997</v>
      </c>
      <c r="Z14" s="82">
        <v>42987.272040999997</v>
      </c>
      <c r="AA14" s="82">
        <v>3527.3622805</v>
      </c>
      <c r="AB14" s="82">
        <v>0.95163600000000004</v>
      </c>
      <c r="AC14" s="82"/>
      <c r="AD14" s="82">
        <v>0</v>
      </c>
      <c r="AE14" s="82">
        <v>0</v>
      </c>
      <c r="AF14" s="82">
        <v>7489.3080799999998</v>
      </c>
      <c r="AG14" s="82">
        <v>0</v>
      </c>
      <c r="AH14" s="82">
        <v>0</v>
      </c>
      <c r="AI14" s="82">
        <v>0</v>
      </c>
      <c r="AJ14" s="82">
        <v>0</v>
      </c>
      <c r="AK14" s="82">
        <v>9240.8612599999997</v>
      </c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>
        <v>84.580853442999995</v>
      </c>
      <c r="BA14" s="82">
        <v>4.2398097590000003E-2</v>
      </c>
      <c r="BB14" s="82"/>
      <c r="BC14" s="82">
        <v>0.86380000000000001</v>
      </c>
      <c r="BD14" s="82">
        <v>0.94830000000000003</v>
      </c>
      <c r="BE14" s="82">
        <v>1</v>
      </c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>
        <v>68.770700000000005</v>
      </c>
      <c r="BX14" s="82"/>
      <c r="BY14" s="82"/>
      <c r="BZ14" s="82"/>
      <c r="CA14" s="82"/>
      <c r="CB14" s="82"/>
      <c r="CC14" s="82"/>
      <c r="CD14" s="82"/>
      <c r="CE14" s="82"/>
      <c r="CF14" s="82"/>
      <c r="CG14" s="82">
        <v>31.229299999999999</v>
      </c>
      <c r="CH14" s="82"/>
      <c r="CI14" s="82">
        <v>0.63359493098999997</v>
      </c>
      <c r="CJ14" s="84">
        <v>258571.05333</v>
      </c>
    </row>
    <row r="15" spans="2:88" ht="15.6" x14ac:dyDescent="0.3">
      <c r="B15" s="73" t="s">
        <v>4</v>
      </c>
      <c r="C15" s="74" t="s">
        <v>326</v>
      </c>
      <c r="D15" s="75" t="s">
        <v>98</v>
      </c>
      <c r="E15" s="75">
        <v>22219335000138</v>
      </c>
      <c r="F15" s="76">
        <v>0.29799999999999999</v>
      </c>
      <c r="G15" s="74" t="s">
        <v>88</v>
      </c>
      <c r="H15" s="76">
        <v>1</v>
      </c>
      <c r="I15" s="77" t="s">
        <v>183</v>
      </c>
      <c r="J15" s="76">
        <v>552852.27919999999</v>
      </c>
      <c r="K15" s="76">
        <v>505608.69493</v>
      </c>
      <c r="L15" s="76">
        <v>0</v>
      </c>
      <c r="M15" s="76">
        <v>2330.2027800000001</v>
      </c>
      <c r="N15" s="76">
        <v>8434.6656800000001</v>
      </c>
      <c r="O15" s="76">
        <v>544417.61352000001</v>
      </c>
      <c r="P15" s="76">
        <v>34496.610240000002</v>
      </c>
      <c r="Q15" s="76">
        <v>0</v>
      </c>
      <c r="R15" s="76">
        <v>0</v>
      </c>
      <c r="S15" s="76">
        <v>34496.610240000002</v>
      </c>
      <c r="T15" s="76">
        <v>5128.5553399999999</v>
      </c>
      <c r="U15" s="76">
        <v>0</v>
      </c>
      <c r="V15" s="76">
        <v>-6122.4296000000004</v>
      </c>
      <c r="W15" s="76">
        <v>33502.735979999998</v>
      </c>
      <c r="X15" s="76">
        <v>57297.072970000001</v>
      </c>
      <c r="Y15" s="76">
        <v>54432.219321999997</v>
      </c>
      <c r="Z15" s="76">
        <v>56373.123291999997</v>
      </c>
      <c r="AA15" s="76">
        <v>9574.5456914999995</v>
      </c>
      <c r="AB15" s="76">
        <v>0.99777099999999996</v>
      </c>
      <c r="AC15" s="76"/>
      <c r="AD15" s="76">
        <v>0</v>
      </c>
      <c r="AE15" s="76">
        <v>0</v>
      </c>
      <c r="AF15" s="76">
        <v>84842.203529999999</v>
      </c>
      <c r="AG15" s="76">
        <v>0</v>
      </c>
      <c r="AH15" s="76">
        <v>0</v>
      </c>
      <c r="AI15" s="76">
        <v>0</v>
      </c>
      <c r="AJ15" s="76">
        <v>0</v>
      </c>
      <c r="AK15" s="76">
        <v>4206.7691459999996</v>
      </c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>
        <v>86.997229493000006</v>
      </c>
      <c r="BA15" s="76">
        <v>6.7977897997999998E-2</v>
      </c>
      <c r="BB15" s="76"/>
      <c r="BC15" s="76">
        <v>0.93520000000000003</v>
      </c>
      <c r="BD15" s="76">
        <v>1.1311</v>
      </c>
      <c r="BE15" s="76">
        <v>44300</v>
      </c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>
        <v>0.77082914467999997</v>
      </c>
      <c r="CJ15" s="78">
        <v>419652.96337999997</v>
      </c>
    </row>
    <row r="16" spans="2:88" ht="15.6" x14ac:dyDescent="0.3">
      <c r="B16" s="79" t="s">
        <v>5</v>
      </c>
      <c r="C16" s="80" t="s">
        <v>186</v>
      </c>
      <c r="D16" s="81" t="s">
        <v>99</v>
      </c>
      <c r="E16" s="81">
        <v>34081637000171</v>
      </c>
      <c r="F16" s="82">
        <v>0.11799999999999999</v>
      </c>
      <c r="G16" s="80" t="s">
        <v>91</v>
      </c>
      <c r="H16" s="82">
        <v>0.95</v>
      </c>
      <c r="I16" s="83" t="s">
        <v>183</v>
      </c>
      <c r="J16" s="82">
        <v>376794.91343000002</v>
      </c>
      <c r="K16" s="82">
        <v>371569.75040999998</v>
      </c>
      <c r="L16" s="82">
        <v>122362.16581999999</v>
      </c>
      <c r="M16" s="82">
        <v>2956.7379099999998</v>
      </c>
      <c r="N16" s="82">
        <v>71364.811870000005</v>
      </c>
      <c r="O16" s="82">
        <v>305430.10155999998</v>
      </c>
      <c r="P16" s="82">
        <v>17298.839209999998</v>
      </c>
      <c r="Q16" s="82">
        <v>0</v>
      </c>
      <c r="R16" s="82">
        <v>7798.1108999999997</v>
      </c>
      <c r="S16" s="82">
        <v>9500.7283100000004</v>
      </c>
      <c r="T16" s="82">
        <v>335.36608999999999</v>
      </c>
      <c r="U16" s="82">
        <v>0</v>
      </c>
      <c r="V16" s="82">
        <v>-3806.9159300000001</v>
      </c>
      <c r="W16" s="82">
        <v>13827.28937</v>
      </c>
      <c r="X16" s="82">
        <v>10931.28708</v>
      </c>
      <c r="Y16" s="82">
        <v>10384.722726</v>
      </c>
      <c r="Z16" s="82">
        <v>11080.269216000001</v>
      </c>
      <c r="AA16" s="82">
        <v>3395.7611160000001</v>
      </c>
      <c r="AB16" s="82">
        <v>1.031385</v>
      </c>
      <c r="AC16" s="82"/>
      <c r="AD16" s="82">
        <v>0</v>
      </c>
      <c r="AE16" s="82">
        <v>0</v>
      </c>
      <c r="AF16" s="82">
        <v>255720.56333999999</v>
      </c>
      <c r="AG16" s="82">
        <v>0</v>
      </c>
      <c r="AH16" s="82">
        <v>0</v>
      </c>
      <c r="AI16" s="82">
        <v>0</v>
      </c>
      <c r="AJ16" s="82">
        <v>0</v>
      </c>
      <c r="AK16" s="82">
        <v>-68908.095759999997</v>
      </c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>
        <v>71.549288024000006</v>
      </c>
      <c r="BA16" s="82">
        <v>4.5400000000000003E-2</v>
      </c>
      <c r="BB16" s="82">
        <v>0</v>
      </c>
      <c r="BC16" s="82">
        <v>0.69209100000000001</v>
      </c>
      <c r="BD16" s="82">
        <v>-0.27062700000000001</v>
      </c>
      <c r="BE16" s="82">
        <v>14018</v>
      </c>
      <c r="BF16" s="82">
        <v>13953</v>
      </c>
      <c r="BG16" s="82">
        <v>39</v>
      </c>
      <c r="BH16" s="82">
        <v>0</v>
      </c>
      <c r="BI16" s="82">
        <v>1</v>
      </c>
      <c r="BJ16" s="82">
        <v>0</v>
      </c>
      <c r="BK16" s="82">
        <v>3</v>
      </c>
      <c r="BL16" s="82">
        <v>0</v>
      </c>
      <c r="BM16" s="82">
        <v>0</v>
      </c>
      <c r="BN16" s="82">
        <v>0</v>
      </c>
      <c r="BO16" s="82">
        <v>0</v>
      </c>
      <c r="BP16" s="82">
        <v>0</v>
      </c>
      <c r="BQ16" s="82">
        <v>9</v>
      </c>
      <c r="BR16" s="82">
        <v>13</v>
      </c>
      <c r="BS16" s="82">
        <v>0</v>
      </c>
      <c r="BT16" s="82">
        <v>0</v>
      </c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>
        <v>100</v>
      </c>
      <c r="CH16" s="82"/>
      <c r="CI16" s="82">
        <v>0.54200399572000002</v>
      </c>
      <c r="CJ16" s="84">
        <v>165544.33546</v>
      </c>
    </row>
    <row r="17" spans="2:88" ht="15.6" x14ac:dyDescent="0.3">
      <c r="B17" s="73" t="s">
        <v>6</v>
      </c>
      <c r="C17" s="74" t="s">
        <v>396</v>
      </c>
      <c r="D17" s="75" t="s">
        <v>100</v>
      </c>
      <c r="E17" s="75">
        <v>20216935000117</v>
      </c>
      <c r="F17" s="76">
        <v>0.249</v>
      </c>
      <c r="G17" s="74" t="s">
        <v>88</v>
      </c>
      <c r="H17" s="76">
        <v>0.5</v>
      </c>
      <c r="I17" s="77" t="s">
        <v>183</v>
      </c>
      <c r="J17" s="76">
        <v>394957.12320999999</v>
      </c>
      <c r="K17" s="76">
        <v>394269.35092</v>
      </c>
      <c r="L17" s="76">
        <v>0</v>
      </c>
      <c r="M17" s="76">
        <v>13.78154</v>
      </c>
      <c r="N17" s="76">
        <v>3421.6619599999999</v>
      </c>
      <c r="O17" s="76">
        <v>391535.46124999999</v>
      </c>
      <c r="P17" s="76">
        <v>40052.448490000002</v>
      </c>
      <c r="Q17" s="76">
        <v>0</v>
      </c>
      <c r="R17" s="76">
        <v>0</v>
      </c>
      <c r="S17" s="76">
        <v>40052.448490000002</v>
      </c>
      <c r="T17" s="76">
        <v>256.88997000000001</v>
      </c>
      <c r="U17" s="76">
        <v>0</v>
      </c>
      <c r="V17" s="76">
        <v>-2428.7377799999999</v>
      </c>
      <c r="W17" s="76">
        <v>37880.600680000003</v>
      </c>
      <c r="X17" s="76">
        <v>37744.31323</v>
      </c>
      <c r="Y17" s="76">
        <v>35857.097568999998</v>
      </c>
      <c r="Z17" s="76">
        <v>38120.139499999997</v>
      </c>
      <c r="AA17" s="76">
        <v>6396.7453599</v>
      </c>
      <c r="AB17" s="76">
        <v>1.036154</v>
      </c>
      <c r="AC17" s="76"/>
      <c r="AD17" s="76">
        <v>0</v>
      </c>
      <c r="AE17" s="76">
        <v>0</v>
      </c>
      <c r="AF17" s="76">
        <v>375166.80288999999</v>
      </c>
      <c r="AG17" s="76">
        <v>0</v>
      </c>
      <c r="AH17" s="76">
        <v>0</v>
      </c>
      <c r="AI17" s="76">
        <v>0</v>
      </c>
      <c r="AJ17" s="76">
        <v>0</v>
      </c>
      <c r="AK17" s="76">
        <v>4492.5077099999999</v>
      </c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>
        <v>105.27869337</v>
      </c>
      <c r="BA17" s="76">
        <v>4.1799999999999997E-2</v>
      </c>
      <c r="BB17" s="76">
        <v>6.8999999999999999E-3</v>
      </c>
      <c r="BC17" s="76">
        <v>0.82640000000000002</v>
      </c>
      <c r="BD17" s="76">
        <v>0.3115</v>
      </c>
      <c r="BE17" s="76">
        <v>29770</v>
      </c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>
        <v>0</v>
      </c>
      <c r="BV17" s="76">
        <v>0</v>
      </c>
      <c r="BW17" s="76">
        <v>0</v>
      </c>
      <c r="BX17" s="76">
        <v>0</v>
      </c>
      <c r="BY17" s="76">
        <v>0</v>
      </c>
      <c r="BZ17" s="76">
        <v>0</v>
      </c>
      <c r="CA17" s="76">
        <v>0</v>
      </c>
      <c r="CB17" s="76">
        <v>0</v>
      </c>
      <c r="CC17" s="76">
        <v>0</v>
      </c>
      <c r="CD17" s="76">
        <v>0</v>
      </c>
      <c r="CE17" s="76">
        <v>0</v>
      </c>
      <c r="CF17" s="76">
        <v>0</v>
      </c>
      <c r="CG17" s="76">
        <v>0</v>
      </c>
      <c r="CH17" s="76">
        <v>0</v>
      </c>
      <c r="CI17" s="76">
        <v>0.89533785972000002</v>
      </c>
      <c r="CJ17" s="78">
        <v>350556.52188000001</v>
      </c>
    </row>
    <row r="18" spans="2:88" ht="15.6" x14ac:dyDescent="0.3">
      <c r="B18" s="79" t="s">
        <v>354</v>
      </c>
      <c r="C18" s="80" t="s">
        <v>397</v>
      </c>
      <c r="D18" s="81" t="s">
        <v>373</v>
      </c>
      <c r="E18" s="81">
        <v>30567216000102</v>
      </c>
      <c r="F18" s="82">
        <v>0.221</v>
      </c>
      <c r="G18" s="80" t="s">
        <v>89</v>
      </c>
      <c r="H18" s="82">
        <v>0.8</v>
      </c>
      <c r="I18" s="83" t="s">
        <v>183</v>
      </c>
      <c r="J18" s="82">
        <v>438579.30666</v>
      </c>
      <c r="K18" s="82">
        <v>401767.86167999997</v>
      </c>
      <c r="L18" s="82">
        <v>401767.86167999997</v>
      </c>
      <c r="M18" s="82">
        <v>4428.3621899999998</v>
      </c>
      <c r="N18" s="82">
        <v>86128.311709999994</v>
      </c>
      <c r="O18" s="82">
        <v>352450.99495000002</v>
      </c>
      <c r="P18" s="82">
        <v>30887.12545</v>
      </c>
      <c r="Q18" s="82">
        <v>0</v>
      </c>
      <c r="R18" s="82">
        <v>30887.12545</v>
      </c>
      <c r="S18" s="82">
        <v>0</v>
      </c>
      <c r="T18" s="82">
        <v>1721.5699199999999</v>
      </c>
      <c r="U18" s="82">
        <v>0</v>
      </c>
      <c r="V18" s="82">
        <v>-3100.9655400000001</v>
      </c>
      <c r="W18" s="82">
        <v>29507.72983</v>
      </c>
      <c r="X18" s="82">
        <v>27544.463909999999</v>
      </c>
      <c r="Y18" s="82">
        <v>26167.240715</v>
      </c>
      <c r="Z18" s="82">
        <v>26501.881535</v>
      </c>
      <c r="AA18" s="82">
        <v>2356.2012645</v>
      </c>
      <c r="AB18" s="82">
        <v>0.95052099999999995</v>
      </c>
      <c r="AC18" s="82"/>
      <c r="AD18" s="82">
        <v>0</v>
      </c>
      <c r="AE18" s="82">
        <v>0</v>
      </c>
      <c r="AF18" s="82">
        <v>0</v>
      </c>
      <c r="AG18" s="82">
        <v>0</v>
      </c>
      <c r="AH18" s="82">
        <v>0</v>
      </c>
      <c r="AI18" s="82">
        <v>0</v>
      </c>
      <c r="AJ18" s="82">
        <v>0</v>
      </c>
      <c r="AK18" s="82">
        <v>-75915.910870000007</v>
      </c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>
        <v>102.67854783999999</v>
      </c>
      <c r="BA18" s="82">
        <v>4.2500000000000003E-2</v>
      </c>
      <c r="BB18" s="82">
        <v>0</v>
      </c>
      <c r="BC18" s="82">
        <v>0.82669999999999999</v>
      </c>
      <c r="BD18" s="82">
        <v>0.68269999999999997</v>
      </c>
      <c r="BE18" s="82">
        <v>18765</v>
      </c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>
        <v>0</v>
      </c>
      <c r="BV18" s="82">
        <v>0.78090000000000004</v>
      </c>
      <c r="BW18" s="82">
        <v>3.3424999999999998</v>
      </c>
      <c r="BX18" s="82">
        <v>0</v>
      </c>
      <c r="BY18" s="82">
        <v>4.8276000000000003</v>
      </c>
      <c r="BZ18" s="82">
        <v>4.1243999999999996</v>
      </c>
      <c r="CA18" s="82">
        <v>5.2709000000000001</v>
      </c>
      <c r="CB18" s="82">
        <v>7.8903999999999996</v>
      </c>
      <c r="CC18" s="82">
        <v>7.1925999999999997</v>
      </c>
      <c r="CD18" s="82">
        <v>3.4133</v>
      </c>
      <c r="CE18" s="82">
        <v>7.1342999999999996</v>
      </c>
      <c r="CF18" s="82">
        <v>6.3083999999999998</v>
      </c>
      <c r="CG18" s="82">
        <v>48.648899999999998</v>
      </c>
      <c r="CH18" s="82">
        <v>0.14050000000000001</v>
      </c>
      <c r="CI18" s="82">
        <v>0.88158628941999995</v>
      </c>
      <c r="CJ18" s="84">
        <v>310715.96483999997</v>
      </c>
    </row>
    <row r="19" spans="2:88" ht="15.6" x14ac:dyDescent="0.3">
      <c r="B19" s="73" t="s">
        <v>7</v>
      </c>
      <c r="C19" s="74" t="s">
        <v>398</v>
      </c>
      <c r="D19" s="75" t="s">
        <v>101</v>
      </c>
      <c r="E19" s="75">
        <v>20748515000181</v>
      </c>
      <c r="F19" s="76">
        <v>1.2470000000000001</v>
      </c>
      <c r="G19" s="74" t="s">
        <v>92</v>
      </c>
      <c r="H19" s="76">
        <v>2.0299999999999998</v>
      </c>
      <c r="I19" s="77" t="s">
        <v>183</v>
      </c>
      <c r="J19" s="76">
        <v>2069137.5041</v>
      </c>
      <c r="K19" s="76">
        <v>1893351.4920999999</v>
      </c>
      <c r="L19" s="76">
        <v>1742651.7668999999</v>
      </c>
      <c r="M19" s="76">
        <v>156026.87263</v>
      </c>
      <c r="N19" s="76">
        <v>178426.68153</v>
      </c>
      <c r="O19" s="76">
        <v>1890710.8226000001</v>
      </c>
      <c r="P19" s="76">
        <v>179979.62101</v>
      </c>
      <c r="Q19" s="76">
        <v>34197.619010000002</v>
      </c>
      <c r="R19" s="76">
        <v>145586.88693000001</v>
      </c>
      <c r="S19" s="76">
        <v>195.11507</v>
      </c>
      <c r="T19" s="76">
        <v>14791.25253</v>
      </c>
      <c r="U19" s="76">
        <v>0</v>
      </c>
      <c r="V19" s="76">
        <v>-33612.911440000003</v>
      </c>
      <c r="W19" s="76">
        <v>161157.9621</v>
      </c>
      <c r="X19" s="76">
        <v>161151.67710999999</v>
      </c>
      <c r="Y19" s="76">
        <v>153094.09325000001</v>
      </c>
      <c r="Z19" s="76">
        <v>160609.92748000001</v>
      </c>
      <c r="AA19" s="76">
        <v>28468.458895</v>
      </c>
      <c r="AB19" s="76">
        <v>1.0430489999999999</v>
      </c>
      <c r="AC19" s="76"/>
      <c r="AD19" s="76">
        <v>0</v>
      </c>
      <c r="AE19" s="76">
        <v>0</v>
      </c>
      <c r="AF19" s="76">
        <v>0</v>
      </c>
      <c r="AG19" s="76">
        <v>148186.34302999999</v>
      </c>
      <c r="AH19" s="76">
        <v>0</v>
      </c>
      <c r="AI19" s="76">
        <v>0</v>
      </c>
      <c r="AJ19" s="76">
        <v>0</v>
      </c>
      <c r="AK19" s="76">
        <v>6309.4807399000001</v>
      </c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>
        <v>118.87425415</v>
      </c>
      <c r="BA19" s="76">
        <v>2E-3</v>
      </c>
      <c r="BB19" s="76">
        <v>6.9999999999999999E-4</v>
      </c>
      <c r="BC19" s="76">
        <v>0.73089999999999999</v>
      </c>
      <c r="BD19" s="76">
        <v>0.60150000000000003</v>
      </c>
      <c r="BE19" s="76">
        <v>121430</v>
      </c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>
        <v>0</v>
      </c>
      <c r="BV19" s="76">
        <v>0</v>
      </c>
      <c r="BW19" s="76">
        <v>0</v>
      </c>
      <c r="BX19" s="76">
        <v>0</v>
      </c>
      <c r="BY19" s="76">
        <v>0</v>
      </c>
      <c r="BZ19" s="76">
        <v>0</v>
      </c>
      <c r="CA19" s="76">
        <v>8.3445</v>
      </c>
      <c r="CB19" s="76">
        <v>22.780200000000001</v>
      </c>
      <c r="CC19" s="76">
        <v>0</v>
      </c>
      <c r="CD19" s="76">
        <v>0</v>
      </c>
      <c r="CE19" s="76">
        <v>3.0743999999999998</v>
      </c>
      <c r="CF19" s="76">
        <v>0</v>
      </c>
      <c r="CG19" s="76">
        <v>65.800899999999999</v>
      </c>
      <c r="CH19" s="76">
        <v>0</v>
      </c>
      <c r="CI19" s="76">
        <v>0.92803947149999999</v>
      </c>
      <c r="CJ19" s="78">
        <v>1754654.2726</v>
      </c>
    </row>
    <row r="20" spans="2:88" ht="15.6" x14ac:dyDescent="0.3">
      <c r="B20" s="79" t="s">
        <v>308</v>
      </c>
      <c r="C20" s="80" t="s">
        <v>327</v>
      </c>
      <c r="D20" s="81" t="s">
        <v>316</v>
      </c>
      <c r="E20" s="81">
        <v>48978859000104</v>
      </c>
      <c r="F20" s="82">
        <v>0.38700000000000001</v>
      </c>
      <c r="G20" s="80" t="s">
        <v>89</v>
      </c>
      <c r="H20" s="82">
        <v>0.12</v>
      </c>
      <c r="I20" s="83" t="s">
        <v>182</v>
      </c>
      <c r="J20" s="82">
        <v>1486028.7826</v>
      </c>
      <c r="K20" s="82">
        <v>1470524.0644</v>
      </c>
      <c r="L20" s="82">
        <v>1253500</v>
      </c>
      <c r="M20" s="82">
        <v>9323.3659700000007</v>
      </c>
      <c r="N20" s="82">
        <v>225761.17421</v>
      </c>
      <c r="O20" s="82">
        <v>1260267.6084</v>
      </c>
      <c r="P20" s="82">
        <v>89957.821509999994</v>
      </c>
      <c r="Q20" s="82">
        <v>0</v>
      </c>
      <c r="R20" s="82">
        <v>85057.821509999994</v>
      </c>
      <c r="S20" s="82">
        <v>4900</v>
      </c>
      <c r="T20" s="82">
        <v>484.47674000000001</v>
      </c>
      <c r="U20" s="82">
        <v>0</v>
      </c>
      <c r="V20" s="82">
        <v>-13783.67598</v>
      </c>
      <c r="W20" s="82">
        <v>76658.622270000007</v>
      </c>
      <c r="X20" s="82">
        <v>76658.622270000007</v>
      </c>
      <c r="Y20" s="82">
        <v>72825.691156999994</v>
      </c>
      <c r="Z20" s="82">
        <v>74595.846766999995</v>
      </c>
      <c r="AA20" s="82">
        <v>11665.245727</v>
      </c>
      <c r="AB20" s="82">
        <v>0.98374200000000001</v>
      </c>
      <c r="AC20" s="82"/>
      <c r="AD20" s="82">
        <v>0</v>
      </c>
      <c r="AE20" s="82">
        <v>0</v>
      </c>
      <c r="AF20" s="82">
        <v>219471.55622</v>
      </c>
      <c r="AG20" s="82">
        <v>0</v>
      </c>
      <c r="AH20" s="82">
        <v>0</v>
      </c>
      <c r="AI20" s="82">
        <v>0</v>
      </c>
      <c r="AJ20" s="82">
        <v>0</v>
      </c>
      <c r="AK20" s="82">
        <v>-218168.23983999999</v>
      </c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>
        <v>108.54259016</v>
      </c>
      <c r="BA20" s="82">
        <v>5.4999999999999997E-3</v>
      </c>
      <c r="BB20" s="82">
        <v>0</v>
      </c>
      <c r="BC20" s="82">
        <v>0.55710000000000004</v>
      </c>
      <c r="BD20" s="82">
        <v>0.5625</v>
      </c>
      <c r="BE20" s="82">
        <v>10288</v>
      </c>
      <c r="BF20" s="82">
        <v>10140</v>
      </c>
      <c r="BG20" s="82">
        <v>63</v>
      </c>
      <c r="BH20" s="82">
        <v>0</v>
      </c>
      <c r="BI20" s="82">
        <v>2</v>
      </c>
      <c r="BJ20" s="82">
        <v>0</v>
      </c>
      <c r="BK20" s="82">
        <v>14</v>
      </c>
      <c r="BL20" s="82">
        <v>2</v>
      </c>
      <c r="BM20" s="82">
        <v>1</v>
      </c>
      <c r="BN20" s="82">
        <v>0</v>
      </c>
      <c r="BO20" s="82">
        <v>1</v>
      </c>
      <c r="BP20" s="82">
        <v>0</v>
      </c>
      <c r="BQ20" s="82">
        <v>11</v>
      </c>
      <c r="BR20" s="82">
        <v>53</v>
      </c>
      <c r="BS20" s="82">
        <v>0</v>
      </c>
      <c r="BT20" s="82">
        <v>1</v>
      </c>
      <c r="BU20" s="82">
        <v>2.47E-2</v>
      </c>
      <c r="BV20" s="82">
        <v>1.6680999999999999</v>
      </c>
      <c r="BW20" s="82">
        <v>2.8542000000000001</v>
      </c>
      <c r="BX20" s="82">
        <v>11.1319</v>
      </c>
      <c r="BY20" s="82">
        <v>0</v>
      </c>
      <c r="BZ20" s="82">
        <v>0.47644999999999998</v>
      </c>
      <c r="CA20" s="82">
        <v>1.1194</v>
      </c>
      <c r="CB20" s="82">
        <v>1.0621</v>
      </c>
      <c r="CC20" s="82">
        <v>0.67671999999999999</v>
      </c>
      <c r="CD20" s="82">
        <v>0</v>
      </c>
      <c r="CE20" s="82">
        <v>2.3936731124999999E-2</v>
      </c>
      <c r="CF20" s="82">
        <v>0</v>
      </c>
      <c r="CG20" s="82">
        <v>80.962493269000007</v>
      </c>
      <c r="CH20" s="82">
        <v>0</v>
      </c>
      <c r="CI20" s="82">
        <v>0.43190419473000002</v>
      </c>
      <c r="CJ20" s="84">
        <v>544314.86655999999</v>
      </c>
    </row>
    <row r="21" spans="2:88" ht="15.6" x14ac:dyDescent="0.3">
      <c r="B21" s="73" t="s">
        <v>8</v>
      </c>
      <c r="C21" s="74" t="s">
        <v>187</v>
      </c>
      <c r="D21" s="75" t="s">
        <v>102</v>
      </c>
      <c r="E21" s="75">
        <v>8924783000101</v>
      </c>
      <c r="F21" s="76">
        <v>0.9</v>
      </c>
      <c r="G21" s="74" t="s">
        <v>89</v>
      </c>
      <c r="H21" s="76"/>
      <c r="I21" s="77" t="s">
        <v>183</v>
      </c>
      <c r="J21" s="76">
        <v>2505435.17</v>
      </c>
      <c r="K21" s="76">
        <v>2435024.0595</v>
      </c>
      <c r="L21" s="76">
        <v>1989223.69</v>
      </c>
      <c r="M21" s="76">
        <v>48267.954019999997</v>
      </c>
      <c r="N21" s="76">
        <v>126024.28574000001</v>
      </c>
      <c r="O21" s="76">
        <v>2379410.8842000002</v>
      </c>
      <c r="P21" s="76">
        <v>166752.28328999999</v>
      </c>
      <c r="Q21" s="76">
        <v>0</v>
      </c>
      <c r="R21" s="76">
        <v>125447.00493</v>
      </c>
      <c r="S21" s="76">
        <v>41305.278359999997</v>
      </c>
      <c r="T21" s="76">
        <v>3516.7287299999998</v>
      </c>
      <c r="U21" s="76">
        <v>0</v>
      </c>
      <c r="V21" s="76">
        <v>-27634.71931</v>
      </c>
      <c r="W21" s="76">
        <v>142634.29271000001</v>
      </c>
      <c r="X21" s="76">
        <v>142634.29271000001</v>
      </c>
      <c r="Y21" s="76">
        <v>135502.57806999999</v>
      </c>
      <c r="Z21" s="76">
        <v>142634.29271000001</v>
      </c>
      <c r="AA21" s="76">
        <v>49776.688470000001</v>
      </c>
      <c r="AB21" s="76">
        <v>1</v>
      </c>
      <c r="AC21" s="76"/>
      <c r="AD21" s="76">
        <v>0</v>
      </c>
      <c r="AE21" s="76">
        <v>0</v>
      </c>
      <c r="AF21" s="76">
        <v>487215.45847999997</v>
      </c>
      <c r="AG21" s="76">
        <v>0</v>
      </c>
      <c r="AH21" s="76">
        <v>0</v>
      </c>
      <c r="AI21" s="76">
        <v>0</v>
      </c>
      <c r="AJ21" s="76">
        <v>0</v>
      </c>
      <c r="AK21" s="76">
        <v>-114418.91473999999</v>
      </c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>
        <v>89.323254032999998</v>
      </c>
      <c r="BA21" s="76">
        <v>0</v>
      </c>
      <c r="BB21" s="76">
        <v>0</v>
      </c>
      <c r="BC21" s="76">
        <v>0</v>
      </c>
      <c r="BD21" s="76">
        <v>0</v>
      </c>
      <c r="BE21" s="76">
        <v>135534</v>
      </c>
      <c r="BF21" s="76">
        <v>135226</v>
      </c>
      <c r="BG21" s="76">
        <v>214</v>
      </c>
      <c r="BH21" s="76">
        <v>0</v>
      </c>
      <c r="BI21" s="76">
        <v>1</v>
      </c>
      <c r="BJ21" s="76">
        <v>0</v>
      </c>
      <c r="BK21" s="76">
        <v>13</v>
      </c>
      <c r="BL21" s="76">
        <v>2</v>
      </c>
      <c r="BM21" s="76">
        <v>5</v>
      </c>
      <c r="BN21" s="76">
        <v>0</v>
      </c>
      <c r="BO21" s="76">
        <v>1</v>
      </c>
      <c r="BP21" s="76">
        <v>0</v>
      </c>
      <c r="BQ21" s="76">
        <v>28</v>
      </c>
      <c r="BR21" s="76">
        <v>36</v>
      </c>
      <c r="BS21" s="76">
        <v>0</v>
      </c>
      <c r="BT21" s="76">
        <v>8</v>
      </c>
      <c r="BU21" s="76">
        <v>0</v>
      </c>
      <c r="BV21" s="76">
        <v>17.180900000000001</v>
      </c>
      <c r="BW21" s="76">
        <v>0</v>
      </c>
      <c r="BX21" s="76">
        <v>3.1168887917000001</v>
      </c>
      <c r="BY21" s="76">
        <v>0</v>
      </c>
      <c r="BZ21" s="76">
        <v>0</v>
      </c>
      <c r="CA21" s="76">
        <v>0</v>
      </c>
      <c r="CB21" s="76">
        <v>1.4551786605000001</v>
      </c>
      <c r="CC21" s="76">
        <v>0</v>
      </c>
      <c r="CD21" s="76">
        <v>2.981499028</v>
      </c>
      <c r="CE21" s="76">
        <v>6.9157704580999999</v>
      </c>
      <c r="CF21" s="76">
        <v>2.1478095634000001</v>
      </c>
      <c r="CG21" s="76">
        <v>64.066975030999998</v>
      </c>
      <c r="CH21" s="76">
        <v>2.1349599406999999</v>
      </c>
      <c r="CI21" s="76">
        <v>0.53177641717000002</v>
      </c>
      <c r="CJ21" s="78">
        <v>1265314.595</v>
      </c>
    </row>
    <row r="22" spans="2:88" ht="15.6" x14ac:dyDescent="0.3">
      <c r="B22" s="79" t="s">
        <v>9</v>
      </c>
      <c r="C22" s="80" t="s">
        <v>328</v>
      </c>
      <c r="D22" s="81" t="s">
        <v>103</v>
      </c>
      <c r="E22" s="81">
        <v>11839593000109</v>
      </c>
      <c r="F22" s="82">
        <v>3.008</v>
      </c>
      <c r="G22" s="80" t="s">
        <v>89</v>
      </c>
      <c r="H22" s="82">
        <v>0.9</v>
      </c>
      <c r="I22" s="83" t="s">
        <v>182</v>
      </c>
      <c r="J22" s="82">
        <v>5012277.8872999996</v>
      </c>
      <c r="K22" s="82">
        <v>2943394.35</v>
      </c>
      <c r="L22" s="82">
        <v>2715060.1022999999</v>
      </c>
      <c r="M22" s="82">
        <v>228192.41143000001</v>
      </c>
      <c r="N22" s="82">
        <v>489523.56091</v>
      </c>
      <c r="O22" s="82">
        <v>4522754.3263999997</v>
      </c>
      <c r="P22" s="82">
        <v>244625.26341000001</v>
      </c>
      <c r="Q22" s="82">
        <v>0</v>
      </c>
      <c r="R22" s="82">
        <v>213993.34930999999</v>
      </c>
      <c r="S22" s="82">
        <v>30631.914100000002</v>
      </c>
      <c r="T22" s="82">
        <v>83205.530230000004</v>
      </c>
      <c r="U22" s="82">
        <v>0</v>
      </c>
      <c r="V22" s="82">
        <v>-29853.265479999998</v>
      </c>
      <c r="W22" s="82">
        <v>297977.52815999999</v>
      </c>
      <c r="X22" s="82">
        <v>297977.52815999999</v>
      </c>
      <c r="Y22" s="82">
        <v>283078.65175000002</v>
      </c>
      <c r="Z22" s="82">
        <v>292248.82091000001</v>
      </c>
      <c r="AA22" s="82">
        <v>54168.826091000003</v>
      </c>
      <c r="AB22" s="82">
        <v>0.96822600000000003</v>
      </c>
      <c r="AC22" s="82"/>
      <c r="AD22" s="82">
        <v>0</v>
      </c>
      <c r="AE22" s="82">
        <v>0</v>
      </c>
      <c r="AF22" s="82">
        <v>2039281.0660000001</v>
      </c>
      <c r="AG22" s="82">
        <v>0</v>
      </c>
      <c r="AH22" s="82">
        <v>0</v>
      </c>
      <c r="AI22" s="82">
        <v>0</v>
      </c>
      <c r="AJ22" s="82">
        <v>0</v>
      </c>
      <c r="AK22" s="82">
        <v>-304878.0429</v>
      </c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>
        <v>104.57440716000001</v>
      </c>
      <c r="BA22" s="82">
        <v>7.2900000000000006E-2</v>
      </c>
      <c r="BB22" s="82">
        <v>0</v>
      </c>
      <c r="BC22" s="82">
        <v>0.82289999999999996</v>
      </c>
      <c r="BD22" s="82">
        <v>0.8649</v>
      </c>
      <c r="BE22" s="82">
        <v>354297</v>
      </c>
      <c r="BF22" s="82">
        <v>353457</v>
      </c>
      <c r="BG22" s="82">
        <v>725</v>
      </c>
      <c r="BH22" s="82">
        <v>0</v>
      </c>
      <c r="BI22" s="82">
        <v>0</v>
      </c>
      <c r="BJ22" s="82">
        <v>0</v>
      </c>
      <c r="BK22" s="82">
        <v>31</v>
      </c>
      <c r="BL22" s="82">
        <v>2</v>
      </c>
      <c r="BM22" s="82">
        <v>9</v>
      </c>
      <c r="BN22" s="82">
        <v>0</v>
      </c>
      <c r="BO22" s="82">
        <v>0</v>
      </c>
      <c r="BP22" s="82">
        <v>0</v>
      </c>
      <c r="BQ22" s="82">
        <v>25</v>
      </c>
      <c r="BR22" s="82">
        <v>40</v>
      </c>
      <c r="BS22" s="82">
        <v>0</v>
      </c>
      <c r="BT22" s="82">
        <v>8</v>
      </c>
      <c r="BU22" s="82">
        <v>3.654953227</v>
      </c>
      <c r="BV22" s="82">
        <v>0</v>
      </c>
      <c r="BW22" s="82">
        <v>2.5555799880999999</v>
      </c>
      <c r="BX22" s="82">
        <v>0.27258507454000003</v>
      </c>
      <c r="BY22" s="82">
        <v>4.4280130041000003</v>
      </c>
      <c r="BZ22" s="82">
        <v>0</v>
      </c>
      <c r="CA22" s="82">
        <v>7.6727331781999997</v>
      </c>
      <c r="CB22" s="82">
        <v>14.721570898</v>
      </c>
      <c r="CC22" s="82">
        <v>0.96493438963</v>
      </c>
      <c r="CD22" s="82">
        <v>3.4389541307</v>
      </c>
      <c r="CE22" s="82">
        <v>3.5547095533999999</v>
      </c>
      <c r="CF22" s="82">
        <v>2.0683798430000002</v>
      </c>
      <c r="CG22" s="82">
        <v>56.667586712999999</v>
      </c>
      <c r="CH22" s="82">
        <v>0</v>
      </c>
      <c r="CI22" s="82">
        <v>0.93550614005999999</v>
      </c>
      <c r="CJ22" s="84">
        <v>4231064.4423000002</v>
      </c>
    </row>
    <row r="23" spans="2:88" ht="15.6" x14ac:dyDescent="0.3">
      <c r="B23" s="73" t="s">
        <v>10</v>
      </c>
      <c r="C23" s="74" t="s">
        <v>188</v>
      </c>
      <c r="D23" s="75" t="s">
        <v>104</v>
      </c>
      <c r="E23" s="75">
        <v>18979895000113</v>
      </c>
      <c r="F23" s="76">
        <v>1.792</v>
      </c>
      <c r="G23" s="74" t="s">
        <v>88</v>
      </c>
      <c r="H23" s="76">
        <v>1.05</v>
      </c>
      <c r="I23" s="77" t="s">
        <v>182</v>
      </c>
      <c r="J23" s="76">
        <v>3103262.2905999999</v>
      </c>
      <c r="K23" s="76">
        <v>3099646.5787</v>
      </c>
      <c r="L23" s="76">
        <v>0</v>
      </c>
      <c r="M23" s="76">
        <v>2400.7852699999999</v>
      </c>
      <c r="N23" s="76">
        <v>275846.36823000002</v>
      </c>
      <c r="O23" s="76">
        <v>2827415.9224</v>
      </c>
      <c r="P23" s="76">
        <v>301856.51238999999</v>
      </c>
      <c r="Q23" s="76">
        <v>0</v>
      </c>
      <c r="R23" s="76">
        <v>0</v>
      </c>
      <c r="S23" s="76">
        <v>301856.51238999999</v>
      </c>
      <c r="T23" s="76">
        <v>3254.7943599999999</v>
      </c>
      <c r="U23" s="76">
        <v>0</v>
      </c>
      <c r="V23" s="76">
        <v>-29057.217769999999</v>
      </c>
      <c r="W23" s="76">
        <v>276054.08898</v>
      </c>
      <c r="X23" s="76">
        <v>276054.08896999998</v>
      </c>
      <c r="Y23" s="76">
        <v>262251.38452000002</v>
      </c>
      <c r="Z23" s="76">
        <v>276054.08896999998</v>
      </c>
      <c r="AA23" s="76">
        <v>45191.176611000003</v>
      </c>
      <c r="AB23" s="76">
        <v>1</v>
      </c>
      <c r="AC23" s="76"/>
      <c r="AD23" s="76">
        <v>0</v>
      </c>
      <c r="AE23" s="76">
        <v>0</v>
      </c>
      <c r="AF23" s="76">
        <v>947821.31581000006</v>
      </c>
      <c r="AG23" s="76">
        <v>0</v>
      </c>
      <c r="AH23" s="76">
        <v>0</v>
      </c>
      <c r="AI23" s="76">
        <v>0</v>
      </c>
      <c r="AJ23" s="76">
        <v>0</v>
      </c>
      <c r="AK23" s="76">
        <v>1838211.4649</v>
      </c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>
        <v>8.8960528238999999</v>
      </c>
      <c r="BA23" s="76">
        <v>8.09E-2</v>
      </c>
      <c r="BB23" s="76">
        <v>0</v>
      </c>
      <c r="BC23" s="76">
        <v>0.55169999999999997</v>
      </c>
      <c r="BD23" s="76">
        <v>0.64270000000000005</v>
      </c>
      <c r="BE23" s="76">
        <v>385778</v>
      </c>
      <c r="BF23" s="76">
        <v>385194</v>
      </c>
      <c r="BG23" s="76">
        <v>485</v>
      </c>
      <c r="BH23" s="76">
        <v>0</v>
      </c>
      <c r="BI23" s="76">
        <v>0</v>
      </c>
      <c r="BJ23" s="76">
        <v>0</v>
      </c>
      <c r="BK23" s="76">
        <v>17</v>
      </c>
      <c r="BL23" s="76">
        <v>3</v>
      </c>
      <c r="BM23" s="76">
        <v>3</v>
      </c>
      <c r="BN23" s="76">
        <v>0</v>
      </c>
      <c r="BO23" s="76">
        <v>0</v>
      </c>
      <c r="BP23" s="76">
        <v>0</v>
      </c>
      <c r="BQ23" s="76">
        <v>33</v>
      </c>
      <c r="BR23" s="76">
        <v>39</v>
      </c>
      <c r="BS23" s="76">
        <v>0</v>
      </c>
      <c r="BT23" s="76">
        <v>4</v>
      </c>
      <c r="BU23" s="76">
        <v>0</v>
      </c>
      <c r="BV23" s="76">
        <v>0</v>
      </c>
      <c r="BW23" s="76">
        <v>0</v>
      </c>
      <c r="BX23" s="76">
        <v>0</v>
      </c>
      <c r="BY23" s="76">
        <v>0</v>
      </c>
      <c r="BZ23" s="76">
        <v>0</v>
      </c>
      <c r="CA23" s="76">
        <v>0</v>
      </c>
      <c r="CB23" s="76">
        <v>0</v>
      </c>
      <c r="CC23" s="76">
        <v>0</v>
      </c>
      <c r="CD23" s="76">
        <v>0</v>
      </c>
      <c r="CE23" s="76">
        <v>0</v>
      </c>
      <c r="CF23" s="76">
        <v>0</v>
      </c>
      <c r="CG23" s="76">
        <v>0</v>
      </c>
      <c r="CH23" s="76">
        <v>0</v>
      </c>
      <c r="CI23" s="76">
        <v>0.89140657738999995</v>
      </c>
      <c r="CJ23" s="78">
        <v>2520377.1502</v>
      </c>
    </row>
    <row r="24" spans="2:88" ht="15.6" x14ac:dyDescent="0.3">
      <c r="B24" s="79" t="s">
        <v>355</v>
      </c>
      <c r="C24" s="80" t="s">
        <v>399</v>
      </c>
      <c r="D24" s="81" t="s">
        <v>374</v>
      </c>
      <c r="E24" s="81">
        <v>47896665000199</v>
      </c>
      <c r="F24" s="82">
        <v>0.47599999999999998</v>
      </c>
      <c r="G24" s="80" t="s">
        <v>93</v>
      </c>
      <c r="H24" s="82">
        <v>0.95</v>
      </c>
      <c r="I24" s="83" t="s">
        <v>183</v>
      </c>
      <c r="J24" s="82">
        <v>1016179.1882</v>
      </c>
      <c r="K24" s="82">
        <v>1004655.4817</v>
      </c>
      <c r="L24" s="82">
        <v>527465.86396999995</v>
      </c>
      <c r="M24" s="82">
        <v>9169.0118399999992</v>
      </c>
      <c r="N24" s="82">
        <v>112791.79141999999</v>
      </c>
      <c r="O24" s="82">
        <v>903387.39683999994</v>
      </c>
      <c r="P24" s="82">
        <v>56114.675640000001</v>
      </c>
      <c r="Q24" s="82">
        <v>0</v>
      </c>
      <c r="R24" s="82">
        <v>30162.583210000001</v>
      </c>
      <c r="S24" s="82">
        <v>25952.092430000001</v>
      </c>
      <c r="T24" s="82">
        <v>1143.9369099999999</v>
      </c>
      <c r="U24" s="82">
        <v>0</v>
      </c>
      <c r="V24" s="82">
        <v>-9184.9949500000002</v>
      </c>
      <c r="W24" s="82">
        <v>48073.617599999998</v>
      </c>
      <c r="X24" s="82">
        <v>48073.617599999998</v>
      </c>
      <c r="Y24" s="82">
        <v>45669.936719999998</v>
      </c>
      <c r="Z24" s="82">
        <v>47700.105373999999</v>
      </c>
      <c r="AA24" s="82">
        <v>9742.2424635000007</v>
      </c>
      <c r="AB24" s="82">
        <v>1.0098689999999999</v>
      </c>
      <c r="AC24" s="82"/>
      <c r="AD24" s="82">
        <v>0</v>
      </c>
      <c r="AE24" s="82">
        <v>0</v>
      </c>
      <c r="AF24" s="82">
        <v>359191.36592000001</v>
      </c>
      <c r="AG24" s="82">
        <v>0</v>
      </c>
      <c r="AH24" s="82">
        <v>0</v>
      </c>
      <c r="AI24" s="82">
        <v>0</v>
      </c>
      <c r="AJ24" s="82">
        <v>0</v>
      </c>
      <c r="AK24" s="82">
        <v>-139802.39751000001</v>
      </c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>
        <v>11.334874023999999</v>
      </c>
      <c r="BA24" s="82">
        <v>6.4399999999999999E-2</v>
      </c>
      <c r="BB24" s="82">
        <v>0</v>
      </c>
      <c r="BC24" s="82">
        <v>0.5655</v>
      </c>
      <c r="BD24" s="82">
        <v>0.37430000000000002</v>
      </c>
      <c r="BE24" s="82">
        <v>6427</v>
      </c>
      <c r="BF24" s="82">
        <v>6340</v>
      </c>
      <c r="BG24" s="82">
        <v>22</v>
      </c>
      <c r="BH24" s="82">
        <v>0</v>
      </c>
      <c r="BI24" s="82">
        <v>0</v>
      </c>
      <c r="BJ24" s="82">
        <v>0</v>
      </c>
      <c r="BK24" s="82">
        <v>3</v>
      </c>
      <c r="BL24" s="82">
        <v>1</v>
      </c>
      <c r="BM24" s="82">
        <v>3</v>
      </c>
      <c r="BN24" s="82">
        <v>0</v>
      </c>
      <c r="BO24" s="82">
        <v>0</v>
      </c>
      <c r="BP24" s="82">
        <v>0</v>
      </c>
      <c r="BQ24" s="82">
        <v>25</v>
      </c>
      <c r="BR24" s="82">
        <v>31</v>
      </c>
      <c r="BS24" s="82">
        <v>0</v>
      </c>
      <c r="BT24" s="82">
        <v>2</v>
      </c>
      <c r="BU24" s="82">
        <v>1.3798999999999999</v>
      </c>
      <c r="BV24" s="82">
        <v>0.31919999999999998</v>
      </c>
      <c r="BW24" s="82">
        <v>0.1472</v>
      </c>
      <c r="BX24" s="82">
        <v>0</v>
      </c>
      <c r="BY24" s="82">
        <v>0</v>
      </c>
      <c r="BZ24" s="82">
        <v>21.110600000000002</v>
      </c>
      <c r="CA24" s="82">
        <v>0.3861</v>
      </c>
      <c r="CB24" s="82">
        <v>1.4866999999999999</v>
      </c>
      <c r="CC24" s="82">
        <v>0.72670000000000001</v>
      </c>
      <c r="CD24" s="82">
        <v>9.0589999999999993</v>
      </c>
      <c r="CE24" s="82">
        <v>0.93200000000000005</v>
      </c>
      <c r="CF24" s="82">
        <v>14.543799999999999</v>
      </c>
      <c r="CG24" s="82">
        <v>43.311300000000003</v>
      </c>
      <c r="CH24" s="82">
        <v>6.5975000000000001</v>
      </c>
      <c r="CI24" s="82">
        <v>0.92458019179999995</v>
      </c>
      <c r="CJ24" s="84">
        <v>835254.09264000005</v>
      </c>
    </row>
    <row r="25" spans="2:88" ht="15.6" x14ac:dyDescent="0.3">
      <c r="B25" s="73" t="s">
        <v>11</v>
      </c>
      <c r="C25" s="74" t="s">
        <v>329</v>
      </c>
      <c r="D25" s="75" t="s">
        <v>105</v>
      </c>
      <c r="E25" s="75">
        <v>32065364000146</v>
      </c>
      <c r="F25" s="76">
        <v>0.36599999999999999</v>
      </c>
      <c r="G25" s="74" t="s">
        <v>89</v>
      </c>
      <c r="H25" s="76">
        <v>0.95</v>
      </c>
      <c r="I25" s="77" t="s">
        <v>392</v>
      </c>
      <c r="J25" s="76">
        <v>484119.48430000001</v>
      </c>
      <c r="K25" s="76">
        <v>404092.94575999997</v>
      </c>
      <c r="L25" s="76">
        <v>0</v>
      </c>
      <c r="M25" s="76">
        <v>753.01327000000003</v>
      </c>
      <c r="N25" s="76">
        <v>7131.9613300000001</v>
      </c>
      <c r="O25" s="76">
        <v>476987.52296999999</v>
      </c>
      <c r="P25" s="76">
        <v>56083.988140000001</v>
      </c>
      <c r="Q25" s="76">
        <v>0</v>
      </c>
      <c r="R25" s="76">
        <v>0</v>
      </c>
      <c r="S25" s="76">
        <v>56083.988140000001</v>
      </c>
      <c r="T25" s="76">
        <v>5545.0782200000003</v>
      </c>
      <c r="U25" s="76">
        <v>0</v>
      </c>
      <c r="V25" s="76">
        <v>-2414.3606100000002</v>
      </c>
      <c r="W25" s="76">
        <v>59214.705750000001</v>
      </c>
      <c r="X25" s="76">
        <v>59214.70577</v>
      </c>
      <c r="Y25" s="76">
        <v>56253.970481999997</v>
      </c>
      <c r="Z25" s="76">
        <v>59605.758421999999</v>
      </c>
      <c r="AA25" s="76">
        <v>4475.5445614999999</v>
      </c>
      <c r="AB25" s="76">
        <v>0.996637</v>
      </c>
      <c r="AC25" s="76"/>
      <c r="AD25" s="76">
        <v>0</v>
      </c>
      <c r="AE25" s="76">
        <v>0</v>
      </c>
      <c r="AF25" s="76">
        <v>93214.394230000005</v>
      </c>
      <c r="AG25" s="76">
        <v>0</v>
      </c>
      <c r="AH25" s="76">
        <v>0</v>
      </c>
      <c r="AI25" s="76">
        <v>0</v>
      </c>
      <c r="AJ25" s="76">
        <v>0</v>
      </c>
      <c r="AK25" s="76">
        <v>383688.12521000003</v>
      </c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>
        <v>98.626048001000001</v>
      </c>
      <c r="BA25" s="76">
        <v>8.8400000000000006E-2</v>
      </c>
      <c r="BB25" s="76">
        <v>4.4000000000000003E-3</v>
      </c>
      <c r="BC25" s="76">
        <v>1.323442</v>
      </c>
      <c r="BD25" s="76">
        <v>0.96146399999999999</v>
      </c>
      <c r="BE25" s="76">
        <v>24745</v>
      </c>
      <c r="BF25" s="76">
        <v>0</v>
      </c>
      <c r="BG25" s="76">
        <v>0</v>
      </c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>
        <v>1.0788225034000001</v>
      </c>
      <c r="CJ25" s="78">
        <v>514584.87359999999</v>
      </c>
    </row>
    <row r="26" spans="2:88" ht="15.6" x14ac:dyDescent="0.3">
      <c r="B26" s="79" t="s">
        <v>356</v>
      </c>
      <c r="C26" s="80" t="s">
        <v>400</v>
      </c>
      <c r="D26" s="81" t="s">
        <v>375</v>
      </c>
      <c r="E26" s="81">
        <v>49005348000160</v>
      </c>
      <c r="F26" s="82">
        <v>0.28999999999999998</v>
      </c>
      <c r="G26" s="80" t="s">
        <v>88</v>
      </c>
      <c r="H26" s="82">
        <v>1.05</v>
      </c>
      <c r="I26" s="83" t="s">
        <v>182</v>
      </c>
      <c r="J26" s="82">
        <v>431326.59697000001</v>
      </c>
      <c r="K26" s="82">
        <v>401412.75186999998</v>
      </c>
      <c r="L26" s="82">
        <v>0</v>
      </c>
      <c r="M26" s="82">
        <v>18.296949999999999</v>
      </c>
      <c r="N26" s="82">
        <v>4646.0649999999996</v>
      </c>
      <c r="O26" s="82">
        <v>426680.53197000001</v>
      </c>
      <c r="P26" s="82">
        <v>36347.582710000002</v>
      </c>
      <c r="Q26" s="82">
        <v>0</v>
      </c>
      <c r="R26" s="82">
        <v>0</v>
      </c>
      <c r="S26" s="82">
        <v>36347.582710000002</v>
      </c>
      <c r="T26" s="82">
        <v>7462.3498499999996</v>
      </c>
      <c r="U26" s="82">
        <v>0</v>
      </c>
      <c r="V26" s="82">
        <v>-3767.8846699999999</v>
      </c>
      <c r="W26" s="82">
        <v>40042.047890000002</v>
      </c>
      <c r="X26" s="82">
        <v>40042.047890000002</v>
      </c>
      <c r="Y26" s="82">
        <v>38039.945495</v>
      </c>
      <c r="Z26" s="82">
        <v>39811.971447999997</v>
      </c>
      <c r="AA26" s="82">
        <v>8693.5259979999992</v>
      </c>
      <c r="AB26" s="82">
        <v>1.0074339999999999</v>
      </c>
      <c r="AC26" s="82"/>
      <c r="AD26" s="82">
        <v>0</v>
      </c>
      <c r="AE26" s="82">
        <v>0</v>
      </c>
      <c r="AF26" s="82">
        <v>46773.387759999998</v>
      </c>
      <c r="AG26" s="82">
        <v>0</v>
      </c>
      <c r="AH26" s="82">
        <v>0</v>
      </c>
      <c r="AI26" s="82">
        <v>0</v>
      </c>
      <c r="AJ26" s="82">
        <v>0</v>
      </c>
      <c r="AK26" s="82">
        <v>375933.39178000001</v>
      </c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>
        <v>98.160523583</v>
      </c>
      <c r="BA26" s="82">
        <v>8.6300000000000002E-2</v>
      </c>
      <c r="BB26" s="82">
        <v>0</v>
      </c>
      <c r="BC26" s="82">
        <v>0.96899999999999997</v>
      </c>
      <c r="BD26" s="82">
        <v>1.0851</v>
      </c>
      <c r="BE26" s="82">
        <v>11165</v>
      </c>
      <c r="BF26" s="82">
        <v>11075</v>
      </c>
      <c r="BG26" s="82">
        <v>58</v>
      </c>
      <c r="BH26" s="82">
        <v>0</v>
      </c>
      <c r="BI26" s="82">
        <v>1</v>
      </c>
      <c r="BJ26" s="82">
        <v>0</v>
      </c>
      <c r="BK26" s="82">
        <v>8</v>
      </c>
      <c r="BL26" s="82">
        <v>0</v>
      </c>
      <c r="BM26" s="82">
        <v>0</v>
      </c>
      <c r="BN26" s="82">
        <v>0</v>
      </c>
      <c r="BO26" s="82">
        <v>1</v>
      </c>
      <c r="BP26" s="82">
        <v>0</v>
      </c>
      <c r="BQ26" s="82">
        <v>6</v>
      </c>
      <c r="BR26" s="82">
        <v>13</v>
      </c>
      <c r="BS26" s="82">
        <v>0</v>
      </c>
      <c r="BT26" s="82">
        <v>3</v>
      </c>
      <c r="BU26" s="82">
        <v>0</v>
      </c>
      <c r="BV26" s="82">
        <v>0</v>
      </c>
      <c r="BW26" s="82">
        <v>0</v>
      </c>
      <c r="BX26" s="82">
        <v>0</v>
      </c>
      <c r="BY26" s="82">
        <v>0</v>
      </c>
      <c r="BZ26" s="82">
        <v>0</v>
      </c>
      <c r="CA26" s="82">
        <v>0</v>
      </c>
      <c r="CB26" s="82">
        <v>0</v>
      </c>
      <c r="CC26" s="82">
        <v>0</v>
      </c>
      <c r="CD26" s="82">
        <v>0</v>
      </c>
      <c r="CE26" s="82">
        <v>0</v>
      </c>
      <c r="CF26" s="82">
        <v>0</v>
      </c>
      <c r="CG26" s="82">
        <v>0</v>
      </c>
      <c r="CH26" s="82">
        <v>0</v>
      </c>
      <c r="CI26" s="82">
        <v>0.95527200322000005</v>
      </c>
      <c r="CJ26" s="84">
        <v>407595.96651</v>
      </c>
    </row>
    <row r="27" spans="2:88" ht="15.6" x14ac:dyDescent="0.3">
      <c r="B27" s="73" t="s">
        <v>309</v>
      </c>
      <c r="C27" s="74" t="s">
        <v>330</v>
      </c>
      <c r="D27" s="75" t="s">
        <v>317</v>
      </c>
      <c r="E27" s="75">
        <v>36501233000115</v>
      </c>
      <c r="F27" s="76">
        <v>0.113</v>
      </c>
      <c r="G27" s="74" t="s">
        <v>88</v>
      </c>
      <c r="H27" s="76">
        <v>1.05</v>
      </c>
      <c r="I27" s="77" t="s">
        <v>182</v>
      </c>
      <c r="J27" s="76">
        <v>359458.06491999998</v>
      </c>
      <c r="K27" s="76">
        <v>177855.43484</v>
      </c>
      <c r="L27" s="76">
        <v>0</v>
      </c>
      <c r="M27" s="76">
        <v>5290.1623</v>
      </c>
      <c r="N27" s="76">
        <v>204416.28818999999</v>
      </c>
      <c r="O27" s="76">
        <v>155041.77673000001</v>
      </c>
      <c r="P27" s="76">
        <v>33191.72696</v>
      </c>
      <c r="Q27" s="76">
        <v>0</v>
      </c>
      <c r="R27" s="76">
        <v>0</v>
      </c>
      <c r="S27" s="76">
        <v>33191.72696</v>
      </c>
      <c r="T27" s="76">
        <v>633.67260999999996</v>
      </c>
      <c r="U27" s="76">
        <v>0</v>
      </c>
      <c r="V27" s="76">
        <v>-3123.1283100000001</v>
      </c>
      <c r="W27" s="76">
        <v>30702.271260000001</v>
      </c>
      <c r="X27" s="76">
        <v>20757.93463</v>
      </c>
      <c r="Y27" s="76">
        <v>19720.037898999999</v>
      </c>
      <c r="Z27" s="76">
        <v>20557.958398999999</v>
      </c>
      <c r="AA27" s="76">
        <v>3752.6431984999999</v>
      </c>
      <c r="AB27" s="76">
        <v>1.0225880000000001</v>
      </c>
      <c r="AC27" s="76"/>
      <c r="AD27" s="76">
        <v>0</v>
      </c>
      <c r="AE27" s="76">
        <v>0</v>
      </c>
      <c r="AF27" s="76">
        <v>6846.8817200000003</v>
      </c>
      <c r="AG27" s="76">
        <v>0</v>
      </c>
      <c r="AH27" s="76">
        <v>0</v>
      </c>
      <c r="AI27" s="76">
        <v>0</v>
      </c>
      <c r="AJ27" s="76">
        <v>0</v>
      </c>
      <c r="AK27" s="76">
        <v>145112.91759999999</v>
      </c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>
        <v>9.5025310821000009</v>
      </c>
      <c r="BA27" s="76">
        <v>0</v>
      </c>
      <c r="BB27" s="76">
        <v>0</v>
      </c>
      <c r="BC27" s="76">
        <v>1.0516000000000001</v>
      </c>
      <c r="BD27" s="76">
        <v>0.80159999999999998</v>
      </c>
      <c r="BE27" s="76">
        <v>16772</v>
      </c>
      <c r="BF27" s="76">
        <v>16739</v>
      </c>
      <c r="BG27" s="76">
        <v>18</v>
      </c>
      <c r="BH27" s="76"/>
      <c r="BI27" s="76"/>
      <c r="BJ27" s="76"/>
      <c r="BK27" s="76">
        <v>3</v>
      </c>
      <c r="BL27" s="76"/>
      <c r="BM27" s="76"/>
      <c r="BN27" s="76"/>
      <c r="BO27" s="76"/>
      <c r="BP27" s="76"/>
      <c r="BQ27" s="76">
        <v>10</v>
      </c>
      <c r="BR27" s="76">
        <v>2</v>
      </c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>
        <v>1.0260424212999999</v>
      </c>
      <c r="CJ27" s="78">
        <v>159079.44</v>
      </c>
    </row>
    <row r="28" spans="2:88" ht="15.6" x14ac:dyDescent="0.3">
      <c r="B28" s="79" t="s">
        <v>17</v>
      </c>
      <c r="C28" s="80" t="s">
        <v>189</v>
      </c>
      <c r="D28" s="81" t="s">
        <v>111</v>
      </c>
      <c r="E28" s="81">
        <v>37087810000137</v>
      </c>
      <c r="F28" s="82">
        <v>0.37</v>
      </c>
      <c r="G28" s="80" t="s">
        <v>88</v>
      </c>
      <c r="H28" s="82">
        <v>1.2</v>
      </c>
      <c r="I28" s="83" t="s">
        <v>183</v>
      </c>
      <c r="J28" s="82">
        <v>1397499.4280999999</v>
      </c>
      <c r="K28" s="82">
        <v>1357982.6455999999</v>
      </c>
      <c r="L28" s="82">
        <v>0</v>
      </c>
      <c r="M28" s="82">
        <v>8907.3043600000001</v>
      </c>
      <c r="N28" s="82">
        <v>1095.2034100000001</v>
      </c>
      <c r="O28" s="82">
        <v>1396404.2246999999</v>
      </c>
      <c r="P28" s="82">
        <v>94405.87599</v>
      </c>
      <c r="Q28" s="82">
        <v>0</v>
      </c>
      <c r="R28" s="82">
        <v>0</v>
      </c>
      <c r="S28" s="82">
        <v>94405.87599</v>
      </c>
      <c r="T28" s="82">
        <v>722.87840000000006</v>
      </c>
      <c r="U28" s="82">
        <v>0</v>
      </c>
      <c r="V28" s="82">
        <v>-6568.4687299999996</v>
      </c>
      <c r="W28" s="82">
        <v>88560.285659999994</v>
      </c>
      <c r="X28" s="82">
        <v>89460.24394</v>
      </c>
      <c r="Y28" s="82">
        <v>84987.231742999997</v>
      </c>
      <c r="Z28" s="82">
        <v>88904.267632999996</v>
      </c>
      <c r="AA28" s="82">
        <v>11938.171793</v>
      </c>
      <c r="AB28" s="82">
        <v>0.99208600000000002</v>
      </c>
      <c r="AC28" s="82"/>
      <c r="AD28" s="82">
        <v>0</v>
      </c>
      <c r="AE28" s="82">
        <v>0</v>
      </c>
      <c r="AF28" s="82">
        <v>101588.20728</v>
      </c>
      <c r="AG28" s="82">
        <v>0</v>
      </c>
      <c r="AH28" s="82">
        <v>0</v>
      </c>
      <c r="AI28" s="82">
        <v>0</v>
      </c>
      <c r="AJ28" s="82">
        <v>0</v>
      </c>
      <c r="AK28" s="82">
        <v>1262172.0257999999</v>
      </c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>
        <v>99.424234369000004</v>
      </c>
      <c r="BA28" s="82">
        <v>6.7000000000000002E-3</v>
      </c>
      <c r="BB28" s="82">
        <v>0</v>
      </c>
      <c r="BC28" s="82">
        <v>0.46657599999999999</v>
      </c>
      <c r="BD28" s="82">
        <v>1.312165</v>
      </c>
      <c r="BE28" s="82">
        <v>104206</v>
      </c>
      <c r="BF28" s="82">
        <v>104064</v>
      </c>
      <c r="BG28" s="82">
        <v>120</v>
      </c>
      <c r="BH28" s="82">
        <v>0</v>
      </c>
      <c r="BI28" s="82">
        <v>0</v>
      </c>
      <c r="BJ28" s="82">
        <v>0</v>
      </c>
      <c r="BK28" s="82">
        <v>6</v>
      </c>
      <c r="BL28" s="82">
        <v>0</v>
      </c>
      <c r="BM28" s="82">
        <v>0</v>
      </c>
      <c r="BN28" s="82">
        <v>0</v>
      </c>
      <c r="BO28" s="82">
        <v>0</v>
      </c>
      <c r="BP28" s="82">
        <v>0</v>
      </c>
      <c r="BQ28" s="82">
        <v>11</v>
      </c>
      <c r="BR28" s="82">
        <v>3</v>
      </c>
      <c r="BS28" s="82">
        <v>0</v>
      </c>
      <c r="BT28" s="82">
        <v>2</v>
      </c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>
        <v>0.37274614419000002</v>
      </c>
      <c r="CJ28" s="84">
        <v>520504.29048000003</v>
      </c>
    </row>
    <row r="29" spans="2:88" ht="15.6" x14ac:dyDescent="0.3">
      <c r="B29" s="73" t="s">
        <v>18</v>
      </c>
      <c r="C29" s="74" t="s">
        <v>190</v>
      </c>
      <c r="D29" s="75" t="s">
        <v>112</v>
      </c>
      <c r="E29" s="75">
        <v>11664201000100</v>
      </c>
      <c r="F29" s="76">
        <v>0.94899999999999995</v>
      </c>
      <c r="G29" s="74" t="s">
        <v>88</v>
      </c>
      <c r="H29" s="76"/>
      <c r="I29" s="77" t="s">
        <v>183</v>
      </c>
      <c r="J29" s="76">
        <v>1492607.1662000001</v>
      </c>
      <c r="K29" s="76">
        <v>1413829.862</v>
      </c>
      <c r="L29" s="76">
        <v>0</v>
      </c>
      <c r="M29" s="76">
        <v>268.08861999999999</v>
      </c>
      <c r="N29" s="76">
        <v>68425.158479999998</v>
      </c>
      <c r="O29" s="76">
        <v>1424182.0077</v>
      </c>
      <c r="P29" s="76">
        <v>26055.845000000001</v>
      </c>
      <c r="Q29" s="76">
        <v>1614.58017</v>
      </c>
      <c r="R29" s="76">
        <v>11241.62703</v>
      </c>
      <c r="S29" s="76">
        <v>13199.6378</v>
      </c>
      <c r="T29" s="76">
        <v>2290.9711699999998</v>
      </c>
      <c r="U29" s="76">
        <v>0</v>
      </c>
      <c r="V29" s="76">
        <v>-20787.201430000001</v>
      </c>
      <c r="W29" s="76">
        <v>7559.61474</v>
      </c>
      <c r="X29" s="76">
        <v>10931.28708</v>
      </c>
      <c r="Y29" s="76">
        <v>10384.722726</v>
      </c>
      <c r="Z29" s="76">
        <v>11080.269216000001</v>
      </c>
      <c r="AA29" s="76">
        <v>3395.7611160000001</v>
      </c>
      <c r="AB29" s="76">
        <v>1.031385</v>
      </c>
      <c r="AC29" s="76"/>
      <c r="AD29" s="76">
        <v>0</v>
      </c>
      <c r="AE29" s="76">
        <v>0</v>
      </c>
      <c r="AF29" s="76">
        <v>165785.94623</v>
      </c>
      <c r="AG29" s="76">
        <v>0</v>
      </c>
      <c r="AH29" s="76">
        <v>0</v>
      </c>
      <c r="AI29" s="76">
        <v>0</v>
      </c>
      <c r="AJ29" s="76">
        <v>0</v>
      </c>
      <c r="AK29" s="76">
        <v>1278830.0930000001</v>
      </c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>
        <v>91.338075958000005</v>
      </c>
      <c r="BA29" s="76">
        <v>8.4830000000000003E-2</v>
      </c>
      <c r="BB29" s="76">
        <v>5.2900000000000004E-3</v>
      </c>
      <c r="BC29" s="76">
        <v>0.87619999999999998</v>
      </c>
      <c r="BD29" s="76">
        <v>0.9123</v>
      </c>
      <c r="BE29" s="76">
        <v>121337</v>
      </c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>
        <v>100</v>
      </c>
      <c r="CH29" s="76"/>
      <c r="CI29" s="76">
        <v>0.93717761297000002</v>
      </c>
      <c r="CJ29" s="78">
        <v>1334711.4944</v>
      </c>
    </row>
    <row r="30" spans="2:88" ht="15.6" x14ac:dyDescent="0.3">
      <c r="B30" s="79" t="s">
        <v>20</v>
      </c>
      <c r="C30" s="80" t="s">
        <v>191</v>
      </c>
      <c r="D30" s="81" t="s">
        <v>114</v>
      </c>
      <c r="E30" s="81">
        <v>17324357000128</v>
      </c>
      <c r="F30" s="82">
        <v>0.214</v>
      </c>
      <c r="G30" s="80" t="s">
        <v>91</v>
      </c>
      <c r="H30" s="82">
        <v>0.4</v>
      </c>
      <c r="I30" s="83" t="s">
        <v>183</v>
      </c>
      <c r="J30" s="82">
        <v>341356.55154999997</v>
      </c>
      <c r="K30" s="82">
        <v>321395.20559000003</v>
      </c>
      <c r="L30" s="82">
        <v>0</v>
      </c>
      <c r="M30" s="82">
        <v>148.29965000000001</v>
      </c>
      <c r="N30" s="82">
        <v>3003.0554099999999</v>
      </c>
      <c r="O30" s="82">
        <v>338353.49614</v>
      </c>
      <c r="P30" s="82">
        <v>21923.755130000001</v>
      </c>
      <c r="Q30" s="82">
        <v>1032.6772100000001</v>
      </c>
      <c r="R30" s="82">
        <v>11241.62703</v>
      </c>
      <c r="S30" s="82">
        <v>9649.4508900000001</v>
      </c>
      <c r="T30" s="82">
        <v>2270.2783599999998</v>
      </c>
      <c r="U30" s="82">
        <v>0</v>
      </c>
      <c r="V30" s="82">
        <v>-23743.477299999999</v>
      </c>
      <c r="W30" s="82">
        <v>450.55619000000002</v>
      </c>
      <c r="X30" s="82">
        <v>1107.9228800000001</v>
      </c>
      <c r="Y30" s="82">
        <v>5489.9500790000002</v>
      </c>
      <c r="Z30" s="82">
        <v>5960.2665790000001</v>
      </c>
      <c r="AA30" s="82">
        <v>2309.1066390000001</v>
      </c>
      <c r="AB30" s="82">
        <v>1.031385</v>
      </c>
      <c r="AC30" s="82"/>
      <c r="AD30" s="82">
        <v>0</v>
      </c>
      <c r="AE30" s="82">
        <v>0</v>
      </c>
      <c r="AF30" s="82">
        <v>16933.155890000002</v>
      </c>
      <c r="AG30" s="82">
        <v>0</v>
      </c>
      <c r="AH30" s="82">
        <v>0</v>
      </c>
      <c r="AI30" s="82">
        <v>0</v>
      </c>
      <c r="AJ30" s="82">
        <v>0</v>
      </c>
      <c r="AK30" s="82">
        <v>-2816.9706299999998</v>
      </c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>
        <v>75.318108289999998</v>
      </c>
      <c r="BA30" s="82">
        <v>3.5000000000000003E-2</v>
      </c>
      <c r="BB30" s="82">
        <v>3.5000000000000001E-3</v>
      </c>
      <c r="BC30" s="82">
        <v>0.82240000000000002</v>
      </c>
      <c r="BD30" s="82">
        <v>0.73280000000000001</v>
      </c>
      <c r="BE30" s="82">
        <v>21168</v>
      </c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>
        <v>100</v>
      </c>
      <c r="CH30" s="82"/>
      <c r="CI30" s="82">
        <v>0.88836538143999999</v>
      </c>
      <c r="CJ30" s="84">
        <v>300581.53266000003</v>
      </c>
    </row>
    <row r="31" spans="2:88" ht="15.6" x14ac:dyDescent="0.3">
      <c r="B31" s="73" t="s">
        <v>357</v>
      </c>
      <c r="C31" s="74" t="s">
        <v>401</v>
      </c>
      <c r="D31" s="75" t="s">
        <v>376</v>
      </c>
      <c r="E31" s="75">
        <v>37295919000160</v>
      </c>
      <c r="F31" s="76">
        <v>0.80800000000000005</v>
      </c>
      <c r="G31" s="74" t="s">
        <v>89</v>
      </c>
      <c r="H31" s="76">
        <v>0.97</v>
      </c>
      <c r="I31" s="77" t="s">
        <v>183</v>
      </c>
      <c r="J31" s="76">
        <v>1417779.3208000001</v>
      </c>
      <c r="K31" s="76">
        <v>1251334.7293</v>
      </c>
      <c r="L31" s="76">
        <v>647365.81354</v>
      </c>
      <c r="M31" s="76">
        <v>157647.40912999999</v>
      </c>
      <c r="N31" s="76">
        <v>260279.43578</v>
      </c>
      <c r="O31" s="76">
        <v>1157499.8851000001</v>
      </c>
      <c r="P31" s="76">
        <v>100913.90525</v>
      </c>
      <c r="Q31" s="76">
        <v>0</v>
      </c>
      <c r="R31" s="76">
        <v>61939.0337</v>
      </c>
      <c r="S31" s="76">
        <v>38974.871550000003</v>
      </c>
      <c r="T31" s="76">
        <v>2031.2244499999999</v>
      </c>
      <c r="U31" s="76">
        <v>0</v>
      </c>
      <c r="V31" s="76">
        <v>-35765.687969999999</v>
      </c>
      <c r="W31" s="76">
        <v>67179.441730000006</v>
      </c>
      <c r="X31" s="76">
        <v>67179.441730000006</v>
      </c>
      <c r="Y31" s="76">
        <v>63820.469643999997</v>
      </c>
      <c r="Z31" s="76">
        <v>98515.280664000005</v>
      </c>
      <c r="AA31" s="76">
        <v>9205.3761235000002</v>
      </c>
      <c r="AB31" s="76">
        <v>1.7386539999999999</v>
      </c>
      <c r="AC31" s="76"/>
      <c r="AD31" s="76">
        <v>0</v>
      </c>
      <c r="AE31" s="76">
        <v>0</v>
      </c>
      <c r="AF31" s="76">
        <v>502387.96363000001</v>
      </c>
      <c r="AG31" s="76">
        <v>0</v>
      </c>
      <c r="AH31" s="76">
        <v>0</v>
      </c>
      <c r="AI31" s="76">
        <v>0</v>
      </c>
      <c r="AJ31" s="76">
        <v>0</v>
      </c>
      <c r="AK31" s="76">
        <v>28359.041430000001</v>
      </c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>
        <v>254500</v>
      </c>
      <c r="AY31" s="76">
        <v>21.602345376999999</v>
      </c>
      <c r="AZ31" s="76">
        <v>9.1962839149000004</v>
      </c>
      <c r="BA31" s="76">
        <v>9.35E-2</v>
      </c>
      <c r="BB31" s="76">
        <v>1.8E-3</v>
      </c>
      <c r="BC31" s="76">
        <v>0.93718000000000001</v>
      </c>
      <c r="BD31" s="76">
        <v>1.23E-3</v>
      </c>
      <c r="BE31" s="76">
        <v>242860</v>
      </c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>
        <v>100</v>
      </c>
      <c r="CH31" s="76"/>
      <c r="CI31" s="76">
        <v>0.98191835785000003</v>
      </c>
      <c r="CJ31" s="78">
        <v>1136570.3862999999</v>
      </c>
    </row>
    <row r="32" spans="2:88" ht="15.6" x14ac:dyDescent="0.3">
      <c r="B32" s="79" t="s">
        <v>21</v>
      </c>
      <c r="C32" s="80" t="s">
        <v>192</v>
      </c>
      <c r="D32" s="81" t="s">
        <v>115</v>
      </c>
      <c r="E32" s="81">
        <v>3683056000186</v>
      </c>
      <c r="F32" s="82">
        <v>0.33900000000000002</v>
      </c>
      <c r="G32" s="80" t="s">
        <v>90</v>
      </c>
      <c r="H32" s="82"/>
      <c r="I32" s="83" t="s">
        <v>183</v>
      </c>
      <c r="J32" s="82">
        <v>861584.76202999998</v>
      </c>
      <c r="K32" s="82">
        <v>826433.94191000005</v>
      </c>
      <c r="L32" s="82">
        <v>793768.76240000001</v>
      </c>
      <c r="M32" s="82">
        <v>22320.867760000001</v>
      </c>
      <c r="N32" s="82">
        <v>105233.90915000001</v>
      </c>
      <c r="O32" s="82">
        <v>756350.85288000002</v>
      </c>
      <c r="P32" s="82">
        <v>17298.839209999998</v>
      </c>
      <c r="Q32" s="82">
        <v>0</v>
      </c>
      <c r="R32" s="82">
        <v>7798.1108999999997</v>
      </c>
      <c r="S32" s="82">
        <v>9500.7283100000004</v>
      </c>
      <c r="T32" s="82">
        <v>335.36608999999999</v>
      </c>
      <c r="U32" s="82">
        <v>0</v>
      </c>
      <c r="V32" s="82">
        <v>-3806.9159300000001</v>
      </c>
      <c r="W32" s="82">
        <v>13827.28937</v>
      </c>
      <c r="X32" s="82">
        <v>10931.28708</v>
      </c>
      <c r="Y32" s="82">
        <v>10384.722726</v>
      </c>
      <c r="Z32" s="82">
        <v>11080.269216000001</v>
      </c>
      <c r="AA32" s="82">
        <v>3395.7611160000001</v>
      </c>
      <c r="AB32" s="82">
        <v>1.031385</v>
      </c>
      <c r="AC32" s="82"/>
      <c r="AD32" s="82">
        <v>0</v>
      </c>
      <c r="AE32" s="82">
        <v>0</v>
      </c>
      <c r="AF32" s="82">
        <v>50230.318359999997</v>
      </c>
      <c r="AG32" s="82">
        <v>0</v>
      </c>
      <c r="AH32" s="82">
        <v>0</v>
      </c>
      <c r="AI32" s="82">
        <v>0</v>
      </c>
      <c r="AJ32" s="82">
        <v>0</v>
      </c>
      <c r="AK32" s="82">
        <v>-87360.8027</v>
      </c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>
        <v>204.93453208</v>
      </c>
      <c r="BA32" s="82">
        <v>3.8300000000000001E-2</v>
      </c>
      <c r="BB32" s="82">
        <v>2.9999999999999997E-4</v>
      </c>
      <c r="BC32" s="82">
        <v>0.44419999999999998</v>
      </c>
      <c r="BD32" s="82">
        <v>0.48499999999999999</v>
      </c>
      <c r="BE32" s="82">
        <v>34865</v>
      </c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>
        <v>4.2066999999999997</v>
      </c>
      <c r="BV32" s="82">
        <v>4.5430999999999999</v>
      </c>
      <c r="BW32" s="82">
        <v>0</v>
      </c>
      <c r="BX32" s="82">
        <v>0</v>
      </c>
      <c r="BY32" s="82">
        <v>0</v>
      </c>
      <c r="BZ32" s="82">
        <v>0</v>
      </c>
      <c r="CA32" s="82">
        <v>0</v>
      </c>
      <c r="CB32" s="82">
        <v>1.6653</v>
      </c>
      <c r="CC32" s="82">
        <v>0</v>
      </c>
      <c r="CD32" s="82">
        <v>11.1006</v>
      </c>
      <c r="CE32" s="82">
        <v>16.384799999999998</v>
      </c>
      <c r="CF32" s="82">
        <v>0</v>
      </c>
      <c r="CG32" s="82">
        <v>100</v>
      </c>
      <c r="CH32" s="82">
        <v>0</v>
      </c>
      <c r="CI32" s="82">
        <v>0.63083560728999999</v>
      </c>
      <c r="CJ32" s="84">
        <v>477133.04960000003</v>
      </c>
    </row>
    <row r="33" spans="2:88" ht="15.6" x14ac:dyDescent="0.3">
      <c r="B33" s="73" t="s">
        <v>24</v>
      </c>
      <c r="C33" s="74" t="s">
        <v>193</v>
      </c>
      <c r="D33" s="75" t="s">
        <v>118</v>
      </c>
      <c r="E33" s="75">
        <v>15576907000170</v>
      </c>
      <c r="F33" s="76">
        <v>0.9</v>
      </c>
      <c r="G33" s="74" t="s">
        <v>91</v>
      </c>
      <c r="H33" s="76">
        <v>0.65100000000000002</v>
      </c>
      <c r="I33" s="77" t="s">
        <v>183</v>
      </c>
      <c r="J33" s="76">
        <v>1593970.3428</v>
      </c>
      <c r="K33" s="76">
        <v>1465864.9118999999</v>
      </c>
      <c r="L33" s="76">
        <v>1205461.4698999999</v>
      </c>
      <c r="M33" s="76">
        <v>52478.627480000003</v>
      </c>
      <c r="N33" s="76">
        <v>246169.43411999999</v>
      </c>
      <c r="O33" s="76">
        <v>1347800.9087</v>
      </c>
      <c r="P33" s="76">
        <v>149551.67827</v>
      </c>
      <c r="Q33" s="76">
        <v>0</v>
      </c>
      <c r="R33" s="76">
        <v>149543.71905000001</v>
      </c>
      <c r="S33" s="76">
        <v>7.9592200000000002</v>
      </c>
      <c r="T33" s="76">
        <v>8584.5638400000007</v>
      </c>
      <c r="U33" s="76">
        <v>0</v>
      </c>
      <c r="V33" s="76">
        <v>-12012.15072</v>
      </c>
      <c r="W33" s="76">
        <v>146124.09138999999</v>
      </c>
      <c r="X33" s="76">
        <v>146124.09138999999</v>
      </c>
      <c r="Y33" s="76">
        <v>138817.88682000001</v>
      </c>
      <c r="Z33" s="76">
        <v>144441.198</v>
      </c>
      <c r="AA33" s="76">
        <v>11588.144480000001</v>
      </c>
      <c r="AB33" s="76">
        <v>0.99182300000000001</v>
      </c>
      <c r="AC33" s="76"/>
      <c r="AD33" s="76">
        <v>0</v>
      </c>
      <c r="AE33" s="76">
        <v>0</v>
      </c>
      <c r="AF33" s="76">
        <v>183375.16511</v>
      </c>
      <c r="AG33" s="76">
        <v>0</v>
      </c>
      <c r="AH33" s="76">
        <v>0</v>
      </c>
      <c r="AI33" s="76">
        <v>0</v>
      </c>
      <c r="AJ33" s="76">
        <v>0</v>
      </c>
      <c r="AK33" s="76">
        <v>-219773.894</v>
      </c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>
        <v>107.95072912000001</v>
      </c>
      <c r="BA33" s="76">
        <v>5.2999999999999999E-2</v>
      </c>
      <c r="BB33" s="76">
        <v>2.5999999999999999E-3</v>
      </c>
      <c r="BC33" s="76">
        <v>0.92549999999999999</v>
      </c>
      <c r="BD33" s="76">
        <v>0.83009999999999995</v>
      </c>
      <c r="BE33" s="76">
        <v>63881</v>
      </c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>
        <v>0</v>
      </c>
      <c r="BV33" s="76">
        <v>0</v>
      </c>
      <c r="BW33" s="76">
        <v>0.61360000000000003</v>
      </c>
      <c r="BX33" s="76">
        <v>0.49919999999999998</v>
      </c>
      <c r="BY33" s="76">
        <v>2.2044000000000001</v>
      </c>
      <c r="BZ33" s="76">
        <v>0.92159999999999997</v>
      </c>
      <c r="CA33" s="76">
        <v>3.9113000000000002</v>
      </c>
      <c r="CB33" s="76">
        <v>0</v>
      </c>
      <c r="CC33" s="76">
        <v>0</v>
      </c>
      <c r="CD33" s="76">
        <v>0</v>
      </c>
      <c r="CE33" s="76">
        <v>0</v>
      </c>
      <c r="CF33" s="76">
        <v>0</v>
      </c>
      <c r="CG33" s="76">
        <v>84.107399999999998</v>
      </c>
      <c r="CH33" s="76">
        <v>0</v>
      </c>
      <c r="CI33" s="76">
        <v>0.93931741658000001</v>
      </c>
      <c r="CJ33" s="78">
        <v>1266012.8676</v>
      </c>
    </row>
    <row r="34" spans="2:88" ht="15.6" x14ac:dyDescent="0.3">
      <c r="B34" s="79" t="s">
        <v>358</v>
      </c>
      <c r="C34" s="80" t="s">
        <v>402</v>
      </c>
      <c r="D34" s="81" t="s">
        <v>377</v>
      </c>
      <c r="E34" s="81">
        <v>33046142000149</v>
      </c>
      <c r="F34" s="82">
        <v>0.47499999999999998</v>
      </c>
      <c r="G34" s="80" t="s">
        <v>89</v>
      </c>
      <c r="H34" s="82">
        <v>1</v>
      </c>
      <c r="I34" s="83" t="s">
        <v>182</v>
      </c>
      <c r="J34" s="82">
        <v>1163218.7938000001</v>
      </c>
      <c r="K34" s="82">
        <v>919311.76509999996</v>
      </c>
      <c r="L34" s="82">
        <v>665232.59822000004</v>
      </c>
      <c r="M34" s="82">
        <v>24579.03572</v>
      </c>
      <c r="N34" s="82">
        <v>198748.16880000001</v>
      </c>
      <c r="O34" s="82">
        <v>964470.62494999997</v>
      </c>
      <c r="P34" s="82">
        <v>81334.546359999993</v>
      </c>
      <c r="Q34" s="82">
        <v>84043.324919999999</v>
      </c>
      <c r="R34" s="82">
        <v>-12951.336939999999</v>
      </c>
      <c r="S34" s="82">
        <v>10242.55838</v>
      </c>
      <c r="T34" s="82">
        <v>4992.6147099999998</v>
      </c>
      <c r="U34" s="82">
        <v>0</v>
      </c>
      <c r="V34" s="82">
        <v>-6936.5519199999999</v>
      </c>
      <c r="W34" s="82">
        <v>79390.609150000004</v>
      </c>
      <c r="X34" s="82">
        <v>79390.609150000004</v>
      </c>
      <c r="Y34" s="82">
        <v>75421.078693000003</v>
      </c>
      <c r="Z34" s="82">
        <v>43818.558440000001</v>
      </c>
      <c r="AA34" s="82">
        <v>19631.78513</v>
      </c>
      <c r="AB34" s="82">
        <v>2.0805709999999999</v>
      </c>
      <c r="AC34" s="82"/>
      <c r="AD34" s="82">
        <v>0</v>
      </c>
      <c r="AE34" s="82">
        <v>0</v>
      </c>
      <c r="AF34" s="82">
        <v>234556.91078000001</v>
      </c>
      <c r="AG34" s="82">
        <v>0</v>
      </c>
      <c r="AH34" s="82">
        <v>0</v>
      </c>
      <c r="AI34" s="82">
        <v>0</v>
      </c>
      <c r="AJ34" s="82">
        <v>0</v>
      </c>
      <c r="AK34" s="82">
        <v>-190510.34187</v>
      </c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>
        <v>129.60275110000001</v>
      </c>
      <c r="BA34" s="82">
        <v>0</v>
      </c>
      <c r="BB34" s="82">
        <v>0</v>
      </c>
      <c r="BC34" s="82">
        <v>0</v>
      </c>
      <c r="BD34" s="82">
        <v>0</v>
      </c>
      <c r="BE34" s="82">
        <v>6225</v>
      </c>
      <c r="BF34" s="82">
        <v>6129</v>
      </c>
      <c r="BG34" s="82">
        <v>44</v>
      </c>
      <c r="BH34" s="82">
        <v>2</v>
      </c>
      <c r="BI34" s="82">
        <v>1</v>
      </c>
      <c r="BJ34" s="82">
        <v>0</v>
      </c>
      <c r="BK34" s="82">
        <v>10</v>
      </c>
      <c r="BL34" s="82">
        <v>1</v>
      </c>
      <c r="BM34" s="82">
        <v>0</v>
      </c>
      <c r="BN34" s="82">
        <v>0</v>
      </c>
      <c r="BO34" s="82">
        <v>0</v>
      </c>
      <c r="BP34" s="82">
        <v>0</v>
      </c>
      <c r="BQ34" s="82">
        <v>9</v>
      </c>
      <c r="BR34" s="82">
        <v>26</v>
      </c>
      <c r="BS34" s="82">
        <v>0</v>
      </c>
      <c r="BT34" s="82">
        <v>3</v>
      </c>
      <c r="BU34" s="82">
        <v>1.8371</v>
      </c>
      <c r="BV34" s="82">
        <v>9.2100000000000001E-2</v>
      </c>
      <c r="BW34" s="82">
        <v>0.1605</v>
      </c>
      <c r="BX34" s="82">
        <v>9.1200000000000003E-2</v>
      </c>
      <c r="BY34" s="82">
        <v>0.4012</v>
      </c>
      <c r="BZ34" s="82">
        <v>0.56040000000000001</v>
      </c>
      <c r="CA34" s="82">
        <v>0.29110000000000003</v>
      </c>
      <c r="CB34" s="82">
        <v>0.94320000000000004</v>
      </c>
      <c r="CC34" s="82">
        <v>0.68820000000000003</v>
      </c>
      <c r="CD34" s="82">
        <v>2.2946</v>
      </c>
      <c r="CE34" s="82">
        <v>6.7676999999999996</v>
      </c>
      <c r="CF34" s="82">
        <v>2.4731999999999998</v>
      </c>
      <c r="CG34" s="82">
        <v>66.800399999999996</v>
      </c>
      <c r="CH34" s="82">
        <v>16.5991</v>
      </c>
      <c r="CI34" s="82">
        <v>0.69211493769999999</v>
      </c>
      <c r="CJ34" s="84">
        <v>667524.52650000004</v>
      </c>
    </row>
    <row r="35" spans="2:88" ht="15.6" x14ac:dyDescent="0.3">
      <c r="B35" s="73" t="s">
        <v>27</v>
      </c>
      <c r="C35" s="74" t="s">
        <v>403</v>
      </c>
      <c r="D35" s="75" t="s">
        <v>121</v>
      </c>
      <c r="E35" s="75">
        <v>11026627000138</v>
      </c>
      <c r="F35" s="76">
        <v>1.135</v>
      </c>
      <c r="G35" s="74" t="s">
        <v>88</v>
      </c>
      <c r="H35" s="76">
        <v>0.45</v>
      </c>
      <c r="I35" s="77" t="s">
        <v>183</v>
      </c>
      <c r="J35" s="76">
        <v>1889148.7912999999</v>
      </c>
      <c r="K35" s="76">
        <v>1806653.3233</v>
      </c>
      <c r="L35" s="76">
        <v>0</v>
      </c>
      <c r="M35" s="76">
        <v>5939.9961199999998</v>
      </c>
      <c r="N35" s="76">
        <v>8572.5124899999992</v>
      </c>
      <c r="O35" s="76">
        <v>1880576.2788</v>
      </c>
      <c r="P35" s="76">
        <v>189890.84641</v>
      </c>
      <c r="Q35" s="76">
        <v>0</v>
      </c>
      <c r="R35" s="76">
        <v>0</v>
      </c>
      <c r="S35" s="76">
        <v>189890.84641</v>
      </c>
      <c r="T35" s="76">
        <v>8002.5788199999997</v>
      </c>
      <c r="U35" s="76">
        <v>0</v>
      </c>
      <c r="V35" s="76">
        <v>-26726.800329999998</v>
      </c>
      <c r="W35" s="76">
        <v>171166.6249</v>
      </c>
      <c r="X35" s="76">
        <v>171166.6249</v>
      </c>
      <c r="Y35" s="76">
        <v>162608.29366</v>
      </c>
      <c r="Z35" s="76">
        <v>171166.6249</v>
      </c>
      <c r="AA35" s="76">
        <v>28208.741160000001</v>
      </c>
      <c r="AB35" s="76">
        <v>1</v>
      </c>
      <c r="AC35" s="76"/>
      <c r="AD35" s="76">
        <v>0</v>
      </c>
      <c r="AE35" s="76">
        <v>0</v>
      </c>
      <c r="AF35" s="76">
        <v>1706021.7731000001</v>
      </c>
      <c r="AG35" s="76">
        <v>0</v>
      </c>
      <c r="AH35" s="76">
        <v>0</v>
      </c>
      <c r="AI35" s="76">
        <v>0</v>
      </c>
      <c r="AJ35" s="76">
        <v>0</v>
      </c>
      <c r="AK35" s="76">
        <v>199527.22695000001</v>
      </c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>
        <v>9.3333005184999998</v>
      </c>
      <c r="BA35" s="76">
        <v>0.02</v>
      </c>
      <c r="BB35" s="76">
        <v>0</v>
      </c>
      <c r="BC35" s="76">
        <v>0.82489999999999997</v>
      </c>
      <c r="BD35" s="76">
        <v>0.76790000000000003</v>
      </c>
      <c r="BE35" s="76">
        <v>355128</v>
      </c>
      <c r="BF35" s="76">
        <v>354837</v>
      </c>
      <c r="BG35" s="76">
        <v>246</v>
      </c>
      <c r="BH35" s="76">
        <v>0</v>
      </c>
      <c r="BI35" s="76">
        <v>1</v>
      </c>
      <c r="BJ35" s="76">
        <v>0</v>
      </c>
      <c r="BK35" s="76">
        <v>11</v>
      </c>
      <c r="BL35" s="76">
        <v>0</v>
      </c>
      <c r="BM35" s="76">
        <v>7</v>
      </c>
      <c r="BN35" s="76">
        <v>0</v>
      </c>
      <c r="BO35" s="76">
        <v>0</v>
      </c>
      <c r="BP35" s="76">
        <v>0</v>
      </c>
      <c r="BQ35" s="76">
        <v>6</v>
      </c>
      <c r="BR35" s="76">
        <v>20</v>
      </c>
      <c r="BS35" s="76">
        <v>0</v>
      </c>
      <c r="BT35" s="76">
        <v>0</v>
      </c>
      <c r="BU35" s="76">
        <v>0</v>
      </c>
      <c r="BV35" s="76">
        <v>0</v>
      </c>
      <c r="BW35" s="76">
        <v>0</v>
      </c>
      <c r="BX35" s="76">
        <v>0</v>
      </c>
      <c r="BY35" s="76">
        <v>0</v>
      </c>
      <c r="BZ35" s="76">
        <v>0</v>
      </c>
      <c r="CA35" s="76">
        <v>0</v>
      </c>
      <c r="CB35" s="76">
        <v>0</v>
      </c>
      <c r="CC35" s="76">
        <v>0</v>
      </c>
      <c r="CD35" s="76">
        <v>0</v>
      </c>
      <c r="CE35" s="76">
        <v>0</v>
      </c>
      <c r="CF35" s="76">
        <v>0</v>
      </c>
      <c r="CG35" s="76">
        <v>0</v>
      </c>
      <c r="CH35" s="76">
        <v>0</v>
      </c>
      <c r="CI35" s="76">
        <v>0.84857441205999995</v>
      </c>
      <c r="CJ35" s="78">
        <v>1595808.9101</v>
      </c>
    </row>
    <row r="36" spans="2:88" ht="15.6" x14ac:dyDescent="0.3">
      <c r="B36" s="79" t="s">
        <v>25</v>
      </c>
      <c r="C36" s="80" t="s">
        <v>194</v>
      </c>
      <c r="D36" s="81" t="s">
        <v>119</v>
      </c>
      <c r="E36" s="81">
        <v>36642244000115</v>
      </c>
      <c r="F36" s="82">
        <v>0.318</v>
      </c>
      <c r="G36" s="80" t="s">
        <v>91</v>
      </c>
      <c r="H36" s="82"/>
      <c r="I36" s="83" t="s">
        <v>182</v>
      </c>
      <c r="J36" s="82">
        <v>723654.95894000004</v>
      </c>
      <c r="K36" s="82">
        <v>702333.54217999999</v>
      </c>
      <c r="L36" s="82">
        <v>470785.87453999999</v>
      </c>
      <c r="M36" s="82">
        <v>3722.7040000000002</v>
      </c>
      <c r="N36" s="82">
        <v>49585.318740000002</v>
      </c>
      <c r="O36" s="82">
        <v>674069.64020000002</v>
      </c>
      <c r="P36" s="82">
        <v>56398.064709999999</v>
      </c>
      <c r="Q36" s="82">
        <v>0</v>
      </c>
      <c r="R36" s="82">
        <v>11144.413430000001</v>
      </c>
      <c r="S36" s="82">
        <v>45253.651279999998</v>
      </c>
      <c r="T36" s="82">
        <v>1614.55034</v>
      </c>
      <c r="U36" s="82">
        <v>0</v>
      </c>
      <c r="V36" s="82">
        <v>-6005.0200699999996</v>
      </c>
      <c r="W36" s="82">
        <v>52007.594980000002</v>
      </c>
      <c r="X36" s="82">
        <v>52007.594980000002</v>
      </c>
      <c r="Y36" s="82">
        <v>49407.215231000002</v>
      </c>
      <c r="Z36" s="82">
        <v>52007.594980000002</v>
      </c>
      <c r="AA36" s="82">
        <v>10879.95256</v>
      </c>
      <c r="AB36" s="82">
        <v>1</v>
      </c>
      <c r="AC36" s="82"/>
      <c r="AD36" s="82">
        <v>0</v>
      </c>
      <c r="AE36" s="82">
        <v>0</v>
      </c>
      <c r="AF36" s="82">
        <v>16915.482240000001</v>
      </c>
      <c r="AG36" s="82">
        <v>0</v>
      </c>
      <c r="AH36" s="82">
        <v>0</v>
      </c>
      <c r="AI36" s="82">
        <v>0</v>
      </c>
      <c r="AJ36" s="82">
        <v>0</v>
      </c>
      <c r="AK36" s="82">
        <v>69137.766470000002</v>
      </c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>
        <v>112.66912666</v>
      </c>
      <c r="BA36" s="82">
        <v>5.67E-2</v>
      </c>
      <c r="BB36" s="82">
        <v>0</v>
      </c>
      <c r="BC36" s="82">
        <v>0.6855</v>
      </c>
      <c r="BD36" s="82">
        <v>0.59389999999999998</v>
      </c>
      <c r="BE36" s="82">
        <v>42323</v>
      </c>
      <c r="BF36" s="82">
        <v>42255</v>
      </c>
      <c r="BG36" s="82">
        <v>54</v>
      </c>
      <c r="BH36" s="82">
        <v>0</v>
      </c>
      <c r="BI36" s="82">
        <v>0</v>
      </c>
      <c r="BJ36" s="82">
        <v>0</v>
      </c>
      <c r="BK36" s="82">
        <v>7</v>
      </c>
      <c r="BL36" s="82">
        <v>0</v>
      </c>
      <c r="BM36" s="82">
        <v>1</v>
      </c>
      <c r="BN36" s="82">
        <v>0</v>
      </c>
      <c r="BO36" s="82">
        <v>0</v>
      </c>
      <c r="BP36" s="82">
        <v>0</v>
      </c>
      <c r="BQ36" s="82">
        <v>1</v>
      </c>
      <c r="BR36" s="82">
        <v>5</v>
      </c>
      <c r="BS36" s="82">
        <v>0</v>
      </c>
      <c r="BT36" s="82">
        <v>0</v>
      </c>
      <c r="BU36" s="82">
        <v>0</v>
      </c>
      <c r="BV36" s="82">
        <v>0</v>
      </c>
      <c r="BW36" s="82">
        <v>0</v>
      </c>
      <c r="BX36" s="82">
        <v>0</v>
      </c>
      <c r="BY36" s="82">
        <v>0</v>
      </c>
      <c r="BZ36" s="82">
        <v>0</v>
      </c>
      <c r="CA36" s="82">
        <v>0</v>
      </c>
      <c r="CB36" s="82">
        <v>0</v>
      </c>
      <c r="CC36" s="82">
        <v>0</v>
      </c>
      <c r="CD36" s="82">
        <v>0</v>
      </c>
      <c r="CE36" s="82">
        <v>0</v>
      </c>
      <c r="CF36" s="82">
        <v>0</v>
      </c>
      <c r="CG36" s="82">
        <v>100</v>
      </c>
      <c r="CH36" s="82">
        <v>0</v>
      </c>
      <c r="CI36" s="82">
        <v>0.66273700886999998</v>
      </c>
      <c r="CJ36" s="84">
        <v>446730.89711999998</v>
      </c>
    </row>
    <row r="37" spans="2:88" ht="15.6" x14ac:dyDescent="0.3">
      <c r="B37" s="73" t="s">
        <v>26</v>
      </c>
      <c r="C37" s="74" t="s">
        <v>195</v>
      </c>
      <c r="D37" s="75" t="s">
        <v>120</v>
      </c>
      <c r="E37" s="75">
        <v>9552812000114</v>
      </c>
      <c r="F37" s="76">
        <v>0.70299999999999996</v>
      </c>
      <c r="G37" s="74" t="s">
        <v>88</v>
      </c>
      <c r="H37" s="76">
        <v>0.95</v>
      </c>
      <c r="I37" s="77" t="s">
        <v>183</v>
      </c>
      <c r="J37" s="76">
        <v>1000712.078</v>
      </c>
      <c r="K37" s="76">
        <v>791859.77272999997</v>
      </c>
      <c r="L37" s="76">
        <v>0</v>
      </c>
      <c r="M37" s="76">
        <v>1918.0365300000001</v>
      </c>
      <c r="N37" s="76">
        <v>1753.4926599999999</v>
      </c>
      <c r="O37" s="76">
        <v>998958.58537999995</v>
      </c>
      <c r="P37" s="76">
        <v>116586.76003</v>
      </c>
      <c r="Q37" s="76">
        <v>0</v>
      </c>
      <c r="R37" s="76">
        <v>0</v>
      </c>
      <c r="S37" s="76">
        <v>116586.76003</v>
      </c>
      <c r="T37" s="76">
        <v>9671.1579299999994</v>
      </c>
      <c r="U37" s="76">
        <v>0</v>
      </c>
      <c r="V37" s="76">
        <v>-10914.20811</v>
      </c>
      <c r="W37" s="76">
        <v>115343.70985</v>
      </c>
      <c r="X37" s="76">
        <v>115343.74864000001</v>
      </c>
      <c r="Y37" s="76">
        <v>109576.5612</v>
      </c>
      <c r="Z37" s="76">
        <v>109938.63523</v>
      </c>
      <c r="AA37" s="76">
        <v>18709.980329999999</v>
      </c>
      <c r="AB37" s="76">
        <v>0.95151699999999995</v>
      </c>
      <c r="AC37" s="76"/>
      <c r="AD37" s="76">
        <v>0</v>
      </c>
      <c r="AE37" s="76">
        <v>0</v>
      </c>
      <c r="AF37" s="76">
        <v>188734.50928999999</v>
      </c>
      <c r="AG37" s="76">
        <v>0</v>
      </c>
      <c r="AH37" s="76">
        <v>0</v>
      </c>
      <c r="AI37" s="76">
        <v>0</v>
      </c>
      <c r="AJ37" s="76">
        <v>0</v>
      </c>
      <c r="AK37" s="76">
        <v>794009.23589999997</v>
      </c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>
        <v>10.037648926999999</v>
      </c>
      <c r="BA37" s="76">
        <v>8.6800000000000002E-2</v>
      </c>
      <c r="BB37" s="76">
        <v>0</v>
      </c>
      <c r="BC37" s="76">
        <v>0.90139999999999998</v>
      </c>
      <c r="BD37" s="76">
        <v>0.62609999999999999</v>
      </c>
      <c r="BE37" s="76">
        <v>180045</v>
      </c>
      <c r="BF37" s="76">
        <v>179829</v>
      </c>
      <c r="BG37" s="76">
        <v>168</v>
      </c>
      <c r="BH37" s="76">
        <v>0</v>
      </c>
      <c r="BI37" s="76">
        <v>1</v>
      </c>
      <c r="BJ37" s="76">
        <v>0</v>
      </c>
      <c r="BK37" s="76">
        <v>10</v>
      </c>
      <c r="BL37" s="76">
        <v>1</v>
      </c>
      <c r="BM37" s="76">
        <v>2</v>
      </c>
      <c r="BN37" s="76">
        <v>0</v>
      </c>
      <c r="BO37" s="76">
        <v>0</v>
      </c>
      <c r="BP37" s="76">
        <v>0</v>
      </c>
      <c r="BQ37" s="76">
        <v>15</v>
      </c>
      <c r="BR37" s="76">
        <v>17</v>
      </c>
      <c r="BS37" s="76">
        <v>0</v>
      </c>
      <c r="BT37" s="76">
        <v>2</v>
      </c>
      <c r="BU37" s="76">
        <v>0</v>
      </c>
      <c r="BV37" s="76">
        <v>0</v>
      </c>
      <c r="BW37" s="76">
        <v>0</v>
      </c>
      <c r="BX37" s="76">
        <v>0</v>
      </c>
      <c r="BY37" s="76">
        <v>0</v>
      </c>
      <c r="BZ37" s="76">
        <v>0</v>
      </c>
      <c r="CA37" s="76">
        <v>0</v>
      </c>
      <c r="CB37" s="76">
        <v>0</v>
      </c>
      <c r="CC37" s="76">
        <v>0</v>
      </c>
      <c r="CD37" s="76">
        <v>0</v>
      </c>
      <c r="CE37" s="76">
        <v>0</v>
      </c>
      <c r="CF37" s="76">
        <v>0</v>
      </c>
      <c r="CG37" s="76">
        <v>0</v>
      </c>
      <c r="CH37" s="76">
        <v>0</v>
      </c>
      <c r="CI37" s="76">
        <v>0.99027173314000005</v>
      </c>
      <c r="CJ37" s="78">
        <v>989240.44967999996</v>
      </c>
    </row>
    <row r="38" spans="2:88" ht="15.6" x14ac:dyDescent="0.3">
      <c r="B38" s="79" t="s">
        <v>28</v>
      </c>
      <c r="C38" s="80" t="s">
        <v>196</v>
      </c>
      <c r="D38" s="81" t="s">
        <v>122</v>
      </c>
      <c r="E38" s="81">
        <v>41076607000132</v>
      </c>
      <c r="F38" s="82">
        <v>9.9000000000000005E-2</v>
      </c>
      <c r="G38" s="80" t="s">
        <v>91</v>
      </c>
      <c r="H38" s="82">
        <v>1.2</v>
      </c>
      <c r="I38" s="83" t="s">
        <v>183</v>
      </c>
      <c r="J38" s="82">
        <v>425553.91655000002</v>
      </c>
      <c r="K38" s="82">
        <v>327030</v>
      </c>
      <c r="L38" s="82">
        <v>289230</v>
      </c>
      <c r="M38" s="82">
        <v>69129.553159999996</v>
      </c>
      <c r="N38" s="82">
        <v>53370.001329999999</v>
      </c>
      <c r="O38" s="82">
        <v>372183.91522000002</v>
      </c>
      <c r="P38" s="82">
        <v>17733.61737</v>
      </c>
      <c r="Q38" s="82">
        <v>0</v>
      </c>
      <c r="R38" s="82">
        <v>-45228.323530000001</v>
      </c>
      <c r="S38" s="82">
        <v>62961.940900000001</v>
      </c>
      <c r="T38" s="82">
        <v>2775.58347</v>
      </c>
      <c r="U38" s="82">
        <v>0</v>
      </c>
      <c r="V38" s="82">
        <v>-3689.0826400000001</v>
      </c>
      <c r="W38" s="82">
        <v>16820.118200000001</v>
      </c>
      <c r="X38" s="82">
        <v>16820.118200000001</v>
      </c>
      <c r="Y38" s="82">
        <v>15979.112289999999</v>
      </c>
      <c r="Z38" s="82">
        <v>16820.118200000001</v>
      </c>
      <c r="AA38" s="82">
        <v>3096.6356700000001</v>
      </c>
      <c r="AB38" s="82">
        <v>1</v>
      </c>
      <c r="AC38" s="82"/>
      <c r="AD38" s="82">
        <v>0</v>
      </c>
      <c r="AE38" s="82">
        <v>0</v>
      </c>
      <c r="AF38" s="82">
        <v>24976.477940000001</v>
      </c>
      <c r="AG38" s="82">
        <v>0</v>
      </c>
      <c r="AH38" s="82">
        <v>0</v>
      </c>
      <c r="AI38" s="82">
        <v>0</v>
      </c>
      <c r="AJ38" s="82">
        <v>0</v>
      </c>
      <c r="AK38" s="82">
        <v>18301.0497</v>
      </c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>
        <v>110.61892961</v>
      </c>
      <c r="BA38" s="82">
        <v>5.0500000000000003E-2</v>
      </c>
      <c r="BB38" s="82">
        <v>0</v>
      </c>
      <c r="BC38" s="82">
        <v>0.29880000000000001</v>
      </c>
      <c r="BD38" s="82">
        <v>0.42520000000000002</v>
      </c>
      <c r="BE38" s="82">
        <v>15388</v>
      </c>
      <c r="BF38" s="82">
        <v>15344</v>
      </c>
      <c r="BG38" s="82">
        <v>32</v>
      </c>
      <c r="BH38" s="82">
        <v>1</v>
      </c>
      <c r="BI38" s="82">
        <v>0</v>
      </c>
      <c r="BJ38" s="82">
        <v>0</v>
      </c>
      <c r="BK38" s="82">
        <v>8</v>
      </c>
      <c r="BL38" s="82">
        <v>0</v>
      </c>
      <c r="BM38" s="82">
        <v>0</v>
      </c>
      <c r="BN38" s="82">
        <v>0</v>
      </c>
      <c r="BO38" s="82">
        <v>0</v>
      </c>
      <c r="BP38" s="82">
        <v>0</v>
      </c>
      <c r="BQ38" s="82">
        <v>0</v>
      </c>
      <c r="BR38" s="82">
        <v>2</v>
      </c>
      <c r="BS38" s="82">
        <v>0</v>
      </c>
      <c r="BT38" s="82">
        <v>1</v>
      </c>
      <c r="BU38" s="82">
        <v>0</v>
      </c>
      <c r="BV38" s="82">
        <v>0</v>
      </c>
      <c r="BW38" s="82">
        <v>0</v>
      </c>
      <c r="BX38" s="82">
        <v>0</v>
      </c>
      <c r="BY38" s="82">
        <v>0</v>
      </c>
      <c r="BZ38" s="82">
        <v>0</v>
      </c>
      <c r="CA38" s="82">
        <v>0</v>
      </c>
      <c r="CB38" s="82">
        <v>0</v>
      </c>
      <c r="CC38" s="82">
        <v>0</v>
      </c>
      <c r="CD38" s="82">
        <v>0</v>
      </c>
      <c r="CE38" s="82">
        <v>0</v>
      </c>
      <c r="CF38" s="82">
        <v>0</v>
      </c>
      <c r="CG38" s="82">
        <v>100</v>
      </c>
      <c r="CH38" s="82">
        <v>0</v>
      </c>
      <c r="CI38" s="82">
        <v>0.37534263025999998</v>
      </c>
      <c r="CJ38" s="84">
        <v>139696.48968</v>
      </c>
    </row>
    <row r="39" spans="2:88" ht="15.6" x14ac:dyDescent="0.3">
      <c r="B39" s="73" t="s">
        <v>29</v>
      </c>
      <c r="C39" s="74" t="s">
        <v>331</v>
      </c>
      <c r="D39" s="75" t="s">
        <v>123</v>
      </c>
      <c r="E39" s="75">
        <v>28152272000126</v>
      </c>
      <c r="F39" s="76">
        <v>1.5489999999999999</v>
      </c>
      <c r="G39" s="74" t="s">
        <v>88</v>
      </c>
      <c r="H39" s="76">
        <v>0.2</v>
      </c>
      <c r="I39" s="77" t="s">
        <v>183</v>
      </c>
      <c r="J39" s="76">
        <v>2489565.9320999999</v>
      </c>
      <c r="K39" s="76">
        <v>2311386.3979000002</v>
      </c>
      <c r="L39" s="76">
        <v>78641</v>
      </c>
      <c r="M39" s="76">
        <v>493.70191999999997</v>
      </c>
      <c r="N39" s="76">
        <v>22454.998</v>
      </c>
      <c r="O39" s="76">
        <v>2467110.9341000002</v>
      </c>
      <c r="P39" s="76">
        <v>292202.84009000001</v>
      </c>
      <c r="Q39" s="76">
        <v>0</v>
      </c>
      <c r="R39" s="76">
        <v>-2556.6170400000001</v>
      </c>
      <c r="S39" s="76">
        <v>294759.45713</v>
      </c>
      <c r="T39" s="76">
        <v>8146.1667200000002</v>
      </c>
      <c r="U39" s="76">
        <v>0</v>
      </c>
      <c r="V39" s="76">
        <v>-32378.061849999998</v>
      </c>
      <c r="W39" s="76">
        <v>267970.94495999999</v>
      </c>
      <c r="X39" s="76">
        <v>267970.94495999999</v>
      </c>
      <c r="Y39" s="76">
        <v>254572.39770999999</v>
      </c>
      <c r="Z39" s="76">
        <v>260845.64765</v>
      </c>
      <c r="AA39" s="76">
        <v>41522.161141999997</v>
      </c>
      <c r="AB39" s="76">
        <v>0.95328199999999996</v>
      </c>
      <c r="AC39" s="76"/>
      <c r="AD39" s="76">
        <v>0</v>
      </c>
      <c r="AE39" s="76">
        <v>0</v>
      </c>
      <c r="AF39" s="76">
        <v>218513.45913999999</v>
      </c>
      <c r="AG39" s="76">
        <v>0</v>
      </c>
      <c r="AH39" s="76">
        <v>0</v>
      </c>
      <c r="AI39" s="76">
        <v>0</v>
      </c>
      <c r="AJ39" s="76">
        <v>0</v>
      </c>
      <c r="AK39" s="76">
        <v>2169900.4668000001</v>
      </c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>
        <v>93.303970595999999</v>
      </c>
      <c r="BA39" s="76">
        <v>1.5824787795E-2</v>
      </c>
      <c r="BB39" s="76"/>
      <c r="BC39" s="76">
        <v>0.80179999999999996</v>
      </c>
      <c r="BD39" s="76">
        <v>0.55400000000000005</v>
      </c>
      <c r="BE39" s="76">
        <v>174697</v>
      </c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>
        <v>0</v>
      </c>
      <c r="BV39" s="76">
        <v>0</v>
      </c>
      <c r="BW39" s="76">
        <v>0</v>
      </c>
      <c r="BX39" s="76">
        <v>0</v>
      </c>
      <c r="BY39" s="76">
        <v>0</v>
      </c>
      <c r="BZ39" s="76">
        <v>0</v>
      </c>
      <c r="CA39" s="76">
        <v>0</v>
      </c>
      <c r="CB39" s="76">
        <v>0</v>
      </c>
      <c r="CC39" s="76">
        <v>0</v>
      </c>
      <c r="CD39" s="76">
        <v>0</v>
      </c>
      <c r="CE39" s="76">
        <v>0</v>
      </c>
      <c r="CF39" s="76">
        <v>0</v>
      </c>
      <c r="CG39" s="76">
        <v>0</v>
      </c>
      <c r="CH39" s="76">
        <v>0</v>
      </c>
      <c r="CI39" s="76">
        <v>0.88313497779000005</v>
      </c>
      <c r="CJ39" s="78">
        <v>2178791.96</v>
      </c>
    </row>
    <row r="40" spans="2:88" ht="15.6" x14ac:dyDescent="0.3">
      <c r="B40" s="79" t="s">
        <v>30</v>
      </c>
      <c r="C40" s="80" t="s">
        <v>197</v>
      </c>
      <c r="D40" s="81" t="s">
        <v>124</v>
      </c>
      <c r="E40" s="81">
        <v>32274163000159</v>
      </c>
      <c r="F40" s="82">
        <v>0.19600000000000001</v>
      </c>
      <c r="G40" s="80" t="s">
        <v>89</v>
      </c>
      <c r="H40" s="82">
        <v>0.17</v>
      </c>
      <c r="I40" s="83" t="s">
        <v>183</v>
      </c>
      <c r="J40" s="82">
        <v>970721.57675000001</v>
      </c>
      <c r="K40" s="82">
        <v>942993.59173999995</v>
      </c>
      <c r="L40" s="82">
        <v>942667.26353</v>
      </c>
      <c r="M40" s="82">
        <v>26249.692200000001</v>
      </c>
      <c r="N40" s="82">
        <v>185133.30209000001</v>
      </c>
      <c r="O40" s="82">
        <v>785588.27466</v>
      </c>
      <c r="P40" s="82">
        <v>50915.578249999999</v>
      </c>
      <c r="Q40" s="82">
        <v>0</v>
      </c>
      <c r="R40" s="82">
        <v>50717.48414</v>
      </c>
      <c r="S40" s="82">
        <v>198.09411</v>
      </c>
      <c r="T40" s="82">
        <v>365.24200000000002</v>
      </c>
      <c r="U40" s="82">
        <v>0</v>
      </c>
      <c r="V40" s="82">
        <v>-9771.3862499999996</v>
      </c>
      <c r="W40" s="82">
        <v>41509.434000000001</v>
      </c>
      <c r="X40" s="82">
        <v>41509.434000000001</v>
      </c>
      <c r="Y40" s="82">
        <v>39433.962299999999</v>
      </c>
      <c r="Z40" s="82">
        <v>39926.980609999999</v>
      </c>
      <c r="AA40" s="82">
        <v>6612.0453500000003</v>
      </c>
      <c r="AB40" s="82">
        <v>0.95009900000000003</v>
      </c>
      <c r="AC40" s="82"/>
      <c r="AD40" s="82">
        <v>0</v>
      </c>
      <c r="AE40" s="82">
        <v>0</v>
      </c>
      <c r="AF40" s="82">
        <v>1757.8698300000001</v>
      </c>
      <c r="AG40" s="82">
        <v>0</v>
      </c>
      <c r="AH40" s="82">
        <v>0</v>
      </c>
      <c r="AI40" s="82">
        <v>0</v>
      </c>
      <c r="AJ40" s="82">
        <v>0</v>
      </c>
      <c r="AK40" s="82">
        <v>-158922.05445</v>
      </c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>
        <v>91.951649595999996</v>
      </c>
      <c r="BA40" s="82">
        <v>5.5837187767E-3</v>
      </c>
      <c r="BB40" s="82"/>
      <c r="BC40" s="82">
        <v>0.39150000000000001</v>
      </c>
      <c r="BD40" s="82">
        <v>0.4002</v>
      </c>
      <c r="BE40" s="82">
        <v>58949</v>
      </c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>
        <v>5.1533482210999999</v>
      </c>
      <c r="BV40" s="82">
        <v>0.19137075915000001</v>
      </c>
      <c r="BW40" s="82">
        <v>0.44780440611</v>
      </c>
      <c r="BX40" s="82">
        <v>1.2757073351999999</v>
      </c>
      <c r="BY40" s="82">
        <v>0.34322769797000002</v>
      </c>
      <c r="BZ40" s="82">
        <v>4.604327552</v>
      </c>
      <c r="CA40" s="82">
        <v>10.744369404</v>
      </c>
      <c r="CB40" s="82">
        <v>0.91340738775999997</v>
      </c>
      <c r="CC40" s="82">
        <v>5.2545455275000004</v>
      </c>
      <c r="CD40" s="82">
        <v>14.421022347999999</v>
      </c>
      <c r="CE40" s="82">
        <v>2.3290211289</v>
      </c>
      <c r="CF40" s="82">
        <v>4.9708652817000001</v>
      </c>
      <c r="CG40" s="82">
        <v>49.350982948999999</v>
      </c>
      <c r="CH40" s="82">
        <v>0</v>
      </c>
      <c r="CI40" s="82">
        <v>0.35127156655000003</v>
      </c>
      <c r="CJ40" s="84">
        <v>275954.82390000002</v>
      </c>
    </row>
    <row r="41" spans="2:88" ht="15.6" x14ac:dyDescent="0.3">
      <c r="B41" s="73" t="s">
        <v>31</v>
      </c>
      <c r="C41" s="74" t="s">
        <v>198</v>
      </c>
      <c r="D41" s="75" t="s">
        <v>125</v>
      </c>
      <c r="E41" s="75">
        <v>23740527000158</v>
      </c>
      <c r="F41" s="76">
        <v>0.68200000000000005</v>
      </c>
      <c r="G41" s="74" t="s">
        <v>90</v>
      </c>
      <c r="H41" s="76">
        <v>0.5</v>
      </c>
      <c r="I41" s="77" t="s">
        <v>183</v>
      </c>
      <c r="J41" s="76">
        <v>1226659.6677000001</v>
      </c>
      <c r="K41" s="76">
        <v>1197357.7419</v>
      </c>
      <c r="L41" s="76">
        <v>1197357.7419</v>
      </c>
      <c r="M41" s="76">
        <v>10351.443310000001</v>
      </c>
      <c r="N41" s="76">
        <v>10146.07696</v>
      </c>
      <c r="O41" s="76">
        <v>1216513.5907999999</v>
      </c>
      <c r="P41" s="76">
        <v>122127.00324000001</v>
      </c>
      <c r="Q41" s="76">
        <v>0</v>
      </c>
      <c r="R41" s="76">
        <v>122127.00324000001</v>
      </c>
      <c r="S41" s="76">
        <v>0</v>
      </c>
      <c r="T41" s="76">
        <v>1581.88105</v>
      </c>
      <c r="U41" s="76">
        <v>0</v>
      </c>
      <c r="V41" s="76">
        <v>-5552.7074499999999</v>
      </c>
      <c r="W41" s="76">
        <v>118156.17684</v>
      </c>
      <c r="X41" s="76">
        <v>118156.17684</v>
      </c>
      <c r="Y41" s="76">
        <v>112248.36799</v>
      </c>
      <c r="Z41" s="76">
        <v>113759.99999</v>
      </c>
      <c r="AA41" s="76">
        <v>18959.999997999999</v>
      </c>
      <c r="AB41" s="76">
        <v>0.95997100000000002</v>
      </c>
      <c r="AC41" s="76"/>
      <c r="AD41" s="76">
        <v>0</v>
      </c>
      <c r="AE41" s="76">
        <v>0</v>
      </c>
      <c r="AF41" s="76">
        <v>17905.726859999999</v>
      </c>
      <c r="AG41" s="76">
        <v>0</v>
      </c>
      <c r="AH41" s="76">
        <v>0</v>
      </c>
      <c r="AI41" s="76">
        <v>0</v>
      </c>
      <c r="AJ41" s="76">
        <v>0</v>
      </c>
      <c r="AK41" s="76">
        <v>0</v>
      </c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>
        <v>101.37613256</v>
      </c>
      <c r="BA41" s="76">
        <v>1.7600000000000001E-2</v>
      </c>
      <c r="BB41" s="76">
        <v>0</v>
      </c>
      <c r="BC41" s="76">
        <v>0.77959999999999996</v>
      </c>
      <c r="BD41" s="76">
        <v>0.82130000000000003</v>
      </c>
      <c r="BE41" s="76">
        <v>43336</v>
      </c>
      <c r="BF41" s="76">
        <v>0</v>
      </c>
      <c r="BG41" s="76">
        <v>0</v>
      </c>
      <c r="BH41" s="76">
        <v>0</v>
      </c>
      <c r="BI41" s="76">
        <v>0</v>
      </c>
      <c r="BJ41" s="76">
        <v>0</v>
      </c>
      <c r="BK41" s="76">
        <v>0</v>
      </c>
      <c r="BL41" s="76">
        <v>0</v>
      </c>
      <c r="BM41" s="76">
        <v>0</v>
      </c>
      <c r="BN41" s="76">
        <v>0</v>
      </c>
      <c r="BO41" s="76">
        <v>0</v>
      </c>
      <c r="BP41" s="76">
        <v>0</v>
      </c>
      <c r="BQ41" s="76">
        <v>0</v>
      </c>
      <c r="BR41" s="76">
        <v>0</v>
      </c>
      <c r="BS41" s="76">
        <v>0</v>
      </c>
      <c r="BT41" s="76">
        <v>0</v>
      </c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>
        <v>100</v>
      </c>
      <c r="CH41" s="76"/>
      <c r="CI41" s="76">
        <v>0.78894309713999999</v>
      </c>
      <c r="CJ41" s="78">
        <v>959760</v>
      </c>
    </row>
    <row r="42" spans="2:88" ht="15.6" x14ac:dyDescent="0.3">
      <c r="B42" s="79" t="s">
        <v>23</v>
      </c>
      <c r="C42" s="80" t="s">
        <v>404</v>
      </c>
      <c r="D42" s="81" t="s">
        <v>117</v>
      </c>
      <c r="E42" s="81">
        <v>30166700000111</v>
      </c>
      <c r="F42" s="82">
        <v>0.86399999999999999</v>
      </c>
      <c r="G42" s="80" t="s">
        <v>88</v>
      </c>
      <c r="H42" s="82">
        <v>1.36</v>
      </c>
      <c r="I42" s="83" t="s">
        <v>182</v>
      </c>
      <c r="J42" s="82">
        <v>1250638.7242999999</v>
      </c>
      <c r="K42" s="82">
        <v>1234630.4975999999</v>
      </c>
      <c r="L42" s="82">
        <v>0</v>
      </c>
      <c r="M42" s="82">
        <v>22.97916</v>
      </c>
      <c r="N42" s="82">
        <v>2113.2752</v>
      </c>
      <c r="O42" s="82">
        <v>1248525.4491000001</v>
      </c>
      <c r="P42" s="82">
        <v>115064.97851</v>
      </c>
      <c r="Q42" s="82">
        <v>0</v>
      </c>
      <c r="R42" s="82">
        <v>0</v>
      </c>
      <c r="S42" s="82">
        <v>115064.97851</v>
      </c>
      <c r="T42" s="82">
        <v>9862.5525500000003</v>
      </c>
      <c r="U42" s="82">
        <v>0</v>
      </c>
      <c r="V42" s="82">
        <v>-15732.39156</v>
      </c>
      <c r="W42" s="82">
        <v>109195.1395</v>
      </c>
      <c r="X42" s="82">
        <v>109195.1395</v>
      </c>
      <c r="Y42" s="82">
        <v>103735.38252</v>
      </c>
      <c r="Z42" s="82">
        <v>108240.55547000001</v>
      </c>
      <c r="AA42" s="82">
        <v>22814.119008999998</v>
      </c>
      <c r="AB42" s="82">
        <v>1.018286</v>
      </c>
      <c r="AC42" s="82"/>
      <c r="AD42" s="82">
        <v>0</v>
      </c>
      <c r="AE42" s="82">
        <v>0</v>
      </c>
      <c r="AF42" s="82">
        <v>97765.689939999997</v>
      </c>
      <c r="AG42" s="82">
        <v>167095.4705</v>
      </c>
      <c r="AH42" s="82">
        <v>0</v>
      </c>
      <c r="AI42" s="82">
        <v>0</v>
      </c>
      <c r="AJ42" s="82">
        <v>0</v>
      </c>
      <c r="AK42" s="82">
        <v>974156.90341000003</v>
      </c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>
        <v>97.773936003000003</v>
      </c>
      <c r="BA42" s="82">
        <v>0.10290000000000001</v>
      </c>
      <c r="BB42" s="82">
        <v>0</v>
      </c>
      <c r="BC42" s="82">
        <v>0.91359999999999997</v>
      </c>
      <c r="BD42" s="82">
        <v>0.78990000000000005</v>
      </c>
      <c r="BE42" s="82">
        <v>60014</v>
      </c>
      <c r="BF42" s="82">
        <v>59752</v>
      </c>
      <c r="BG42" s="82">
        <v>190</v>
      </c>
      <c r="BH42" s="82">
        <v>0</v>
      </c>
      <c r="BI42" s="82">
        <v>0</v>
      </c>
      <c r="BJ42" s="82">
        <v>0</v>
      </c>
      <c r="BK42" s="82">
        <v>7</v>
      </c>
      <c r="BL42" s="82">
        <v>4</v>
      </c>
      <c r="BM42" s="82">
        <v>1</v>
      </c>
      <c r="BN42" s="82">
        <v>0</v>
      </c>
      <c r="BO42" s="82">
        <v>0</v>
      </c>
      <c r="BP42" s="82">
        <v>0</v>
      </c>
      <c r="BQ42" s="82">
        <v>29</v>
      </c>
      <c r="BR42" s="82">
        <v>28</v>
      </c>
      <c r="BS42" s="82">
        <v>0</v>
      </c>
      <c r="BT42" s="82">
        <v>3</v>
      </c>
      <c r="BU42" s="82">
        <v>0</v>
      </c>
      <c r="BV42" s="82">
        <v>0</v>
      </c>
      <c r="BW42" s="82">
        <v>0</v>
      </c>
      <c r="BX42" s="82">
        <v>0</v>
      </c>
      <c r="BY42" s="82">
        <v>0</v>
      </c>
      <c r="BZ42" s="82">
        <v>0</v>
      </c>
      <c r="CA42" s="82">
        <v>0</v>
      </c>
      <c r="CB42" s="82">
        <v>0</v>
      </c>
      <c r="CC42" s="82">
        <v>0</v>
      </c>
      <c r="CD42" s="82">
        <v>0</v>
      </c>
      <c r="CE42" s="82">
        <v>0</v>
      </c>
      <c r="CF42" s="82">
        <v>0</v>
      </c>
      <c r="CG42" s="82">
        <v>0</v>
      </c>
      <c r="CH42" s="82">
        <v>0</v>
      </c>
      <c r="CI42" s="82">
        <v>0.97347006668000002</v>
      </c>
      <c r="CJ42" s="84">
        <v>1215402.1521999999</v>
      </c>
    </row>
    <row r="43" spans="2:88" ht="15.6" x14ac:dyDescent="0.3">
      <c r="B43" s="73" t="s">
        <v>310</v>
      </c>
      <c r="C43" s="74" t="s">
        <v>332</v>
      </c>
      <c r="D43" s="75" t="s">
        <v>318</v>
      </c>
      <c r="E43" s="75">
        <v>41088458000121</v>
      </c>
      <c r="F43" s="76">
        <v>0.17299999999999999</v>
      </c>
      <c r="G43" s="74" t="s">
        <v>88</v>
      </c>
      <c r="H43" s="76">
        <v>1.3</v>
      </c>
      <c r="I43" s="77" t="s">
        <v>183</v>
      </c>
      <c r="J43" s="76">
        <v>284362.98970999999</v>
      </c>
      <c r="K43" s="76">
        <v>259129.20142</v>
      </c>
      <c r="L43" s="76">
        <v>26431.76586</v>
      </c>
      <c r="M43" s="76">
        <v>15.351089999999999</v>
      </c>
      <c r="N43" s="76">
        <v>827.38842999999997</v>
      </c>
      <c r="O43" s="76">
        <v>283535.60128</v>
      </c>
      <c r="P43" s="76">
        <v>29600.40438</v>
      </c>
      <c r="Q43" s="76">
        <v>0</v>
      </c>
      <c r="R43" s="76">
        <v>41.016350000000003</v>
      </c>
      <c r="S43" s="76">
        <v>29559.388029999998</v>
      </c>
      <c r="T43" s="76">
        <v>1559.78359</v>
      </c>
      <c r="U43" s="76">
        <v>0</v>
      </c>
      <c r="V43" s="76">
        <v>-4208.1178600000003</v>
      </c>
      <c r="W43" s="76">
        <v>26952.070110000001</v>
      </c>
      <c r="X43" s="76">
        <v>26952.070110000001</v>
      </c>
      <c r="Y43" s="76">
        <v>25604.466605000001</v>
      </c>
      <c r="Z43" s="76">
        <v>25765.030745</v>
      </c>
      <c r="AA43" s="76">
        <v>4934.4021544999996</v>
      </c>
      <c r="AB43" s="76">
        <v>0.96049899999999999</v>
      </c>
      <c r="AC43" s="76"/>
      <c r="AD43" s="76">
        <v>0</v>
      </c>
      <c r="AE43" s="76">
        <v>0</v>
      </c>
      <c r="AF43" s="76">
        <v>44406.230869999999</v>
      </c>
      <c r="AG43" s="76">
        <v>65230.29593</v>
      </c>
      <c r="AH43" s="76">
        <v>0</v>
      </c>
      <c r="AI43" s="76">
        <v>0</v>
      </c>
      <c r="AJ43" s="76">
        <v>0</v>
      </c>
      <c r="AK43" s="76">
        <v>136171.72607</v>
      </c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>
        <v>9.6215983659000006</v>
      </c>
      <c r="BA43" s="76">
        <v>0.106</v>
      </c>
      <c r="BB43" s="76">
        <v>0</v>
      </c>
      <c r="BC43" s="76">
        <v>1.0464</v>
      </c>
      <c r="BD43" s="76">
        <v>0.74129999999999996</v>
      </c>
      <c r="BE43" s="76">
        <v>14969</v>
      </c>
      <c r="BF43" s="76">
        <v>14872</v>
      </c>
      <c r="BG43" s="76">
        <v>58</v>
      </c>
      <c r="BH43" s="76">
        <v>0</v>
      </c>
      <c r="BI43" s="76">
        <v>0</v>
      </c>
      <c r="BJ43" s="76">
        <v>0</v>
      </c>
      <c r="BK43" s="76">
        <v>5</v>
      </c>
      <c r="BL43" s="76">
        <v>1</v>
      </c>
      <c r="BM43" s="76">
        <v>0</v>
      </c>
      <c r="BN43" s="76">
        <v>0</v>
      </c>
      <c r="BO43" s="76">
        <v>1</v>
      </c>
      <c r="BP43" s="76">
        <v>0</v>
      </c>
      <c r="BQ43" s="76">
        <v>11</v>
      </c>
      <c r="BR43" s="76">
        <v>21</v>
      </c>
      <c r="BS43" s="76">
        <v>0</v>
      </c>
      <c r="BT43" s="76">
        <v>0</v>
      </c>
      <c r="BU43" s="76">
        <v>0</v>
      </c>
      <c r="BV43" s="76">
        <v>0</v>
      </c>
      <c r="BW43" s="76">
        <v>0</v>
      </c>
      <c r="BX43" s="76">
        <v>0</v>
      </c>
      <c r="BY43" s="76">
        <v>0</v>
      </c>
      <c r="BZ43" s="76">
        <v>0</v>
      </c>
      <c r="CA43" s="76">
        <v>0</v>
      </c>
      <c r="CB43" s="76">
        <v>0</v>
      </c>
      <c r="CC43" s="76">
        <v>0</v>
      </c>
      <c r="CD43" s="76">
        <v>0</v>
      </c>
      <c r="CE43" s="76">
        <v>0</v>
      </c>
      <c r="CF43" s="76">
        <v>0</v>
      </c>
      <c r="CG43" s="76">
        <v>0</v>
      </c>
      <c r="CH43" s="76">
        <v>0</v>
      </c>
      <c r="CI43" s="76">
        <v>0.86056387775999998</v>
      </c>
      <c r="CJ43" s="78">
        <v>244000.49651999999</v>
      </c>
    </row>
    <row r="44" spans="2:88" ht="15.6" x14ac:dyDescent="0.3">
      <c r="B44" s="79" t="s">
        <v>32</v>
      </c>
      <c r="C44" s="80" t="s">
        <v>199</v>
      </c>
      <c r="D44" s="81" t="s">
        <v>126</v>
      </c>
      <c r="E44" s="81">
        <v>21408063000151</v>
      </c>
      <c r="F44" s="82">
        <v>0.46500000000000002</v>
      </c>
      <c r="G44" s="80" t="s">
        <v>91</v>
      </c>
      <c r="H44" s="82">
        <v>1.19</v>
      </c>
      <c r="I44" s="83" t="s">
        <v>183</v>
      </c>
      <c r="J44" s="82">
        <v>978983.20293999999</v>
      </c>
      <c r="K44" s="82">
        <v>928907.09660000005</v>
      </c>
      <c r="L44" s="82">
        <v>617227.99233000004</v>
      </c>
      <c r="M44" s="82">
        <v>27974.635160000002</v>
      </c>
      <c r="N44" s="82">
        <v>22657.670600000001</v>
      </c>
      <c r="O44" s="82">
        <v>956325.53234000003</v>
      </c>
      <c r="P44" s="82">
        <v>65958.353019999995</v>
      </c>
      <c r="Q44" s="82">
        <v>0</v>
      </c>
      <c r="R44" s="82">
        <v>47313.11535</v>
      </c>
      <c r="S44" s="82">
        <v>18645.237669999999</v>
      </c>
      <c r="T44" s="82">
        <v>1868.9912400000001</v>
      </c>
      <c r="U44" s="82">
        <v>0</v>
      </c>
      <c r="V44" s="82">
        <v>-10965.86879</v>
      </c>
      <c r="W44" s="82">
        <v>56861.475469999998</v>
      </c>
      <c r="X44" s="82">
        <v>57118.393279999997</v>
      </c>
      <c r="Y44" s="82">
        <v>54262.473616000003</v>
      </c>
      <c r="Z44" s="82">
        <v>56393.886855999997</v>
      </c>
      <c r="AA44" s="82">
        <v>11578.702176000001</v>
      </c>
      <c r="AB44" s="82">
        <v>0.96972100000000006</v>
      </c>
      <c r="AC44" s="82"/>
      <c r="AD44" s="82">
        <v>0</v>
      </c>
      <c r="AE44" s="82">
        <v>0</v>
      </c>
      <c r="AF44" s="82">
        <v>178638.39256000001</v>
      </c>
      <c r="AG44" s="82">
        <v>43318.004789999999</v>
      </c>
      <c r="AH44" s="82">
        <v>0</v>
      </c>
      <c r="AI44" s="82">
        <v>0</v>
      </c>
      <c r="AJ44" s="82">
        <v>0</v>
      </c>
      <c r="AK44" s="82">
        <v>65709.950639999995</v>
      </c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>
        <v>78.521295156999997</v>
      </c>
      <c r="BA44" s="82">
        <v>6.1368433671999997E-2</v>
      </c>
      <c r="BB44" s="82"/>
      <c r="BC44" s="82">
        <v>0.68330000000000002</v>
      </c>
      <c r="BD44" s="82">
        <v>4.8800000000000003E-2</v>
      </c>
      <c r="BE44" s="82">
        <v>82604</v>
      </c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>
        <v>4.2816000000000001</v>
      </c>
      <c r="BY44" s="82">
        <v>2.0825999999999998</v>
      </c>
      <c r="BZ44" s="82">
        <v>8.2906999999999993</v>
      </c>
      <c r="CA44" s="82">
        <v>2.6015999999999999</v>
      </c>
      <c r="CB44" s="82">
        <v>2.6724999999999999</v>
      </c>
      <c r="CC44" s="82"/>
      <c r="CD44" s="82">
        <v>2.4144000000000001</v>
      </c>
      <c r="CE44" s="82">
        <v>1.2447999999999999</v>
      </c>
      <c r="CF44" s="82">
        <v>1.3095000000000001</v>
      </c>
      <c r="CG44" s="82">
        <v>75.102199999999996</v>
      </c>
      <c r="CH44" s="82"/>
      <c r="CI44" s="82">
        <v>0.68376355602000005</v>
      </c>
      <c r="CJ44" s="84">
        <v>653900.54671000002</v>
      </c>
    </row>
    <row r="45" spans="2:88" ht="15.6" x14ac:dyDescent="0.3">
      <c r="B45" s="73" t="s">
        <v>33</v>
      </c>
      <c r="C45" s="74" t="s">
        <v>200</v>
      </c>
      <c r="D45" s="75" t="s">
        <v>127</v>
      </c>
      <c r="E45" s="75">
        <v>36501128000186</v>
      </c>
      <c r="F45" s="76">
        <v>1.216</v>
      </c>
      <c r="G45" s="74" t="s">
        <v>89</v>
      </c>
      <c r="H45" s="76">
        <v>1.25</v>
      </c>
      <c r="I45" s="77" t="s">
        <v>182</v>
      </c>
      <c r="J45" s="76">
        <v>2265168.1310000001</v>
      </c>
      <c r="K45" s="76">
        <v>2166897.5608999999</v>
      </c>
      <c r="L45" s="76">
        <v>1871379.1089000001</v>
      </c>
      <c r="M45" s="76">
        <v>75135.833079999997</v>
      </c>
      <c r="N45" s="76">
        <v>393383.42084999999</v>
      </c>
      <c r="O45" s="76">
        <v>1871784.7102000001</v>
      </c>
      <c r="P45" s="76">
        <v>245611.23783</v>
      </c>
      <c r="Q45" s="76">
        <v>0</v>
      </c>
      <c r="R45" s="76">
        <v>235023.87684000001</v>
      </c>
      <c r="S45" s="76">
        <v>10587.360989999999</v>
      </c>
      <c r="T45" s="76">
        <v>20929.203239999999</v>
      </c>
      <c r="U45" s="76">
        <v>0</v>
      </c>
      <c r="V45" s="76">
        <v>-28119.98705</v>
      </c>
      <c r="W45" s="76">
        <v>238420.45402</v>
      </c>
      <c r="X45" s="76">
        <v>160336.11184</v>
      </c>
      <c r="Y45" s="76">
        <v>152319.30624999999</v>
      </c>
      <c r="Z45" s="76">
        <v>169913.05806000001</v>
      </c>
      <c r="AA45" s="76">
        <v>29246.618208</v>
      </c>
      <c r="AB45" s="76">
        <v>1.098678</v>
      </c>
      <c r="AC45" s="76"/>
      <c r="AD45" s="76">
        <v>0</v>
      </c>
      <c r="AE45" s="76">
        <v>0</v>
      </c>
      <c r="AF45" s="76">
        <v>32108.989109999999</v>
      </c>
      <c r="AG45" s="76">
        <v>0</v>
      </c>
      <c r="AH45" s="76">
        <v>0</v>
      </c>
      <c r="AI45" s="76">
        <v>0</v>
      </c>
      <c r="AJ45" s="76">
        <v>0</v>
      </c>
      <c r="AK45" s="76">
        <v>94519.158030000006</v>
      </c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>
        <v>99.289863745000005</v>
      </c>
      <c r="BA45" s="76">
        <v>0.10305174892000001</v>
      </c>
      <c r="BB45" s="76">
        <v>1.6488279785999999E-3</v>
      </c>
      <c r="BC45" s="76">
        <v>0.89590000000000003</v>
      </c>
      <c r="BD45" s="76">
        <v>-0.26769999999999999</v>
      </c>
      <c r="BE45" s="76">
        <v>130142</v>
      </c>
      <c r="BF45" s="76">
        <v>129787</v>
      </c>
      <c r="BG45" s="76">
        <v>325</v>
      </c>
      <c r="BH45" s="76"/>
      <c r="BI45" s="76">
        <v>1</v>
      </c>
      <c r="BJ45" s="76"/>
      <c r="BK45" s="76">
        <v>6</v>
      </c>
      <c r="BL45" s="76"/>
      <c r="BM45" s="76"/>
      <c r="BN45" s="76"/>
      <c r="BO45" s="76"/>
      <c r="BP45" s="76"/>
      <c r="BQ45" s="76">
        <v>9</v>
      </c>
      <c r="BR45" s="76">
        <v>7</v>
      </c>
      <c r="BS45" s="76"/>
      <c r="BT45" s="76">
        <v>7</v>
      </c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>
        <v>100</v>
      </c>
      <c r="CH45" s="76"/>
      <c r="CI45" s="76">
        <v>0.91338628718000003</v>
      </c>
      <c r="CJ45" s="78">
        <v>1709662.4868000001</v>
      </c>
    </row>
    <row r="46" spans="2:88" ht="15.6" x14ac:dyDescent="0.3">
      <c r="B46" s="79" t="s">
        <v>359</v>
      </c>
      <c r="C46" s="80" t="s">
        <v>405</v>
      </c>
      <c r="D46" s="81" t="s">
        <v>378</v>
      </c>
      <c r="E46" s="81">
        <v>43010543000100</v>
      </c>
      <c r="F46" s="82">
        <v>0.13100000000000001</v>
      </c>
      <c r="G46" s="80" t="s">
        <v>89</v>
      </c>
      <c r="H46" s="82">
        <v>0.8</v>
      </c>
      <c r="I46" s="83" t="s">
        <v>183</v>
      </c>
      <c r="J46" s="82">
        <v>193125.64519000001</v>
      </c>
      <c r="K46" s="82">
        <v>178406.26457999999</v>
      </c>
      <c r="L46" s="82">
        <v>0</v>
      </c>
      <c r="M46" s="82">
        <v>25.13879</v>
      </c>
      <c r="N46" s="82">
        <v>245.11080000000001</v>
      </c>
      <c r="O46" s="82">
        <v>192880.53438999999</v>
      </c>
      <c r="P46" s="82">
        <v>22544.633720000002</v>
      </c>
      <c r="Q46" s="82">
        <v>0</v>
      </c>
      <c r="R46" s="82">
        <v>0</v>
      </c>
      <c r="S46" s="82">
        <v>22544.633720000002</v>
      </c>
      <c r="T46" s="82">
        <v>1900.36043</v>
      </c>
      <c r="U46" s="82">
        <v>0</v>
      </c>
      <c r="V46" s="82">
        <v>-2619.19056</v>
      </c>
      <c r="W46" s="82">
        <v>21825.80359</v>
      </c>
      <c r="X46" s="82">
        <v>21825.80359</v>
      </c>
      <c r="Y46" s="82">
        <v>20734.513411</v>
      </c>
      <c r="Z46" s="82">
        <v>21853.545300000002</v>
      </c>
      <c r="AA46" s="82">
        <v>4115.1757799999996</v>
      </c>
      <c r="AB46" s="82">
        <v>1.0024040000000001</v>
      </c>
      <c r="AC46" s="82"/>
      <c r="AD46" s="82">
        <v>0</v>
      </c>
      <c r="AE46" s="82">
        <v>0</v>
      </c>
      <c r="AF46" s="82">
        <v>43082.095439999997</v>
      </c>
      <c r="AG46" s="82">
        <v>0</v>
      </c>
      <c r="AH46" s="82">
        <v>0</v>
      </c>
      <c r="AI46" s="82">
        <v>0</v>
      </c>
      <c r="AJ46" s="82">
        <v>0</v>
      </c>
      <c r="AK46" s="82">
        <v>138264.48856999999</v>
      </c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>
        <v>9.5537249115999998</v>
      </c>
      <c r="BA46" s="82">
        <v>6.7199999999999996E-2</v>
      </c>
      <c r="BB46" s="82">
        <v>0</v>
      </c>
      <c r="BC46" s="82">
        <v>1.0839000000000001</v>
      </c>
      <c r="BD46" s="82">
        <v>1.3003</v>
      </c>
      <c r="BE46" s="82">
        <v>18896</v>
      </c>
      <c r="BF46" s="82">
        <v>18816</v>
      </c>
      <c r="BG46" s="82">
        <v>55</v>
      </c>
      <c r="BH46" s="82">
        <v>1</v>
      </c>
      <c r="BI46" s="82">
        <v>0</v>
      </c>
      <c r="BJ46" s="82">
        <v>0</v>
      </c>
      <c r="BK46" s="82">
        <v>5</v>
      </c>
      <c r="BL46" s="82">
        <v>0</v>
      </c>
      <c r="BM46" s="82">
        <v>0</v>
      </c>
      <c r="BN46" s="82">
        <v>0</v>
      </c>
      <c r="BO46" s="82">
        <v>1</v>
      </c>
      <c r="BP46" s="82">
        <v>0</v>
      </c>
      <c r="BQ46" s="82">
        <v>6</v>
      </c>
      <c r="BR46" s="82">
        <v>12</v>
      </c>
      <c r="BS46" s="82">
        <v>0</v>
      </c>
      <c r="BT46" s="82">
        <v>0</v>
      </c>
      <c r="BU46" s="82">
        <v>0</v>
      </c>
      <c r="BV46" s="82">
        <v>0</v>
      </c>
      <c r="BW46" s="82">
        <v>0</v>
      </c>
      <c r="BX46" s="82">
        <v>0</v>
      </c>
      <c r="BY46" s="82">
        <v>0</v>
      </c>
      <c r="BZ46" s="82">
        <v>0</v>
      </c>
      <c r="CA46" s="82">
        <v>0</v>
      </c>
      <c r="CB46" s="82">
        <v>0</v>
      </c>
      <c r="CC46" s="82">
        <v>0</v>
      </c>
      <c r="CD46" s="82">
        <v>0</v>
      </c>
      <c r="CE46" s="82">
        <v>0</v>
      </c>
      <c r="CF46" s="82">
        <v>0</v>
      </c>
      <c r="CG46" s="82">
        <v>0</v>
      </c>
      <c r="CH46" s="82">
        <v>0</v>
      </c>
      <c r="CI46" s="82">
        <v>0.95355477411</v>
      </c>
      <c r="CJ46" s="84">
        <v>183922.1544</v>
      </c>
    </row>
    <row r="47" spans="2:88" ht="15.6" x14ac:dyDescent="0.3">
      <c r="B47" s="73" t="s">
        <v>311</v>
      </c>
      <c r="C47" s="74" t="s">
        <v>333</v>
      </c>
      <c r="D47" s="75" t="s">
        <v>319</v>
      </c>
      <c r="E47" s="75">
        <v>16671412000193</v>
      </c>
      <c r="F47" s="76">
        <v>0.504</v>
      </c>
      <c r="G47" s="74" t="s">
        <v>92</v>
      </c>
      <c r="H47" s="76">
        <v>0.84</v>
      </c>
      <c r="I47" s="77" t="s">
        <v>183</v>
      </c>
      <c r="J47" s="76">
        <v>1029061.7221</v>
      </c>
      <c r="K47" s="76">
        <v>742594.20418999996</v>
      </c>
      <c r="L47" s="76">
        <v>497944.17397</v>
      </c>
      <c r="M47" s="76">
        <v>215817.15463</v>
      </c>
      <c r="N47" s="76">
        <v>254463.18082000001</v>
      </c>
      <c r="O47" s="76">
        <v>774598.54130000004</v>
      </c>
      <c r="P47" s="76">
        <v>61119.907619999998</v>
      </c>
      <c r="Q47" s="76">
        <v>0</v>
      </c>
      <c r="R47" s="76">
        <v>61119.907619999998</v>
      </c>
      <c r="S47" s="76">
        <v>0</v>
      </c>
      <c r="T47" s="76">
        <v>3618.4048299999999</v>
      </c>
      <c r="U47" s="76">
        <v>0</v>
      </c>
      <c r="V47" s="76">
        <v>-7214.5882300000003</v>
      </c>
      <c r="W47" s="76">
        <v>57523.724219999996</v>
      </c>
      <c r="X47" s="76">
        <v>57523.724219999996</v>
      </c>
      <c r="Y47" s="76">
        <v>54647.538009000004</v>
      </c>
      <c r="Z47" s="76">
        <v>63860.529599000001</v>
      </c>
      <c r="AA47" s="76">
        <v>11182.568479</v>
      </c>
      <c r="AB47" s="76">
        <v>1.235681</v>
      </c>
      <c r="AC47" s="76"/>
      <c r="AD47" s="76">
        <v>0</v>
      </c>
      <c r="AE47" s="76">
        <v>0</v>
      </c>
      <c r="AF47" s="76">
        <v>40022.504200000003</v>
      </c>
      <c r="AG47" s="76">
        <v>0</v>
      </c>
      <c r="AH47" s="76">
        <v>0</v>
      </c>
      <c r="AI47" s="76">
        <v>0</v>
      </c>
      <c r="AJ47" s="76">
        <v>0</v>
      </c>
      <c r="AK47" s="76">
        <v>-5501.6532399999996</v>
      </c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>
        <v>100.08907263</v>
      </c>
      <c r="BA47" s="76">
        <v>6.7799999999999999E-2</v>
      </c>
      <c r="BB47" s="76">
        <v>8.9999999999999998E-4</v>
      </c>
      <c r="BC47" s="76">
        <v>0.84619999999999995</v>
      </c>
      <c r="BD47" s="76">
        <v>0.48199999999999998</v>
      </c>
      <c r="BE47" s="76">
        <v>59403</v>
      </c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>
        <v>0.89083848606000005</v>
      </c>
      <c r="BV47" s="76">
        <v>0</v>
      </c>
      <c r="BW47" s="76">
        <v>0</v>
      </c>
      <c r="BX47" s="76">
        <v>4.5398464052999996</v>
      </c>
      <c r="BY47" s="76">
        <v>0</v>
      </c>
      <c r="BZ47" s="76">
        <v>0</v>
      </c>
      <c r="CA47" s="76">
        <v>0</v>
      </c>
      <c r="CB47" s="76">
        <v>0</v>
      </c>
      <c r="CC47" s="76">
        <v>0</v>
      </c>
      <c r="CD47" s="76">
        <v>0</v>
      </c>
      <c r="CE47" s="76">
        <v>0</v>
      </c>
      <c r="CF47" s="76">
        <v>2.3560994866999998</v>
      </c>
      <c r="CG47" s="76">
        <v>91.756600894000002</v>
      </c>
      <c r="CH47" s="76">
        <v>0.45661472757999999</v>
      </c>
      <c r="CI47" s="76">
        <v>0.91508490978000001</v>
      </c>
      <c r="CJ47" s="78">
        <v>708823.43628000002</v>
      </c>
    </row>
    <row r="48" spans="2:88" ht="15.6" x14ac:dyDescent="0.3">
      <c r="B48" s="79" t="s">
        <v>34</v>
      </c>
      <c r="C48" s="80" t="s">
        <v>334</v>
      </c>
      <c r="D48" s="81" t="s">
        <v>128</v>
      </c>
      <c r="E48" s="81">
        <v>25032881000153</v>
      </c>
      <c r="F48" s="82">
        <v>1.883</v>
      </c>
      <c r="G48" s="80" t="s">
        <v>89</v>
      </c>
      <c r="H48" s="82"/>
      <c r="I48" s="83" t="s">
        <v>183</v>
      </c>
      <c r="J48" s="82">
        <v>2716904.8947000001</v>
      </c>
      <c r="K48" s="82">
        <v>2513076.2390000001</v>
      </c>
      <c r="L48" s="82">
        <v>19444.328430000001</v>
      </c>
      <c r="M48" s="82">
        <v>42454.674740000002</v>
      </c>
      <c r="N48" s="82">
        <v>38488.389869999999</v>
      </c>
      <c r="O48" s="82">
        <v>2678416.5048000002</v>
      </c>
      <c r="P48" s="82">
        <v>312160.41752000002</v>
      </c>
      <c r="Q48" s="82">
        <v>0</v>
      </c>
      <c r="R48" s="82">
        <v>-241.35338999999999</v>
      </c>
      <c r="S48" s="82">
        <v>312401.77091000002</v>
      </c>
      <c r="T48" s="82">
        <v>10812.55703</v>
      </c>
      <c r="U48" s="82">
        <v>0</v>
      </c>
      <c r="V48" s="82">
        <v>-45674.332090000004</v>
      </c>
      <c r="W48" s="82">
        <v>277298.64246</v>
      </c>
      <c r="X48" s="82">
        <v>277052.23835</v>
      </c>
      <c r="Y48" s="82">
        <v>263199.62643</v>
      </c>
      <c r="Z48" s="82">
        <v>277435.19987000001</v>
      </c>
      <c r="AA48" s="82">
        <v>50775.649253000003</v>
      </c>
      <c r="AB48" s="82">
        <v>1.035595</v>
      </c>
      <c r="AC48" s="82"/>
      <c r="AD48" s="82">
        <v>0</v>
      </c>
      <c r="AE48" s="82">
        <v>0</v>
      </c>
      <c r="AF48" s="82">
        <v>477584.94362999999</v>
      </c>
      <c r="AG48" s="82">
        <v>0</v>
      </c>
      <c r="AH48" s="82">
        <v>0</v>
      </c>
      <c r="AI48" s="82">
        <v>0</v>
      </c>
      <c r="AJ48" s="82">
        <v>0</v>
      </c>
      <c r="AK48" s="82">
        <v>-164110.25330000001</v>
      </c>
      <c r="AL48" s="82"/>
      <c r="AM48" s="82"/>
      <c r="AN48" s="82"/>
      <c r="AO48" s="82"/>
      <c r="AP48" s="82"/>
      <c r="AQ48" s="82"/>
      <c r="AR48" s="82"/>
      <c r="AS48" s="82"/>
      <c r="AT48" s="82">
        <v>261464</v>
      </c>
      <c r="AU48" s="82"/>
      <c r="AV48" s="82">
        <v>0.68725571044</v>
      </c>
      <c r="AW48" s="82"/>
      <c r="AX48" s="82"/>
      <c r="AY48" s="82"/>
      <c r="AZ48" s="82">
        <v>113.64647402999999</v>
      </c>
      <c r="BA48" s="82">
        <v>1.09E-2</v>
      </c>
      <c r="BB48" s="82">
        <v>0</v>
      </c>
      <c r="BC48" s="82">
        <v>0.97652799999999995</v>
      </c>
      <c r="BD48" s="82">
        <v>6.4908999999999994E-2</v>
      </c>
      <c r="BE48" s="82">
        <v>178364</v>
      </c>
      <c r="BF48" s="82">
        <v>177657</v>
      </c>
      <c r="BG48" s="82">
        <v>629</v>
      </c>
      <c r="BH48" s="82">
        <v>0</v>
      </c>
      <c r="BI48" s="82">
        <v>1</v>
      </c>
      <c r="BJ48" s="82">
        <v>0</v>
      </c>
      <c r="BK48" s="82">
        <v>18</v>
      </c>
      <c r="BL48" s="82">
        <v>0</v>
      </c>
      <c r="BM48" s="82">
        <v>0</v>
      </c>
      <c r="BN48" s="82">
        <v>0</v>
      </c>
      <c r="BO48" s="82">
        <v>0</v>
      </c>
      <c r="BP48" s="82">
        <v>0</v>
      </c>
      <c r="BQ48" s="82">
        <v>23</v>
      </c>
      <c r="BR48" s="82">
        <v>25</v>
      </c>
      <c r="BS48" s="82">
        <v>0</v>
      </c>
      <c r="BT48" s="82">
        <v>11</v>
      </c>
      <c r="BU48" s="82"/>
      <c r="BV48" s="82"/>
      <c r="BW48" s="82"/>
      <c r="BX48" s="82">
        <v>100</v>
      </c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>
        <v>0.98859204343999996</v>
      </c>
      <c r="CJ48" s="84">
        <v>2647861.2456999999</v>
      </c>
    </row>
    <row r="49" spans="2:88" ht="15.6" x14ac:dyDescent="0.3">
      <c r="B49" s="73" t="s">
        <v>22</v>
      </c>
      <c r="C49" s="74" t="s">
        <v>406</v>
      </c>
      <c r="D49" s="75" t="s">
        <v>116</v>
      </c>
      <c r="E49" s="75">
        <v>29467977000103</v>
      </c>
      <c r="F49" s="76">
        <v>0.95799999999999996</v>
      </c>
      <c r="G49" s="74" t="s">
        <v>88</v>
      </c>
      <c r="H49" s="76">
        <v>0.2</v>
      </c>
      <c r="I49" s="77" t="s">
        <v>182</v>
      </c>
      <c r="J49" s="76">
        <v>1419834.5183999999</v>
      </c>
      <c r="K49" s="76">
        <v>1336989.0185</v>
      </c>
      <c r="L49" s="76">
        <v>0</v>
      </c>
      <c r="M49" s="76">
        <v>28.770949999999999</v>
      </c>
      <c r="N49" s="76">
        <v>1217.8830800000001</v>
      </c>
      <c r="O49" s="76">
        <v>1418616.6353</v>
      </c>
      <c r="P49" s="76">
        <v>142020.92316999999</v>
      </c>
      <c r="Q49" s="76">
        <v>0</v>
      </c>
      <c r="R49" s="76">
        <v>0</v>
      </c>
      <c r="S49" s="76">
        <v>142020.92316999999</v>
      </c>
      <c r="T49" s="76">
        <v>6207.2108099999996</v>
      </c>
      <c r="U49" s="76">
        <v>0</v>
      </c>
      <c r="V49" s="76">
        <v>-13920.82632</v>
      </c>
      <c r="W49" s="76">
        <v>134307.30765999999</v>
      </c>
      <c r="X49" s="76">
        <v>134307.30765999999</v>
      </c>
      <c r="Y49" s="76">
        <v>127591.94227</v>
      </c>
      <c r="Z49" s="76">
        <v>134307.30765999999</v>
      </c>
      <c r="AA49" s="76">
        <v>31407.72291</v>
      </c>
      <c r="AB49" s="76">
        <v>1</v>
      </c>
      <c r="AC49" s="76"/>
      <c r="AD49" s="76">
        <v>0</v>
      </c>
      <c r="AE49" s="76">
        <v>0</v>
      </c>
      <c r="AF49" s="76">
        <v>72810.582439999998</v>
      </c>
      <c r="AG49" s="76">
        <v>30616.934290000001</v>
      </c>
      <c r="AH49" s="76">
        <v>0</v>
      </c>
      <c r="AI49" s="76">
        <v>0</v>
      </c>
      <c r="AJ49" s="76">
        <v>0</v>
      </c>
      <c r="AK49" s="76">
        <v>1290926.9553</v>
      </c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>
        <v>94.215162251999999</v>
      </c>
      <c r="BA49" s="76">
        <v>8.1100000000000005E-2</v>
      </c>
      <c r="BB49" s="76">
        <v>0</v>
      </c>
      <c r="BC49" s="76">
        <v>0.77790000000000004</v>
      </c>
      <c r="BD49" s="76">
        <v>0.53620000000000001</v>
      </c>
      <c r="BE49" s="76">
        <v>133698</v>
      </c>
      <c r="BF49" s="76">
        <v>133319</v>
      </c>
      <c r="BG49" s="76">
        <v>294</v>
      </c>
      <c r="BH49" s="76">
        <v>0</v>
      </c>
      <c r="BI49" s="76">
        <v>0</v>
      </c>
      <c r="BJ49" s="76">
        <v>0</v>
      </c>
      <c r="BK49" s="76">
        <v>11</v>
      </c>
      <c r="BL49" s="76">
        <v>3</v>
      </c>
      <c r="BM49" s="76">
        <v>4</v>
      </c>
      <c r="BN49" s="76">
        <v>0</v>
      </c>
      <c r="BO49" s="76">
        <v>0</v>
      </c>
      <c r="BP49" s="76">
        <v>0</v>
      </c>
      <c r="BQ49" s="76">
        <v>25</v>
      </c>
      <c r="BR49" s="76">
        <v>41</v>
      </c>
      <c r="BS49" s="76">
        <v>0</v>
      </c>
      <c r="BT49" s="76">
        <v>1</v>
      </c>
      <c r="BU49" s="76">
        <v>0</v>
      </c>
      <c r="BV49" s="76">
        <v>0</v>
      </c>
      <c r="BW49" s="76">
        <v>0</v>
      </c>
      <c r="BX49" s="76">
        <v>0</v>
      </c>
      <c r="BY49" s="76">
        <v>0</v>
      </c>
      <c r="BZ49" s="76">
        <v>0</v>
      </c>
      <c r="CA49" s="76">
        <v>0</v>
      </c>
      <c r="CB49" s="76">
        <v>0</v>
      </c>
      <c r="CC49" s="76">
        <v>0</v>
      </c>
      <c r="CD49" s="76">
        <v>0</v>
      </c>
      <c r="CE49" s="76">
        <v>0</v>
      </c>
      <c r="CF49" s="76">
        <v>0</v>
      </c>
      <c r="CG49" s="76">
        <v>0</v>
      </c>
      <c r="CH49" s="76">
        <v>0</v>
      </c>
      <c r="CI49" s="76">
        <v>0.95005939447999999</v>
      </c>
      <c r="CJ49" s="78">
        <v>1347770.0615000001</v>
      </c>
    </row>
    <row r="50" spans="2:88" ht="15.6" x14ac:dyDescent="0.3">
      <c r="B50" s="79" t="s">
        <v>35</v>
      </c>
      <c r="C50" s="80" t="s">
        <v>201</v>
      </c>
      <c r="D50" s="81" t="s">
        <v>129</v>
      </c>
      <c r="E50" s="81">
        <v>28729197000113</v>
      </c>
      <c r="F50" s="82">
        <v>0.70299999999999996</v>
      </c>
      <c r="G50" s="80" t="s">
        <v>88</v>
      </c>
      <c r="H50" s="82">
        <v>1.1000000000000001</v>
      </c>
      <c r="I50" s="83" t="s">
        <v>183</v>
      </c>
      <c r="J50" s="82">
        <v>1049940.3831</v>
      </c>
      <c r="K50" s="82">
        <v>958640.66700000002</v>
      </c>
      <c r="L50" s="82">
        <v>0</v>
      </c>
      <c r="M50" s="82">
        <v>1463.2439899999999</v>
      </c>
      <c r="N50" s="82">
        <v>11870.925869999999</v>
      </c>
      <c r="O50" s="82">
        <v>1038069.4571999999</v>
      </c>
      <c r="P50" s="82">
        <v>121597.34024</v>
      </c>
      <c r="Q50" s="82">
        <v>0</v>
      </c>
      <c r="R50" s="82">
        <v>0</v>
      </c>
      <c r="S50" s="82">
        <v>121597.34024</v>
      </c>
      <c r="T50" s="82">
        <v>6185.9107999999997</v>
      </c>
      <c r="U50" s="82">
        <v>0</v>
      </c>
      <c r="V50" s="82">
        <v>-12830.96005</v>
      </c>
      <c r="W50" s="82">
        <v>114952.29098999999</v>
      </c>
      <c r="X50" s="82">
        <v>115043.61516</v>
      </c>
      <c r="Y50" s="82">
        <v>109291.4344</v>
      </c>
      <c r="Z50" s="82">
        <v>115252.4219</v>
      </c>
      <c r="AA50" s="82">
        <v>15732.957402</v>
      </c>
      <c r="AB50" s="82">
        <v>1.015854</v>
      </c>
      <c r="AC50" s="82"/>
      <c r="AD50" s="82">
        <v>0</v>
      </c>
      <c r="AE50" s="82">
        <v>0</v>
      </c>
      <c r="AF50" s="82">
        <v>292613.14889000001</v>
      </c>
      <c r="AG50" s="82">
        <v>0</v>
      </c>
      <c r="AH50" s="82">
        <v>0</v>
      </c>
      <c r="AI50" s="82">
        <v>0</v>
      </c>
      <c r="AJ50" s="82">
        <v>0</v>
      </c>
      <c r="AK50" s="82">
        <v>743019.33088000002</v>
      </c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>
        <v>94.282285275000007</v>
      </c>
      <c r="BA50" s="82">
        <v>8.6793981243000001E-2</v>
      </c>
      <c r="BB50" s="82"/>
      <c r="BC50" s="82">
        <v>1.0277000000000001</v>
      </c>
      <c r="BD50" s="82">
        <v>0.91920000000000002</v>
      </c>
      <c r="BE50" s="82">
        <v>95487</v>
      </c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>
        <v>0.95214068833999999</v>
      </c>
      <c r="CJ50" s="84">
        <v>988388.16755999997</v>
      </c>
    </row>
    <row r="51" spans="2:88" ht="15.6" x14ac:dyDescent="0.3">
      <c r="B51" s="73" t="s">
        <v>36</v>
      </c>
      <c r="C51" s="74" t="s">
        <v>202</v>
      </c>
      <c r="D51" s="75" t="s">
        <v>130</v>
      </c>
      <c r="E51" s="75">
        <v>35652102000176</v>
      </c>
      <c r="F51" s="76">
        <v>1.6619999999999999</v>
      </c>
      <c r="G51" s="74" t="s">
        <v>90</v>
      </c>
      <c r="H51" s="76">
        <v>1</v>
      </c>
      <c r="I51" s="77" t="s">
        <v>182</v>
      </c>
      <c r="J51" s="76">
        <v>2873466.7220999999</v>
      </c>
      <c r="K51" s="76">
        <v>2824650.8615999999</v>
      </c>
      <c r="L51" s="76">
        <v>2302425.2554000001</v>
      </c>
      <c r="M51" s="76">
        <v>12633.97769</v>
      </c>
      <c r="N51" s="76">
        <v>21748.927540000001</v>
      </c>
      <c r="O51" s="76">
        <v>2851717.7944999998</v>
      </c>
      <c r="P51" s="76">
        <v>149663.98074</v>
      </c>
      <c r="Q51" s="76">
        <v>0</v>
      </c>
      <c r="R51" s="76">
        <v>147486.54761000001</v>
      </c>
      <c r="S51" s="76">
        <v>2177.4331299999999</v>
      </c>
      <c r="T51" s="76">
        <v>14692.894899999999</v>
      </c>
      <c r="U51" s="76">
        <v>0</v>
      </c>
      <c r="V51" s="76">
        <v>-17859.850439999998</v>
      </c>
      <c r="W51" s="76">
        <v>146497.0252</v>
      </c>
      <c r="X51" s="76">
        <v>146497.0252</v>
      </c>
      <c r="Y51" s="76">
        <v>139172.17394000001</v>
      </c>
      <c r="Z51" s="76">
        <v>146497.0252</v>
      </c>
      <c r="AA51" s="76">
        <v>57431.165480000003</v>
      </c>
      <c r="AB51" s="76">
        <v>1</v>
      </c>
      <c r="AC51" s="76"/>
      <c r="AD51" s="76">
        <v>0</v>
      </c>
      <c r="AE51" s="76">
        <v>0</v>
      </c>
      <c r="AF51" s="76">
        <v>584665.83015000005</v>
      </c>
      <c r="AG51" s="76">
        <v>0</v>
      </c>
      <c r="AH51" s="76">
        <v>0</v>
      </c>
      <c r="AI51" s="76">
        <v>0</v>
      </c>
      <c r="AJ51" s="76">
        <v>0</v>
      </c>
      <c r="AK51" s="76">
        <v>-21629.10151</v>
      </c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>
        <v>105.11281798</v>
      </c>
      <c r="BA51" s="76">
        <v>0</v>
      </c>
      <c r="BB51" s="76">
        <v>0</v>
      </c>
      <c r="BC51" s="76">
        <v>0</v>
      </c>
      <c r="BD51" s="76">
        <v>0</v>
      </c>
      <c r="BE51" s="76">
        <v>167284</v>
      </c>
      <c r="BF51" s="76">
        <v>166728</v>
      </c>
      <c r="BG51" s="76">
        <v>454</v>
      </c>
      <c r="BH51" s="76">
        <v>0</v>
      </c>
      <c r="BI51" s="76">
        <v>0</v>
      </c>
      <c r="BJ51" s="76">
        <v>0</v>
      </c>
      <c r="BK51" s="76">
        <v>15</v>
      </c>
      <c r="BL51" s="76">
        <v>3</v>
      </c>
      <c r="BM51" s="76">
        <v>12</v>
      </c>
      <c r="BN51" s="76">
        <v>0</v>
      </c>
      <c r="BO51" s="76">
        <v>0</v>
      </c>
      <c r="BP51" s="76">
        <v>0</v>
      </c>
      <c r="BQ51" s="76">
        <v>27</v>
      </c>
      <c r="BR51" s="76">
        <v>38</v>
      </c>
      <c r="BS51" s="76">
        <v>0</v>
      </c>
      <c r="BT51" s="76">
        <v>7</v>
      </c>
      <c r="BU51" s="76">
        <v>7.8621754125000001</v>
      </c>
      <c r="BV51" s="76">
        <v>0.52671081008999998</v>
      </c>
      <c r="BW51" s="76">
        <v>7.7972111234000003</v>
      </c>
      <c r="BX51" s="76">
        <v>1.3495694760000001</v>
      </c>
      <c r="BY51" s="76">
        <v>4.3219886337000002</v>
      </c>
      <c r="BZ51" s="76">
        <v>9.4475519299999995</v>
      </c>
      <c r="CA51" s="76">
        <v>2.9160959541000002</v>
      </c>
      <c r="CB51" s="76">
        <v>6.5303582906999997</v>
      </c>
      <c r="CC51" s="76">
        <v>0.50361828522999996</v>
      </c>
      <c r="CD51" s="76">
        <v>1.5175738048</v>
      </c>
      <c r="CE51" s="76">
        <v>0</v>
      </c>
      <c r="CF51" s="76">
        <v>1.2061812946999999</v>
      </c>
      <c r="CG51" s="76">
        <v>56.020964984999999</v>
      </c>
      <c r="CH51" s="76">
        <v>0</v>
      </c>
      <c r="CI51" s="76">
        <v>0.81997611377000001</v>
      </c>
      <c r="CJ51" s="78">
        <v>2338340.4747000001</v>
      </c>
    </row>
    <row r="52" spans="2:88" ht="15.6" x14ac:dyDescent="0.3">
      <c r="B52" s="79" t="s">
        <v>19</v>
      </c>
      <c r="C52" s="80" t="s">
        <v>335</v>
      </c>
      <c r="D52" s="81" t="s">
        <v>113</v>
      </c>
      <c r="E52" s="81">
        <v>29267567000100</v>
      </c>
      <c r="F52" s="82">
        <v>0.247</v>
      </c>
      <c r="G52" s="80" t="s">
        <v>88</v>
      </c>
      <c r="H52" s="82">
        <v>1.3049999999999999</v>
      </c>
      <c r="I52" s="83" t="s">
        <v>183</v>
      </c>
      <c r="J52" s="82">
        <v>431362.79106000002</v>
      </c>
      <c r="K52" s="82">
        <v>388505.61404999997</v>
      </c>
      <c r="L52" s="82">
        <v>900</v>
      </c>
      <c r="M52" s="82">
        <v>162.10095000000001</v>
      </c>
      <c r="N52" s="82">
        <v>3736.5855000000001</v>
      </c>
      <c r="O52" s="82">
        <v>427626.20555999997</v>
      </c>
      <c r="P52" s="82">
        <v>42561.766920000002</v>
      </c>
      <c r="Q52" s="82">
        <v>0</v>
      </c>
      <c r="R52" s="82">
        <v>0</v>
      </c>
      <c r="S52" s="82">
        <v>42561.766920000002</v>
      </c>
      <c r="T52" s="82">
        <v>2444.2280099999998</v>
      </c>
      <c r="U52" s="82">
        <v>0</v>
      </c>
      <c r="V52" s="82">
        <v>-5881.3068499999999</v>
      </c>
      <c r="W52" s="82">
        <v>39124.68808</v>
      </c>
      <c r="X52" s="82">
        <v>40543.304400000001</v>
      </c>
      <c r="Y52" s="82">
        <v>38516.139179999998</v>
      </c>
      <c r="Z52" s="82">
        <v>40738.709649999997</v>
      </c>
      <c r="AA52" s="82">
        <v>3199.71776</v>
      </c>
      <c r="AB52" s="82">
        <v>0.98667099999999996</v>
      </c>
      <c r="AC52" s="82"/>
      <c r="AD52" s="82">
        <v>0</v>
      </c>
      <c r="AE52" s="82">
        <v>0</v>
      </c>
      <c r="AF52" s="82">
        <v>40397.84938</v>
      </c>
      <c r="AG52" s="82">
        <v>0</v>
      </c>
      <c r="AH52" s="82">
        <v>0</v>
      </c>
      <c r="AI52" s="82">
        <v>0</v>
      </c>
      <c r="AJ52" s="82">
        <v>0</v>
      </c>
      <c r="AK52" s="82">
        <v>383612.39064</v>
      </c>
      <c r="AL52" s="82"/>
      <c r="AM52" s="82"/>
      <c r="AN52" s="82"/>
      <c r="AO52" s="82"/>
      <c r="AP52" s="82"/>
      <c r="AQ52" s="82"/>
      <c r="AR52" s="82"/>
      <c r="AS52" s="82"/>
      <c r="AT52" s="82">
        <v>225.82</v>
      </c>
      <c r="AU52" s="82"/>
      <c r="AV52" s="82">
        <v>0</v>
      </c>
      <c r="AW52" s="82"/>
      <c r="AX52" s="82"/>
      <c r="AY52" s="82"/>
      <c r="AZ52" s="82">
        <v>92.276344578999996</v>
      </c>
      <c r="BA52" s="82">
        <v>0.1152</v>
      </c>
      <c r="BB52" s="82">
        <v>0</v>
      </c>
      <c r="BC52" s="82">
        <v>0.86629999999999996</v>
      </c>
      <c r="BD52" s="82">
        <v>0.78949999999999998</v>
      </c>
      <c r="BE52" s="82">
        <v>39849</v>
      </c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>
        <v>0.81136720729</v>
      </c>
      <c r="CJ52" s="84">
        <v>346961.88017000002</v>
      </c>
    </row>
    <row r="53" spans="2:88" ht="15.6" x14ac:dyDescent="0.3">
      <c r="B53" s="73" t="s">
        <v>37</v>
      </c>
      <c r="C53" s="74" t="s">
        <v>203</v>
      </c>
      <c r="D53" s="75" t="s">
        <v>131</v>
      </c>
      <c r="E53" s="75">
        <v>24853044000122</v>
      </c>
      <c r="F53" s="76">
        <v>0.88400000000000001</v>
      </c>
      <c r="G53" s="74" t="s">
        <v>92</v>
      </c>
      <c r="H53" s="76">
        <v>0.95</v>
      </c>
      <c r="I53" s="77" t="s">
        <v>183</v>
      </c>
      <c r="J53" s="76">
        <v>1984044.4713999999</v>
      </c>
      <c r="K53" s="76">
        <v>1959290.767</v>
      </c>
      <c r="L53" s="76">
        <v>1930229.1915</v>
      </c>
      <c r="M53" s="76">
        <v>15080.75705</v>
      </c>
      <c r="N53" s="76">
        <v>279766.02717000002</v>
      </c>
      <c r="O53" s="76">
        <v>1704278.4442</v>
      </c>
      <c r="P53" s="76">
        <v>147140.95454999999</v>
      </c>
      <c r="Q53" s="76">
        <v>0</v>
      </c>
      <c r="R53" s="76">
        <v>144735.58059999999</v>
      </c>
      <c r="S53" s="76">
        <v>2405.3739500000001</v>
      </c>
      <c r="T53" s="76">
        <v>2580.9332399999998</v>
      </c>
      <c r="U53" s="76">
        <v>0</v>
      </c>
      <c r="V53" s="76">
        <v>-37939.576580000001</v>
      </c>
      <c r="W53" s="76">
        <v>111782.31121</v>
      </c>
      <c r="X53" s="76">
        <v>111782.30342</v>
      </c>
      <c r="Y53" s="76">
        <v>106193.18824</v>
      </c>
      <c r="Z53" s="76">
        <v>114880.05719000001</v>
      </c>
      <c r="AA53" s="76">
        <v>19346.640839</v>
      </c>
      <c r="AB53" s="76">
        <v>0.96616599999999997</v>
      </c>
      <c r="AC53" s="76"/>
      <c r="AD53" s="76">
        <v>0</v>
      </c>
      <c r="AE53" s="76">
        <v>0</v>
      </c>
      <c r="AF53" s="76">
        <v>40494.746160000002</v>
      </c>
      <c r="AG53" s="76">
        <v>0</v>
      </c>
      <c r="AH53" s="76">
        <v>0</v>
      </c>
      <c r="AI53" s="76">
        <v>0</v>
      </c>
      <c r="AJ53" s="76">
        <v>0</v>
      </c>
      <c r="AK53" s="76">
        <v>2486.49431</v>
      </c>
      <c r="AL53" s="76"/>
      <c r="AM53" s="76"/>
      <c r="AN53" s="76"/>
      <c r="AO53" s="76"/>
      <c r="AP53" s="76">
        <v>60589</v>
      </c>
      <c r="AQ53" s="76">
        <v>0</v>
      </c>
      <c r="AR53" s="76">
        <v>0</v>
      </c>
      <c r="AS53" s="76">
        <v>0</v>
      </c>
      <c r="AT53" s="76"/>
      <c r="AU53" s="76"/>
      <c r="AV53" s="76"/>
      <c r="AW53" s="76"/>
      <c r="AX53" s="76"/>
      <c r="AY53" s="76"/>
      <c r="AZ53" s="76">
        <v>113.63829054999999</v>
      </c>
      <c r="BA53" s="76">
        <v>5.8335527470000002E-2</v>
      </c>
      <c r="BB53" s="76"/>
      <c r="BC53" s="76">
        <v>0.56279999999999997</v>
      </c>
      <c r="BD53" s="76">
        <v>0.48899999999999999</v>
      </c>
      <c r="BE53" s="76">
        <v>159148</v>
      </c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>
        <v>4.5393999999999997</v>
      </c>
      <c r="BV53" s="76">
        <v>1.6041000000000001</v>
      </c>
      <c r="BW53" s="76">
        <v>1.2E-2</v>
      </c>
      <c r="BX53" s="76">
        <v>0.27789999999999998</v>
      </c>
      <c r="BY53" s="76">
        <v>1.0995999999999999</v>
      </c>
      <c r="BZ53" s="76">
        <v>0.20810000000000001</v>
      </c>
      <c r="CA53" s="76">
        <v>4.7488999999999999</v>
      </c>
      <c r="CB53" s="76">
        <v>5.0107999999999997</v>
      </c>
      <c r="CC53" s="76">
        <v>1.2222999999999999</v>
      </c>
      <c r="CD53" s="76">
        <v>8.7797999999999998</v>
      </c>
      <c r="CE53" s="76">
        <v>3.161</v>
      </c>
      <c r="CF53" s="76">
        <v>0.33860000000000001</v>
      </c>
      <c r="CG53" s="76">
        <v>68.997500000000002</v>
      </c>
      <c r="CH53" s="76">
        <v>0</v>
      </c>
      <c r="CI53" s="76">
        <v>0.72994762235999999</v>
      </c>
      <c r="CJ53" s="78">
        <v>1244033.9982</v>
      </c>
    </row>
    <row r="54" spans="2:88" ht="15.6" x14ac:dyDescent="0.3">
      <c r="B54" s="79" t="s">
        <v>38</v>
      </c>
      <c r="C54" s="80" t="s">
        <v>204</v>
      </c>
      <c r="D54" s="81" t="s">
        <v>132</v>
      </c>
      <c r="E54" s="81">
        <v>26502794000185</v>
      </c>
      <c r="F54" s="82">
        <v>2.105</v>
      </c>
      <c r="G54" s="80" t="s">
        <v>92</v>
      </c>
      <c r="H54" s="82">
        <v>0.95</v>
      </c>
      <c r="I54" s="83" t="s">
        <v>183</v>
      </c>
      <c r="J54" s="82">
        <v>3758549.8791999999</v>
      </c>
      <c r="K54" s="82">
        <v>3403386.6235000002</v>
      </c>
      <c r="L54" s="82">
        <v>2674984.0085</v>
      </c>
      <c r="M54" s="82">
        <v>89184.663889999996</v>
      </c>
      <c r="N54" s="82">
        <v>425810.20935999998</v>
      </c>
      <c r="O54" s="82">
        <v>3332739.6697999998</v>
      </c>
      <c r="P54" s="82">
        <v>296583.19140000001</v>
      </c>
      <c r="Q54" s="82">
        <v>17727.833149999999</v>
      </c>
      <c r="R54" s="82">
        <v>206630.89485000001</v>
      </c>
      <c r="S54" s="82">
        <v>72224.463399999993</v>
      </c>
      <c r="T54" s="82">
        <v>4917.6230599999999</v>
      </c>
      <c r="U54" s="82">
        <v>0</v>
      </c>
      <c r="V54" s="82">
        <v>-27164.970860000001</v>
      </c>
      <c r="W54" s="82">
        <v>274335.84360000002</v>
      </c>
      <c r="X54" s="82">
        <v>272714.39442000003</v>
      </c>
      <c r="Y54" s="82">
        <v>259078.6747</v>
      </c>
      <c r="Z54" s="82">
        <v>271301.37839999999</v>
      </c>
      <c r="AA54" s="82">
        <v>46196.643478999998</v>
      </c>
      <c r="AB54" s="82">
        <v>0.99138700000000002</v>
      </c>
      <c r="AC54" s="82"/>
      <c r="AD54" s="82">
        <v>0</v>
      </c>
      <c r="AE54" s="82">
        <v>0</v>
      </c>
      <c r="AF54" s="82">
        <v>1092491.4142</v>
      </c>
      <c r="AG54" s="82">
        <v>0</v>
      </c>
      <c r="AH54" s="82">
        <v>0</v>
      </c>
      <c r="AI54" s="82">
        <v>0</v>
      </c>
      <c r="AJ54" s="82">
        <v>0</v>
      </c>
      <c r="AK54" s="82">
        <v>-228122.45569</v>
      </c>
      <c r="AL54" s="82"/>
      <c r="AM54" s="82"/>
      <c r="AN54" s="82"/>
      <c r="AO54" s="82"/>
      <c r="AP54" s="82">
        <v>11350.61778</v>
      </c>
      <c r="AQ54" s="82">
        <v>0</v>
      </c>
      <c r="AR54" s="82">
        <v>0</v>
      </c>
      <c r="AS54" s="82">
        <v>0</v>
      </c>
      <c r="AT54" s="82"/>
      <c r="AU54" s="82"/>
      <c r="AV54" s="82"/>
      <c r="AW54" s="82"/>
      <c r="AX54" s="82"/>
      <c r="AY54" s="82"/>
      <c r="AZ54" s="82">
        <v>112.54224318</v>
      </c>
      <c r="BA54" s="82">
        <v>6.5000000000000002E-2</v>
      </c>
      <c r="BB54" s="82">
        <v>0</v>
      </c>
      <c r="BC54" s="82">
        <v>0.69069599999999998</v>
      </c>
      <c r="BD54" s="82">
        <v>0.34776899999999999</v>
      </c>
      <c r="BE54" s="82">
        <v>350933</v>
      </c>
      <c r="BF54" s="82">
        <v>350463</v>
      </c>
      <c r="BG54" s="82">
        <v>389</v>
      </c>
      <c r="BH54" s="82">
        <v>0</v>
      </c>
      <c r="BI54" s="82">
        <v>0</v>
      </c>
      <c r="BJ54" s="82">
        <v>0</v>
      </c>
      <c r="BK54" s="82">
        <v>22</v>
      </c>
      <c r="BL54" s="82">
        <v>2</v>
      </c>
      <c r="BM54" s="82">
        <v>1</v>
      </c>
      <c r="BN54" s="82">
        <v>0</v>
      </c>
      <c r="BO54" s="82">
        <v>0</v>
      </c>
      <c r="BP54" s="82">
        <v>0</v>
      </c>
      <c r="BQ54" s="82">
        <v>22</v>
      </c>
      <c r="BR54" s="82">
        <v>28</v>
      </c>
      <c r="BS54" s="82">
        <v>0</v>
      </c>
      <c r="BT54" s="82">
        <v>6</v>
      </c>
      <c r="BU54" s="82"/>
      <c r="BV54" s="82">
        <v>15</v>
      </c>
      <c r="BW54" s="82"/>
      <c r="BX54" s="82"/>
      <c r="BY54" s="82"/>
      <c r="BZ54" s="82"/>
      <c r="CA54" s="82">
        <v>3</v>
      </c>
      <c r="CB54" s="82"/>
      <c r="CC54" s="82"/>
      <c r="CD54" s="82"/>
      <c r="CE54" s="82">
        <v>18</v>
      </c>
      <c r="CF54" s="82"/>
      <c r="CG54" s="82">
        <v>64</v>
      </c>
      <c r="CH54" s="82"/>
      <c r="CI54" s="82">
        <v>0.88846638532</v>
      </c>
      <c r="CJ54" s="84">
        <v>2961027.1677000001</v>
      </c>
    </row>
    <row r="55" spans="2:88" ht="15.6" x14ac:dyDescent="0.3">
      <c r="B55" s="73" t="s">
        <v>50</v>
      </c>
      <c r="C55" s="74" t="s">
        <v>407</v>
      </c>
      <c r="D55" s="75" t="s">
        <v>144</v>
      </c>
      <c r="E55" s="75">
        <v>30091444000140</v>
      </c>
      <c r="F55" s="76">
        <v>0.42299999999999999</v>
      </c>
      <c r="G55" s="74" t="s">
        <v>88</v>
      </c>
      <c r="H55" s="76">
        <v>0.92</v>
      </c>
      <c r="I55" s="77" t="s">
        <v>182</v>
      </c>
      <c r="J55" s="76">
        <v>661440.50532</v>
      </c>
      <c r="K55" s="76">
        <v>643608.28049000003</v>
      </c>
      <c r="L55" s="76">
        <v>0</v>
      </c>
      <c r="M55" s="76">
        <v>204.33305999999999</v>
      </c>
      <c r="N55" s="76">
        <v>5886.3233300000002</v>
      </c>
      <c r="O55" s="76">
        <v>655554.18198999995</v>
      </c>
      <c r="P55" s="76">
        <v>50835.908600000002</v>
      </c>
      <c r="Q55" s="76">
        <v>0</v>
      </c>
      <c r="R55" s="76">
        <v>0</v>
      </c>
      <c r="S55" s="76">
        <v>50835.908600000002</v>
      </c>
      <c r="T55" s="76">
        <v>2853.51262</v>
      </c>
      <c r="U55" s="76">
        <v>0</v>
      </c>
      <c r="V55" s="76">
        <v>-4734.0673100000004</v>
      </c>
      <c r="W55" s="76">
        <v>48955.353909999998</v>
      </c>
      <c r="X55" s="76">
        <v>49550.864869999998</v>
      </c>
      <c r="Y55" s="76">
        <v>47073.321626999998</v>
      </c>
      <c r="Z55" s="76">
        <v>50527.917896999999</v>
      </c>
      <c r="AA55" s="76">
        <v>9930.2381965000004</v>
      </c>
      <c r="AB55" s="76">
        <v>1.080578</v>
      </c>
      <c r="AC55" s="76"/>
      <c r="AD55" s="76">
        <v>0</v>
      </c>
      <c r="AE55" s="76">
        <v>0</v>
      </c>
      <c r="AF55" s="76">
        <v>568529.07516999997</v>
      </c>
      <c r="AG55" s="76">
        <v>30580.737389999998</v>
      </c>
      <c r="AH55" s="76">
        <v>0</v>
      </c>
      <c r="AI55" s="76">
        <v>0</v>
      </c>
      <c r="AJ55" s="76">
        <v>0</v>
      </c>
      <c r="AK55" s="76">
        <v>61966.960010000003</v>
      </c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>
        <v>93.456141897999998</v>
      </c>
      <c r="BA55" s="76">
        <v>7.6100000000000001E-2</v>
      </c>
      <c r="BB55" s="76">
        <v>7.0000000000000001E-3</v>
      </c>
      <c r="BC55" s="76">
        <v>0.79920000000000002</v>
      </c>
      <c r="BD55" s="76">
        <v>0.38490000000000002</v>
      </c>
      <c r="BE55" s="76">
        <v>23211</v>
      </c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>
        <v>0.90716349164999999</v>
      </c>
      <c r="CJ55" s="78">
        <v>594694.82070000004</v>
      </c>
    </row>
    <row r="56" spans="2:88" ht="15.6" x14ac:dyDescent="0.3">
      <c r="B56" s="79" t="s">
        <v>360</v>
      </c>
      <c r="C56" s="80" t="s">
        <v>408</v>
      </c>
      <c r="D56" s="81" t="s">
        <v>379</v>
      </c>
      <c r="E56" s="81">
        <v>15447108000102</v>
      </c>
      <c r="F56" s="82">
        <v>0.85399999999999998</v>
      </c>
      <c r="G56" s="80" t="s">
        <v>89</v>
      </c>
      <c r="H56" s="82">
        <v>0.75</v>
      </c>
      <c r="I56" s="83" t="s">
        <v>183</v>
      </c>
      <c r="J56" s="82">
        <v>2852504.2982000001</v>
      </c>
      <c r="K56" s="82">
        <v>2762452.8547999999</v>
      </c>
      <c r="L56" s="82">
        <v>2407946.8670999999</v>
      </c>
      <c r="M56" s="82">
        <v>61807.747620000002</v>
      </c>
      <c r="N56" s="82">
        <v>776268.91246999998</v>
      </c>
      <c r="O56" s="82">
        <v>2076235.3857</v>
      </c>
      <c r="P56" s="82">
        <v>-118177.42282000001</v>
      </c>
      <c r="Q56" s="82">
        <v>0</v>
      </c>
      <c r="R56" s="82">
        <v>-161918.91389</v>
      </c>
      <c r="S56" s="82">
        <v>43741.491069999996</v>
      </c>
      <c r="T56" s="82">
        <v>4761.4859399999996</v>
      </c>
      <c r="U56" s="82">
        <v>0</v>
      </c>
      <c r="V56" s="82">
        <v>-16304.614600000001</v>
      </c>
      <c r="W56" s="82">
        <v>-129720.55147999999</v>
      </c>
      <c r="X56" s="82">
        <v>90352.970239999995</v>
      </c>
      <c r="Y56" s="82">
        <v>85835.321727999995</v>
      </c>
      <c r="Z56" s="82">
        <v>137843.02186000001</v>
      </c>
      <c r="AA56" s="82">
        <v>22162.505010000001</v>
      </c>
      <c r="AB56" s="82">
        <v>1.1105989999999999</v>
      </c>
      <c r="AC56" s="82"/>
      <c r="AD56" s="82">
        <v>0</v>
      </c>
      <c r="AE56" s="82">
        <v>0</v>
      </c>
      <c r="AF56" s="82">
        <v>352385.23041999998</v>
      </c>
      <c r="AG56" s="82">
        <v>0</v>
      </c>
      <c r="AH56" s="82">
        <v>0</v>
      </c>
      <c r="AI56" s="82">
        <v>0</v>
      </c>
      <c r="AJ56" s="82">
        <v>0</v>
      </c>
      <c r="AK56" s="82">
        <v>-688112.16151000001</v>
      </c>
      <c r="AL56" s="82"/>
      <c r="AM56" s="82"/>
      <c r="AN56" s="82"/>
      <c r="AO56" s="82"/>
      <c r="AP56" s="82"/>
      <c r="AQ56" s="82"/>
      <c r="AR56" s="82"/>
      <c r="AS56" s="82"/>
      <c r="AT56" s="82">
        <v>129984.96000000001</v>
      </c>
      <c r="AU56" s="82"/>
      <c r="AV56" s="82">
        <v>0</v>
      </c>
      <c r="AW56" s="82"/>
      <c r="AX56" s="82"/>
      <c r="AY56" s="82"/>
      <c r="AZ56" s="82">
        <v>95.060364762000006</v>
      </c>
      <c r="BA56" s="82">
        <v>0</v>
      </c>
      <c r="BB56" s="82">
        <v>0</v>
      </c>
      <c r="BC56" s="82">
        <v>-8.0699999999999994E-2</v>
      </c>
      <c r="BD56" s="82">
        <v>-0.13539999999999999</v>
      </c>
      <c r="BE56" s="82">
        <v>5569</v>
      </c>
      <c r="BF56" s="82">
        <v>5494</v>
      </c>
      <c r="BG56" s="82">
        <v>27</v>
      </c>
      <c r="BH56" s="82">
        <v>0</v>
      </c>
      <c r="BI56" s="82">
        <v>1</v>
      </c>
      <c r="BJ56" s="82">
        <v>0</v>
      </c>
      <c r="BK56" s="82">
        <v>10</v>
      </c>
      <c r="BL56" s="82">
        <v>1</v>
      </c>
      <c r="BM56" s="82">
        <v>1</v>
      </c>
      <c r="BN56" s="82">
        <v>0</v>
      </c>
      <c r="BO56" s="82">
        <v>0</v>
      </c>
      <c r="BP56" s="82">
        <v>0</v>
      </c>
      <c r="BQ56" s="82">
        <v>12</v>
      </c>
      <c r="BR56" s="82">
        <v>22</v>
      </c>
      <c r="BS56" s="82">
        <v>0</v>
      </c>
      <c r="BT56" s="82">
        <v>1</v>
      </c>
      <c r="BU56" s="82">
        <v>3</v>
      </c>
      <c r="BV56" s="82">
        <v>6.7598000000000003</v>
      </c>
      <c r="BW56" s="82">
        <v>8.2164999999999999</v>
      </c>
      <c r="BX56" s="82">
        <v>2.2715999999999998</v>
      </c>
      <c r="BY56" s="82">
        <v>1.2716000000000001</v>
      </c>
      <c r="BZ56" s="82">
        <v>4.2386999999999997</v>
      </c>
      <c r="CA56" s="82">
        <v>2.1627000000000001</v>
      </c>
      <c r="CB56" s="82">
        <v>1.2998000000000001</v>
      </c>
      <c r="CC56" s="82">
        <v>1.3524</v>
      </c>
      <c r="CD56" s="82">
        <v>2.2277999999999998</v>
      </c>
      <c r="CE56" s="82">
        <v>3.2671000000000001</v>
      </c>
      <c r="CF56" s="82">
        <v>2.3828999999999998</v>
      </c>
      <c r="CG56" s="82">
        <v>43.0075</v>
      </c>
      <c r="CH56" s="82">
        <v>18.541599999999999</v>
      </c>
      <c r="CI56" s="82">
        <v>0.57868492443999997</v>
      </c>
      <c r="CJ56" s="84">
        <v>1201486.1173</v>
      </c>
    </row>
    <row r="57" spans="2:88" ht="15.6" x14ac:dyDescent="0.3">
      <c r="B57" s="73" t="s">
        <v>56</v>
      </c>
      <c r="C57" s="74" t="s">
        <v>336</v>
      </c>
      <c r="D57" s="75" t="s">
        <v>150</v>
      </c>
      <c r="E57" s="75">
        <v>26499833000132</v>
      </c>
      <c r="F57" s="76">
        <v>0.94399999999999995</v>
      </c>
      <c r="G57" s="74" t="s">
        <v>93</v>
      </c>
      <c r="H57" s="76">
        <v>0.5</v>
      </c>
      <c r="I57" s="77" t="s">
        <v>183</v>
      </c>
      <c r="J57" s="76">
        <v>1675874.1065</v>
      </c>
      <c r="K57" s="76">
        <v>1595846.3418000001</v>
      </c>
      <c r="L57" s="76">
        <v>1283956.6943000001</v>
      </c>
      <c r="M57" s="76">
        <v>9115.8323</v>
      </c>
      <c r="N57" s="76">
        <v>127709.08891000001</v>
      </c>
      <c r="O57" s="76">
        <v>1548165.0175999999</v>
      </c>
      <c r="P57" s="76">
        <v>188060.93483000001</v>
      </c>
      <c r="Q57" s="76">
        <v>0</v>
      </c>
      <c r="R57" s="76">
        <v>204364.22772</v>
      </c>
      <c r="S57" s="76">
        <v>-16303.292890000001</v>
      </c>
      <c r="T57" s="76">
        <v>7537.5421699999997</v>
      </c>
      <c r="U57" s="76">
        <v>0</v>
      </c>
      <c r="V57" s="76">
        <v>-11667.980229999999</v>
      </c>
      <c r="W57" s="76">
        <v>183930.49677</v>
      </c>
      <c r="X57" s="76">
        <v>113040.94918</v>
      </c>
      <c r="Y57" s="76">
        <v>107388.90171999999</v>
      </c>
      <c r="Z57" s="76">
        <v>111070.85417999999</v>
      </c>
      <c r="AA57" s="76">
        <v>17966.628790999999</v>
      </c>
      <c r="AB57" s="76">
        <v>0.993282</v>
      </c>
      <c r="AC57" s="76"/>
      <c r="AD57" s="76">
        <v>0</v>
      </c>
      <c r="AE57" s="76">
        <v>0</v>
      </c>
      <c r="AF57" s="76">
        <v>2849.38</v>
      </c>
      <c r="AG57" s="76">
        <v>0</v>
      </c>
      <c r="AH57" s="76">
        <v>0</v>
      </c>
      <c r="AI57" s="76">
        <v>0</v>
      </c>
      <c r="AJ57" s="76">
        <v>0</v>
      </c>
      <c r="AK57" s="76">
        <v>-175722.64069</v>
      </c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>
        <v>119.33777504</v>
      </c>
      <c r="BA57" s="76">
        <v>3.9854195968000002E-2</v>
      </c>
      <c r="BB57" s="76">
        <v>4.7282491963000003E-4</v>
      </c>
      <c r="BC57" s="76">
        <v>0.65280000000000005</v>
      </c>
      <c r="BD57" s="76">
        <v>0.53190000000000004</v>
      </c>
      <c r="BE57" s="76">
        <v>136478</v>
      </c>
      <c r="BF57" s="76">
        <v>136272</v>
      </c>
      <c r="BG57" s="76">
        <v>154</v>
      </c>
      <c r="BH57" s="76"/>
      <c r="BI57" s="76"/>
      <c r="BJ57" s="76"/>
      <c r="BK57" s="76">
        <v>9</v>
      </c>
      <c r="BL57" s="76">
        <v>1</v>
      </c>
      <c r="BM57" s="76"/>
      <c r="BN57" s="76"/>
      <c r="BO57" s="76"/>
      <c r="BP57" s="76"/>
      <c r="BQ57" s="76">
        <v>10</v>
      </c>
      <c r="BR57" s="76">
        <v>29</v>
      </c>
      <c r="BS57" s="76"/>
      <c r="BT57" s="76">
        <v>3</v>
      </c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>
        <v>0.85723066279000004</v>
      </c>
      <c r="CJ57" s="78">
        <v>1327134.5241</v>
      </c>
    </row>
    <row r="58" spans="2:88" ht="15.6" x14ac:dyDescent="0.3">
      <c r="B58" s="79" t="s">
        <v>39</v>
      </c>
      <c r="C58" s="80" t="s">
        <v>409</v>
      </c>
      <c r="D58" s="81" t="s">
        <v>133</v>
      </c>
      <c r="E58" s="81">
        <v>26614291000100</v>
      </c>
      <c r="F58" s="82">
        <v>0.79400000000000004</v>
      </c>
      <c r="G58" s="80" t="s">
        <v>92</v>
      </c>
      <c r="H58" s="82">
        <v>1.1000000000000001</v>
      </c>
      <c r="I58" s="83" t="s">
        <v>182</v>
      </c>
      <c r="J58" s="82">
        <v>1305885.1827</v>
      </c>
      <c r="K58" s="82">
        <v>1240211.7949999999</v>
      </c>
      <c r="L58" s="82">
        <v>1061944.2590000001</v>
      </c>
      <c r="M58" s="82">
        <v>14796.598550000001</v>
      </c>
      <c r="N58" s="82">
        <v>107162.75031</v>
      </c>
      <c r="O58" s="82">
        <v>1198722.4324</v>
      </c>
      <c r="P58" s="82">
        <v>106714.68833</v>
      </c>
      <c r="Q58" s="82">
        <v>0</v>
      </c>
      <c r="R58" s="82">
        <v>106219.52194999999</v>
      </c>
      <c r="S58" s="82">
        <v>495.16638</v>
      </c>
      <c r="T58" s="82">
        <v>5403.0941400000002</v>
      </c>
      <c r="U58" s="82">
        <v>0</v>
      </c>
      <c r="V58" s="82">
        <v>-18977.017919999998</v>
      </c>
      <c r="W58" s="82">
        <v>93140.764550000007</v>
      </c>
      <c r="X58" s="82">
        <v>93416.517070000002</v>
      </c>
      <c r="Y58" s="82">
        <v>88745.691217</v>
      </c>
      <c r="Z58" s="82">
        <v>98899.739776999995</v>
      </c>
      <c r="AA58" s="82">
        <v>6.4999999999999996E-6</v>
      </c>
      <c r="AB58" s="82">
        <v>0.97066799999999998</v>
      </c>
      <c r="AC58" s="82"/>
      <c r="AD58" s="82">
        <v>0</v>
      </c>
      <c r="AE58" s="82">
        <v>0</v>
      </c>
      <c r="AF58" s="82">
        <v>229123.71466999999</v>
      </c>
      <c r="AG58" s="82">
        <v>0</v>
      </c>
      <c r="AH58" s="82">
        <v>0</v>
      </c>
      <c r="AI58" s="82">
        <v>0</v>
      </c>
      <c r="AJ58" s="82">
        <v>0</v>
      </c>
      <c r="AK58" s="82">
        <v>4.0532000000000004</v>
      </c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>
        <v>11.329787461</v>
      </c>
      <c r="BA58" s="82">
        <v>9.4600000000000004E-2</v>
      </c>
      <c r="BB58" s="82">
        <v>0</v>
      </c>
      <c r="BC58" s="82">
        <v>0</v>
      </c>
      <c r="BD58" s="82">
        <v>1.0511999999999999</v>
      </c>
      <c r="BE58" s="82">
        <v>132517</v>
      </c>
      <c r="BF58" s="82">
        <v>132325</v>
      </c>
      <c r="BG58" s="82">
        <v>165</v>
      </c>
      <c r="BH58" s="82">
        <v>0</v>
      </c>
      <c r="BI58" s="82">
        <v>0</v>
      </c>
      <c r="BJ58" s="82">
        <v>0</v>
      </c>
      <c r="BK58" s="82">
        <v>6</v>
      </c>
      <c r="BL58" s="82">
        <v>0</v>
      </c>
      <c r="BM58" s="82">
        <v>0</v>
      </c>
      <c r="BN58" s="82">
        <v>0</v>
      </c>
      <c r="BO58" s="82">
        <v>0</v>
      </c>
      <c r="BP58" s="82">
        <v>0</v>
      </c>
      <c r="BQ58" s="82">
        <v>9</v>
      </c>
      <c r="BR58" s="82">
        <v>9</v>
      </c>
      <c r="BS58" s="82">
        <v>0</v>
      </c>
      <c r="BT58" s="82">
        <v>3</v>
      </c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>
        <v>100</v>
      </c>
      <c r="CH58" s="82"/>
      <c r="CI58" s="82">
        <v>0.93205631932999999</v>
      </c>
      <c r="CJ58" s="84">
        <v>1117276.8182000001</v>
      </c>
    </row>
    <row r="59" spans="2:88" ht="15.6" x14ac:dyDescent="0.3">
      <c r="B59" s="73" t="s">
        <v>40</v>
      </c>
      <c r="C59" s="74" t="s">
        <v>205</v>
      </c>
      <c r="D59" s="75" t="s">
        <v>134</v>
      </c>
      <c r="E59" s="75">
        <v>30578417000105</v>
      </c>
      <c r="F59" s="76">
        <v>0.501</v>
      </c>
      <c r="G59" s="74" t="s">
        <v>88</v>
      </c>
      <c r="H59" s="76">
        <v>1.3</v>
      </c>
      <c r="I59" s="77" t="s">
        <v>183</v>
      </c>
      <c r="J59" s="76">
        <v>788466.85872000002</v>
      </c>
      <c r="K59" s="76">
        <v>752513.87086000002</v>
      </c>
      <c r="L59" s="76">
        <v>0</v>
      </c>
      <c r="M59" s="76">
        <v>239.58857</v>
      </c>
      <c r="N59" s="76">
        <v>9505.9592200000006</v>
      </c>
      <c r="O59" s="76">
        <v>778960.89950000006</v>
      </c>
      <c r="P59" s="76">
        <v>108024.341</v>
      </c>
      <c r="Q59" s="76">
        <v>0</v>
      </c>
      <c r="R59" s="76">
        <v>0</v>
      </c>
      <c r="S59" s="76">
        <v>108024.341</v>
      </c>
      <c r="T59" s="76">
        <v>5218.7492899999997</v>
      </c>
      <c r="U59" s="76">
        <v>0</v>
      </c>
      <c r="V59" s="76">
        <v>-12358.475560000001</v>
      </c>
      <c r="W59" s="76">
        <v>100884.61473</v>
      </c>
      <c r="X59" s="76">
        <v>101609.11382</v>
      </c>
      <c r="Y59" s="76">
        <v>96528.658129000003</v>
      </c>
      <c r="Z59" s="76">
        <v>101666.05532</v>
      </c>
      <c r="AA59" s="76">
        <v>16091.030339000001</v>
      </c>
      <c r="AB59" s="76">
        <v>0.97024299999999997</v>
      </c>
      <c r="AC59" s="76"/>
      <c r="AD59" s="76">
        <v>0</v>
      </c>
      <c r="AE59" s="76">
        <v>0</v>
      </c>
      <c r="AF59" s="76">
        <v>83303.935209999996</v>
      </c>
      <c r="AG59" s="76">
        <v>0</v>
      </c>
      <c r="AH59" s="76">
        <v>0</v>
      </c>
      <c r="AI59" s="76">
        <v>0</v>
      </c>
      <c r="AJ59" s="76">
        <v>0</v>
      </c>
      <c r="AK59" s="76">
        <v>691519.00970000005</v>
      </c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>
        <v>95.851076558000003</v>
      </c>
      <c r="BA59" s="76">
        <v>1.29E-2</v>
      </c>
      <c r="BB59" s="76">
        <v>0</v>
      </c>
      <c r="BC59" s="76">
        <v>0.99290400000000001</v>
      </c>
      <c r="BD59" s="76">
        <v>1.172855</v>
      </c>
      <c r="BE59" s="76">
        <v>70901</v>
      </c>
      <c r="BF59" s="76">
        <v>70744</v>
      </c>
      <c r="BG59" s="76">
        <v>130</v>
      </c>
      <c r="BH59" s="76">
        <v>0</v>
      </c>
      <c r="BI59" s="76">
        <v>1</v>
      </c>
      <c r="BJ59" s="76">
        <v>0</v>
      </c>
      <c r="BK59" s="76">
        <v>6</v>
      </c>
      <c r="BL59" s="76">
        <v>0</v>
      </c>
      <c r="BM59" s="76">
        <v>0</v>
      </c>
      <c r="BN59" s="76">
        <v>0</v>
      </c>
      <c r="BO59" s="76">
        <v>0</v>
      </c>
      <c r="BP59" s="76">
        <v>0</v>
      </c>
      <c r="BQ59" s="76">
        <v>11</v>
      </c>
      <c r="BR59" s="76">
        <v>7</v>
      </c>
      <c r="BS59" s="76">
        <v>0</v>
      </c>
      <c r="BT59" s="76">
        <v>2</v>
      </c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>
        <v>0.90411086774000005</v>
      </c>
      <c r="CJ59" s="78">
        <v>704267.01477999997</v>
      </c>
    </row>
    <row r="60" spans="2:88" ht="15.6" x14ac:dyDescent="0.3">
      <c r="B60" s="79" t="s">
        <v>41</v>
      </c>
      <c r="C60" s="80" t="s">
        <v>206</v>
      </c>
      <c r="D60" s="81" t="s">
        <v>135</v>
      </c>
      <c r="E60" s="81">
        <v>30248180000196</v>
      </c>
      <c r="F60" s="82">
        <v>0.45500000000000002</v>
      </c>
      <c r="G60" s="80" t="s">
        <v>88</v>
      </c>
      <c r="H60" s="82">
        <v>1.2</v>
      </c>
      <c r="I60" s="83" t="s">
        <v>183</v>
      </c>
      <c r="J60" s="82">
        <v>2460503.9914000002</v>
      </c>
      <c r="K60" s="82">
        <v>2435828.7869000002</v>
      </c>
      <c r="L60" s="82">
        <v>0</v>
      </c>
      <c r="M60" s="82">
        <v>10424.992899999999</v>
      </c>
      <c r="N60" s="82">
        <v>738.40682000000004</v>
      </c>
      <c r="O60" s="82">
        <v>2459765.5846000002</v>
      </c>
      <c r="P60" s="82">
        <v>101299.50406000001</v>
      </c>
      <c r="Q60" s="82">
        <v>0</v>
      </c>
      <c r="R60" s="82">
        <v>0</v>
      </c>
      <c r="S60" s="82">
        <v>101299.50406000001</v>
      </c>
      <c r="T60" s="82">
        <v>3589.8570399999999</v>
      </c>
      <c r="U60" s="82">
        <v>0</v>
      </c>
      <c r="V60" s="82">
        <v>-10682.728859999999</v>
      </c>
      <c r="W60" s="82">
        <v>94206.632240000006</v>
      </c>
      <c r="X60" s="82">
        <v>94206.632240000006</v>
      </c>
      <c r="Y60" s="82">
        <v>89496.300627999997</v>
      </c>
      <c r="Z60" s="82">
        <v>95149.788218000002</v>
      </c>
      <c r="AA60" s="82">
        <v>19434.098558000002</v>
      </c>
      <c r="AB60" s="82">
        <v>1.020335</v>
      </c>
      <c r="AC60" s="82"/>
      <c r="AD60" s="82">
        <v>0</v>
      </c>
      <c r="AE60" s="82">
        <v>0</v>
      </c>
      <c r="AF60" s="82">
        <v>445260.35963000002</v>
      </c>
      <c r="AG60" s="82">
        <v>0</v>
      </c>
      <c r="AH60" s="82">
        <v>0</v>
      </c>
      <c r="AI60" s="82">
        <v>0</v>
      </c>
      <c r="AJ60" s="82">
        <v>0</v>
      </c>
      <c r="AK60" s="82">
        <v>2032681.9047000001</v>
      </c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>
        <v>111.38122554</v>
      </c>
      <c r="BA60" s="82">
        <v>1.4E-3</v>
      </c>
      <c r="BB60" s="82">
        <v>0</v>
      </c>
      <c r="BC60" s="82">
        <v>0.32689299999999999</v>
      </c>
      <c r="BD60" s="82">
        <v>1.4650620000000001</v>
      </c>
      <c r="BE60" s="82">
        <v>160564</v>
      </c>
      <c r="BF60" s="82">
        <v>160354</v>
      </c>
      <c r="BG60" s="82">
        <v>183</v>
      </c>
      <c r="BH60" s="82">
        <v>0</v>
      </c>
      <c r="BI60" s="82">
        <v>0</v>
      </c>
      <c r="BJ60" s="82">
        <v>0</v>
      </c>
      <c r="BK60" s="82">
        <v>12</v>
      </c>
      <c r="BL60" s="82">
        <v>1</v>
      </c>
      <c r="BM60" s="82">
        <v>0</v>
      </c>
      <c r="BN60" s="82">
        <v>0</v>
      </c>
      <c r="BO60" s="82">
        <v>0</v>
      </c>
      <c r="BP60" s="82">
        <v>0</v>
      </c>
      <c r="BQ60" s="82">
        <v>8</v>
      </c>
      <c r="BR60" s="82">
        <v>3</v>
      </c>
      <c r="BS60" s="82">
        <v>0</v>
      </c>
      <c r="BT60" s="82">
        <v>3</v>
      </c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>
        <v>0.26036703993999999</v>
      </c>
      <c r="CJ60" s="84">
        <v>640441.88422000001</v>
      </c>
    </row>
    <row r="61" spans="2:88" ht="15.6" x14ac:dyDescent="0.3">
      <c r="B61" s="73" t="s">
        <v>42</v>
      </c>
      <c r="C61" s="74" t="s">
        <v>207</v>
      </c>
      <c r="D61" s="75" t="s">
        <v>136</v>
      </c>
      <c r="E61" s="75">
        <v>8431747000106</v>
      </c>
      <c r="F61" s="76">
        <v>1.8380000000000001</v>
      </c>
      <c r="G61" s="74" t="s">
        <v>93</v>
      </c>
      <c r="H61" s="76"/>
      <c r="I61" s="77" t="s">
        <v>183</v>
      </c>
      <c r="J61" s="76">
        <v>3166754.8371000001</v>
      </c>
      <c r="K61" s="76">
        <v>3049083.3791</v>
      </c>
      <c r="L61" s="76">
        <v>2278409.0680999998</v>
      </c>
      <c r="M61" s="76">
        <v>78863.968210000006</v>
      </c>
      <c r="N61" s="76">
        <v>287745.53558000003</v>
      </c>
      <c r="O61" s="76">
        <v>2879009.3015000001</v>
      </c>
      <c r="P61" s="76">
        <v>278404.80067000003</v>
      </c>
      <c r="Q61" s="76">
        <v>0</v>
      </c>
      <c r="R61" s="76">
        <v>190962.48608</v>
      </c>
      <c r="S61" s="76">
        <v>87442.314589999994</v>
      </c>
      <c r="T61" s="76">
        <v>19774.489529999999</v>
      </c>
      <c r="U61" s="76">
        <v>0</v>
      </c>
      <c r="V61" s="76">
        <v>-42346.625659999998</v>
      </c>
      <c r="W61" s="76">
        <v>255832.66454</v>
      </c>
      <c r="X61" s="76">
        <v>255832.66454</v>
      </c>
      <c r="Y61" s="76">
        <v>243041.03130999999</v>
      </c>
      <c r="Z61" s="76">
        <v>264684.80625000002</v>
      </c>
      <c r="AA61" s="76">
        <v>47736.750012999997</v>
      </c>
      <c r="AB61" s="76">
        <v>0.97564099999999998</v>
      </c>
      <c r="AC61" s="76"/>
      <c r="AD61" s="76">
        <v>0</v>
      </c>
      <c r="AE61" s="76">
        <v>0</v>
      </c>
      <c r="AF61" s="76">
        <v>574605.73806</v>
      </c>
      <c r="AG61" s="76">
        <v>6492.4473900000003</v>
      </c>
      <c r="AH61" s="76">
        <v>0</v>
      </c>
      <c r="AI61" s="76">
        <v>0</v>
      </c>
      <c r="AJ61" s="76">
        <v>0</v>
      </c>
      <c r="AK61" s="76">
        <v>-127229.32822</v>
      </c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>
        <v>226.16296419</v>
      </c>
      <c r="BA61" s="76">
        <v>4.9299999999999997E-2</v>
      </c>
      <c r="BB61" s="76">
        <v>2.5999999999999999E-3</v>
      </c>
      <c r="BC61" s="76">
        <v>0.70760000000000001</v>
      </c>
      <c r="BD61" s="76">
        <v>0.72889999999999999</v>
      </c>
      <c r="BE61" s="76">
        <v>127060</v>
      </c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>
        <v>5.1363000000000003</v>
      </c>
      <c r="BV61" s="76">
        <v>3.9577</v>
      </c>
      <c r="BW61" s="76">
        <v>2.4921000000000002</v>
      </c>
      <c r="BX61" s="76">
        <v>2.7934999999999999</v>
      </c>
      <c r="BY61" s="76">
        <v>2.4218999999999999</v>
      </c>
      <c r="BZ61" s="76">
        <v>2.7625000000000002</v>
      </c>
      <c r="CA61" s="76">
        <v>2.4798</v>
      </c>
      <c r="CB61" s="76">
        <v>2.1473</v>
      </c>
      <c r="CC61" s="76">
        <v>2.8588</v>
      </c>
      <c r="CD61" s="76">
        <v>3.1916000000000002</v>
      </c>
      <c r="CE61" s="76">
        <v>2.8182</v>
      </c>
      <c r="CF61" s="76">
        <v>3.3788999999999998</v>
      </c>
      <c r="CG61" s="76">
        <v>41.037199999999999</v>
      </c>
      <c r="CH61" s="76">
        <v>22.5242</v>
      </c>
      <c r="CI61" s="76">
        <v>0.89775972263000003</v>
      </c>
      <c r="CJ61" s="78">
        <v>2584658.5920000002</v>
      </c>
    </row>
    <row r="62" spans="2:88" ht="15.6" x14ac:dyDescent="0.3">
      <c r="B62" s="79" t="s">
        <v>43</v>
      </c>
      <c r="C62" s="80" t="s">
        <v>208</v>
      </c>
      <c r="D62" s="81" t="s">
        <v>137</v>
      </c>
      <c r="E62" s="81">
        <v>18307582000119</v>
      </c>
      <c r="F62" s="82">
        <v>1.1100000000000001</v>
      </c>
      <c r="G62" s="80" t="s">
        <v>88</v>
      </c>
      <c r="H62" s="82">
        <v>0.6</v>
      </c>
      <c r="I62" s="83" t="s">
        <v>183</v>
      </c>
      <c r="J62" s="82">
        <v>1788185.0033</v>
      </c>
      <c r="K62" s="82">
        <v>1756203.8862000001</v>
      </c>
      <c r="L62" s="82">
        <v>0</v>
      </c>
      <c r="M62" s="82">
        <v>585.65138999999999</v>
      </c>
      <c r="N62" s="82">
        <v>16678.154159999998</v>
      </c>
      <c r="O62" s="82">
        <v>1771506.8492000001</v>
      </c>
      <c r="P62" s="82">
        <v>181942.26009</v>
      </c>
      <c r="Q62" s="82">
        <v>0</v>
      </c>
      <c r="R62" s="82">
        <v>0</v>
      </c>
      <c r="S62" s="82">
        <v>181942.26009</v>
      </c>
      <c r="T62" s="82">
        <v>2735.1250799999998</v>
      </c>
      <c r="U62" s="82">
        <v>0</v>
      </c>
      <c r="V62" s="82">
        <v>-11151.18093</v>
      </c>
      <c r="W62" s="82">
        <v>173526.20423999999</v>
      </c>
      <c r="X62" s="82">
        <v>173526.20058999999</v>
      </c>
      <c r="Y62" s="82">
        <v>164849.89056</v>
      </c>
      <c r="Z62" s="82">
        <v>174192.24642000001</v>
      </c>
      <c r="AA62" s="82">
        <v>73722.919070999997</v>
      </c>
      <c r="AB62" s="82">
        <v>0.95913800000000005</v>
      </c>
      <c r="AC62" s="82"/>
      <c r="AD62" s="82">
        <v>0</v>
      </c>
      <c r="AE62" s="82">
        <v>0</v>
      </c>
      <c r="AF62" s="82">
        <v>1726173.73</v>
      </c>
      <c r="AG62" s="82">
        <v>0</v>
      </c>
      <c r="AH62" s="82">
        <v>0</v>
      </c>
      <c r="AI62" s="82">
        <v>0</v>
      </c>
      <c r="AJ62" s="82">
        <v>0</v>
      </c>
      <c r="AK62" s="82">
        <v>41554.776709999998</v>
      </c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>
        <v>76.873674070999996</v>
      </c>
      <c r="BA62" s="82">
        <v>4.7500000000000001E-2</v>
      </c>
      <c r="BB62" s="82">
        <v>2.5999999999999999E-3</v>
      </c>
      <c r="BC62" s="82">
        <v>0.82030000000000003</v>
      </c>
      <c r="BD62" s="82">
        <v>0.91169999999999995</v>
      </c>
      <c r="BE62" s="82">
        <v>74430</v>
      </c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>
        <v>0.88131601382000002</v>
      </c>
      <c r="CJ62" s="84">
        <v>1561257.3547</v>
      </c>
    </row>
    <row r="63" spans="2:88" ht="15.6" x14ac:dyDescent="0.3">
      <c r="B63" s="73" t="s">
        <v>312</v>
      </c>
      <c r="C63" s="74" t="s">
        <v>337</v>
      </c>
      <c r="D63" s="75" t="s">
        <v>320</v>
      </c>
      <c r="E63" s="75">
        <v>8706065000169</v>
      </c>
      <c r="F63" s="76">
        <v>0.214</v>
      </c>
      <c r="G63" s="74" t="s">
        <v>351</v>
      </c>
      <c r="H63" s="76">
        <v>0.8</v>
      </c>
      <c r="I63" s="77" t="s">
        <v>183</v>
      </c>
      <c r="J63" s="76">
        <v>206365.99854</v>
      </c>
      <c r="K63" s="76">
        <v>198495.23751000001</v>
      </c>
      <c r="L63" s="76">
        <v>198495.23751000001</v>
      </c>
      <c r="M63" s="76">
        <v>14.95534</v>
      </c>
      <c r="N63" s="76">
        <v>3872.0035400000002</v>
      </c>
      <c r="O63" s="76">
        <v>202493.995</v>
      </c>
      <c r="P63" s="76">
        <v>17298.839209999998</v>
      </c>
      <c r="Q63" s="76">
        <v>0</v>
      </c>
      <c r="R63" s="76">
        <v>7798.1108999999997</v>
      </c>
      <c r="S63" s="76">
        <v>9500.7283100000004</v>
      </c>
      <c r="T63" s="76">
        <v>335.36608999999999</v>
      </c>
      <c r="U63" s="76">
        <v>0</v>
      </c>
      <c r="V63" s="76">
        <v>-3806.9159300000001</v>
      </c>
      <c r="W63" s="76">
        <v>13827.28937</v>
      </c>
      <c r="X63" s="76">
        <v>10931.28708</v>
      </c>
      <c r="Y63" s="76">
        <v>10384.722726</v>
      </c>
      <c r="Z63" s="76">
        <v>11080.269216000001</v>
      </c>
      <c r="AA63" s="76">
        <v>3395.7611160000001</v>
      </c>
      <c r="AB63" s="76">
        <v>1.031385</v>
      </c>
      <c r="AC63" s="76"/>
      <c r="AD63" s="76">
        <v>0</v>
      </c>
      <c r="AE63" s="76">
        <v>0</v>
      </c>
      <c r="AF63" s="76">
        <v>5914.2149799999997</v>
      </c>
      <c r="AG63" s="76">
        <v>0</v>
      </c>
      <c r="AH63" s="76">
        <v>0</v>
      </c>
      <c r="AI63" s="76">
        <v>0</v>
      </c>
      <c r="AJ63" s="76">
        <v>0</v>
      </c>
      <c r="AK63" s="76">
        <v>-2711.2933899999998</v>
      </c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>
        <v>134.60707196999999</v>
      </c>
      <c r="BA63" s="76">
        <v>0</v>
      </c>
      <c r="BB63" s="76">
        <v>0</v>
      </c>
      <c r="BC63" s="76">
        <v>0</v>
      </c>
      <c r="BD63" s="76">
        <v>0</v>
      </c>
      <c r="BE63" s="76">
        <v>35432</v>
      </c>
      <c r="BF63" s="76">
        <v>35348</v>
      </c>
      <c r="BG63" s="76">
        <v>76</v>
      </c>
      <c r="BH63" s="76">
        <v>0</v>
      </c>
      <c r="BI63" s="76">
        <v>0</v>
      </c>
      <c r="BJ63" s="76">
        <v>0</v>
      </c>
      <c r="BK63" s="76">
        <v>2</v>
      </c>
      <c r="BL63" s="76">
        <v>0</v>
      </c>
      <c r="BM63" s="76">
        <v>0</v>
      </c>
      <c r="BN63" s="76">
        <v>0</v>
      </c>
      <c r="BO63" s="76">
        <v>0</v>
      </c>
      <c r="BP63" s="76">
        <v>0</v>
      </c>
      <c r="BQ63" s="76">
        <v>2</v>
      </c>
      <c r="BR63" s="76">
        <v>3</v>
      </c>
      <c r="BS63" s="76">
        <v>0</v>
      </c>
      <c r="BT63" s="76">
        <v>1</v>
      </c>
      <c r="BU63" s="76">
        <v>0</v>
      </c>
      <c r="BV63" s="76">
        <v>0</v>
      </c>
      <c r="BW63" s="76">
        <v>0</v>
      </c>
      <c r="BX63" s="76">
        <v>0</v>
      </c>
      <c r="BY63" s="76">
        <v>0</v>
      </c>
      <c r="BZ63" s="76">
        <v>0</v>
      </c>
      <c r="CA63" s="76">
        <v>0</v>
      </c>
      <c r="CB63" s="76">
        <v>0</v>
      </c>
      <c r="CC63" s="76">
        <v>0</v>
      </c>
      <c r="CD63" s="76">
        <v>0</v>
      </c>
      <c r="CE63" s="76">
        <v>0</v>
      </c>
      <c r="CF63" s="76">
        <v>0</v>
      </c>
      <c r="CG63" s="76">
        <v>100</v>
      </c>
      <c r="CH63" s="76">
        <v>0</v>
      </c>
      <c r="CI63" s="76">
        <v>1.4858060359</v>
      </c>
      <c r="CJ63" s="78">
        <v>300866.8</v>
      </c>
    </row>
    <row r="64" spans="2:88" ht="15.6" x14ac:dyDescent="0.3">
      <c r="B64" s="79" t="s">
        <v>44</v>
      </c>
      <c r="C64" s="80" t="s">
        <v>209</v>
      </c>
      <c r="D64" s="81" t="s">
        <v>138</v>
      </c>
      <c r="E64" s="81">
        <v>35360687000150</v>
      </c>
      <c r="F64" s="82">
        <v>0.14699999999999999</v>
      </c>
      <c r="G64" s="80" t="s">
        <v>88</v>
      </c>
      <c r="H64" s="82">
        <v>1</v>
      </c>
      <c r="I64" s="83" t="s">
        <v>182</v>
      </c>
      <c r="J64" s="82">
        <v>227797.57419000001</v>
      </c>
      <c r="K64" s="82">
        <v>204531.7709</v>
      </c>
      <c r="L64" s="82">
        <v>0</v>
      </c>
      <c r="M64" s="82">
        <v>69.537649999999999</v>
      </c>
      <c r="N64" s="82">
        <v>2320.7530499999998</v>
      </c>
      <c r="O64" s="82">
        <v>225476.82114000001</v>
      </c>
      <c r="P64" s="82">
        <v>27233.360980000001</v>
      </c>
      <c r="Q64" s="82">
        <v>0</v>
      </c>
      <c r="R64" s="82">
        <v>0</v>
      </c>
      <c r="S64" s="82">
        <v>27233.360980000001</v>
      </c>
      <c r="T64" s="82">
        <v>1188.9153100000001</v>
      </c>
      <c r="U64" s="82">
        <v>0</v>
      </c>
      <c r="V64" s="82">
        <v>-2920.4644600000001</v>
      </c>
      <c r="W64" s="82">
        <v>25501.811829999999</v>
      </c>
      <c r="X64" s="82">
        <v>25523.17369</v>
      </c>
      <c r="Y64" s="82">
        <v>24247.015006000001</v>
      </c>
      <c r="Z64" s="82">
        <v>26021.507996</v>
      </c>
      <c r="AA64" s="82">
        <v>4168.4940754999998</v>
      </c>
      <c r="AB64" s="82">
        <v>1.0032719999999999</v>
      </c>
      <c r="AC64" s="82"/>
      <c r="AD64" s="82">
        <v>0</v>
      </c>
      <c r="AE64" s="82">
        <v>0</v>
      </c>
      <c r="AF64" s="82">
        <v>86158.64069</v>
      </c>
      <c r="AG64" s="82">
        <v>0</v>
      </c>
      <c r="AH64" s="82">
        <v>0</v>
      </c>
      <c r="AI64" s="82">
        <v>0</v>
      </c>
      <c r="AJ64" s="82">
        <v>0</v>
      </c>
      <c r="AK64" s="82">
        <v>141601.17601</v>
      </c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>
        <v>89.249679831999998</v>
      </c>
      <c r="BA64" s="82">
        <v>8.2267866410000001E-2</v>
      </c>
      <c r="BB64" s="82"/>
      <c r="BC64" s="82">
        <v>0.89590000000000003</v>
      </c>
      <c r="BD64" s="82">
        <v>0.84460000000000002</v>
      </c>
      <c r="BE64" s="82">
        <v>10694</v>
      </c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>
        <v>0.91529740111000002</v>
      </c>
      <c r="CJ64" s="84">
        <v>206378.34839999999</v>
      </c>
    </row>
    <row r="65" spans="2:88" ht="15.6" x14ac:dyDescent="0.3">
      <c r="B65" s="73" t="s">
        <v>45</v>
      </c>
      <c r="C65" s="74" t="s">
        <v>338</v>
      </c>
      <c r="D65" s="75" t="s">
        <v>139</v>
      </c>
      <c r="E65" s="75">
        <v>32903621000171</v>
      </c>
      <c r="F65" s="76">
        <v>0.755</v>
      </c>
      <c r="G65" s="74" t="s">
        <v>92</v>
      </c>
      <c r="H65" s="76">
        <v>0.9</v>
      </c>
      <c r="I65" s="77" t="s">
        <v>182</v>
      </c>
      <c r="J65" s="76">
        <v>1501953.2838999999</v>
      </c>
      <c r="K65" s="76">
        <v>1443138.7468000001</v>
      </c>
      <c r="L65" s="76">
        <v>1434388.7290000001</v>
      </c>
      <c r="M65" s="76">
        <v>13501.417450000001</v>
      </c>
      <c r="N65" s="76">
        <v>178224.24282000001</v>
      </c>
      <c r="O65" s="76">
        <v>1323729.0411</v>
      </c>
      <c r="P65" s="76">
        <v>16857.658790000001</v>
      </c>
      <c r="Q65" s="76">
        <v>0</v>
      </c>
      <c r="R65" s="76">
        <v>10672.6749</v>
      </c>
      <c r="S65" s="76">
        <v>6184.9838900000004</v>
      </c>
      <c r="T65" s="76">
        <v>291.00236000000001</v>
      </c>
      <c r="U65" s="76">
        <v>0</v>
      </c>
      <c r="V65" s="76">
        <v>-3367.32339</v>
      </c>
      <c r="W65" s="76">
        <v>13781.33776</v>
      </c>
      <c r="X65" s="76">
        <v>10931.28708</v>
      </c>
      <c r="Y65" s="76">
        <v>10384.722726</v>
      </c>
      <c r="Z65" s="76">
        <v>11080.269216000001</v>
      </c>
      <c r="AA65" s="76">
        <v>3395.7611160000001</v>
      </c>
      <c r="AB65" s="76">
        <v>1.031385</v>
      </c>
      <c r="AC65" s="76"/>
      <c r="AD65" s="76">
        <v>0</v>
      </c>
      <c r="AE65" s="76">
        <v>0</v>
      </c>
      <c r="AF65" s="76">
        <v>18947.7677</v>
      </c>
      <c r="AG65" s="76">
        <v>0</v>
      </c>
      <c r="AH65" s="76">
        <v>0</v>
      </c>
      <c r="AI65" s="76">
        <v>0</v>
      </c>
      <c r="AJ65" s="76">
        <v>0</v>
      </c>
      <c r="AK65" s="76">
        <v>37474.357380000001</v>
      </c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>
        <v>104.55940249</v>
      </c>
      <c r="BA65" s="76">
        <v>6.2396133527999997E-2</v>
      </c>
      <c r="BB65" s="76"/>
      <c r="BC65" s="76">
        <v>0.70679999999999998</v>
      </c>
      <c r="BD65" s="76">
        <v>0.57509999999999994</v>
      </c>
      <c r="BE65" s="76">
        <v>40067</v>
      </c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>
        <v>5.21</v>
      </c>
      <c r="BV65" s="76">
        <v>0.82</v>
      </c>
      <c r="BW65" s="76">
        <v>0.37</v>
      </c>
      <c r="BX65" s="76">
        <v>0</v>
      </c>
      <c r="BY65" s="76">
        <v>0</v>
      </c>
      <c r="BZ65" s="76">
        <v>0</v>
      </c>
      <c r="CA65" s="76">
        <v>0</v>
      </c>
      <c r="CB65" s="76">
        <v>0</v>
      </c>
      <c r="CC65" s="76">
        <v>2.02</v>
      </c>
      <c r="CD65" s="76">
        <v>2.4900000000000002</v>
      </c>
      <c r="CE65" s="76">
        <v>2.456</v>
      </c>
      <c r="CF65" s="76">
        <v>0</v>
      </c>
      <c r="CG65" s="76">
        <v>100</v>
      </c>
      <c r="CH65" s="76">
        <v>0</v>
      </c>
      <c r="CI65" s="76">
        <v>0.80241468485</v>
      </c>
      <c r="CJ65" s="78">
        <v>1062179.6213</v>
      </c>
    </row>
    <row r="66" spans="2:88" ht="15.6" x14ac:dyDescent="0.3">
      <c r="B66" s="79" t="s">
        <v>46</v>
      </c>
      <c r="C66" s="80" t="s">
        <v>410</v>
      </c>
      <c r="D66" s="81" t="s">
        <v>140</v>
      </c>
      <c r="E66" s="81">
        <v>32892018000131</v>
      </c>
      <c r="F66" s="82">
        <v>1.327</v>
      </c>
      <c r="G66" s="80" t="s">
        <v>93</v>
      </c>
      <c r="H66" s="82">
        <v>1.3</v>
      </c>
      <c r="I66" s="83" t="s">
        <v>182</v>
      </c>
      <c r="J66" s="82">
        <v>2925157.4319000002</v>
      </c>
      <c r="K66" s="82">
        <v>2578986.2259</v>
      </c>
      <c r="L66" s="82">
        <v>2550619.0636999998</v>
      </c>
      <c r="M66" s="82">
        <v>217606.19028000001</v>
      </c>
      <c r="N66" s="82">
        <v>672283.54176000005</v>
      </c>
      <c r="O66" s="82">
        <v>2252873.8901</v>
      </c>
      <c r="P66" s="82">
        <v>180088.76688000001</v>
      </c>
      <c r="Q66" s="82">
        <v>0</v>
      </c>
      <c r="R66" s="82">
        <v>173473.76688000001</v>
      </c>
      <c r="S66" s="82">
        <v>6615</v>
      </c>
      <c r="T66" s="82">
        <v>8118.3786399999999</v>
      </c>
      <c r="U66" s="82">
        <v>0</v>
      </c>
      <c r="V66" s="82">
        <v>-19040.633140000002</v>
      </c>
      <c r="W66" s="82">
        <v>169166.51238</v>
      </c>
      <c r="X66" s="82">
        <v>169166.51238</v>
      </c>
      <c r="Y66" s="82">
        <v>160708.18676000001</v>
      </c>
      <c r="Z66" s="82">
        <v>164047.17986</v>
      </c>
      <c r="AA66" s="82">
        <v>28327.741881000002</v>
      </c>
      <c r="AB66" s="82">
        <v>0.95804299999999998</v>
      </c>
      <c r="AC66" s="82"/>
      <c r="AD66" s="82">
        <v>0</v>
      </c>
      <c r="AE66" s="82">
        <v>0</v>
      </c>
      <c r="AF66" s="82">
        <v>108592.24649</v>
      </c>
      <c r="AG66" s="82">
        <v>0</v>
      </c>
      <c r="AH66" s="82">
        <v>0</v>
      </c>
      <c r="AI66" s="82">
        <v>0</v>
      </c>
      <c r="AJ66" s="82">
        <v>0</v>
      </c>
      <c r="AK66" s="82">
        <v>-467055.94510999997</v>
      </c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>
        <v>108.26662637</v>
      </c>
      <c r="BA66" s="82">
        <v>8.4900000000000003E-2</v>
      </c>
      <c r="BB66" s="82">
        <v>0</v>
      </c>
      <c r="BC66" s="82">
        <v>0.73919999999999997</v>
      </c>
      <c r="BD66" s="82">
        <v>0.77300000000000002</v>
      </c>
      <c r="BE66" s="82">
        <v>197528</v>
      </c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>
        <v>3.0613696062</v>
      </c>
      <c r="BV66" s="82">
        <v>2.8520067414999999</v>
      </c>
      <c r="BW66" s="82">
        <v>2.0174822996000001</v>
      </c>
      <c r="BX66" s="82">
        <v>1.2629235448</v>
      </c>
      <c r="BY66" s="82">
        <v>1.1088077177</v>
      </c>
      <c r="BZ66" s="82">
        <v>3.2410893584</v>
      </c>
      <c r="CA66" s="82">
        <v>2.8055721171000001</v>
      </c>
      <c r="CB66" s="82">
        <v>1.9559041301</v>
      </c>
      <c r="CC66" s="82">
        <v>2.4141133801999999</v>
      </c>
      <c r="CD66" s="82">
        <v>4.8273672714</v>
      </c>
      <c r="CE66" s="82">
        <v>1.7793945871000001</v>
      </c>
      <c r="CF66" s="82">
        <v>1.5159581863</v>
      </c>
      <c r="CG66" s="82">
        <v>52.552083299000003</v>
      </c>
      <c r="CH66" s="82">
        <v>18.60592776</v>
      </c>
      <c r="CI66" s="82">
        <v>0.82851016056000004</v>
      </c>
      <c r="CJ66" s="84">
        <v>1866528.9084000001</v>
      </c>
    </row>
    <row r="67" spans="2:88" ht="15.6" x14ac:dyDescent="0.3">
      <c r="B67" s="73" t="s">
        <v>361</v>
      </c>
      <c r="C67" s="74" t="s">
        <v>411</v>
      </c>
      <c r="D67" s="75" t="s">
        <v>380</v>
      </c>
      <c r="E67" s="75">
        <v>34598181000111</v>
      </c>
      <c r="F67" s="76">
        <v>0.21</v>
      </c>
      <c r="G67" s="74" t="s">
        <v>92</v>
      </c>
      <c r="H67" s="76">
        <v>0.46</v>
      </c>
      <c r="I67" s="77" t="s">
        <v>183</v>
      </c>
      <c r="J67" s="76">
        <v>560317.35543</v>
      </c>
      <c r="K67" s="76">
        <v>550310.92623999994</v>
      </c>
      <c r="L67" s="76">
        <v>550310.92623999994</v>
      </c>
      <c r="M67" s="76">
        <v>3203.3811700000001</v>
      </c>
      <c r="N67" s="76">
        <v>109802.88771</v>
      </c>
      <c r="O67" s="76">
        <v>450514.46772000002</v>
      </c>
      <c r="P67" s="76">
        <v>44682.225769999997</v>
      </c>
      <c r="Q67" s="76">
        <v>0</v>
      </c>
      <c r="R67" s="76">
        <v>44196.995130000003</v>
      </c>
      <c r="S67" s="76">
        <v>485.23063999999999</v>
      </c>
      <c r="T67" s="76">
        <v>646.97967000000006</v>
      </c>
      <c r="U67" s="76">
        <v>0</v>
      </c>
      <c r="V67" s="76">
        <v>-2828.84069</v>
      </c>
      <c r="W67" s="76">
        <v>42500.364750000001</v>
      </c>
      <c r="X67" s="76">
        <v>28825.333579999999</v>
      </c>
      <c r="Y67" s="76">
        <v>27384.066900999998</v>
      </c>
      <c r="Z67" s="76">
        <v>28864.965090999998</v>
      </c>
      <c r="AA67" s="76">
        <v>2541.4092009999999</v>
      </c>
      <c r="AB67" s="76">
        <v>0.99231499999999995</v>
      </c>
      <c r="AC67" s="76"/>
      <c r="AD67" s="76">
        <v>0</v>
      </c>
      <c r="AE67" s="76">
        <v>0</v>
      </c>
      <c r="AF67" s="76">
        <v>0</v>
      </c>
      <c r="AG67" s="76">
        <v>0</v>
      </c>
      <c r="AH67" s="76">
        <v>0</v>
      </c>
      <c r="AI67" s="76">
        <v>0</v>
      </c>
      <c r="AJ67" s="76">
        <v>0</v>
      </c>
      <c r="AK67" s="76">
        <v>-61775.876530000001</v>
      </c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>
        <v>99.845785372999998</v>
      </c>
      <c r="BA67" s="76">
        <v>3.8105542063999999E-2</v>
      </c>
      <c r="BB67" s="76">
        <v>0</v>
      </c>
      <c r="BC67" s="76">
        <v>0.72070000000000001</v>
      </c>
      <c r="BD67" s="76">
        <v>-2.0354000000000001</v>
      </c>
      <c r="BE67" s="76">
        <v>20451</v>
      </c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>
        <v>14.313499999999999</v>
      </c>
      <c r="BV67" s="76">
        <v>5.2622</v>
      </c>
      <c r="BW67" s="76">
        <v>6.4157000000000002</v>
      </c>
      <c r="BX67" s="76">
        <v>16.782699999999998</v>
      </c>
      <c r="BY67" s="76">
        <v>11.204499999999999</v>
      </c>
      <c r="BZ67" s="76">
        <v>1.6911</v>
      </c>
      <c r="CA67" s="76">
        <v>5.6734999999999998</v>
      </c>
      <c r="CB67" s="76">
        <v>0.47389999999999999</v>
      </c>
      <c r="CC67" s="76">
        <v>2.3405999999999998</v>
      </c>
      <c r="CD67" s="76">
        <v>6.3841999999999999</v>
      </c>
      <c r="CE67" s="76">
        <v>6.4880000000000004</v>
      </c>
      <c r="CF67" s="76">
        <v>10.2646</v>
      </c>
      <c r="CG67" s="76">
        <v>12.705500000000001</v>
      </c>
      <c r="CH67" s="76">
        <v>0</v>
      </c>
      <c r="CI67" s="76">
        <v>0.83669029882000001</v>
      </c>
      <c r="CJ67" s="78">
        <v>376941.08461999998</v>
      </c>
    </row>
    <row r="68" spans="2:88" ht="15.6" x14ac:dyDescent="0.3">
      <c r="B68" s="79" t="s">
        <v>47</v>
      </c>
      <c r="C68" s="80" t="s">
        <v>210</v>
      </c>
      <c r="D68" s="81" t="s">
        <v>141</v>
      </c>
      <c r="E68" s="81">
        <v>28830325000110</v>
      </c>
      <c r="F68" s="82">
        <v>1.71</v>
      </c>
      <c r="G68" s="80" t="s">
        <v>88</v>
      </c>
      <c r="H68" s="82">
        <v>1.3</v>
      </c>
      <c r="I68" s="83" t="s">
        <v>182</v>
      </c>
      <c r="J68" s="82">
        <v>3101004.8314</v>
      </c>
      <c r="K68" s="82">
        <v>3016264.3272000002</v>
      </c>
      <c r="L68" s="82">
        <v>0</v>
      </c>
      <c r="M68" s="82">
        <v>93.492379999999997</v>
      </c>
      <c r="N68" s="82">
        <v>3585.9184100000002</v>
      </c>
      <c r="O68" s="82">
        <v>3097418.9130000002</v>
      </c>
      <c r="P68" s="82">
        <v>362477.60616999998</v>
      </c>
      <c r="Q68" s="82">
        <v>0</v>
      </c>
      <c r="R68" s="82">
        <v>0</v>
      </c>
      <c r="S68" s="82">
        <v>362477.60616999998</v>
      </c>
      <c r="T68" s="82">
        <v>11157.6543</v>
      </c>
      <c r="U68" s="82">
        <v>0</v>
      </c>
      <c r="V68" s="82">
        <v>-31838.78918</v>
      </c>
      <c r="W68" s="82">
        <v>341796.47129000002</v>
      </c>
      <c r="X68" s="82">
        <v>341796.47129000002</v>
      </c>
      <c r="Y68" s="82">
        <v>324706.64773000003</v>
      </c>
      <c r="Z68" s="82">
        <v>333415.81611999997</v>
      </c>
      <c r="AA68" s="82">
        <v>54614.706250000003</v>
      </c>
      <c r="AB68" s="82">
        <v>0.95198799999999995</v>
      </c>
      <c r="AC68" s="82"/>
      <c r="AD68" s="82">
        <v>0</v>
      </c>
      <c r="AE68" s="82">
        <v>0</v>
      </c>
      <c r="AF68" s="82">
        <v>794735.19458000001</v>
      </c>
      <c r="AG68" s="82">
        <v>5212.9293500000003</v>
      </c>
      <c r="AH68" s="82">
        <v>0</v>
      </c>
      <c r="AI68" s="82">
        <v>0</v>
      </c>
      <c r="AJ68" s="82">
        <v>0</v>
      </c>
      <c r="AK68" s="82">
        <v>2279552.8344999999</v>
      </c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>
        <v>85.014920695000001</v>
      </c>
      <c r="BA68" s="82">
        <v>7.3800000000000004E-2</v>
      </c>
      <c r="BB68" s="82">
        <v>0</v>
      </c>
      <c r="BC68" s="82">
        <v>0.80389999999999995</v>
      </c>
      <c r="BD68" s="82">
        <v>0.60940000000000005</v>
      </c>
      <c r="BE68" s="82">
        <v>287137</v>
      </c>
      <c r="BF68" s="82">
        <v>286783</v>
      </c>
      <c r="BG68" s="82">
        <v>305</v>
      </c>
      <c r="BH68" s="82">
        <v>0</v>
      </c>
      <c r="BI68" s="82">
        <v>0</v>
      </c>
      <c r="BJ68" s="82">
        <v>1</v>
      </c>
      <c r="BK68" s="82">
        <v>18</v>
      </c>
      <c r="BL68" s="82">
        <v>0</v>
      </c>
      <c r="BM68" s="82">
        <v>0</v>
      </c>
      <c r="BN68" s="82">
        <v>0</v>
      </c>
      <c r="BO68" s="82">
        <v>0</v>
      </c>
      <c r="BP68" s="82">
        <v>0</v>
      </c>
      <c r="BQ68" s="82">
        <v>19</v>
      </c>
      <c r="BR68" s="82">
        <v>9</v>
      </c>
      <c r="BS68" s="82">
        <v>0</v>
      </c>
      <c r="BT68" s="82">
        <v>2</v>
      </c>
      <c r="BU68" s="82">
        <v>0</v>
      </c>
      <c r="BV68" s="82">
        <v>0</v>
      </c>
      <c r="BW68" s="82">
        <v>0</v>
      </c>
      <c r="BX68" s="82">
        <v>0</v>
      </c>
      <c r="BY68" s="82">
        <v>0</v>
      </c>
      <c r="BZ68" s="82">
        <v>0</v>
      </c>
      <c r="CA68" s="82">
        <v>0</v>
      </c>
      <c r="CB68" s="82">
        <v>0</v>
      </c>
      <c r="CC68" s="82">
        <v>0</v>
      </c>
      <c r="CD68" s="82">
        <v>0</v>
      </c>
      <c r="CE68" s="82">
        <v>0</v>
      </c>
      <c r="CF68" s="82">
        <v>0</v>
      </c>
      <c r="CG68" s="82">
        <v>0</v>
      </c>
      <c r="CH68" s="82">
        <v>0</v>
      </c>
      <c r="CI68" s="82">
        <v>0.77645193878999996</v>
      </c>
      <c r="CJ68" s="84">
        <v>2404996.9202999999</v>
      </c>
    </row>
    <row r="69" spans="2:88" ht="15.6" x14ac:dyDescent="0.3">
      <c r="B69" s="73" t="s">
        <v>313</v>
      </c>
      <c r="C69" s="74" t="s">
        <v>339</v>
      </c>
      <c r="D69" s="75" t="s">
        <v>321</v>
      </c>
      <c r="E69" s="75">
        <v>42085661000107</v>
      </c>
      <c r="F69" s="76">
        <v>0.51300000000000001</v>
      </c>
      <c r="G69" s="74" t="s">
        <v>88</v>
      </c>
      <c r="H69" s="76">
        <v>1</v>
      </c>
      <c r="I69" s="77" t="s">
        <v>183</v>
      </c>
      <c r="J69" s="76">
        <v>750311.76381000003</v>
      </c>
      <c r="K69" s="76">
        <v>666317.13179000001</v>
      </c>
      <c r="L69" s="76">
        <v>0</v>
      </c>
      <c r="M69" s="76">
        <v>8508.6406999999999</v>
      </c>
      <c r="N69" s="76">
        <v>7779.6760100000001</v>
      </c>
      <c r="O69" s="76">
        <v>742532.08779999998</v>
      </c>
      <c r="P69" s="76">
        <v>36396.75073</v>
      </c>
      <c r="Q69" s="76">
        <v>0</v>
      </c>
      <c r="R69" s="76">
        <v>0</v>
      </c>
      <c r="S69" s="76">
        <v>36396.75073</v>
      </c>
      <c r="T69" s="76">
        <v>5532.7104600000002</v>
      </c>
      <c r="U69" s="76">
        <v>0</v>
      </c>
      <c r="V69" s="76">
        <v>-3776.9436000000001</v>
      </c>
      <c r="W69" s="76">
        <v>38152.517590000003</v>
      </c>
      <c r="X69" s="76">
        <v>38152.517599999999</v>
      </c>
      <c r="Y69" s="76">
        <v>36244.89172</v>
      </c>
      <c r="Z69" s="76">
        <v>36458.552069999998</v>
      </c>
      <c r="AA69" s="76">
        <v>21862.926149999999</v>
      </c>
      <c r="AB69" s="76">
        <v>0.95305200000000001</v>
      </c>
      <c r="AC69" s="76"/>
      <c r="AD69" s="76">
        <v>0</v>
      </c>
      <c r="AE69" s="76">
        <v>0</v>
      </c>
      <c r="AF69" s="76">
        <v>549983.33484000002</v>
      </c>
      <c r="AG69" s="76">
        <v>88527.540099999998</v>
      </c>
      <c r="AH69" s="76">
        <v>0</v>
      </c>
      <c r="AI69" s="76">
        <v>0</v>
      </c>
      <c r="AJ69" s="76">
        <v>0</v>
      </c>
      <c r="AK69" s="76">
        <v>91519.554470000003</v>
      </c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>
        <v>95.781807995999998</v>
      </c>
      <c r="BA69" s="76">
        <v>8.8599999999999998E-2</v>
      </c>
      <c r="BB69" s="76">
        <v>0</v>
      </c>
      <c r="BC69" s="76">
        <v>0.94720000000000004</v>
      </c>
      <c r="BD69" s="76">
        <v>0.64890000000000003</v>
      </c>
      <c r="BE69" s="76">
        <v>16049</v>
      </c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>
        <v>0.97241847849999996</v>
      </c>
      <c r="CJ69" s="78">
        <v>722051.92305999994</v>
      </c>
    </row>
    <row r="70" spans="2:88" ht="15.6" x14ac:dyDescent="0.3">
      <c r="B70" s="79" t="s">
        <v>48</v>
      </c>
      <c r="C70" s="80" t="s">
        <v>340</v>
      </c>
      <c r="D70" s="81" t="s">
        <v>142</v>
      </c>
      <c r="E70" s="81">
        <v>13371132000171</v>
      </c>
      <c r="F70" s="82">
        <v>0.91900000000000004</v>
      </c>
      <c r="G70" s="80" t="s">
        <v>89</v>
      </c>
      <c r="H70" s="82">
        <v>1</v>
      </c>
      <c r="I70" s="83" t="s">
        <v>183</v>
      </c>
      <c r="J70" s="82">
        <v>2422826.2574999998</v>
      </c>
      <c r="K70" s="82">
        <v>2402574.0455999998</v>
      </c>
      <c r="L70" s="82">
        <v>2362156.0857000002</v>
      </c>
      <c r="M70" s="82">
        <v>15388.085290000001</v>
      </c>
      <c r="N70" s="82">
        <v>146335.73436999999</v>
      </c>
      <c r="O70" s="82">
        <v>2276490.5230999999</v>
      </c>
      <c r="P70" s="82">
        <v>135898.57918</v>
      </c>
      <c r="Q70" s="82">
        <v>0</v>
      </c>
      <c r="R70" s="82">
        <v>123115.87093999999</v>
      </c>
      <c r="S70" s="82">
        <v>12782.70824</v>
      </c>
      <c r="T70" s="82">
        <v>635.12815999999998</v>
      </c>
      <c r="U70" s="82">
        <v>0</v>
      </c>
      <c r="V70" s="82">
        <v>-17863.126390000001</v>
      </c>
      <c r="W70" s="82">
        <v>118670.58095</v>
      </c>
      <c r="X70" s="82">
        <v>118670.58095</v>
      </c>
      <c r="Y70" s="82">
        <v>112737.05190000001</v>
      </c>
      <c r="Z70" s="82">
        <v>116297.0368</v>
      </c>
      <c r="AA70" s="82">
        <v>19705.331533</v>
      </c>
      <c r="AB70" s="82">
        <v>1.0073859999999999</v>
      </c>
      <c r="AC70" s="82"/>
      <c r="AD70" s="82">
        <v>0</v>
      </c>
      <c r="AE70" s="82">
        <v>0</v>
      </c>
      <c r="AF70" s="82">
        <v>46096.0861</v>
      </c>
      <c r="AG70" s="82">
        <v>0</v>
      </c>
      <c r="AH70" s="82">
        <v>0</v>
      </c>
      <c r="AI70" s="82">
        <v>0</v>
      </c>
      <c r="AJ70" s="82">
        <v>0</v>
      </c>
      <c r="AK70" s="82">
        <v>2197.74899</v>
      </c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>
        <v>109.61884567</v>
      </c>
      <c r="BA70" s="82">
        <v>5.1700000000000003E-2</v>
      </c>
      <c r="BB70" s="82">
        <v>0</v>
      </c>
      <c r="BC70" s="82">
        <v>0.43769999999999998</v>
      </c>
      <c r="BD70" s="82">
        <v>0.40089999999999998</v>
      </c>
      <c r="BE70" s="82">
        <v>99863</v>
      </c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>
        <v>1.0042</v>
      </c>
      <c r="BV70" s="82">
        <v>0</v>
      </c>
      <c r="BW70" s="82">
        <v>3.2467999999999999</v>
      </c>
      <c r="BX70" s="82">
        <v>0.34399999999999997</v>
      </c>
      <c r="BY70" s="82">
        <v>8.7400000000000005E-2</v>
      </c>
      <c r="BZ70" s="82">
        <v>4.1938000000000004</v>
      </c>
      <c r="CA70" s="82">
        <v>5.1266999999999996</v>
      </c>
      <c r="CB70" s="82">
        <v>0.79039999999999999</v>
      </c>
      <c r="CC70" s="82">
        <v>5.8042999999999996</v>
      </c>
      <c r="CD70" s="82">
        <v>4.1958000000000002</v>
      </c>
      <c r="CE70" s="82">
        <v>1.0472999999999999</v>
      </c>
      <c r="CF70" s="82">
        <v>7.2526999999999999</v>
      </c>
      <c r="CG70" s="82">
        <v>66.906199999999998</v>
      </c>
      <c r="CH70" s="82"/>
      <c r="CI70" s="82">
        <v>0.56787680638000004</v>
      </c>
      <c r="CJ70" s="84">
        <v>1292766.1680000001</v>
      </c>
    </row>
    <row r="71" spans="2:88" ht="15.6" x14ac:dyDescent="0.3">
      <c r="B71" s="73" t="s">
        <v>49</v>
      </c>
      <c r="C71" s="74" t="s">
        <v>211</v>
      </c>
      <c r="D71" s="75" t="s">
        <v>143</v>
      </c>
      <c r="E71" s="75">
        <v>36669660000107</v>
      </c>
      <c r="F71" s="76">
        <v>0.249</v>
      </c>
      <c r="G71" s="74" t="s">
        <v>88</v>
      </c>
      <c r="H71" s="76">
        <v>0.65</v>
      </c>
      <c r="I71" s="77" t="s">
        <v>183</v>
      </c>
      <c r="J71" s="76">
        <v>384605.68607</v>
      </c>
      <c r="K71" s="76">
        <v>373507.43569999997</v>
      </c>
      <c r="L71" s="76">
        <v>0</v>
      </c>
      <c r="M71" s="76">
        <v>335.49459000000002</v>
      </c>
      <c r="N71" s="76">
        <v>3367.8791700000002</v>
      </c>
      <c r="O71" s="76">
        <v>381237.80690000003</v>
      </c>
      <c r="P71" s="76">
        <v>42347.940369999997</v>
      </c>
      <c r="Q71" s="76">
        <v>0</v>
      </c>
      <c r="R71" s="76">
        <v>0</v>
      </c>
      <c r="S71" s="76">
        <v>42347.940369999997</v>
      </c>
      <c r="T71" s="76">
        <v>1053.8135600000001</v>
      </c>
      <c r="U71" s="76">
        <v>0</v>
      </c>
      <c r="V71" s="76">
        <v>-3430.99557</v>
      </c>
      <c r="W71" s="76">
        <v>39970.75836</v>
      </c>
      <c r="X71" s="76">
        <v>39970.75836</v>
      </c>
      <c r="Y71" s="76">
        <v>37972.220441999998</v>
      </c>
      <c r="Z71" s="76">
        <v>39553.355711999997</v>
      </c>
      <c r="AA71" s="76">
        <v>6850.3877519999996</v>
      </c>
      <c r="AB71" s="76">
        <v>1.0006379999999999</v>
      </c>
      <c r="AC71" s="76"/>
      <c r="AD71" s="76">
        <v>0</v>
      </c>
      <c r="AE71" s="76">
        <v>0</v>
      </c>
      <c r="AF71" s="76">
        <v>383707.32552999997</v>
      </c>
      <c r="AG71" s="76">
        <v>0</v>
      </c>
      <c r="AH71" s="76">
        <v>0</v>
      </c>
      <c r="AI71" s="76">
        <v>0</v>
      </c>
      <c r="AJ71" s="76">
        <v>0</v>
      </c>
      <c r="AK71" s="76">
        <v>0</v>
      </c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>
        <v>8.6260606298999996</v>
      </c>
      <c r="BA71" s="76">
        <v>4.5338110983000002E-2</v>
      </c>
      <c r="BB71" s="76"/>
      <c r="BC71" s="76">
        <v>0.80840000000000001</v>
      </c>
      <c r="BD71" s="76">
        <v>0.42459999999999998</v>
      </c>
      <c r="BE71" s="76">
        <v>124877</v>
      </c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>
        <v>0.91930724118999996</v>
      </c>
      <c r="CJ71" s="78">
        <v>350474.6765</v>
      </c>
    </row>
    <row r="72" spans="2:88" ht="15.6" x14ac:dyDescent="0.3">
      <c r="B72" s="79" t="s">
        <v>362</v>
      </c>
      <c r="C72" s="80" t="s">
        <v>412</v>
      </c>
      <c r="D72" s="81" t="s">
        <v>381</v>
      </c>
      <c r="E72" s="81">
        <v>42273325000198</v>
      </c>
      <c r="F72" s="82">
        <v>0.122</v>
      </c>
      <c r="G72" s="80" t="s">
        <v>88</v>
      </c>
      <c r="H72" s="82">
        <v>1.1499999999999999</v>
      </c>
      <c r="I72" s="83" t="s">
        <v>183</v>
      </c>
      <c r="J72" s="82">
        <v>200832.10417999999</v>
      </c>
      <c r="K72" s="82">
        <v>195738.65401999999</v>
      </c>
      <c r="L72" s="82">
        <v>0</v>
      </c>
      <c r="M72" s="82">
        <v>332.38889999999998</v>
      </c>
      <c r="N72" s="82">
        <v>2411.79972</v>
      </c>
      <c r="O72" s="82">
        <v>198420.30446000001</v>
      </c>
      <c r="P72" s="82">
        <v>16857.658790000001</v>
      </c>
      <c r="Q72" s="82">
        <v>0</v>
      </c>
      <c r="R72" s="82">
        <v>10672.6749</v>
      </c>
      <c r="S72" s="82">
        <v>6184.9838900000004</v>
      </c>
      <c r="T72" s="82">
        <v>291.00236000000001</v>
      </c>
      <c r="U72" s="82">
        <v>0</v>
      </c>
      <c r="V72" s="82">
        <v>-3367.32339</v>
      </c>
      <c r="W72" s="82">
        <v>13781.33776</v>
      </c>
      <c r="X72" s="82">
        <v>10931.28708</v>
      </c>
      <c r="Y72" s="82">
        <v>10384.722726</v>
      </c>
      <c r="Z72" s="82">
        <v>11080.269216000001</v>
      </c>
      <c r="AA72" s="82">
        <v>3395.7611160000001</v>
      </c>
      <c r="AB72" s="82">
        <v>1.031385</v>
      </c>
      <c r="AC72" s="82"/>
      <c r="AD72" s="82">
        <v>0</v>
      </c>
      <c r="AE72" s="82">
        <v>0</v>
      </c>
      <c r="AF72" s="82">
        <v>60948.225200000001</v>
      </c>
      <c r="AG72" s="82">
        <v>0</v>
      </c>
      <c r="AH72" s="82">
        <v>0</v>
      </c>
      <c r="AI72" s="82">
        <v>0</v>
      </c>
      <c r="AJ72" s="82">
        <v>0</v>
      </c>
      <c r="AK72" s="82">
        <v>140952.83598</v>
      </c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>
        <v>89.268498129999998</v>
      </c>
      <c r="BA72" s="82">
        <v>9.7320569346999994E-2</v>
      </c>
      <c r="BB72" s="82"/>
      <c r="BC72" s="82">
        <v>1.0587</v>
      </c>
      <c r="BD72" s="82">
        <v>0.53810000000000002</v>
      </c>
      <c r="BE72" s="82">
        <v>6957</v>
      </c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>
        <v>100</v>
      </c>
      <c r="CH72" s="82"/>
      <c r="CI72" s="82">
        <v>0.86659909845000005</v>
      </c>
      <c r="CJ72" s="84">
        <v>171950.85696</v>
      </c>
    </row>
    <row r="73" spans="2:88" ht="15.6" x14ac:dyDescent="0.3">
      <c r="B73" s="73" t="s">
        <v>363</v>
      </c>
      <c r="C73" s="74" t="s">
        <v>413</v>
      </c>
      <c r="D73" s="75" t="s">
        <v>382</v>
      </c>
      <c r="E73" s="75">
        <v>52219978000142</v>
      </c>
      <c r="F73" s="76">
        <v>0.69399999999999995</v>
      </c>
      <c r="G73" s="74" t="s">
        <v>88</v>
      </c>
      <c r="H73" s="76">
        <v>0.98</v>
      </c>
      <c r="I73" s="77" t="s">
        <v>182</v>
      </c>
      <c r="J73" s="76">
        <v>1545702.8717</v>
      </c>
      <c r="K73" s="76">
        <v>1510736.4717000001</v>
      </c>
      <c r="L73" s="76">
        <v>961138.81125000003</v>
      </c>
      <c r="M73" s="76">
        <v>7132.3512499999997</v>
      </c>
      <c r="N73" s="76">
        <v>525411.07712999999</v>
      </c>
      <c r="O73" s="76">
        <v>1020291.7945</v>
      </c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>
        <v>1.0012970000000001</v>
      </c>
      <c r="AC73" s="76"/>
      <c r="AD73" s="76">
        <v>0</v>
      </c>
      <c r="AE73" s="76">
        <v>0</v>
      </c>
      <c r="AF73" s="76">
        <v>0</v>
      </c>
      <c r="AG73" s="76">
        <v>561348.12697999994</v>
      </c>
      <c r="AH73" s="76">
        <v>0</v>
      </c>
      <c r="AI73" s="76">
        <v>0</v>
      </c>
      <c r="AJ73" s="76">
        <v>0</v>
      </c>
      <c r="AK73" s="76">
        <v>21182.916219999999</v>
      </c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>
        <v>106.00434229</v>
      </c>
      <c r="BA73" s="76">
        <v>8.3000000000000004E-2</v>
      </c>
      <c r="BB73" s="76">
        <v>7.0000000000000001E-3</v>
      </c>
      <c r="BC73" s="76">
        <v>1.1788000000000001</v>
      </c>
      <c r="BD73" s="76">
        <v>1.1432</v>
      </c>
      <c r="BE73" s="76">
        <v>19856</v>
      </c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>
        <v>3.0104000000000002</v>
      </c>
      <c r="BV73" s="76">
        <v>0</v>
      </c>
      <c r="BW73" s="76">
        <v>3.5095000000000001</v>
      </c>
      <c r="BX73" s="76">
        <v>7.1985999999999999</v>
      </c>
      <c r="BY73" s="76">
        <v>7.0636000000000001</v>
      </c>
      <c r="BZ73" s="76">
        <v>0</v>
      </c>
      <c r="CA73" s="76">
        <v>8.0425000000000004</v>
      </c>
      <c r="CB73" s="76">
        <v>8.8544</v>
      </c>
      <c r="CC73" s="76">
        <v>9.2049000000000003</v>
      </c>
      <c r="CD73" s="76">
        <v>1.4428000000000001</v>
      </c>
      <c r="CE73" s="76">
        <v>1.3545</v>
      </c>
      <c r="CF73" s="76">
        <v>1.5773999999999999</v>
      </c>
      <c r="CG73" s="76">
        <v>45.326300000000003</v>
      </c>
      <c r="CH73" s="76">
        <v>3.4150999999999998</v>
      </c>
      <c r="CI73" s="76">
        <v>0.95609290913</v>
      </c>
      <c r="CJ73" s="78">
        <v>975493.75</v>
      </c>
    </row>
    <row r="74" spans="2:88" ht="15.6" x14ac:dyDescent="0.3">
      <c r="B74" s="79" t="s">
        <v>314</v>
      </c>
      <c r="C74" s="80" t="s">
        <v>341</v>
      </c>
      <c r="D74" s="81" t="s">
        <v>322</v>
      </c>
      <c r="E74" s="81">
        <v>42502802000140</v>
      </c>
      <c r="F74" s="82">
        <v>0.24399999999999999</v>
      </c>
      <c r="G74" s="80" t="s">
        <v>88</v>
      </c>
      <c r="H74" s="82">
        <v>1.2</v>
      </c>
      <c r="I74" s="83" t="s">
        <v>182</v>
      </c>
      <c r="J74" s="82">
        <v>395119.35703000001</v>
      </c>
      <c r="K74" s="82">
        <v>389688.18835999997</v>
      </c>
      <c r="L74" s="82">
        <v>0</v>
      </c>
      <c r="M74" s="82">
        <v>18.612120000000001</v>
      </c>
      <c r="N74" s="82">
        <v>34737.082119999999</v>
      </c>
      <c r="O74" s="82">
        <v>360382.27490999998</v>
      </c>
      <c r="P74" s="82">
        <v>12725.56892</v>
      </c>
      <c r="Q74" s="82">
        <v>-581.90296000000001</v>
      </c>
      <c r="R74" s="82">
        <v>10672.6749</v>
      </c>
      <c r="S74" s="82">
        <v>2634.7969800000001</v>
      </c>
      <c r="T74" s="82">
        <v>270.30955</v>
      </c>
      <c r="U74" s="82">
        <v>0</v>
      </c>
      <c r="V74" s="82">
        <v>-6323.59926</v>
      </c>
      <c r="W74" s="82">
        <v>6672.2792099999997</v>
      </c>
      <c r="X74" s="82">
        <v>1107.9228800000001</v>
      </c>
      <c r="Y74" s="82">
        <v>5489.9500790000002</v>
      </c>
      <c r="Z74" s="82">
        <v>5960.2665790000001</v>
      </c>
      <c r="AA74" s="82">
        <v>2309.1066390000001</v>
      </c>
      <c r="AB74" s="82">
        <v>1.031385</v>
      </c>
      <c r="AC74" s="82"/>
      <c r="AD74" s="82">
        <v>0</v>
      </c>
      <c r="AE74" s="82">
        <v>0</v>
      </c>
      <c r="AF74" s="82">
        <v>0</v>
      </c>
      <c r="AG74" s="82">
        <v>0</v>
      </c>
      <c r="AH74" s="82">
        <v>0</v>
      </c>
      <c r="AI74" s="82">
        <v>0</v>
      </c>
      <c r="AJ74" s="82">
        <v>0</v>
      </c>
      <c r="AK74" s="82">
        <v>382408.95743000001</v>
      </c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>
        <v>10.010618747000001</v>
      </c>
      <c r="BA74" s="82">
        <v>0.10100000000000001</v>
      </c>
      <c r="BB74" s="82">
        <v>7.1000000000000004E-3</v>
      </c>
      <c r="BC74" s="82">
        <v>0.89939999999999998</v>
      </c>
      <c r="BD74" s="82">
        <v>0.94299999999999995</v>
      </c>
      <c r="BE74" s="82">
        <v>14212</v>
      </c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>
        <v>100</v>
      </c>
      <c r="CH74" s="82"/>
      <c r="CI74" s="82">
        <v>0.95099016754999999</v>
      </c>
      <c r="CJ74" s="84">
        <v>342720</v>
      </c>
    </row>
    <row r="75" spans="2:88" ht="15.6" x14ac:dyDescent="0.3">
      <c r="B75" s="73" t="s">
        <v>364</v>
      </c>
      <c r="C75" s="74" t="s">
        <v>414</v>
      </c>
      <c r="D75" s="75" t="s">
        <v>383</v>
      </c>
      <c r="E75" s="75">
        <v>42754342000147</v>
      </c>
      <c r="F75" s="76">
        <v>1.3240000000000001</v>
      </c>
      <c r="G75" s="74" t="s">
        <v>89</v>
      </c>
      <c r="H75" s="76">
        <v>1.2</v>
      </c>
      <c r="I75" s="77" t="s">
        <v>182</v>
      </c>
      <c r="J75" s="76">
        <v>2187369.1170000001</v>
      </c>
      <c r="K75" s="76">
        <v>2029856.1862000001</v>
      </c>
      <c r="L75" s="76">
        <v>403231.78058999998</v>
      </c>
      <c r="M75" s="76">
        <v>6785.4258900000004</v>
      </c>
      <c r="N75" s="76">
        <v>224024.35962</v>
      </c>
      <c r="O75" s="76">
        <v>1963344.7574</v>
      </c>
      <c r="P75" s="76">
        <v>151046.33387</v>
      </c>
      <c r="Q75" s="76">
        <v>0</v>
      </c>
      <c r="R75" s="76">
        <v>5421.9915199999996</v>
      </c>
      <c r="S75" s="76">
        <v>145624.34234999999</v>
      </c>
      <c r="T75" s="76">
        <v>7602.5372900000002</v>
      </c>
      <c r="U75" s="76">
        <v>0</v>
      </c>
      <c r="V75" s="76">
        <v>-17812.80473</v>
      </c>
      <c r="W75" s="76">
        <v>140836.06643000001</v>
      </c>
      <c r="X75" s="76">
        <v>140836.06641999999</v>
      </c>
      <c r="Y75" s="76">
        <v>133794.26310000001</v>
      </c>
      <c r="Z75" s="76">
        <v>161522.80507</v>
      </c>
      <c r="AA75" s="76">
        <v>29008.848899000001</v>
      </c>
      <c r="AB75" s="76">
        <v>1.182598</v>
      </c>
      <c r="AC75" s="76"/>
      <c r="AD75" s="76">
        <v>0</v>
      </c>
      <c r="AE75" s="76">
        <v>0</v>
      </c>
      <c r="AF75" s="76">
        <v>293821.82431</v>
      </c>
      <c r="AG75" s="76">
        <v>199593.50541000001</v>
      </c>
      <c r="AH75" s="76">
        <v>0</v>
      </c>
      <c r="AI75" s="76">
        <v>0</v>
      </c>
      <c r="AJ75" s="76">
        <v>0</v>
      </c>
      <c r="AK75" s="76">
        <v>1277404.0978999999</v>
      </c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>
        <v>99.848512077999999</v>
      </c>
      <c r="BA75" s="76">
        <v>0.1013</v>
      </c>
      <c r="BB75" s="76">
        <v>7.0000000000000001E-3</v>
      </c>
      <c r="BC75" s="76">
        <v>0.90180000000000005</v>
      </c>
      <c r="BD75" s="76">
        <v>0.95530000000000004</v>
      </c>
      <c r="BE75" s="76">
        <v>35825</v>
      </c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>
        <v>0</v>
      </c>
      <c r="BV75" s="76">
        <v>0</v>
      </c>
      <c r="BW75" s="76">
        <v>0</v>
      </c>
      <c r="BX75" s="76">
        <v>0</v>
      </c>
      <c r="BY75" s="76">
        <v>0</v>
      </c>
      <c r="BZ75" s="76">
        <v>0</v>
      </c>
      <c r="CA75" s="76">
        <v>0</v>
      </c>
      <c r="CB75" s="76">
        <v>0</v>
      </c>
      <c r="CC75" s="76">
        <v>14.9688</v>
      </c>
      <c r="CD75" s="76">
        <v>4.9611999999999998</v>
      </c>
      <c r="CE75" s="76">
        <v>0</v>
      </c>
      <c r="CF75" s="76">
        <v>0</v>
      </c>
      <c r="CG75" s="76">
        <v>48.046500000000002</v>
      </c>
      <c r="CH75" s="76">
        <v>32.023499999999999</v>
      </c>
      <c r="CI75" s="76">
        <v>0.94873722230000002</v>
      </c>
      <c r="CJ75" s="78">
        <v>1862698.2515</v>
      </c>
    </row>
    <row r="76" spans="2:88" ht="15.6" x14ac:dyDescent="0.3">
      <c r="B76" s="79" t="s">
        <v>51</v>
      </c>
      <c r="C76" s="80" t="s">
        <v>342</v>
      </c>
      <c r="D76" s="81" t="s">
        <v>145</v>
      </c>
      <c r="E76" s="81">
        <v>30130708000128</v>
      </c>
      <c r="F76" s="82">
        <v>2.1259999999999999</v>
      </c>
      <c r="G76" s="80" t="s">
        <v>88</v>
      </c>
      <c r="H76" s="82">
        <v>1.4</v>
      </c>
      <c r="I76" s="83" t="s">
        <v>182</v>
      </c>
      <c r="J76" s="82">
        <v>34186.385159999998</v>
      </c>
      <c r="K76" s="82">
        <v>30425.65166</v>
      </c>
      <c r="L76" s="82">
        <v>52136.569219999998</v>
      </c>
      <c r="M76" s="82">
        <v>1023.4417099999999</v>
      </c>
      <c r="N76" s="82">
        <v>8.0016599999999993</v>
      </c>
      <c r="O76" s="82">
        <v>34178.383500000004</v>
      </c>
      <c r="P76" s="82">
        <v>13771.32063</v>
      </c>
      <c r="Q76" s="82">
        <v>-211.77415999999999</v>
      </c>
      <c r="R76" s="82">
        <v>7798.1108999999997</v>
      </c>
      <c r="S76" s="82">
        <v>6184.9838900000004</v>
      </c>
      <c r="T76" s="82">
        <v>289.17559999999997</v>
      </c>
      <c r="U76" s="82">
        <v>0</v>
      </c>
      <c r="V76" s="82">
        <v>-3094.9078</v>
      </c>
      <c r="W76" s="82">
        <v>10965.58843</v>
      </c>
      <c r="X76" s="82">
        <v>10931.28708</v>
      </c>
      <c r="Y76" s="82">
        <v>10384.722726</v>
      </c>
      <c r="Z76" s="82">
        <v>11080.269216000001</v>
      </c>
      <c r="AA76" s="82">
        <v>3395.7611160000001</v>
      </c>
      <c r="AB76" s="82">
        <v>1.031385</v>
      </c>
      <c r="AC76" s="82"/>
      <c r="AD76" s="82">
        <v>0</v>
      </c>
      <c r="AE76" s="82">
        <v>0</v>
      </c>
      <c r="AF76" s="82">
        <v>16933.155890000002</v>
      </c>
      <c r="AG76" s="82">
        <v>0</v>
      </c>
      <c r="AH76" s="82">
        <v>0</v>
      </c>
      <c r="AI76" s="82">
        <v>0</v>
      </c>
      <c r="AJ76" s="82">
        <v>0</v>
      </c>
      <c r="AK76" s="82">
        <v>-5271.7967099999996</v>
      </c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>
        <v>9.7649734292999995</v>
      </c>
      <c r="BA76" s="82">
        <v>2.3400000000000001E-2</v>
      </c>
      <c r="BB76" s="82">
        <v>7.3000000000000001E-3</v>
      </c>
      <c r="BC76" s="82">
        <v>0</v>
      </c>
      <c r="BD76" s="82">
        <v>0.84634699999999996</v>
      </c>
      <c r="BE76" s="82">
        <v>1</v>
      </c>
      <c r="BF76" s="82">
        <v>363</v>
      </c>
      <c r="BG76" s="82">
        <v>3</v>
      </c>
      <c r="BH76" s="82">
        <v>0</v>
      </c>
      <c r="BI76" s="82">
        <v>0</v>
      </c>
      <c r="BJ76" s="82">
        <v>1</v>
      </c>
      <c r="BK76" s="82">
        <v>1</v>
      </c>
      <c r="BL76" s="82">
        <v>0</v>
      </c>
      <c r="BM76" s="82">
        <v>1</v>
      </c>
      <c r="BN76" s="82">
        <v>0</v>
      </c>
      <c r="BO76" s="82">
        <v>0</v>
      </c>
      <c r="BP76" s="82">
        <v>0</v>
      </c>
      <c r="BQ76" s="82">
        <v>2</v>
      </c>
      <c r="BR76" s="82">
        <v>0</v>
      </c>
      <c r="BS76" s="82">
        <v>0</v>
      </c>
      <c r="BT76" s="82">
        <v>0</v>
      </c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>
        <v>100</v>
      </c>
      <c r="CH76" s="82"/>
      <c r="CI76" s="82">
        <v>10.872533424</v>
      </c>
      <c r="CJ76" s="84">
        <v>371605.61700000003</v>
      </c>
    </row>
    <row r="77" spans="2:88" ht="15.6" x14ac:dyDescent="0.3">
      <c r="B77" s="73" t="s">
        <v>52</v>
      </c>
      <c r="C77" s="74" t="s">
        <v>415</v>
      </c>
      <c r="D77" s="75" t="s">
        <v>146</v>
      </c>
      <c r="E77" s="75">
        <v>24960430000113</v>
      </c>
      <c r="F77" s="76">
        <v>5.3520000000000003</v>
      </c>
      <c r="G77" s="74" t="s">
        <v>88</v>
      </c>
      <c r="H77" s="76">
        <v>1</v>
      </c>
      <c r="I77" s="77" t="s">
        <v>182</v>
      </c>
      <c r="J77" s="76">
        <v>8330723.4588000001</v>
      </c>
      <c r="K77" s="76">
        <v>8044662.3627000004</v>
      </c>
      <c r="L77" s="76">
        <v>0</v>
      </c>
      <c r="M77" s="76">
        <v>1784.8759700000001</v>
      </c>
      <c r="N77" s="76">
        <v>674610.22152000002</v>
      </c>
      <c r="O77" s="76">
        <v>7656113.2372000003</v>
      </c>
      <c r="P77" s="76">
        <v>1186878.8755000001</v>
      </c>
      <c r="Q77" s="76">
        <v>0</v>
      </c>
      <c r="R77" s="76">
        <v>0</v>
      </c>
      <c r="S77" s="76">
        <v>1186878.8755000001</v>
      </c>
      <c r="T77" s="76">
        <v>-3785.2802000000001</v>
      </c>
      <c r="U77" s="76">
        <v>0</v>
      </c>
      <c r="V77" s="76">
        <v>-79421.947880000007</v>
      </c>
      <c r="W77" s="76">
        <v>1103671.6473999999</v>
      </c>
      <c r="X77" s="76">
        <v>1103671.6473999999</v>
      </c>
      <c r="Y77" s="76">
        <v>1048488.0649999999</v>
      </c>
      <c r="Z77" s="76">
        <v>747129.47539000004</v>
      </c>
      <c r="AA77" s="76">
        <v>128125.09761</v>
      </c>
      <c r="AB77" s="76">
        <v>0.772648</v>
      </c>
      <c r="AC77" s="76"/>
      <c r="AD77" s="76">
        <v>0</v>
      </c>
      <c r="AE77" s="76">
        <v>0</v>
      </c>
      <c r="AF77" s="76">
        <v>13649.527690000001</v>
      </c>
      <c r="AG77" s="76">
        <v>121671.72132</v>
      </c>
      <c r="AH77" s="76">
        <v>0</v>
      </c>
      <c r="AI77" s="76">
        <v>0</v>
      </c>
      <c r="AJ77" s="76">
        <v>0</v>
      </c>
      <c r="AK77" s="76">
        <v>8113971.0696</v>
      </c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>
        <v>95.607975401000004</v>
      </c>
      <c r="BA77" s="76">
        <v>8.8499999999999995E-2</v>
      </c>
      <c r="BB77" s="76">
        <v>0</v>
      </c>
      <c r="BC77" s="76">
        <v>0.79279999999999995</v>
      </c>
      <c r="BD77" s="76">
        <v>0.5282</v>
      </c>
      <c r="BE77" s="76">
        <v>78548</v>
      </c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>
        <v>0.98318157669999995</v>
      </c>
      <c r="CJ77" s="78">
        <v>7527349.4840000002</v>
      </c>
    </row>
    <row r="78" spans="2:88" ht="15.6" x14ac:dyDescent="0.3">
      <c r="B78" s="79" t="s">
        <v>53</v>
      </c>
      <c r="C78" s="80" t="s">
        <v>343</v>
      </c>
      <c r="D78" s="81" t="s">
        <v>147</v>
      </c>
      <c r="E78" s="81">
        <v>12005956000165</v>
      </c>
      <c r="F78" s="82">
        <v>2.7669999999999999</v>
      </c>
      <c r="G78" s="80" t="s">
        <v>89</v>
      </c>
      <c r="H78" s="82">
        <v>1.1100000000000001</v>
      </c>
      <c r="I78" s="83" t="s">
        <v>182</v>
      </c>
      <c r="J78" s="82">
        <v>5012898.63</v>
      </c>
      <c r="K78" s="82">
        <v>4697995.0224000001</v>
      </c>
      <c r="L78" s="82">
        <v>4332286.9111000001</v>
      </c>
      <c r="M78" s="82">
        <v>191692.17129999999</v>
      </c>
      <c r="N78" s="82">
        <v>453660.60690999997</v>
      </c>
      <c r="O78" s="82">
        <v>4559238.0230999999</v>
      </c>
      <c r="P78" s="82">
        <v>321822.42378000001</v>
      </c>
      <c r="Q78" s="82">
        <v>0</v>
      </c>
      <c r="R78" s="82">
        <v>299935.16375000001</v>
      </c>
      <c r="S78" s="82">
        <v>21887.260030000001</v>
      </c>
      <c r="T78" s="82">
        <v>10590.082850000001</v>
      </c>
      <c r="U78" s="82">
        <v>0</v>
      </c>
      <c r="V78" s="82">
        <v>-52572.82677</v>
      </c>
      <c r="W78" s="82">
        <v>279839.67985999997</v>
      </c>
      <c r="X78" s="82">
        <v>279839.67985999997</v>
      </c>
      <c r="Y78" s="82">
        <v>265847.69587</v>
      </c>
      <c r="Z78" s="82">
        <v>296172.75150000001</v>
      </c>
      <c r="AA78" s="82">
        <v>52401.536007000002</v>
      </c>
      <c r="AB78" s="82">
        <v>1.1006800000000001</v>
      </c>
      <c r="AC78" s="82"/>
      <c r="AD78" s="82">
        <v>0</v>
      </c>
      <c r="AE78" s="82">
        <v>0</v>
      </c>
      <c r="AF78" s="82">
        <v>0</v>
      </c>
      <c r="AG78" s="82">
        <v>109653.03354999999</v>
      </c>
      <c r="AH78" s="82">
        <v>0</v>
      </c>
      <c r="AI78" s="82">
        <v>0</v>
      </c>
      <c r="AJ78" s="82">
        <v>0</v>
      </c>
      <c r="AK78" s="82">
        <v>319347.10428000003</v>
      </c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>
        <v>161.65190842999999</v>
      </c>
      <c r="BA78" s="82">
        <v>9.2899999999999996E-2</v>
      </c>
      <c r="BB78" s="82">
        <v>0</v>
      </c>
      <c r="BC78" s="82">
        <v>0.61819999999999997</v>
      </c>
      <c r="BD78" s="82">
        <v>0.54930000000000001</v>
      </c>
      <c r="BE78" s="82">
        <v>277784</v>
      </c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>
        <v>2.9939</v>
      </c>
      <c r="BV78" s="82">
        <v>1.4011</v>
      </c>
      <c r="BW78" s="82">
        <v>4.3164999999999996</v>
      </c>
      <c r="BX78" s="82">
        <v>2.6101999999999999</v>
      </c>
      <c r="BY78" s="82">
        <v>0.13869999999999999</v>
      </c>
      <c r="BZ78" s="82">
        <v>1.4757</v>
      </c>
      <c r="CA78" s="82">
        <v>1.3606</v>
      </c>
      <c r="CB78" s="82">
        <v>4.3212000000000002</v>
      </c>
      <c r="CC78" s="82">
        <v>13.4376</v>
      </c>
      <c r="CD78" s="82">
        <v>1.6301000000000001</v>
      </c>
      <c r="CE78" s="82">
        <v>0.43609999999999999</v>
      </c>
      <c r="CF78" s="82">
        <v>21.338200000000001</v>
      </c>
      <c r="CG78" s="82">
        <v>43.805300000000003</v>
      </c>
      <c r="CH78" s="82">
        <v>0.73480000000000001</v>
      </c>
      <c r="CI78" s="82">
        <v>0.85362431744</v>
      </c>
      <c r="CJ78" s="84">
        <v>3891876.4454999999</v>
      </c>
    </row>
    <row r="79" spans="2:88" ht="15.6" x14ac:dyDescent="0.3">
      <c r="B79" s="73" t="s">
        <v>54</v>
      </c>
      <c r="C79" s="74" t="s">
        <v>416</v>
      </c>
      <c r="D79" s="75" t="s">
        <v>148</v>
      </c>
      <c r="E79" s="75">
        <v>16706958000132</v>
      </c>
      <c r="F79" s="76">
        <v>5.2370000000000001</v>
      </c>
      <c r="G79" s="74" t="s">
        <v>88</v>
      </c>
      <c r="H79" s="76">
        <v>1</v>
      </c>
      <c r="I79" s="77" t="s">
        <v>182</v>
      </c>
      <c r="J79" s="76">
        <v>7226020.1774000004</v>
      </c>
      <c r="K79" s="76">
        <v>6649341.2049000002</v>
      </c>
      <c r="L79" s="76">
        <v>0</v>
      </c>
      <c r="M79" s="76">
        <v>24.12987</v>
      </c>
      <c r="N79" s="76">
        <v>178733.68744000001</v>
      </c>
      <c r="O79" s="76">
        <v>7047286.4900000002</v>
      </c>
      <c r="P79" s="76">
        <v>839815.94738000003</v>
      </c>
      <c r="Q79" s="76">
        <v>0</v>
      </c>
      <c r="R79" s="76">
        <v>0</v>
      </c>
      <c r="S79" s="76">
        <v>839815.94738000003</v>
      </c>
      <c r="T79" s="76">
        <v>15342.341570000001</v>
      </c>
      <c r="U79" s="76">
        <v>0</v>
      </c>
      <c r="V79" s="76">
        <v>-63000.850149999998</v>
      </c>
      <c r="W79" s="76">
        <v>792157.4388</v>
      </c>
      <c r="X79" s="76">
        <v>792157.43879000004</v>
      </c>
      <c r="Y79" s="76">
        <v>752549.56684999994</v>
      </c>
      <c r="Z79" s="76">
        <v>717592.67544999998</v>
      </c>
      <c r="AA79" s="76">
        <v>115789.37847</v>
      </c>
      <c r="AB79" s="76">
        <v>0.83648400000000001</v>
      </c>
      <c r="AC79" s="76"/>
      <c r="AD79" s="76">
        <v>0</v>
      </c>
      <c r="AE79" s="76">
        <v>0</v>
      </c>
      <c r="AF79" s="76">
        <v>0</v>
      </c>
      <c r="AG79" s="76">
        <v>60919.224069999997</v>
      </c>
      <c r="AH79" s="76">
        <v>0</v>
      </c>
      <c r="AI79" s="76">
        <v>0</v>
      </c>
      <c r="AJ79" s="76">
        <v>0</v>
      </c>
      <c r="AK79" s="76">
        <v>6995771.4121000003</v>
      </c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>
        <v>101.41545714999999</v>
      </c>
      <c r="BA79" s="76">
        <v>0.09</v>
      </c>
      <c r="BB79" s="76">
        <v>7.0000000000000001E-3</v>
      </c>
      <c r="BC79" s="76">
        <v>0.93840000000000001</v>
      </c>
      <c r="BD79" s="76">
        <v>1.1148</v>
      </c>
      <c r="BE79" s="76">
        <v>370180</v>
      </c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>
        <v>1.0452055630999999</v>
      </c>
      <c r="CJ79" s="78">
        <v>7365863.0439999998</v>
      </c>
    </row>
    <row r="80" spans="2:88" ht="15.6" x14ac:dyDescent="0.3">
      <c r="B80" s="79" t="s">
        <v>55</v>
      </c>
      <c r="C80" s="80" t="s">
        <v>417</v>
      </c>
      <c r="D80" s="81" t="s">
        <v>149</v>
      </c>
      <c r="E80" s="81">
        <v>35864448000138</v>
      </c>
      <c r="F80" s="82">
        <v>1.234</v>
      </c>
      <c r="G80" s="80" t="s">
        <v>88</v>
      </c>
      <c r="H80" s="82"/>
      <c r="I80" s="83" t="s">
        <v>182</v>
      </c>
      <c r="J80" s="82">
        <v>1283484.534</v>
      </c>
      <c r="K80" s="82">
        <v>1213236.3239</v>
      </c>
      <c r="L80" s="82">
        <v>0</v>
      </c>
      <c r="M80" s="82">
        <v>4922.0300100000004</v>
      </c>
      <c r="N80" s="82">
        <v>89314.243459999998</v>
      </c>
      <c r="O80" s="82">
        <v>1194170.2904999999</v>
      </c>
      <c r="P80" s="82">
        <v>151769.74626000001</v>
      </c>
      <c r="Q80" s="82">
        <v>0</v>
      </c>
      <c r="R80" s="82">
        <v>0</v>
      </c>
      <c r="S80" s="82">
        <v>151769.74626000001</v>
      </c>
      <c r="T80" s="82">
        <v>-17508.174060000001</v>
      </c>
      <c r="U80" s="82">
        <v>0</v>
      </c>
      <c r="V80" s="82">
        <v>-16372.798210000001</v>
      </c>
      <c r="W80" s="82">
        <v>117888.77399</v>
      </c>
      <c r="X80" s="82">
        <v>117888.774</v>
      </c>
      <c r="Y80" s="82">
        <v>111994.33530000001</v>
      </c>
      <c r="Z80" s="82">
        <v>126783.8327</v>
      </c>
      <c r="AA80" s="82">
        <v>21241.270400000001</v>
      </c>
      <c r="AB80" s="82">
        <v>1.2819990000000001</v>
      </c>
      <c r="AC80" s="82"/>
      <c r="AD80" s="82">
        <v>0</v>
      </c>
      <c r="AE80" s="82">
        <v>0</v>
      </c>
      <c r="AF80" s="82">
        <v>6347.7011700000003</v>
      </c>
      <c r="AG80" s="82">
        <v>0</v>
      </c>
      <c r="AH80" s="82">
        <v>0</v>
      </c>
      <c r="AI80" s="82">
        <v>0</v>
      </c>
      <c r="AJ80" s="82">
        <v>0</v>
      </c>
      <c r="AK80" s="82">
        <v>1225529.7431000001</v>
      </c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>
        <v>8.9950950620000008</v>
      </c>
      <c r="BA80" s="82">
        <v>0.1072</v>
      </c>
      <c r="BB80" s="82">
        <v>7.1000000000000004E-3</v>
      </c>
      <c r="BC80" s="82">
        <v>0.99960000000000004</v>
      </c>
      <c r="BD80" s="82">
        <v>0.90959999999999996</v>
      </c>
      <c r="BE80" s="82">
        <v>160739</v>
      </c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>
        <v>1.0250030641000001</v>
      </c>
      <c r="CJ80" s="84">
        <v>1224028.2068</v>
      </c>
    </row>
    <row r="81" spans="2:88" ht="15.6" x14ac:dyDescent="0.3">
      <c r="B81" s="73" t="s">
        <v>365</v>
      </c>
      <c r="C81" s="74" t="s">
        <v>418</v>
      </c>
      <c r="D81" s="75" t="s">
        <v>384</v>
      </c>
      <c r="E81" s="75">
        <v>42754362000118</v>
      </c>
      <c r="F81" s="76">
        <v>1.151</v>
      </c>
      <c r="G81" s="74" t="s">
        <v>88</v>
      </c>
      <c r="H81" s="76">
        <v>1.4</v>
      </c>
      <c r="I81" s="77" t="s">
        <v>182</v>
      </c>
      <c r="J81" s="76">
        <v>1563914.7605999999</v>
      </c>
      <c r="K81" s="76">
        <v>1443489.057</v>
      </c>
      <c r="L81" s="76">
        <v>0</v>
      </c>
      <c r="M81" s="76">
        <v>22.09273</v>
      </c>
      <c r="N81" s="76">
        <v>17807.107980000001</v>
      </c>
      <c r="O81" s="76">
        <v>1546107.6527</v>
      </c>
      <c r="P81" s="76">
        <v>80833.855920000002</v>
      </c>
      <c r="Q81" s="76">
        <v>0</v>
      </c>
      <c r="R81" s="76">
        <v>0</v>
      </c>
      <c r="S81" s="76">
        <v>80833.855920000002</v>
      </c>
      <c r="T81" s="76">
        <v>6707.4940200000001</v>
      </c>
      <c r="U81" s="76">
        <v>0</v>
      </c>
      <c r="V81" s="76">
        <v>-8251.6337000000003</v>
      </c>
      <c r="W81" s="76">
        <v>79289.716239999994</v>
      </c>
      <c r="X81" s="76">
        <v>79289.716239999994</v>
      </c>
      <c r="Y81" s="76">
        <v>75325.230427999995</v>
      </c>
      <c r="Z81" s="76">
        <v>86843.556377999994</v>
      </c>
      <c r="AA81" s="76">
        <v>20972.089358000001</v>
      </c>
      <c r="AB81" s="76">
        <v>1.0441320000000001</v>
      </c>
      <c r="AC81" s="76"/>
      <c r="AD81" s="76">
        <v>0</v>
      </c>
      <c r="AE81" s="76">
        <v>0</v>
      </c>
      <c r="AF81" s="76">
        <v>11178.80019</v>
      </c>
      <c r="AG81" s="76">
        <v>411133.49660999997</v>
      </c>
      <c r="AH81" s="76">
        <v>0</v>
      </c>
      <c r="AI81" s="76">
        <v>0</v>
      </c>
      <c r="AJ81" s="76">
        <v>0</v>
      </c>
      <c r="AK81" s="76">
        <v>1139330.7209000001</v>
      </c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>
        <v>100.97018358</v>
      </c>
      <c r="BA81" s="76">
        <v>0.12280000000000001</v>
      </c>
      <c r="BB81" s="76">
        <v>7.0000000000000001E-3</v>
      </c>
      <c r="BC81" s="76">
        <v>1.02</v>
      </c>
      <c r="BD81" s="76">
        <v>1.0284</v>
      </c>
      <c r="BE81" s="76">
        <v>18954</v>
      </c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>
        <v>1.0471408117000001</v>
      </c>
      <c r="CJ81" s="78">
        <v>1618992.4224</v>
      </c>
    </row>
    <row r="82" spans="2:88" ht="15.6" x14ac:dyDescent="0.3">
      <c r="B82" s="79" t="s">
        <v>366</v>
      </c>
      <c r="C82" s="80" t="s">
        <v>419</v>
      </c>
      <c r="D82" s="81" t="s">
        <v>385</v>
      </c>
      <c r="E82" s="81">
        <v>42888583000189</v>
      </c>
      <c r="F82" s="82">
        <v>0.23400000000000001</v>
      </c>
      <c r="G82" s="80" t="s">
        <v>88</v>
      </c>
      <c r="H82" s="82">
        <v>1</v>
      </c>
      <c r="I82" s="83" t="s">
        <v>184</v>
      </c>
      <c r="J82" s="82">
        <v>365003.00432000001</v>
      </c>
      <c r="K82" s="82">
        <v>353518.67462000001</v>
      </c>
      <c r="L82" s="82">
        <v>0</v>
      </c>
      <c r="M82" s="82">
        <v>18.75198</v>
      </c>
      <c r="N82" s="82">
        <v>9345.1891899999991</v>
      </c>
      <c r="O82" s="82">
        <v>355657.81513</v>
      </c>
      <c r="P82" s="82">
        <v>22685.673490000001</v>
      </c>
      <c r="Q82" s="82">
        <v>0</v>
      </c>
      <c r="R82" s="82">
        <v>0</v>
      </c>
      <c r="S82" s="82">
        <v>22685.673490000001</v>
      </c>
      <c r="T82" s="82">
        <v>1166.0746200000001</v>
      </c>
      <c r="U82" s="82">
        <v>0</v>
      </c>
      <c r="V82" s="82">
        <v>-3280.0568499999999</v>
      </c>
      <c r="W82" s="82">
        <v>20571.69126</v>
      </c>
      <c r="X82" s="82">
        <v>15565.18318</v>
      </c>
      <c r="Y82" s="82">
        <v>14786.924021000001</v>
      </c>
      <c r="Z82" s="82">
        <v>16808.906941000001</v>
      </c>
      <c r="AA82" s="82">
        <v>-3364.8965589999998</v>
      </c>
      <c r="AB82" s="82">
        <v>0.95</v>
      </c>
      <c r="AC82" s="82"/>
      <c r="AD82" s="82">
        <v>0</v>
      </c>
      <c r="AE82" s="82">
        <v>0</v>
      </c>
      <c r="AF82" s="82">
        <v>59651.80646</v>
      </c>
      <c r="AG82" s="82">
        <v>0</v>
      </c>
      <c r="AH82" s="82">
        <v>0</v>
      </c>
      <c r="AI82" s="82">
        <v>0</v>
      </c>
      <c r="AJ82" s="82">
        <v>0</v>
      </c>
      <c r="AK82" s="82">
        <v>150496.56512000001</v>
      </c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>
        <v>9.4750769560000005</v>
      </c>
      <c r="BA82" s="82">
        <v>8.7800000000000003E-2</v>
      </c>
      <c r="BB82" s="82">
        <v>4.4000000000000003E-3</v>
      </c>
      <c r="BC82" s="82">
        <v>1.0523720000000001</v>
      </c>
      <c r="BD82" s="82">
        <v>0.76544299999999998</v>
      </c>
      <c r="BE82" s="82">
        <v>14474</v>
      </c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>
        <v>0.92664155032999995</v>
      </c>
      <c r="CJ82" s="84">
        <v>329567.30920000002</v>
      </c>
    </row>
    <row r="83" spans="2:88" ht="15.6" x14ac:dyDescent="0.3">
      <c r="B83" s="73" t="s">
        <v>367</v>
      </c>
      <c r="C83" s="74" t="s">
        <v>420</v>
      </c>
      <c r="D83" s="75" t="s">
        <v>386</v>
      </c>
      <c r="E83" s="75">
        <v>36655973000106</v>
      </c>
      <c r="F83" s="76">
        <v>0.70699999999999996</v>
      </c>
      <c r="G83" s="74" t="s">
        <v>88</v>
      </c>
      <c r="H83" s="76">
        <v>1.25</v>
      </c>
      <c r="I83" s="77" t="s">
        <v>183</v>
      </c>
      <c r="J83" s="76">
        <v>1085168.7720999999</v>
      </c>
      <c r="K83" s="76">
        <v>918197.47360000003</v>
      </c>
      <c r="L83" s="76">
        <v>89492.062810000003</v>
      </c>
      <c r="M83" s="76">
        <v>1968.3489999999999</v>
      </c>
      <c r="N83" s="76">
        <v>2817.9080800000002</v>
      </c>
      <c r="O83" s="76">
        <v>1082350.8640000001</v>
      </c>
      <c r="P83" s="76">
        <v>76837.265490000005</v>
      </c>
      <c r="Q83" s="76">
        <v>0</v>
      </c>
      <c r="R83" s="76">
        <v>0</v>
      </c>
      <c r="S83" s="76">
        <v>76837.265490000005</v>
      </c>
      <c r="T83" s="76">
        <v>18738.470259999998</v>
      </c>
      <c r="U83" s="76">
        <v>0</v>
      </c>
      <c r="V83" s="76">
        <v>-10433.44722</v>
      </c>
      <c r="W83" s="76">
        <v>85142.288530000005</v>
      </c>
      <c r="X83" s="76">
        <v>85142.288530000005</v>
      </c>
      <c r="Y83" s="76">
        <v>80885.174104000005</v>
      </c>
      <c r="Z83" s="76">
        <v>85001.235235999993</v>
      </c>
      <c r="AA83" s="76">
        <v>17756.165571000001</v>
      </c>
      <c r="AB83" s="76">
        <v>1.009002</v>
      </c>
      <c r="AC83" s="76"/>
      <c r="AD83" s="76">
        <v>0</v>
      </c>
      <c r="AE83" s="76">
        <v>0</v>
      </c>
      <c r="AF83" s="76">
        <v>396927.19854000001</v>
      </c>
      <c r="AG83" s="76">
        <v>0</v>
      </c>
      <c r="AH83" s="76">
        <v>0</v>
      </c>
      <c r="AI83" s="76">
        <v>0</v>
      </c>
      <c r="AJ83" s="76">
        <v>0</v>
      </c>
      <c r="AK83" s="76">
        <v>663666.03292999999</v>
      </c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>
        <v>9.6985782144999995</v>
      </c>
      <c r="BA83" s="76">
        <v>0.105</v>
      </c>
      <c r="BB83" s="76">
        <v>0</v>
      </c>
      <c r="BC83" s="76">
        <v>1.1661999999999999</v>
      </c>
      <c r="BD83" s="76">
        <v>0.66590000000000005</v>
      </c>
      <c r="BE83" s="76">
        <v>98359</v>
      </c>
      <c r="BF83" s="76">
        <v>97997</v>
      </c>
      <c r="BG83" s="76">
        <v>337</v>
      </c>
      <c r="BH83" s="76">
        <v>0</v>
      </c>
      <c r="BI83" s="76">
        <v>1</v>
      </c>
      <c r="BJ83" s="76">
        <v>0</v>
      </c>
      <c r="BK83" s="76">
        <v>8</v>
      </c>
      <c r="BL83" s="76">
        <v>0</v>
      </c>
      <c r="BM83" s="76">
        <v>0</v>
      </c>
      <c r="BN83" s="76">
        <v>0</v>
      </c>
      <c r="BO83" s="76">
        <v>0</v>
      </c>
      <c r="BP83" s="76">
        <v>0</v>
      </c>
      <c r="BQ83" s="76">
        <v>10</v>
      </c>
      <c r="BR83" s="76">
        <v>2</v>
      </c>
      <c r="BS83" s="76">
        <v>0</v>
      </c>
      <c r="BT83" s="76">
        <v>4</v>
      </c>
      <c r="BU83" s="76">
        <v>0</v>
      </c>
      <c r="BV83" s="76">
        <v>0</v>
      </c>
      <c r="BW83" s="76">
        <v>0</v>
      </c>
      <c r="BX83" s="76">
        <v>0</v>
      </c>
      <c r="BY83" s="76">
        <v>0</v>
      </c>
      <c r="BZ83" s="76">
        <v>0</v>
      </c>
      <c r="CA83" s="76">
        <v>0</v>
      </c>
      <c r="CB83" s="76">
        <v>0</v>
      </c>
      <c r="CC83" s="76">
        <v>0</v>
      </c>
      <c r="CD83" s="76">
        <v>0</v>
      </c>
      <c r="CE83" s="76">
        <v>0</v>
      </c>
      <c r="CF83" s="76">
        <v>0</v>
      </c>
      <c r="CG83" s="76">
        <v>0</v>
      </c>
      <c r="CH83" s="76">
        <v>0</v>
      </c>
      <c r="CI83" s="76">
        <v>0.91869135897999998</v>
      </c>
      <c r="CJ83" s="78">
        <v>994346.38610999996</v>
      </c>
    </row>
    <row r="84" spans="2:88" ht="15.6" x14ac:dyDescent="0.3">
      <c r="B84" s="79" t="s">
        <v>57</v>
      </c>
      <c r="C84" s="80" t="s">
        <v>212</v>
      </c>
      <c r="D84" s="81" t="s">
        <v>151</v>
      </c>
      <c r="E84" s="81">
        <v>23648935000184</v>
      </c>
      <c r="F84" s="82">
        <v>1.0640000000000001</v>
      </c>
      <c r="G84" s="80" t="s">
        <v>88</v>
      </c>
      <c r="H84" s="82">
        <v>0.95</v>
      </c>
      <c r="I84" s="83" t="s">
        <v>182</v>
      </c>
      <c r="J84" s="82">
        <v>1606640.3233</v>
      </c>
      <c r="K84" s="82">
        <v>1454866.7165999999</v>
      </c>
      <c r="L84" s="82">
        <v>0</v>
      </c>
      <c r="M84" s="82">
        <v>206.66963999999999</v>
      </c>
      <c r="N84" s="82">
        <v>1320.07294</v>
      </c>
      <c r="O84" s="82">
        <v>1605320.2504</v>
      </c>
      <c r="P84" s="82">
        <v>186914.8291</v>
      </c>
      <c r="Q84" s="82">
        <v>0</v>
      </c>
      <c r="R84" s="82">
        <v>0</v>
      </c>
      <c r="S84" s="82">
        <v>186914.8291</v>
      </c>
      <c r="T84" s="82">
        <v>5193.49046</v>
      </c>
      <c r="U84" s="82">
        <v>0</v>
      </c>
      <c r="V84" s="82">
        <v>-16430.31971</v>
      </c>
      <c r="W84" s="82">
        <v>175677.99984999999</v>
      </c>
      <c r="X84" s="82">
        <v>175677.99984999999</v>
      </c>
      <c r="Y84" s="82">
        <v>166894.09985999999</v>
      </c>
      <c r="Z84" s="82">
        <v>175677.99984999999</v>
      </c>
      <c r="AA84" s="82">
        <v>35724.665240000002</v>
      </c>
      <c r="AB84" s="82">
        <v>1</v>
      </c>
      <c r="AC84" s="82"/>
      <c r="AD84" s="82">
        <v>0</v>
      </c>
      <c r="AE84" s="82">
        <v>0</v>
      </c>
      <c r="AF84" s="82">
        <v>356353.52919999999</v>
      </c>
      <c r="AG84" s="82">
        <v>0</v>
      </c>
      <c r="AH84" s="82">
        <v>0</v>
      </c>
      <c r="AI84" s="82">
        <v>0</v>
      </c>
      <c r="AJ84" s="82">
        <v>0</v>
      </c>
      <c r="AK84" s="82">
        <v>1219250.4184999999</v>
      </c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>
        <v>94.653182705000006</v>
      </c>
      <c r="BA84" s="82">
        <v>7.9000000000000001E-2</v>
      </c>
      <c r="BB84" s="82">
        <v>0</v>
      </c>
      <c r="BC84" s="82">
        <v>0.75039999999999996</v>
      </c>
      <c r="BD84" s="82">
        <v>0.79090000000000005</v>
      </c>
      <c r="BE84" s="82">
        <v>112959</v>
      </c>
      <c r="BF84" s="82">
        <v>112648</v>
      </c>
      <c r="BG84" s="82">
        <v>248</v>
      </c>
      <c r="BH84" s="82">
        <v>0</v>
      </c>
      <c r="BI84" s="82">
        <v>1</v>
      </c>
      <c r="BJ84" s="82">
        <v>0</v>
      </c>
      <c r="BK84" s="82">
        <v>8</v>
      </c>
      <c r="BL84" s="82">
        <v>0</v>
      </c>
      <c r="BM84" s="82">
        <v>4</v>
      </c>
      <c r="BN84" s="82">
        <v>0</v>
      </c>
      <c r="BO84" s="82">
        <v>0</v>
      </c>
      <c r="BP84" s="82">
        <v>0</v>
      </c>
      <c r="BQ84" s="82">
        <v>23</v>
      </c>
      <c r="BR84" s="82">
        <v>26</v>
      </c>
      <c r="BS84" s="82">
        <v>0</v>
      </c>
      <c r="BT84" s="82">
        <v>1</v>
      </c>
      <c r="BU84" s="82">
        <v>0</v>
      </c>
      <c r="BV84" s="82">
        <v>0</v>
      </c>
      <c r="BW84" s="82">
        <v>0</v>
      </c>
      <c r="BX84" s="82">
        <v>0</v>
      </c>
      <c r="BY84" s="82">
        <v>0</v>
      </c>
      <c r="BZ84" s="82">
        <v>0</v>
      </c>
      <c r="CA84" s="82">
        <v>0</v>
      </c>
      <c r="CB84" s="82">
        <v>0</v>
      </c>
      <c r="CC84" s="82">
        <v>0</v>
      </c>
      <c r="CD84" s="82">
        <v>0</v>
      </c>
      <c r="CE84" s="82">
        <v>0</v>
      </c>
      <c r="CF84" s="82">
        <v>0</v>
      </c>
      <c r="CG84" s="82">
        <v>0</v>
      </c>
      <c r="CH84" s="82">
        <v>0</v>
      </c>
      <c r="CI84" s="82">
        <v>0.93224546156999999</v>
      </c>
      <c r="CJ84" s="84">
        <v>1496552.5178</v>
      </c>
    </row>
    <row r="85" spans="2:88" ht="15.6" x14ac:dyDescent="0.3">
      <c r="B85" s="73" t="s">
        <v>58</v>
      </c>
      <c r="C85" s="74" t="s">
        <v>213</v>
      </c>
      <c r="D85" s="75" t="s">
        <v>152</v>
      </c>
      <c r="E85" s="75">
        <v>97521225000125</v>
      </c>
      <c r="F85" s="76">
        <v>3.1030000000000002</v>
      </c>
      <c r="G85" s="74" t="s">
        <v>89</v>
      </c>
      <c r="H85" s="76">
        <v>0.9</v>
      </c>
      <c r="I85" s="77" t="s">
        <v>183</v>
      </c>
      <c r="J85" s="76">
        <v>4300056.6556000002</v>
      </c>
      <c r="K85" s="76">
        <v>3332203.8163999999</v>
      </c>
      <c r="L85" s="76">
        <v>7507.06</v>
      </c>
      <c r="M85" s="76">
        <v>22954.824939999999</v>
      </c>
      <c r="N85" s="76">
        <v>42866.360690000001</v>
      </c>
      <c r="O85" s="76">
        <v>4257190.2949000001</v>
      </c>
      <c r="P85" s="76">
        <v>380990.1764</v>
      </c>
      <c r="Q85" s="76">
        <v>0</v>
      </c>
      <c r="R85" s="76">
        <v>2886.6434800000002</v>
      </c>
      <c r="S85" s="76">
        <v>378103.53292000003</v>
      </c>
      <c r="T85" s="76">
        <v>15266.998939999999</v>
      </c>
      <c r="U85" s="76">
        <v>0</v>
      </c>
      <c r="V85" s="76">
        <v>-26598.998210000002</v>
      </c>
      <c r="W85" s="76">
        <v>369658.17713000003</v>
      </c>
      <c r="X85" s="76">
        <v>369658.17713000003</v>
      </c>
      <c r="Y85" s="76">
        <v>351175.26827</v>
      </c>
      <c r="Z85" s="76">
        <v>365101.19676000002</v>
      </c>
      <c r="AA85" s="76">
        <v>63269.492436</v>
      </c>
      <c r="AB85" s="76">
        <v>0.99270899999999995</v>
      </c>
      <c r="AC85" s="76"/>
      <c r="AD85" s="76">
        <v>0</v>
      </c>
      <c r="AE85" s="76">
        <v>0</v>
      </c>
      <c r="AF85" s="76">
        <v>573845.18906999996</v>
      </c>
      <c r="AG85" s="76">
        <v>0</v>
      </c>
      <c r="AH85" s="76">
        <v>0</v>
      </c>
      <c r="AI85" s="76">
        <v>0</v>
      </c>
      <c r="AJ85" s="76">
        <v>0</v>
      </c>
      <c r="AK85" s="76">
        <v>2555842.9789999998</v>
      </c>
      <c r="AL85" s="76"/>
      <c r="AM85" s="76"/>
      <c r="AN85" s="76"/>
      <c r="AO85" s="76"/>
      <c r="AP85" s="76"/>
      <c r="AQ85" s="76"/>
      <c r="AR85" s="76"/>
      <c r="AS85" s="76"/>
      <c r="AT85" s="76">
        <v>76.64</v>
      </c>
      <c r="AU85" s="76"/>
      <c r="AV85" s="76">
        <v>0.22539416931</v>
      </c>
      <c r="AW85" s="76"/>
      <c r="AX85" s="76"/>
      <c r="AY85" s="76"/>
      <c r="AZ85" s="76">
        <v>9.7346079087999993</v>
      </c>
      <c r="BA85" s="76">
        <v>7.6399999999999996E-2</v>
      </c>
      <c r="BB85" s="76">
        <v>0</v>
      </c>
      <c r="BC85" s="76">
        <v>0.91620000000000001</v>
      </c>
      <c r="BD85" s="76">
        <v>0.74809999999999999</v>
      </c>
      <c r="BE85" s="76">
        <v>1173066</v>
      </c>
      <c r="BF85" s="76">
        <v>1172241</v>
      </c>
      <c r="BG85" s="76">
        <v>774</v>
      </c>
      <c r="BH85" s="76">
        <v>0</v>
      </c>
      <c r="BI85" s="76">
        <v>1</v>
      </c>
      <c r="BJ85" s="76">
        <v>0</v>
      </c>
      <c r="BK85" s="76">
        <v>13</v>
      </c>
      <c r="BL85" s="76">
        <v>1</v>
      </c>
      <c r="BM85" s="76">
        <v>1</v>
      </c>
      <c r="BN85" s="76">
        <v>0</v>
      </c>
      <c r="BO85" s="76">
        <v>0</v>
      </c>
      <c r="BP85" s="76">
        <v>0</v>
      </c>
      <c r="BQ85" s="76">
        <v>14</v>
      </c>
      <c r="BR85" s="76">
        <v>16</v>
      </c>
      <c r="BS85" s="76">
        <v>0</v>
      </c>
      <c r="BT85" s="76">
        <v>5</v>
      </c>
      <c r="BU85" s="76">
        <v>0</v>
      </c>
      <c r="BV85" s="76">
        <v>0</v>
      </c>
      <c r="BW85" s="76">
        <v>0</v>
      </c>
      <c r="BX85" s="76">
        <v>0</v>
      </c>
      <c r="BY85" s="76">
        <v>0</v>
      </c>
      <c r="BZ85" s="76">
        <v>0</v>
      </c>
      <c r="CA85" s="76">
        <v>0</v>
      </c>
      <c r="CB85" s="76">
        <v>0</v>
      </c>
      <c r="CC85" s="76">
        <v>0</v>
      </c>
      <c r="CD85" s="76">
        <v>0</v>
      </c>
      <c r="CE85" s="76">
        <v>0</v>
      </c>
      <c r="CF85" s="76">
        <v>0</v>
      </c>
      <c r="CG85" s="76">
        <v>0</v>
      </c>
      <c r="CH85" s="76">
        <v>0</v>
      </c>
      <c r="CI85" s="76">
        <v>1.0252082151999999</v>
      </c>
      <c r="CJ85" s="78">
        <v>4364506.4641000004</v>
      </c>
    </row>
    <row r="86" spans="2:88" ht="15.6" x14ac:dyDescent="0.3">
      <c r="B86" s="79" t="s">
        <v>59</v>
      </c>
      <c r="C86" s="80" t="s">
        <v>421</v>
      </c>
      <c r="D86" s="81" t="s">
        <v>153</v>
      </c>
      <c r="E86" s="81">
        <v>16915968000188</v>
      </c>
      <c r="F86" s="82">
        <v>0.375</v>
      </c>
      <c r="G86" s="80" t="s">
        <v>89</v>
      </c>
      <c r="H86" s="82"/>
      <c r="I86" s="83" t="s">
        <v>183</v>
      </c>
      <c r="J86" s="82">
        <v>569509.53373999998</v>
      </c>
      <c r="K86" s="82">
        <v>519469.58304</v>
      </c>
      <c r="L86" s="82">
        <v>45243.929629999999</v>
      </c>
      <c r="M86" s="82">
        <v>48082.718139999997</v>
      </c>
      <c r="N86" s="82">
        <v>7622.5657099999999</v>
      </c>
      <c r="O86" s="82">
        <v>561886.96802999999</v>
      </c>
      <c r="P86" s="82">
        <v>62132.745909999998</v>
      </c>
      <c r="Q86" s="82">
        <v>25801.964520000001</v>
      </c>
      <c r="R86" s="82">
        <v>0</v>
      </c>
      <c r="S86" s="82">
        <v>36330.781389999996</v>
      </c>
      <c r="T86" s="82">
        <v>111.66916000000001</v>
      </c>
      <c r="U86" s="82">
        <v>0</v>
      </c>
      <c r="V86" s="82">
        <v>-7747.1596300000001</v>
      </c>
      <c r="W86" s="82">
        <v>54497.255440000001</v>
      </c>
      <c r="X86" s="82">
        <v>54497.255440000001</v>
      </c>
      <c r="Y86" s="82">
        <v>51772.392668</v>
      </c>
      <c r="Z86" s="82">
        <v>60561.551657999997</v>
      </c>
      <c r="AA86" s="82">
        <v>-1.9999999999999999E-6</v>
      </c>
      <c r="AB86" s="82">
        <v>1.2286459999999999</v>
      </c>
      <c r="AC86" s="82"/>
      <c r="AD86" s="82">
        <v>0</v>
      </c>
      <c r="AE86" s="82">
        <v>0</v>
      </c>
      <c r="AF86" s="82">
        <v>158626.07444999999</v>
      </c>
      <c r="AG86" s="82">
        <v>0</v>
      </c>
      <c r="AH86" s="82">
        <v>0</v>
      </c>
      <c r="AI86" s="82">
        <v>0</v>
      </c>
      <c r="AJ86" s="82">
        <v>0</v>
      </c>
      <c r="AK86" s="82">
        <v>61690.454460000001</v>
      </c>
      <c r="AL86" s="82"/>
      <c r="AM86" s="82"/>
      <c r="AN86" s="82"/>
      <c r="AO86" s="82"/>
      <c r="AP86" s="82">
        <v>3120.77</v>
      </c>
      <c r="AQ86" s="82">
        <v>0</v>
      </c>
      <c r="AR86" s="82">
        <v>0</v>
      </c>
      <c r="AS86" s="82">
        <v>0</v>
      </c>
      <c r="AT86" s="82"/>
      <c r="AU86" s="82"/>
      <c r="AV86" s="82"/>
      <c r="AW86" s="82"/>
      <c r="AX86" s="82">
        <v>14981.869650000001</v>
      </c>
      <c r="AY86" s="82">
        <v>2.6319424907000002</v>
      </c>
      <c r="AZ86" s="82">
        <v>107.79823248</v>
      </c>
      <c r="BA86" s="82">
        <v>0.14960000000000001</v>
      </c>
      <c r="BB86" s="82">
        <v>4.0000000000000002E-4</v>
      </c>
      <c r="BC86" s="82">
        <v>1.0905</v>
      </c>
      <c r="BD86" s="82">
        <v>0.7137</v>
      </c>
      <c r="BE86" s="82">
        <v>32361</v>
      </c>
      <c r="BF86" s="82">
        <v>0</v>
      </c>
      <c r="BG86" s="82">
        <v>0</v>
      </c>
      <c r="BH86" s="82">
        <v>0</v>
      </c>
      <c r="BI86" s="82">
        <v>0</v>
      </c>
      <c r="BJ86" s="82">
        <v>0</v>
      </c>
      <c r="BK86" s="82">
        <v>0</v>
      </c>
      <c r="BL86" s="82">
        <v>0</v>
      </c>
      <c r="BM86" s="82">
        <v>0</v>
      </c>
      <c r="BN86" s="82">
        <v>0</v>
      </c>
      <c r="BO86" s="82">
        <v>0</v>
      </c>
      <c r="BP86" s="82">
        <v>0</v>
      </c>
      <c r="BQ86" s="82">
        <v>0</v>
      </c>
      <c r="BR86" s="82">
        <v>0</v>
      </c>
      <c r="BS86" s="82">
        <v>0</v>
      </c>
      <c r="BT86" s="82">
        <v>0</v>
      </c>
      <c r="BU86" s="82"/>
      <c r="BV86" s="82"/>
      <c r="BW86" s="82"/>
      <c r="BX86" s="82"/>
      <c r="BY86" s="82"/>
      <c r="BZ86" s="82"/>
      <c r="CA86" s="82"/>
      <c r="CB86" s="82"/>
      <c r="CC86" s="82"/>
      <c r="CD86" s="82"/>
      <c r="CE86" s="82"/>
      <c r="CF86" s="82"/>
      <c r="CG86" s="82"/>
      <c r="CH86" s="82"/>
      <c r="CI86" s="82">
        <v>0.93823430742000002</v>
      </c>
      <c r="CJ86" s="84">
        <v>527181.63029999996</v>
      </c>
    </row>
    <row r="87" spans="2:88" ht="15.6" x14ac:dyDescent="0.3">
      <c r="B87" s="73" t="s">
        <v>2</v>
      </c>
      <c r="C87" s="74" t="s">
        <v>422</v>
      </c>
      <c r="D87" s="75" t="s">
        <v>96</v>
      </c>
      <c r="E87" s="75">
        <v>32006821000121</v>
      </c>
      <c r="F87" s="76">
        <v>0.11799999999999999</v>
      </c>
      <c r="G87" s="74" t="s">
        <v>88</v>
      </c>
      <c r="H87" s="76">
        <v>1.03</v>
      </c>
      <c r="I87" s="77" t="s">
        <v>183</v>
      </c>
      <c r="J87" s="76">
        <v>173271.69678</v>
      </c>
      <c r="K87" s="76">
        <v>149271.42204</v>
      </c>
      <c r="L87" s="76">
        <v>0</v>
      </c>
      <c r="M87" s="76">
        <v>5018.0250400000004</v>
      </c>
      <c r="N87" s="76">
        <v>6113.6509900000001</v>
      </c>
      <c r="O87" s="76">
        <v>167158.04579</v>
      </c>
      <c r="P87" s="76">
        <v>19110.621469999998</v>
      </c>
      <c r="Q87" s="76">
        <v>0</v>
      </c>
      <c r="R87" s="76">
        <v>0</v>
      </c>
      <c r="S87" s="76">
        <v>19110.621469999998</v>
      </c>
      <c r="T87" s="76">
        <v>392.09120000000001</v>
      </c>
      <c r="U87" s="76">
        <v>0</v>
      </c>
      <c r="V87" s="76">
        <v>-3024.6251699999998</v>
      </c>
      <c r="W87" s="76">
        <v>16478.087500000001</v>
      </c>
      <c r="X87" s="76">
        <v>16456.88752</v>
      </c>
      <c r="Y87" s="76">
        <v>15634.043143999999</v>
      </c>
      <c r="Z87" s="76">
        <v>16406.792173999998</v>
      </c>
      <c r="AA87" s="76">
        <v>1305.6236939999999</v>
      </c>
      <c r="AB87" s="76">
        <v>0.99479099999999998</v>
      </c>
      <c r="AC87" s="76"/>
      <c r="AD87" s="76">
        <v>0</v>
      </c>
      <c r="AE87" s="76">
        <v>0</v>
      </c>
      <c r="AF87" s="76">
        <v>6656.3489300000001</v>
      </c>
      <c r="AG87" s="76">
        <v>0</v>
      </c>
      <c r="AH87" s="76">
        <v>0</v>
      </c>
      <c r="AI87" s="76">
        <v>0</v>
      </c>
      <c r="AJ87" s="76">
        <v>0</v>
      </c>
      <c r="AK87" s="76">
        <v>119802.74085</v>
      </c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>
        <v>8.6055639663000001</v>
      </c>
      <c r="BA87" s="76">
        <v>1.1599999999999999E-2</v>
      </c>
      <c r="BB87" s="76">
        <v>5.1000000000000004E-3</v>
      </c>
      <c r="BC87" s="76">
        <v>1.0911</v>
      </c>
      <c r="BD87" s="76">
        <v>1.3608</v>
      </c>
      <c r="BE87" s="76">
        <v>26794</v>
      </c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6"/>
      <c r="CI87" s="76">
        <v>1.0318905344</v>
      </c>
      <c r="CJ87" s="78">
        <v>172488.8052</v>
      </c>
    </row>
    <row r="88" spans="2:88" ht="15.6" x14ac:dyDescent="0.3">
      <c r="B88" s="79" t="s">
        <v>60</v>
      </c>
      <c r="C88" s="80" t="s">
        <v>344</v>
      </c>
      <c r="D88" s="81" t="s">
        <v>154</v>
      </c>
      <c r="E88" s="81">
        <v>26091656000150</v>
      </c>
      <c r="F88" s="82">
        <v>0.18099999999999999</v>
      </c>
      <c r="G88" s="80" t="s">
        <v>89</v>
      </c>
      <c r="H88" s="82">
        <v>1.1625000000000001</v>
      </c>
      <c r="I88" s="83" t="s">
        <v>182</v>
      </c>
      <c r="J88" s="82">
        <v>326138.63105000003</v>
      </c>
      <c r="K88" s="82">
        <v>283134.86635999999</v>
      </c>
      <c r="L88" s="82">
        <v>0</v>
      </c>
      <c r="M88" s="82">
        <v>13.787050000000001</v>
      </c>
      <c r="N88" s="82">
        <v>4894.9920000000002</v>
      </c>
      <c r="O88" s="82">
        <v>321243.63905</v>
      </c>
      <c r="P88" s="82">
        <v>37710.523300000001</v>
      </c>
      <c r="Q88" s="82">
        <v>0</v>
      </c>
      <c r="R88" s="82">
        <v>0</v>
      </c>
      <c r="S88" s="82">
        <v>37710.523300000001</v>
      </c>
      <c r="T88" s="82">
        <v>2360.04351</v>
      </c>
      <c r="U88" s="82">
        <v>0</v>
      </c>
      <c r="V88" s="82">
        <v>-3807.5113000000001</v>
      </c>
      <c r="W88" s="82">
        <v>36263.055509999998</v>
      </c>
      <c r="X88" s="82">
        <v>36263.055509999998</v>
      </c>
      <c r="Y88" s="82">
        <v>34449.902735000003</v>
      </c>
      <c r="Z88" s="82">
        <v>37627.817385000002</v>
      </c>
      <c r="AA88" s="82">
        <v>5594.1004844999998</v>
      </c>
      <c r="AB88" s="82">
        <v>0.99990500000000004</v>
      </c>
      <c r="AC88" s="82"/>
      <c r="AD88" s="82">
        <v>0</v>
      </c>
      <c r="AE88" s="82">
        <v>0</v>
      </c>
      <c r="AF88" s="82">
        <v>1413.3761999999999</v>
      </c>
      <c r="AG88" s="82">
        <v>0</v>
      </c>
      <c r="AH88" s="82">
        <v>0</v>
      </c>
      <c r="AI88" s="82">
        <v>0</v>
      </c>
      <c r="AJ88" s="82">
        <v>0</v>
      </c>
      <c r="AK88" s="82">
        <v>317774.68479000003</v>
      </c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  <c r="AZ88" s="82">
        <v>98.771743758</v>
      </c>
      <c r="BA88" s="82">
        <v>7.4899999999999994E-2</v>
      </c>
      <c r="BB88" s="82">
        <v>4.4000000000000003E-3</v>
      </c>
      <c r="BC88" s="82">
        <v>0.86399999999999999</v>
      </c>
      <c r="BD88" s="82">
        <v>0.93489999999999995</v>
      </c>
      <c r="BE88" s="82">
        <v>29186</v>
      </c>
      <c r="BF88" s="82">
        <v>29096</v>
      </c>
      <c r="BG88" s="82">
        <v>74</v>
      </c>
      <c r="BH88" s="82"/>
      <c r="BI88" s="82">
        <v>1</v>
      </c>
      <c r="BJ88" s="82"/>
      <c r="BK88" s="82">
        <v>2</v>
      </c>
      <c r="BL88" s="82"/>
      <c r="BM88" s="82"/>
      <c r="BN88" s="82"/>
      <c r="BO88" s="82"/>
      <c r="BP88" s="82"/>
      <c r="BQ88" s="82">
        <v>6</v>
      </c>
      <c r="BR88" s="82">
        <v>7</v>
      </c>
      <c r="BS88" s="82"/>
      <c r="BT88" s="82"/>
      <c r="BU88" s="82"/>
      <c r="BV88" s="82"/>
      <c r="BW88" s="82"/>
      <c r="BX88" s="82"/>
      <c r="BY88" s="82"/>
      <c r="BZ88" s="82"/>
      <c r="CA88" s="82"/>
      <c r="CB88" s="82"/>
      <c r="CC88" s="82"/>
      <c r="CD88" s="82"/>
      <c r="CE88" s="82"/>
      <c r="CF88" s="82"/>
      <c r="CG88" s="82"/>
      <c r="CH88" s="82"/>
      <c r="CI88" s="82">
        <v>0.79182564794999999</v>
      </c>
      <c r="CJ88" s="84">
        <v>254368.95264</v>
      </c>
    </row>
    <row r="89" spans="2:88" ht="15.6" x14ac:dyDescent="0.3">
      <c r="B89" s="73" t="s">
        <v>14</v>
      </c>
      <c r="C89" s="74" t="s">
        <v>423</v>
      </c>
      <c r="D89" s="75" t="s">
        <v>108</v>
      </c>
      <c r="E89" s="75">
        <v>9072017000129</v>
      </c>
      <c r="F89" s="76">
        <v>0.86199999999999999</v>
      </c>
      <c r="G89" s="74" t="s">
        <v>90</v>
      </c>
      <c r="H89" s="76">
        <v>1</v>
      </c>
      <c r="I89" s="77" t="s">
        <v>183</v>
      </c>
      <c r="J89" s="76">
        <v>1879061.0804000001</v>
      </c>
      <c r="K89" s="76">
        <v>1799677.4091</v>
      </c>
      <c r="L89" s="76">
        <v>1745982.9387999999</v>
      </c>
      <c r="M89" s="76">
        <v>70424.160999999993</v>
      </c>
      <c r="N89" s="76">
        <v>78408.355720000007</v>
      </c>
      <c r="O89" s="76">
        <v>1800652.7246999999</v>
      </c>
      <c r="P89" s="76">
        <v>143726.53445000001</v>
      </c>
      <c r="Q89" s="76">
        <v>0</v>
      </c>
      <c r="R89" s="76">
        <v>142243.66453000001</v>
      </c>
      <c r="S89" s="76">
        <v>1482.8699200000001</v>
      </c>
      <c r="T89" s="76">
        <v>3711.43417</v>
      </c>
      <c r="U89" s="76">
        <v>0</v>
      </c>
      <c r="V89" s="76">
        <v>-18261.370709999999</v>
      </c>
      <c r="W89" s="76">
        <v>129176.59791</v>
      </c>
      <c r="X89" s="76">
        <v>129176.602</v>
      </c>
      <c r="Y89" s="76">
        <v>122717.77190000001</v>
      </c>
      <c r="Z89" s="76">
        <v>124086.5539</v>
      </c>
      <c r="AA89" s="76">
        <v>31907.9709</v>
      </c>
      <c r="AB89" s="76">
        <v>0.95889100000000005</v>
      </c>
      <c r="AC89" s="76"/>
      <c r="AD89" s="76">
        <v>0</v>
      </c>
      <c r="AE89" s="76">
        <v>0</v>
      </c>
      <c r="AF89" s="76">
        <v>3832.2882</v>
      </c>
      <c r="AG89" s="76">
        <v>0</v>
      </c>
      <c r="AH89" s="76">
        <v>0</v>
      </c>
      <c r="AI89" s="76">
        <v>0</v>
      </c>
      <c r="AJ89" s="76">
        <v>0</v>
      </c>
      <c r="AK89" s="76">
        <v>74667.568610000002</v>
      </c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>
        <v>152.36827099000001</v>
      </c>
      <c r="BA89" s="76">
        <v>6.54E-2</v>
      </c>
      <c r="BB89" s="76">
        <v>6.5409891858999995E-4</v>
      </c>
      <c r="BC89" s="76">
        <v>0.51249999999999996</v>
      </c>
      <c r="BD89" s="76">
        <v>0.61209999999999998</v>
      </c>
      <c r="BE89" s="76">
        <v>148830</v>
      </c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>
        <v>0.13669999999999999</v>
      </c>
      <c r="BV89" s="76">
        <v>0</v>
      </c>
      <c r="BW89" s="76">
        <v>1.859</v>
      </c>
      <c r="BX89" s="76">
        <v>0</v>
      </c>
      <c r="BY89" s="76">
        <v>0</v>
      </c>
      <c r="BZ89" s="76">
        <v>0</v>
      </c>
      <c r="CA89" s="76">
        <v>3.6036000000000001</v>
      </c>
      <c r="CB89" s="76">
        <v>2.7530000000000001</v>
      </c>
      <c r="CC89" s="76">
        <v>0</v>
      </c>
      <c r="CD89" s="76">
        <v>0</v>
      </c>
      <c r="CE89" s="76">
        <v>2.1981000000000002</v>
      </c>
      <c r="CF89" s="76">
        <v>42.526600000000002</v>
      </c>
      <c r="CG89" s="76">
        <v>43.270400000000002</v>
      </c>
      <c r="CH89" s="76">
        <v>1.1536999999999999</v>
      </c>
      <c r="CI89" s="76">
        <v>0.67310601699000006</v>
      </c>
      <c r="CJ89" s="78">
        <v>1212030.1835</v>
      </c>
    </row>
    <row r="90" spans="2:88" ht="15.6" x14ac:dyDescent="0.3">
      <c r="B90" s="79" t="s">
        <v>12</v>
      </c>
      <c r="C90" s="80" t="s">
        <v>424</v>
      </c>
      <c r="D90" s="81" t="s">
        <v>106</v>
      </c>
      <c r="E90" s="81">
        <v>32784898000122</v>
      </c>
      <c r="F90" s="82">
        <v>0.16200000000000001</v>
      </c>
      <c r="G90" s="80" t="s">
        <v>88</v>
      </c>
      <c r="H90" s="82">
        <v>0.8</v>
      </c>
      <c r="I90" s="83" t="s">
        <v>183</v>
      </c>
      <c r="J90" s="82">
        <v>258414.65823999999</v>
      </c>
      <c r="K90" s="82">
        <v>254134.90638</v>
      </c>
      <c r="L90" s="82">
        <v>0</v>
      </c>
      <c r="M90" s="82">
        <v>224.25053</v>
      </c>
      <c r="N90" s="82">
        <v>2221.8789099999999</v>
      </c>
      <c r="O90" s="82">
        <v>256192.77932999999</v>
      </c>
      <c r="P90" s="82">
        <v>16857.658790000001</v>
      </c>
      <c r="Q90" s="82">
        <v>0</v>
      </c>
      <c r="R90" s="82">
        <v>10672.6749</v>
      </c>
      <c r="S90" s="82">
        <v>6184.9838900000004</v>
      </c>
      <c r="T90" s="82">
        <v>291.00236000000001</v>
      </c>
      <c r="U90" s="82">
        <v>0</v>
      </c>
      <c r="V90" s="82">
        <v>-3367.32339</v>
      </c>
      <c r="W90" s="82">
        <v>13781.33776</v>
      </c>
      <c r="X90" s="82">
        <v>10931.28708</v>
      </c>
      <c r="Y90" s="82">
        <v>10384.722726</v>
      </c>
      <c r="Z90" s="82">
        <v>11080.269216000001</v>
      </c>
      <c r="AA90" s="82">
        <v>3395.7611160000001</v>
      </c>
      <c r="AB90" s="82">
        <v>1.031385</v>
      </c>
      <c r="AC90" s="82"/>
      <c r="AD90" s="82">
        <v>0</v>
      </c>
      <c r="AE90" s="82">
        <v>0</v>
      </c>
      <c r="AF90" s="82">
        <v>241618.51185000001</v>
      </c>
      <c r="AG90" s="82">
        <v>0</v>
      </c>
      <c r="AH90" s="82">
        <v>0</v>
      </c>
      <c r="AI90" s="82">
        <v>0</v>
      </c>
      <c r="AJ90" s="82">
        <v>0</v>
      </c>
      <c r="AK90" s="82">
        <v>16542.485410000001</v>
      </c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  <c r="AX90" s="82"/>
      <c r="AY90" s="82"/>
      <c r="AZ90" s="82">
        <v>89.465374956999995</v>
      </c>
      <c r="BA90" s="82">
        <v>6.5825590572999998E-2</v>
      </c>
      <c r="BB90" s="82">
        <v>8.2285301151E-4</v>
      </c>
      <c r="BC90" s="82">
        <v>0.7802</v>
      </c>
      <c r="BD90" s="82">
        <v>0.4919</v>
      </c>
      <c r="BE90" s="82">
        <v>15749</v>
      </c>
      <c r="BF90" s="82"/>
      <c r="BG90" s="82"/>
      <c r="BH90" s="82"/>
      <c r="BI90" s="82"/>
      <c r="BJ90" s="82"/>
      <c r="BK90" s="82"/>
      <c r="BL90" s="82"/>
      <c r="BM90" s="82"/>
      <c r="BN90" s="82"/>
      <c r="BO90" s="82"/>
      <c r="BP90" s="82"/>
      <c r="BQ90" s="82"/>
      <c r="BR90" s="82"/>
      <c r="BS90" s="82"/>
      <c r="BT90" s="82"/>
      <c r="BU90" s="82"/>
      <c r="BV90" s="82"/>
      <c r="BW90" s="82"/>
      <c r="BX90" s="82"/>
      <c r="BY90" s="82"/>
      <c r="BZ90" s="82"/>
      <c r="CA90" s="82"/>
      <c r="CB90" s="82"/>
      <c r="CC90" s="82"/>
      <c r="CD90" s="82"/>
      <c r="CE90" s="82"/>
      <c r="CF90" s="82"/>
      <c r="CG90" s="82">
        <v>100</v>
      </c>
      <c r="CH90" s="82"/>
      <c r="CI90" s="82">
        <v>0.88861193548999995</v>
      </c>
      <c r="CJ90" s="84">
        <v>227655.9615</v>
      </c>
    </row>
    <row r="91" spans="2:88" ht="15.6" x14ac:dyDescent="0.3">
      <c r="B91" s="73" t="s">
        <v>13</v>
      </c>
      <c r="C91" s="74" t="s">
        <v>425</v>
      </c>
      <c r="D91" s="75" t="s">
        <v>107</v>
      </c>
      <c r="E91" s="75">
        <v>11728688000147</v>
      </c>
      <c r="F91" s="76">
        <v>3.798</v>
      </c>
      <c r="G91" s="74" t="s">
        <v>92</v>
      </c>
      <c r="H91" s="76"/>
      <c r="I91" s="77" t="s">
        <v>183</v>
      </c>
      <c r="J91" s="76">
        <v>6447920.3876999998</v>
      </c>
      <c r="K91" s="76">
        <v>5914539.1019000001</v>
      </c>
      <c r="L91" s="76">
        <v>4839282.7526000002</v>
      </c>
      <c r="M91" s="76">
        <v>479774.89877000003</v>
      </c>
      <c r="N91" s="76">
        <v>1112846.9502999999</v>
      </c>
      <c r="O91" s="76">
        <v>5335073.4374000002</v>
      </c>
      <c r="P91" s="76">
        <v>445406.98813999997</v>
      </c>
      <c r="Q91" s="76">
        <v>0</v>
      </c>
      <c r="R91" s="76">
        <v>360939.78175999998</v>
      </c>
      <c r="S91" s="76">
        <v>84467.206380000003</v>
      </c>
      <c r="T91" s="76">
        <v>27226.945009999999</v>
      </c>
      <c r="U91" s="76">
        <v>0</v>
      </c>
      <c r="V91" s="76">
        <v>-38991.3603</v>
      </c>
      <c r="W91" s="76">
        <v>433642.57285</v>
      </c>
      <c r="X91" s="76">
        <v>433642.55300000001</v>
      </c>
      <c r="Y91" s="76">
        <v>411960.42534999998</v>
      </c>
      <c r="Z91" s="76">
        <v>443289.50134999998</v>
      </c>
      <c r="AA91" s="76">
        <v>74332.665349999996</v>
      </c>
      <c r="AB91" s="76">
        <v>1.0357160000000001</v>
      </c>
      <c r="AC91" s="76"/>
      <c r="AD91" s="76">
        <v>0</v>
      </c>
      <c r="AE91" s="76">
        <v>0</v>
      </c>
      <c r="AF91" s="76">
        <v>364785.73694999999</v>
      </c>
      <c r="AG91" s="76">
        <v>267849.87472999998</v>
      </c>
      <c r="AH91" s="76">
        <v>0</v>
      </c>
      <c r="AI91" s="76">
        <v>0</v>
      </c>
      <c r="AJ91" s="76">
        <v>0</v>
      </c>
      <c r="AK91" s="76">
        <v>404984.32039000001</v>
      </c>
      <c r="AL91" s="76"/>
      <c r="AM91" s="76"/>
      <c r="AN91" s="76"/>
      <c r="AO91" s="76"/>
      <c r="AP91" s="76">
        <v>137171.70000000001</v>
      </c>
      <c r="AQ91" s="76">
        <v>98</v>
      </c>
      <c r="AR91" s="76">
        <v>139961.90750999999</v>
      </c>
      <c r="AS91" s="76">
        <v>139961.90750999999</v>
      </c>
      <c r="AT91" s="76"/>
      <c r="AU91" s="76"/>
      <c r="AV91" s="76"/>
      <c r="AW91" s="76"/>
      <c r="AX91" s="76"/>
      <c r="AY91" s="76"/>
      <c r="AZ91" s="76">
        <v>157.90045416000001</v>
      </c>
      <c r="BA91" s="76">
        <v>5.3400000000000003E-2</v>
      </c>
      <c r="BB91" s="76">
        <v>8.8993170492000003E-4</v>
      </c>
      <c r="BC91" s="76">
        <v>0.69640000000000002</v>
      </c>
      <c r="BD91" s="76">
        <v>0.6673</v>
      </c>
      <c r="BE91" s="76">
        <v>486864</v>
      </c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>
        <v>3.7932000000000001</v>
      </c>
      <c r="BV91" s="76">
        <v>5.3689999999999998</v>
      </c>
      <c r="BW91" s="76">
        <v>4.3852000000000002</v>
      </c>
      <c r="BX91" s="76">
        <v>0.46150000000000002</v>
      </c>
      <c r="BY91" s="76">
        <v>1.3233999999999999</v>
      </c>
      <c r="BZ91" s="76">
        <v>4.8249000000000004</v>
      </c>
      <c r="CA91" s="76">
        <v>5.3693</v>
      </c>
      <c r="CB91" s="76">
        <v>1.9943</v>
      </c>
      <c r="CC91" s="76">
        <v>0</v>
      </c>
      <c r="CD91" s="76">
        <v>2.1488999999999998</v>
      </c>
      <c r="CE91" s="76">
        <v>5.2313999999999998</v>
      </c>
      <c r="CF91" s="76">
        <v>2.7974999999999999</v>
      </c>
      <c r="CG91" s="76">
        <v>62.227400000000003</v>
      </c>
      <c r="CH91" s="76">
        <v>0</v>
      </c>
      <c r="CI91" s="76">
        <v>1.0012637445999999</v>
      </c>
      <c r="CJ91" s="78">
        <v>5341815.6074999999</v>
      </c>
    </row>
    <row r="92" spans="2:88" ht="15.6" x14ac:dyDescent="0.3">
      <c r="B92" s="79" t="s">
        <v>61</v>
      </c>
      <c r="C92" s="80" t="s">
        <v>214</v>
      </c>
      <c r="D92" s="81" t="s">
        <v>155</v>
      </c>
      <c r="E92" s="81">
        <v>35754164000199</v>
      </c>
      <c r="F92" s="82">
        <v>0.21</v>
      </c>
      <c r="G92" s="80" t="s">
        <v>92</v>
      </c>
      <c r="H92" s="82">
        <v>1.1299999999999999</v>
      </c>
      <c r="I92" s="83" t="s">
        <v>183</v>
      </c>
      <c r="J92" s="82">
        <v>495422.09370999999</v>
      </c>
      <c r="K92" s="82">
        <v>485943.75069999998</v>
      </c>
      <c r="L92" s="82">
        <v>478279.03869999998</v>
      </c>
      <c r="M92" s="82">
        <v>3483.0054</v>
      </c>
      <c r="N92" s="82">
        <v>4282.6288500000001</v>
      </c>
      <c r="O92" s="82">
        <v>491139.46486000001</v>
      </c>
      <c r="P92" s="82">
        <v>41309.105089999997</v>
      </c>
      <c r="Q92" s="82">
        <v>0</v>
      </c>
      <c r="R92" s="82">
        <v>40841.411619999999</v>
      </c>
      <c r="S92" s="82">
        <v>467.69346999999999</v>
      </c>
      <c r="T92" s="82">
        <v>361.09737999999999</v>
      </c>
      <c r="U92" s="82">
        <v>0</v>
      </c>
      <c r="V92" s="82">
        <v>-4481.4066800000001</v>
      </c>
      <c r="W92" s="82">
        <v>37188.795789999996</v>
      </c>
      <c r="X92" s="82">
        <v>34508.27966</v>
      </c>
      <c r="Y92" s="82">
        <v>32782.865677000002</v>
      </c>
      <c r="Z92" s="82">
        <v>33804.964316999998</v>
      </c>
      <c r="AA92" s="82">
        <v>5840.0959469999998</v>
      </c>
      <c r="AB92" s="82">
        <v>0.98553599999999997</v>
      </c>
      <c r="AC92" s="82"/>
      <c r="AD92" s="82">
        <v>0</v>
      </c>
      <c r="AE92" s="82">
        <v>0</v>
      </c>
      <c r="AF92" s="82">
        <v>8108.9169000000002</v>
      </c>
      <c r="AG92" s="82">
        <v>0</v>
      </c>
      <c r="AH92" s="82">
        <v>0</v>
      </c>
      <c r="AI92" s="82">
        <v>0</v>
      </c>
      <c r="AJ92" s="82">
        <v>0</v>
      </c>
      <c r="AK92" s="82">
        <v>0</v>
      </c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>
        <v>98.394474818000006</v>
      </c>
      <c r="BA92" s="82">
        <v>1.0800000000000001E-2</v>
      </c>
      <c r="BB92" s="82">
        <v>0</v>
      </c>
      <c r="BC92" s="82">
        <v>0.57964000000000004</v>
      </c>
      <c r="BD92" s="82">
        <v>0.63815299999999997</v>
      </c>
      <c r="BE92" s="82">
        <v>25841</v>
      </c>
      <c r="BF92" s="82">
        <v>25764</v>
      </c>
      <c r="BG92" s="82">
        <v>35</v>
      </c>
      <c r="BH92" s="82">
        <v>0</v>
      </c>
      <c r="BI92" s="82">
        <v>0</v>
      </c>
      <c r="BJ92" s="82">
        <v>0</v>
      </c>
      <c r="BK92" s="82">
        <v>6</v>
      </c>
      <c r="BL92" s="82">
        <v>0</v>
      </c>
      <c r="BM92" s="82">
        <v>1</v>
      </c>
      <c r="BN92" s="82">
        <v>0</v>
      </c>
      <c r="BO92" s="82">
        <v>0</v>
      </c>
      <c r="BP92" s="82">
        <v>0</v>
      </c>
      <c r="BQ92" s="82">
        <v>13</v>
      </c>
      <c r="BR92" s="82">
        <v>19</v>
      </c>
      <c r="BS92" s="82">
        <v>0</v>
      </c>
      <c r="BT92" s="82">
        <v>3</v>
      </c>
      <c r="BU92" s="82"/>
      <c r="BV92" s="82"/>
      <c r="BW92" s="82"/>
      <c r="BX92" s="82"/>
      <c r="BY92" s="82"/>
      <c r="BZ92" s="82"/>
      <c r="CA92" s="82"/>
      <c r="CB92" s="82"/>
      <c r="CC92" s="82"/>
      <c r="CD92" s="82"/>
      <c r="CE92" s="82"/>
      <c r="CF92" s="82"/>
      <c r="CG92" s="82">
        <v>100</v>
      </c>
      <c r="CH92" s="82"/>
      <c r="CI92" s="82">
        <v>0.60186306304000003</v>
      </c>
      <c r="CJ92" s="84">
        <v>295598.70270000002</v>
      </c>
    </row>
    <row r="93" spans="2:88" ht="15.6" x14ac:dyDescent="0.3">
      <c r="B93" s="73" t="s">
        <v>368</v>
      </c>
      <c r="C93" s="74" t="s">
        <v>426</v>
      </c>
      <c r="D93" s="75" t="s">
        <v>387</v>
      </c>
      <c r="E93" s="75">
        <v>11260134000168</v>
      </c>
      <c r="F93" s="76">
        <v>0.36599999999999999</v>
      </c>
      <c r="G93" s="74" t="s">
        <v>90</v>
      </c>
      <c r="H93" s="76"/>
      <c r="I93" s="77" t="s">
        <v>183</v>
      </c>
      <c r="J93" s="76">
        <v>607853.69915</v>
      </c>
      <c r="K93" s="76">
        <v>603078.7648</v>
      </c>
      <c r="L93" s="76">
        <v>603078.7648</v>
      </c>
      <c r="M93" s="76">
        <v>1831.71606</v>
      </c>
      <c r="N93" s="76">
        <v>3588.8983899999998</v>
      </c>
      <c r="O93" s="76">
        <v>604264.80076000001</v>
      </c>
      <c r="P93" s="76">
        <v>35403.03557</v>
      </c>
      <c r="Q93" s="76">
        <v>0</v>
      </c>
      <c r="R93" s="76">
        <v>35403.03557</v>
      </c>
      <c r="S93" s="76">
        <v>0</v>
      </c>
      <c r="T93" s="76">
        <v>239.26456999999999</v>
      </c>
      <c r="U93" s="76">
        <v>0</v>
      </c>
      <c r="V93" s="76">
        <v>-3562.2838299999999</v>
      </c>
      <c r="W93" s="76">
        <v>32080.016309999999</v>
      </c>
      <c r="X93" s="76">
        <v>32080.016540000001</v>
      </c>
      <c r="Y93" s="76">
        <v>30476.015713000001</v>
      </c>
      <c r="Z93" s="76">
        <v>32606.860503</v>
      </c>
      <c r="AA93" s="76">
        <v>5609.7826029999997</v>
      </c>
      <c r="AB93" s="76">
        <v>1.0044109999999999</v>
      </c>
      <c r="AC93" s="76"/>
      <c r="AD93" s="76">
        <v>0</v>
      </c>
      <c r="AE93" s="76">
        <v>0</v>
      </c>
      <c r="AF93" s="76">
        <v>0</v>
      </c>
      <c r="AG93" s="76">
        <v>0</v>
      </c>
      <c r="AH93" s="76">
        <v>0</v>
      </c>
      <c r="AI93" s="76">
        <v>0</v>
      </c>
      <c r="AJ93" s="76">
        <v>0</v>
      </c>
      <c r="AK93" s="76">
        <v>704.54291000000001</v>
      </c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>
        <v>344.69204409999998</v>
      </c>
      <c r="BA93" s="76">
        <v>5.1400000000000001E-2</v>
      </c>
      <c r="BB93" s="76">
        <v>7.6543098227999996E-4</v>
      </c>
      <c r="BC93" s="76">
        <v>0.49309999999999998</v>
      </c>
      <c r="BD93" s="76">
        <v>0.48230000000000001</v>
      </c>
      <c r="BE93" s="76">
        <v>13019</v>
      </c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>
        <v>3.3146</v>
      </c>
      <c r="BV93" s="76">
        <v>0</v>
      </c>
      <c r="BW93" s="76">
        <v>4.8948999999999998</v>
      </c>
      <c r="BX93" s="76">
        <v>0</v>
      </c>
      <c r="BY93" s="76">
        <v>0</v>
      </c>
      <c r="BZ93" s="76">
        <v>6.8426999999999998</v>
      </c>
      <c r="CA93" s="76">
        <v>2.5011999999999999</v>
      </c>
      <c r="CB93" s="76">
        <v>3.8458000000000001</v>
      </c>
      <c r="CC93" s="76">
        <v>0</v>
      </c>
      <c r="CD93" s="76">
        <v>12.477600000000001</v>
      </c>
      <c r="CE93" s="76">
        <v>1.8107</v>
      </c>
      <c r="CF93" s="76">
        <v>0</v>
      </c>
      <c r="CG93" s="76">
        <v>63.503799999999998</v>
      </c>
      <c r="CH93" s="76">
        <v>0</v>
      </c>
      <c r="CI93" s="76">
        <v>0.85293526504999995</v>
      </c>
      <c r="CJ93" s="78">
        <v>515398.75799999997</v>
      </c>
    </row>
    <row r="94" spans="2:88" ht="15.6" x14ac:dyDescent="0.3">
      <c r="B94" s="79" t="s">
        <v>15</v>
      </c>
      <c r="C94" s="80" t="s">
        <v>427</v>
      </c>
      <c r="D94" s="81" t="s">
        <v>109</v>
      </c>
      <c r="E94" s="81">
        <v>11160521000122</v>
      </c>
      <c r="F94" s="82">
        <v>1.113</v>
      </c>
      <c r="G94" s="80" t="s">
        <v>88</v>
      </c>
      <c r="H94" s="82"/>
      <c r="I94" s="83" t="s">
        <v>183</v>
      </c>
      <c r="J94" s="82">
        <v>1676586.2064</v>
      </c>
      <c r="K94" s="82">
        <v>1620118.5669</v>
      </c>
      <c r="L94" s="82">
        <v>0</v>
      </c>
      <c r="M94" s="82">
        <v>1071.6985</v>
      </c>
      <c r="N94" s="82">
        <v>127114.09404</v>
      </c>
      <c r="O94" s="82">
        <v>1549472.1124</v>
      </c>
      <c r="P94" s="82">
        <v>197706.94531000001</v>
      </c>
      <c r="Q94" s="82">
        <v>0</v>
      </c>
      <c r="R94" s="82">
        <v>0</v>
      </c>
      <c r="S94" s="82">
        <v>197706.94531000001</v>
      </c>
      <c r="T94" s="82">
        <v>-1434.9298200000001</v>
      </c>
      <c r="U94" s="82">
        <v>0</v>
      </c>
      <c r="V94" s="82">
        <v>-14276.95795</v>
      </c>
      <c r="W94" s="82">
        <v>181995.05754000001</v>
      </c>
      <c r="X94" s="82">
        <v>181995.04699999999</v>
      </c>
      <c r="Y94" s="82">
        <v>172895.29465</v>
      </c>
      <c r="Z94" s="82">
        <v>185017.27165000001</v>
      </c>
      <c r="AA94" s="82">
        <v>30065.306649999999</v>
      </c>
      <c r="AB94" s="82">
        <v>0.98958500000000005</v>
      </c>
      <c r="AC94" s="82"/>
      <c r="AD94" s="82">
        <v>0</v>
      </c>
      <c r="AE94" s="82">
        <v>0</v>
      </c>
      <c r="AF94" s="82">
        <v>208746.25348000001</v>
      </c>
      <c r="AG94" s="82">
        <v>0</v>
      </c>
      <c r="AH94" s="82">
        <v>0</v>
      </c>
      <c r="AI94" s="82">
        <v>0</v>
      </c>
      <c r="AJ94" s="82">
        <v>0</v>
      </c>
      <c r="AK94" s="82">
        <v>1454443.9624999999</v>
      </c>
      <c r="AL94" s="82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  <c r="AX94" s="82"/>
      <c r="AY94" s="82"/>
      <c r="AZ94" s="82">
        <v>100.49691657</v>
      </c>
      <c r="BA94" s="82">
        <v>7.1800000000000003E-2</v>
      </c>
      <c r="BB94" s="82">
        <v>8.9999999999999998E-4</v>
      </c>
      <c r="BC94" s="82">
        <v>0.9456</v>
      </c>
      <c r="BD94" s="82">
        <v>0.97760000000000002</v>
      </c>
      <c r="BE94" s="82">
        <v>101106</v>
      </c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2"/>
      <c r="BU94" s="82"/>
      <c r="BV94" s="82"/>
      <c r="BW94" s="82"/>
      <c r="BX94" s="82"/>
      <c r="BY94" s="82"/>
      <c r="BZ94" s="82"/>
      <c r="CA94" s="82"/>
      <c r="CB94" s="82"/>
      <c r="CC94" s="82"/>
      <c r="CD94" s="82"/>
      <c r="CE94" s="82"/>
      <c r="CF94" s="82"/>
      <c r="CG94" s="82"/>
      <c r="CH94" s="82"/>
      <c r="CI94" s="82">
        <v>1.0107772801999999</v>
      </c>
      <c r="CJ94" s="84">
        <v>1566171.2075</v>
      </c>
    </row>
    <row r="95" spans="2:88" ht="15.6" x14ac:dyDescent="0.3">
      <c r="B95" s="73" t="s">
        <v>16</v>
      </c>
      <c r="C95" s="74" t="s">
        <v>428</v>
      </c>
      <c r="D95" s="75" t="s">
        <v>110</v>
      </c>
      <c r="E95" s="75">
        <v>29641226000153</v>
      </c>
      <c r="F95" s="76">
        <v>2.4369999999999998</v>
      </c>
      <c r="G95" s="74" t="s">
        <v>89</v>
      </c>
      <c r="H95" s="76">
        <v>0.9</v>
      </c>
      <c r="I95" s="77" t="s">
        <v>183</v>
      </c>
      <c r="J95" s="76">
        <v>2726071.8439000002</v>
      </c>
      <c r="K95" s="76">
        <v>2408950.3668</v>
      </c>
      <c r="L95" s="76">
        <v>1810819.5495</v>
      </c>
      <c r="M95" s="76">
        <v>89103.169240000003</v>
      </c>
      <c r="N95" s="76">
        <v>414869.30624000001</v>
      </c>
      <c r="O95" s="76">
        <v>2311202.5377000002</v>
      </c>
      <c r="P95" s="76">
        <v>260435.44845</v>
      </c>
      <c r="Q95" s="76">
        <v>0</v>
      </c>
      <c r="R95" s="76">
        <v>213596.51891000001</v>
      </c>
      <c r="S95" s="76">
        <v>46838.929539999997</v>
      </c>
      <c r="T95" s="76">
        <v>5115.1812</v>
      </c>
      <c r="U95" s="76">
        <v>0</v>
      </c>
      <c r="V95" s="76">
        <v>-38593.061869999998</v>
      </c>
      <c r="W95" s="76">
        <v>226957.56778000001</v>
      </c>
      <c r="X95" s="76">
        <v>226957.56421000001</v>
      </c>
      <c r="Y95" s="76">
        <v>215609.68599999999</v>
      </c>
      <c r="Z95" s="76">
        <v>221797.8187</v>
      </c>
      <c r="AA95" s="76">
        <v>65342.926200000002</v>
      </c>
      <c r="AB95" s="76">
        <v>0.97180100000000003</v>
      </c>
      <c r="AC95" s="76"/>
      <c r="AD95" s="76">
        <v>0</v>
      </c>
      <c r="AE95" s="76">
        <v>0</v>
      </c>
      <c r="AF95" s="76">
        <v>410664.57993000001</v>
      </c>
      <c r="AG95" s="76">
        <v>104226.31587999999</v>
      </c>
      <c r="AH95" s="76">
        <v>0</v>
      </c>
      <c r="AI95" s="76">
        <v>0</v>
      </c>
      <c r="AJ95" s="76">
        <v>0</v>
      </c>
      <c r="AK95" s="76">
        <v>-14954.359350000001</v>
      </c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>
        <v>125.56476306</v>
      </c>
      <c r="BA95" s="76">
        <v>6.1928423263E-2</v>
      </c>
      <c r="BB95" s="76">
        <v>8.8469182890000002E-4</v>
      </c>
      <c r="BC95" s="76">
        <v>0.67679999999999996</v>
      </c>
      <c r="BD95" s="76">
        <v>0.64959999999999996</v>
      </c>
      <c r="BE95" s="76">
        <v>204186</v>
      </c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/>
      <c r="BR95" s="76"/>
      <c r="BS95" s="76"/>
      <c r="BT95" s="76"/>
      <c r="BU95" s="76">
        <v>2.3800000000000002E-2</v>
      </c>
      <c r="BV95" s="76">
        <v>0</v>
      </c>
      <c r="BW95" s="76">
        <v>0</v>
      </c>
      <c r="BX95" s="76">
        <v>1.14E-2</v>
      </c>
      <c r="BY95" s="76">
        <v>0</v>
      </c>
      <c r="BZ95" s="76">
        <v>0</v>
      </c>
      <c r="CA95" s="76">
        <v>0</v>
      </c>
      <c r="CB95" s="76">
        <v>0</v>
      </c>
      <c r="CC95" s="76">
        <v>5.7000000000000002E-2</v>
      </c>
      <c r="CD95" s="76">
        <v>0</v>
      </c>
      <c r="CE95" s="76">
        <v>7.9180999999999999</v>
      </c>
      <c r="CF95" s="76">
        <v>0</v>
      </c>
      <c r="CG95" s="76">
        <v>91.989800000000002</v>
      </c>
      <c r="CH95" s="76">
        <v>0</v>
      </c>
      <c r="CI95" s="76">
        <v>0.97057484141000006</v>
      </c>
      <c r="CJ95" s="78">
        <v>2243195.0364999999</v>
      </c>
    </row>
    <row r="96" spans="2:88" ht="15.6" x14ac:dyDescent="0.3">
      <c r="B96" s="79" t="s">
        <v>62</v>
      </c>
      <c r="C96" s="80" t="s">
        <v>215</v>
      </c>
      <c r="D96" s="81" t="s">
        <v>156</v>
      </c>
      <c r="E96" s="81">
        <v>17156502000109</v>
      </c>
      <c r="F96" s="82">
        <v>0.224</v>
      </c>
      <c r="G96" s="80" t="s">
        <v>88</v>
      </c>
      <c r="H96" s="82">
        <v>0.9</v>
      </c>
      <c r="I96" s="83" t="s">
        <v>183</v>
      </c>
      <c r="J96" s="82">
        <v>362110.18419</v>
      </c>
      <c r="K96" s="82">
        <v>297286.26679999998</v>
      </c>
      <c r="L96" s="82">
        <v>0</v>
      </c>
      <c r="M96" s="82">
        <v>32.52496</v>
      </c>
      <c r="N96" s="82">
        <v>4099.7157500000003</v>
      </c>
      <c r="O96" s="82">
        <v>358010.46844000003</v>
      </c>
      <c r="P96" s="82">
        <v>46889.352619999998</v>
      </c>
      <c r="Q96" s="82">
        <v>0</v>
      </c>
      <c r="R96" s="82">
        <v>0</v>
      </c>
      <c r="S96" s="82">
        <v>46889.352619999998</v>
      </c>
      <c r="T96" s="82">
        <v>3667.6134900000002</v>
      </c>
      <c r="U96" s="82">
        <v>0</v>
      </c>
      <c r="V96" s="82">
        <v>-8045.1554100000003</v>
      </c>
      <c r="W96" s="82">
        <v>42511.810700000002</v>
      </c>
      <c r="X96" s="82">
        <v>42341.354079999997</v>
      </c>
      <c r="Y96" s="82">
        <v>40224.286375999996</v>
      </c>
      <c r="Z96" s="82">
        <v>42341.354085999999</v>
      </c>
      <c r="AA96" s="82">
        <v>9156.8234360000006</v>
      </c>
      <c r="AB96" s="82">
        <v>1</v>
      </c>
      <c r="AC96" s="82"/>
      <c r="AD96" s="82">
        <v>0</v>
      </c>
      <c r="AE96" s="82">
        <v>0</v>
      </c>
      <c r="AF96" s="82">
        <v>38004.322079999998</v>
      </c>
      <c r="AG96" s="82">
        <v>10826.502780000001</v>
      </c>
      <c r="AH96" s="82">
        <v>0</v>
      </c>
      <c r="AI96" s="82">
        <v>0</v>
      </c>
      <c r="AJ96" s="82">
        <v>0</v>
      </c>
      <c r="AK96" s="82">
        <v>246536.70217999999</v>
      </c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>
        <v>9.6023191991000001</v>
      </c>
      <c r="BA96" s="82">
        <v>8.8000000000000005E-3</v>
      </c>
      <c r="BB96" s="82">
        <v>8.8000000000000005E-3</v>
      </c>
      <c r="BC96" s="82">
        <v>0.92649999999999999</v>
      </c>
      <c r="BD96" s="82">
        <v>0.88519999999999999</v>
      </c>
      <c r="BE96" s="82">
        <v>36592</v>
      </c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2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>
        <v>0.87895432603000001</v>
      </c>
      <c r="CJ96" s="84">
        <v>314674.84999999998</v>
      </c>
    </row>
    <row r="97" spans="2:88" ht="15.6" x14ac:dyDescent="0.3">
      <c r="B97" s="73" t="s">
        <v>63</v>
      </c>
      <c r="C97" s="74" t="s">
        <v>216</v>
      </c>
      <c r="D97" s="75" t="s">
        <v>157</v>
      </c>
      <c r="E97" s="75">
        <v>27529279000151</v>
      </c>
      <c r="F97" s="76">
        <v>0.67700000000000005</v>
      </c>
      <c r="G97" s="74" t="s">
        <v>88</v>
      </c>
      <c r="H97" s="76">
        <v>1.1000000000000001</v>
      </c>
      <c r="I97" s="77" t="s">
        <v>183</v>
      </c>
      <c r="J97" s="76">
        <v>1191214.3759000001</v>
      </c>
      <c r="K97" s="76">
        <v>1142222.3931</v>
      </c>
      <c r="L97" s="76">
        <v>0</v>
      </c>
      <c r="M97" s="76">
        <v>17189.636719999999</v>
      </c>
      <c r="N97" s="76">
        <v>4269.3916099999997</v>
      </c>
      <c r="O97" s="76">
        <v>1186944.9842999999</v>
      </c>
      <c r="P97" s="76">
        <v>101411.66375000001</v>
      </c>
      <c r="Q97" s="76">
        <v>0</v>
      </c>
      <c r="R97" s="76">
        <v>45.066029999999998</v>
      </c>
      <c r="S97" s="76">
        <v>101366.59772000001</v>
      </c>
      <c r="T97" s="76">
        <v>4115.7216699999999</v>
      </c>
      <c r="U97" s="76">
        <v>0</v>
      </c>
      <c r="V97" s="76">
        <v>-10718.86419</v>
      </c>
      <c r="W97" s="76">
        <v>94808.521229999998</v>
      </c>
      <c r="X97" s="76">
        <v>94808.521229999998</v>
      </c>
      <c r="Y97" s="76">
        <v>90068.095168999993</v>
      </c>
      <c r="Z97" s="76">
        <v>90937.544330000004</v>
      </c>
      <c r="AA97" s="76">
        <v>16854.70766</v>
      </c>
      <c r="AB97" s="76">
        <v>0.95006400000000002</v>
      </c>
      <c r="AC97" s="76"/>
      <c r="AD97" s="76">
        <v>0</v>
      </c>
      <c r="AE97" s="76">
        <v>0</v>
      </c>
      <c r="AF97" s="76">
        <v>946242.49380000005</v>
      </c>
      <c r="AG97" s="76">
        <v>99156.337639999998</v>
      </c>
      <c r="AH97" s="76">
        <v>0</v>
      </c>
      <c r="AI97" s="76">
        <v>0</v>
      </c>
      <c r="AJ97" s="76">
        <v>0</v>
      </c>
      <c r="AK97" s="76">
        <v>148402.88738</v>
      </c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>
        <v>8.6760100808999994</v>
      </c>
      <c r="BA97" s="76">
        <v>6.8599999999999994E-2</v>
      </c>
      <c r="BB97" s="76">
        <v>0</v>
      </c>
      <c r="BC97" s="76">
        <v>0.59140000000000004</v>
      </c>
      <c r="BD97" s="76">
        <v>-7.4200000000000002E-2</v>
      </c>
      <c r="BE97" s="76">
        <v>129244</v>
      </c>
      <c r="BF97" s="76">
        <v>128834</v>
      </c>
      <c r="BG97" s="76">
        <v>361</v>
      </c>
      <c r="BH97" s="76">
        <v>0</v>
      </c>
      <c r="BI97" s="76">
        <v>0</v>
      </c>
      <c r="BJ97" s="76">
        <v>0</v>
      </c>
      <c r="BK97" s="76">
        <v>6</v>
      </c>
      <c r="BL97" s="76">
        <v>1</v>
      </c>
      <c r="BM97" s="76">
        <v>7</v>
      </c>
      <c r="BN97" s="76">
        <v>0</v>
      </c>
      <c r="BO97" s="76">
        <v>0</v>
      </c>
      <c r="BP97" s="76">
        <v>0</v>
      </c>
      <c r="BQ97" s="76">
        <v>11</v>
      </c>
      <c r="BR97" s="76">
        <v>21</v>
      </c>
      <c r="BS97" s="76">
        <v>0</v>
      </c>
      <c r="BT97" s="76">
        <v>3</v>
      </c>
      <c r="BU97" s="76">
        <v>0</v>
      </c>
      <c r="BV97" s="76">
        <v>0</v>
      </c>
      <c r="BW97" s="76">
        <v>0</v>
      </c>
      <c r="BX97" s="76">
        <v>0</v>
      </c>
      <c r="BY97" s="76">
        <v>0</v>
      </c>
      <c r="BZ97" s="76">
        <v>0</v>
      </c>
      <c r="CA97" s="76">
        <v>0</v>
      </c>
      <c r="CB97" s="76">
        <v>0</v>
      </c>
      <c r="CC97" s="76">
        <v>0</v>
      </c>
      <c r="CD97" s="76">
        <v>0</v>
      </c>
      <c r="CE97" s="76">
        <v>0</v>
      </c>
      <c r="CF97" s="76">
        <v>0</v>
      </c>
      <c r="CG97" s="76">
        <v>0</v>
      </c>
      <c r="CH97" s="76">
        <v>0</v>
      </c>
      <c r="CI97" s="76">
        <v>0.80221206926999999</v>
      </c>
      <c r="CJ97" s="78">
        <v>952181.59199999995</v>
      </c>
    </row>
    <row r="98" spans="2:88" ht="15.6" x14ac:dyDescent="0.3">
      <c r="B98" s="79" t="s">
        <v>64</v>
      </c>
      <c r="C98" s="80" t="s">
        <v>345</v>
      </c>
      <c r="D98" s="81" t="s">
        <v>158</v>
      </c>
      <c r="E98" s="81">
        <v>35705463000133</v>
      </c>
      <c r="F98" s="82">
        <v>0.36399999999999999</v>
      </c>
      <c r="G98" s="80" t="s">
        <v>92</v>
      </c>
      <c r="H98" s="82">
        <v>1.2</v>
      </c>
      <c r="I98" s="83" t="s">
        <v>183</v>
      </c>
      <c r="J98" s="82">
        <v>727756.16480000003</v>
      </c>
      <c r="K98" s="82">
        <v>715178.98722999997</v>
      </c>
      <c r="L98" s="82">
        <v>710204.98724000005</v>
      </c>
      <c r="M98" s="82">
        <v>9728.3673799999997</v>
      </c>
      <c r="N98" s="82">
        <v>43878.202570000001</v>
      </c>
      <c r="O98" s="82">
        <v>683877.96222999995</v>
      </c>
      <c r="P98" s="82">
        <v>62983.41577</v>
      </c>
      <c r="Q98" s="82">
        <v>0</v>
      </c>
      <c r="R98" s="82">
        <v>59979.055990000001</v>
      </c>
      <c r="S98" s="82">
        <v>3004.3597799999998</v>
      </c>
      <c r="T98" s="82">
        <v>295.73313999999999</v>
      </c>
      <c r="U98" s="82">
        <v>0</v>
      </c>
      <c r="V98" s="82">
        <v>-8675.8351899999998</v>
      </c>
      <c r="W98" s="82">
        <v>54603.313719999998</v>
      </c>
      <c r="X98" s="82">
        <v>54604.159339999998</v>
      </c>
      <c r="Y98" s="82">
        <v>51873.951373000004</v>
      </c>
      <c r="Z98" s="82">
        <v>54501.796943000001</v>
      </c>
      <c r="AA98" s="82">
        <v>9163.6125229999998</v>
      </c>
      <c r="AB98" s="82">
        <v>0.99498299999999995</v>
      </c>
      <c r="AC98" s="82"/>
      <c r="AD98" s="82">
        <v>0</v>
      </c>
      <c r="AE98" s="82">
        <v>0</v>
      </c>
      <c r="AF98" s="82">
        <v>4298.10635</v>
      </c>
      <c r="AG98" s="82">
        <v>0</v>
      </c>
      <c r="AH98" s="82">
        <v>0</v>
      </c>
      <c r="AI98" s="82">
        <v>0</v>
      </c>
      <c r="AJ98" s="82">
        <v>0</v>
      </c>
      <c r="AK98" s="82">
        <v>-38455.52188</v>
      </c>
      <c r="AL98" s="82"/>
      <c r="AM98" s="82"/>
      <c r="AN98" s="82"/>
      <c r="AO98" s="82"/>
      <c r="AP98" s="82"/>
      <c r="AQ98" s="82"/>
      <c r="AR98" s="82"/>
      <c r="AS98" s="82"/>
      <c r="AT98" s="82"/>
      <c r="AU98" s="82"/>
      <c r="AV98" s="82"/>
      <c r="AW98" s="82"/>
      <c r="AX98" s="82"/>
      <c r="AY98" s="82"/>
      <c r="AZ98" s="82">
        <v>102.26923625000001</v>
      </c>
      <c r="BA98" s="82">
        <v>7.8597793713000005E-2</v>
      </c>
      <c r="BB98" s="82"/>
      <c r="BC98" s="82"/>
      <c r="BD98" s="82">
        <v>0.52939999999999998</v>
      </c>
      <c r="BE98" s="82">
        <v>14967</v>
      </c>
      <c r="BF98" s="82"/>
      <c r="BG98" s="82"/>
      <c r="BH98" s="82"/>
      <c r="BI98" s="82"/>
      <c r="BJ98" s="82"/>
      <c r="BK98" s="82"/>
      <c r="BL98" s="82"/>
      <c r="BM98" s="82"/>
      <c r="BN98" s="82"/>
      <c r="BO98" s="82"/>
      <c r="BP98" s="82"/>
      <c r="BQ98" s="82"/>
      <c r="BR98" s="82"/>
      <c r="BS98" s="82"/>
      <c r="BT98" s="82"/>
      <c r="BU98" s="82"/>
      <c r="BV98" s="82"/>
      <c r="BW98" s="82"/>
      <c r="BX98" s="82"/>
      <c r="BY98" s="82"/>
      <c r="BZ98" s="82">
        <v>5.2430000000000003</v>
      </c>
      <c r="CA98" s="82">
        <v>6.0984999999999996</v>
      </c>
      <c r="CB98" s="82">
        <v>14.24</v>
      </c>
      <c r="CC98" s="82">
        <v>8.4799000000000007</v>
      </c>
      <c r="CD98" s="82">
        <v>20.892600000000002</v>
      </c>
      <c r="CE98" s="82">
        <v>20.377300000000002</v>
      </c>
      <c r="CF98" s="82"/>
      <c r="CG98" s="82">
        <v>24.668600000000001</v>
      </c>
      <c r="CH98" s="82"/>
      <c r="CI98" s="82">
        <v>0.74802553343</v>
      </c>
      <c r="CJ98" s="84">
        <v>511558.17749999999</v>
      </c>
    </row>
    <row r="99" spans="2:88" ht="15.6" x14ac:dyDescent="0.3">
      <c r="B99" s="73" t="s">
        <v>65</v>
      </c>
      <c r="C99" s="74" t="s">
        <v>217</v>
      </c>
      <c r="D99" s="75" t="s">
        <v>159</v>
      </c>
      <c r="E99" s="75">
        <v>17329029000114</v>
      </c>
      <c r="F99" s="76">
        <v>0.154</v>
      </c>
      <c r="G99" s="74" t="s">
        <v>88</v>
      </c>
      <c r="H99" s="76"/>
      <c r="I99" s="77" t="s">
        <v>183</v>
      </c>
      <c r="J99" s="76">
        <v>252494.80819000001</v>
      </c>
      <c r="K99" s="76">
        <v>240119.22925999999</v>
      </c>
      <c r="L99" s="76">
        <v>0</v>
      </c>
      <c r="M99" s="76">
        <v>104.37703</v>
      </c>
      <c r="N99" s="76">
        <v>6253.0332500000004</v>
      </c>
      <c r="O99" s="76">
        <v>246241.77494</v>
      </c>
      <c r="P99" s="76">
        <v>25086.048180000002</v>
      </c>
      <c r="Q99" s="76">
        <v>0</v>
      </c>
      <c r="R99" s="76">
        <v>0</v>
      </c>
      <c r="S99" s="76">
        <v>25086.048180000002</v>
      </c>
      <c r="T99" s="76">
        <v>849.97484999999995</v>
      </c>
      <c r="U99" s="76">
        <v>0</v>
      </c>
      <c r="V99" s="76">
        <v>-2083.1361999999999</v>
      </c>
      <c r="W99" s="76">
        <v>23852.886829999999</v>
      </c>
      <c r="X99" s="76">
        <v>23852.886829999999</v>
      </c>
      <c r="Y99" s="76">
        <v>22660.242489</v>
      </c>
      <c r="Z99" s="76">
        <v>22794.518109000001</v>
      </c>
      <c r="AA99" s="76">
        <v>3861.6914485000002</v>
      </c>
      <c r="AB99" s="76">
        <v>0.95482299999999998</v>
      </c>
      <c r="AC99" s="76"/>
      <c r="AD99" s="76">
        <v>0</v>
      </c>
      <c r="AE99" s="76">
        <v>0</v>
      </c>
      <c r="AF99" s="76">
        <v>254100.24040000001</v>
      </c>
      <c r="AG99" s="76">
        <v>0</v>
      </c>
      <c r="AH99" s="76">
        <v>0</v>
      </c>
      <c r="AI99" s="76">
        <v>0</v>
      </c>
      <c r="AJ99" s="76">
        <v>0</v>
      </c>
      <c r="AK99" s="76">
        <v>-5643.00414</v>
      </c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>
        <v>65.678221958999998</v>
      </c>
      <c r="BA99" s="76">
        <v>8.2000000000000007E-3</v>
      </c>
      <c r="BB99" s="76">
        <v>2E-3</v>
      </c>
      <c r="BC99" s="76">
        <v>0.77590000000000003</v>
      </c>
      <c r="BD99" s="76">
        <v>0.69279999999999997</v>
      </c>
      <c r="BE99" s="76">
        <v>23834</v>
      </c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>
        <v>0.88141850181000003</v>
      </c>
      <c r="CJ99" s="78">
        <v>217042.05635</v>
      </c>
    </row>
    <row r="100" spans="2:88" ht="15.6" x14ac:dyDescent="0.3">
      <c r="B100" s="79" t="s">
        <v>66</v>
      </c>
      <c r="C100" s="80" t="s">
        <v>346</v>
      </c>
      <c r="D100" s="81" t="s">
        <v>160</v>
      </c>
      <c r="E100" s="81">
        <v>36642219000131</v>
      </c>
      <c r="F100" s="82">
        <v>0.5</v>
      </c>
      <c r="G100" s="80" t="s">
        <v>88</v>
      </c>
      <c r="H100" s="82">
        <v>1.2</v>
      </c>
      <c r="I100" s="83" t="s">
        <v>182</v>
      </c>
      <c r="J100" s="82">
        <v>858375.83979999996</v>
      </c>
      <c r="K100" s="82">
        <v>822320.79536999995</v>
      </c>
      <c r="L100" s="82">
        <v>0</v>
      </c>
      <c r="M100" s="82">
        <v>27.162389999999998</v>
      </c>
      <c r="N100" s="82">
        <v>69266.489979999998</v>
      </c>
      <c r="O100" s="82">
        <v>789109.34982</v>
      </c>
      <c r="P100" s="82">
        <v>125025.83861999999</v>
      </c>
      <c r="Q100" s="82">
        <v>0</v>
      </c>
      <c r="R100" s="82">
        <v>0</v>
      </c>
      <c r="S100" s="82">
        <v>125025.83861999999</v>
      </c>
      <c r="T100" s="82">
        <v>6451.5108399999999</v>
      </c>
      <c r="U100" s="82">
        <v>0</v>
      </c>
      <c r="V100" s="82">
        <v>-10756.822</v>
      </c>
      <c r="W100" s="82">
        <v>120720.52746</v>
      </c>
      <c r="X100" s="82">
        <v>120720.52746</v>
      </c>
      <c r="Y100" s="82">
        <v>114684.50108</v>
      </c>
      <c r="Z100" s="82">
        <v>119787.02055</v>
      </c>
      <c r="AA100" s="82">
        <v>18672.716189999999</v>
      </c>
      <c r="AB100" s="82">
        <v>0.99817400000000001</v>
      </c>
      <c r="AC100" s="82"/>
      <c r="AD100" s="82">
        <v>0</v>
      </c>
      <c r="AE100" s="82">
        <v>0</v>
      </c>
      <c r="AF100" s="82">
        <v>123087.97856</v>
      </c>
      <c r="AG100" s="82">
        <v>0</v>
      </c>
      <c r="AH100" s="82">
        <v>0</v>
      </c>
      <c r="AI100" s="82">
        <v>0</v>
      </c>
      <c r="AJ100" s="82">
        <v>0</v>
      </c>
      <c r="AK100" s="82">
        <v>651613.03994000005</v>
      </c>
      <c r="AL100" s="82"/>
      <c r="AM100" s="82"/>
      <c r="AN100" s="82"/>
      <c r="AO100" s="82"/>
      <c r="AP100" s="82"/>
      <c r="AQ100" s="82"/>
      <c r="AR100" s="82"/>
      <c r="AS100" s="82"/>
      <c r="AT100" s="82"/>
      <c r="AU100" s="82"/>
      <c r="AV100" s="82"/>
      <c r="AW100" s="82"/>
      <c r="AX100" s="82"/>
      <c r="AY100" s="82"/>
      <c r="AZ100" s="82">
        <v>89.591241237000006</v>
      </c>
      <c r="BA100" s="82">
        <v>9.6199999999999994E-2</v>
      </c>
      <c r="BB100" s="82">
        <v>0</v>
      </c>
      <c r="BC100" s="82">
        <v>1.3617999999999999</v>
      </c>
      <c r="BD100" s="82">
        <v>1.4922</v>
      </c>
      <c r="BE100" s="82">
        <v>54013</v>
      </c>
      <c r="BF100" s="82">
        <v>53814</v>
      </c>
      <c r="BG100" s="82">
        <v>175</v>
      </c>
      <c r="BH100" s="82">
        <v>0</v>
      </c>
      <c r="BI100" s="82">
        <v>1</v>
      </c>
      <c r="BJ100" s="82">
        <v>0</v>
      </c>
      <c r="BK100" s="82">
        <v>7</v>
      </c>
      <c r="BL100" s="82">
        <v>0</v>
      </c>
      <c r="BM100" s="82">
        <v>0</v>
      </c>
      <c r="BN100" s="82">
        <v>0</v>
      </c>
      <c r="BO100" s="82">
        <v>0</v>
      </c>
      <c r="BP100" s="82">
        <v>0</v>
      </c>
      <c r="BQ100" s="82">
        <v>5</v>
      </c>
      <c r="BR100" s="82">
        <v>10</v>
      </c>
      <c r="BS100" s="82">
        <v>0</v>
      </c>
      <c r="BT100" s="82">
        <v>1</v>
      </c>
      <c r="BU100" s="82">
        <v>0</v>
      </c>
      <c r="BV100" s="82">
        <v>0</v>
      </c>
      <c r="BW100" s="82">
        <v>0</v>
      </c>
      <c r="BX100" s="82">
        <v>0</v>
      </c>
      <c r="BY100" s="82">
        <v>0</v>
      </c>
      <c r="BZ100" s="82">
        <v>0</v>
      </c>
      <c r="CA100" s="82">
        <v>0</v>
      </c>
      <c r="CB100" s="82">
        <v>0</v>
      </c>
      <c r="CC100" s="82">
        <v>0</v>
      </c>
      <c r="CD100" s="82">
        <v>0</v>
      </c>
      <c r="CE100" s="82">
        <v>0</v>
      </c>
      <c r="CF100" s="82">
        <v>0</v>
      </c>
      <c r="CG100" s="82">
        <v>0</v>
      </c>
      <c r="CH100" s="82">
        <v>0</v>
      </c>
      <c r="CI100" s="82">
        <v>0.89115854292999996</v>
      </c>
      <c r="CJ100" s="84">
        <v>703221.53839999996</v>
      </c>
    </row>
    <row r="101" spans="2:88" ht="15.6" x14ac:dyDescent="0.3">
      <c r="B101" s="73" t="s">
        <v>67</v>
      </c>
      <c r="C101" s="74" t="s">
        <v>218</v>
      </c>
      <c r="D101" s="75" t="s">
        <v>161</v>
      </c>
      <c r="E101" s="75">
        <v>28267696000136</v>
      </c>
      <c r="F101" s="76">
        <v>0.25600000000000001</v>
      </c>
      <c r="G101" s="74" t="s">
        <v>89</v>
      </c>
      <c r="H101" s="76">
        <v>1</v>
      </c>
      <c r="I101" s="77" t="s">
        <v>182</v>
      </c>
      <c r="J101" s="76">
        <v>530190.09574000002</v>
      </c>
      <c r="K101" s="76">
        <v>524319.82207999995</v>
      </c>
      <c r="L101" s="76">
        <v>522713</v>
      </c>
      <c r="M101" s="76">
        <v>4223.0268500000002</v>
      </c>
      <c r="N101" s="76">
        <v>157080.69068</v>
      </c>
      <c r="O101" s="76">
        <v>373109.40506000002</v>
      </c>
      <c r="P101" s="76">
        <v>54649.177080000001</v>
      </c>
      <c r="Q101" s="76">
        <v>3213.8150000000001</v>
      </c>
      <c r="R101" s="76">
        <v>322615.75222999998</v>
      </c>
      <c r="S101" s="76">
        <v>-271180.39014999999</v>
      </c>
      <c r="T101" s="76">
        <v>180.3878</v>
      </c>
      <c r="U101" s="76">
        <v>0</v>
      </c>
      <c r="V101" s="76">
        <v>-9564.8057000000008</v>
      </c>
      <c r="W101" s="76">
        <v>45264.759180000001</v>
      </c>
      <c r="X101" s="76">
        <v>45264.759180000001</v>
      </c>
      <c r="Y101" s="76">
        <v>43001.521221000003</v>
      </c>
      <c r="Z101" s="76">
        <v>45264.759180000001</v>
      </c>
      <c r="AA101" s="76">
        <v>8886.9919399999999</v>
      </c>
      <c r="AB101" s="76">
        <v>1</v>
      </c>
      <c r="AC101" s="76"/>
      <c r="AD101" s="76">
        <v>0</v>
      </c>
      <c r="AE101" s="76">
        <v>0</v>
      </c>
      <c r="AF101" s="76">
        <v>0</v>
      </c>
      <c r="AG101" s="76">
        <v>0</v>
      </c>
      <c r="AH101" s="76">
        <v>0</v>
      </c>
      <c r="AI101" s="76">
        <v>0</v>
      </c>
      <c r="AJ101" s="76">
        <v>0</v>
      </c>
      <c r="AK101" s="76">
        <v>-7607.8308200000001</v>
      </c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>
        <v>0</v>
      </c>
      <c r="AY101" s="76">
        <v>0</v>
      </c>
      <c r="AZ101" s="76">
        <v>100.61825813999999</v>
      </c>
      <c r="BA101" s="76">
        <v>8.5500000000000007E-2</v>
      </c>
      <c r="BB101" s="76">
        <v>0</v>
      </c>
      <c r="BC101" s="76">
        <v>1.0501</v>
      </c>
      <c r="BD101" s="76">
        <v>1.1843999999999999</v>
      </c>
      <c r="BE101" s="76">
        <v>38546</v>
      </c>
      <c r="BF101" s="76">
        <v>38463</v>
      </c>
      <c r="BG101" s="76">
        <v>70</v>
      </c>
      <c r="BH101" s="76">
        <v>0</v>
      </c>
      <c r="BI101" s="76">
        <v>0</v>
      </c>
      <c r="BJ101" s="76">
        <v>0</v>
      </c>
      <c r="BK101" s="76">
        <v>4</v>
      </c>
      <c r="BL101" s="76">
        <v>0</v>
      </c>
      <c r="BM101" s="76">
        <v>0</v>
      </c>
      <c r="BN101" s="76">
        <v>0</v>
      </c>
      <c r="BO101" s="76">
        <v>0</v>
      </c>
      <c r="BP101" s="76">
        <v>0</v>
      </c>
      <c r="BQ101" s="76">
        <v>4</v>
      </c>
      <c r="BR101" s="76">
        <v>5</v>
      </c>
      <c r="BS101" s="76">
        <v>0</v>
      </c>
      <c r="BT101" s="76">
        <v>0</v>
      </c>
      <c r="BU101" s="76">
        <v>0</v>
      </c>
      <c r="BV101" s="76">
        <v>0</v>
      </c>
      <c r="BW101" s="76">
        <v>0</v>
      </c>
      <c r="BX101" s="76">
        <v>0</v>
      </c>
      <c r="BY101" s="76">
        <v>0</v>
      </c>
      <c r="BZ101" s="76">
        <v>0</v>
      </c>
      <c r="CA101" s="76">
        <v>0</v>
      </c>
      <c r="CB101" s="76">
        <v>0</v>
      </c>
      <c r="CC101" s="76">
        <v>0</v>
      </c>
      <c r="CD101" s="76">
        <v>0</v>
      </c>
      <c r="CE101" s="76">
        <v>39.546243056000002</v>
      </c>
      <c r="CF101" s="76">
        <v>0</v>
      </c>
      <c r="CG101" s="76">
        <v>60.453756943999998</v>
      </c>
      <c r="CH101" s="76">
        <v>0</v>
      </c>
      <c r="CI101" s="76">
        <v>0.96553052889000002</v>
      </c>
      <c r="CJ101" s="78">
        <v>360248.52120000002</v>
      </c>
    </row>
    <row r="102" spans="2:88" ht="15.6" x14ac:dyDescent="0.3">
      <c r="B102" s="79" t="s">
        <v>68</v>
      </c>
      <c r="C102" s="80" t="s">
        <v>219</v>
      </c>
      <c r="D102" s="81" t="s">
        <v>162</v>
      </c>
      <c r="E102" s="81">
        <v>32903702000171</v>
      </c>
      <c r="F102" s="82">
        <v>0.26200000000000001</v>
      </c>
      <c r="G102" s="80" t="s">
        <v>89</v>
      </c>
      <c r="H102" s="82"/>
      <c r="I102" s="83" t="s">
        <v>183</v>
      </c>
      <c r="J102" s="82">
        <v>819992.12405999994</v>
      </c>
      <c r="K102" s="82">
        <v>800941.39156999998</v>
      </c>
      <c r="L102" s="82">
        <v>246400</v>
      </c>
      <c r="M102" s="82">
        <v>1713.8004699999999</v>
      </c>
      <c r="N102" s="82">
        <v>7706.2062800000003</v>
      </c>
      <c r="O102" s="82">
        <v>812285.91778000002</v>
      </c>
      <c r="P102" s="82">
        <v>53031.250240000001</v>
      </c>
      <c r="Q102" s="82">
        <v>0</v>
      </c>
      <c r="R102" s="82">
        <v>16921.040919999999</v>
      </c>
      <c r="S102" s="82">
        <v>36110.209320000002</v>
      </c>
      <c r="T102" s="82">
        <v>1510.6367</v>
      </c>
      <c r="U102" s="82">
        <v>0</v>
      </c>
      <c r="V102" s="82">
        <v>-9039.0648600000004</v>
      </c>
      <c r="W102" s="82">
        <v>45502.822079999998</v>
      </c>
      <c r="X102" s="82">
        <v>45502.822079999998</v>
      </c>
      <c r="Y102" s="82">
        <v>43227.680976000003</v>
      </c>
      <c r="Z102" s="82">
        <v>45155.868805999999</v>
      </c>
      <c r="AA102" s="82">
        <v>-3.9999999999999998E-6</v>
      </c>
      <c r="AB102" s="82">
        <v>0.96555100000000005</v>
      </c>
      <c r="AC102" s="82"/>
      <c r="AD102" s="82">
        <v>0</v>
      </c>
      <c r="AE102" s="82">
        <v>0</v>
      </c>
      <c r="AF102" s="82">
        <v>554969.85329</v>
      </c>
      <c r="AG102" s="82">
        <v>0</v>
      </c>
      <c r="AH102" s="82">
        <v>0</v>
      </c>
      <c r="AI102" s="82">
        <v>0</v>
      </c>
      <c r="AJ102" s="82">
        <v>0</v>
      </c>
      <c r="AK102" s="82">
        <v>11122.76758</v>
      </c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>
        <v>87.963718618000001</v>
      </c>
      <c r="BA102" s="82">
        <v>0.05</v>
      </c>
      <c r="BB102" s="82">
        <v>0</v>
      </c>
      <c r="BC102" s="82">
        <v>0.22700000000000001</v>
      </c>
      <c r="BD102" s="82">
        <v>6.9099999999999995E-2</v>
      </c>
      <c r="BE102" s="82">
        <v>37485</v>
      </c>
      <c r="BF102" s="82"/>
      <c r="BG102" s="82"/>
      <c r="BH102" s="82"/>
      <c r="BI102" s="82"/>
      <c r="BJ102" s="82"/>
      <c r="BK102" s="82"/>
      <c r="BL102" s="82"/>
      <c r="BM102" s="82"/>
      <c r="BN102" s="82"/>
      <c r="BO102" s="82"/>
      <c r="BP102" s="82"/>
      <c r="BQ102" s="82"/>
      <c r="BR102" s="82"/>
      <c r="BS102" s="82"/>
      <c r="BT102" s="82"/>
      <c r="BU102" s="82"/>
      <c r="BV102" s="82"/>
      <c r="BW102" s="82">
        <v>39.913499999999999</v>
      </c>
      <c r="BX102" s="82"/>
      <c r="BY102" s="82"/>
      <c r="BZ102" s="82">
        <v>2.3908</v>
      </c>
      <c r="CA102" s="82"/>
      <c r="CB102" s="82"/>
      <c r="CC102" s="82"/>
      <c r="CD102" s="82"/>
      <c r="CE102" s="82"/>
      <c r="CF102" s="82"/>
      <c r="CG102" s="82">
        <v>57.695700000000002</v>
      </c>
      <c r="CH102" s="82"/>
      <c r="CI102" s="82">
        <v>0.45314137040000002</v>
      </c>
      <c r="CJ102" s="84">
        <v>368080.35394</v>
      </c>
    </row>
    <row r="103" spans="2:88" ht="15.6" x14ac:dyDescent="0.3">
      <c r="B103" s="73" t="s">
        <v>369</v>
      </c>
      <c r="C103" s="74" t="s">
        <v>429</v>
      </c>
      <c r="D103" s="75" t="s">
        <v>388</v>
      </c>
      <c r="E103" s="75">
        <v>43741171000184</v>
      </c>
      <c r="F103" s="76">
        <v>0.124</v>
      </c>
      <c r="G103" s="74" t="s">
        <v>89</v>
      </c>
      <c r="H103" s="76">
        <v>1.25</v>
      </c>
      <c r="I103" s="77" t="s">
        <v>183</v>
      </c>
      <c r="J103" s="76">
        <v>149516.28820000001</v>
      </c>
      <c r="K103" s="76">
        <v>136749.03375</v>
      </c>
      <c r="L103" s="76">
        <v>45089.858010000004</v>
      </c>
      <c r="M103" s="76">
        <v>176.72209000000001</v>
      </c>
      <c r="N103" s="76">
        <v>14900.87693</v>
      </c>
      <c r="O103" s="76">
        <v>134615.41127000001</v>
      </c>
      <c r="P103" s="76">
        <v>8580.8554499999991</v>
      </c>
      <c r="Q103" s="76">
        <v>0</v>
      </c>
      <c r="R103" s="76">
        <v>55.151960000000003</v>
      </c>
      <c r="S103" s="76">
        <v>8525.7034899999999</v>
      </c>
      <c r="T103" s="76">
        <v>973.77355</v>
      </c>
      <c r="U103" s="76">
        <v>0</v>
      </c>
      <c r="V103" s="76">
        <v>-1554.76522</v>
      </c>
      <c r="W103" s="76">
        <v>7999.8637799999997</v>
      </c>
      <c r="X103" s="76">
        <v>8996.3406799999993</v>
      </c>
      <c r="Y103" s="76">
        <v>8546.5236459999996</v>
      </c>
      <c r="Z103" s="76">
        <v>9496.2808359999999</v>
      </c>
      <c r="AA103" s="76">
        <v>3265.5350360000002</v>
      </c>
      <c r="AB103" s="76">
        <v>1.075825</v>
      </c>
      <c r="AC103" s="76"/>
      <c r="AD103" s="76">
        <v>0</v>
      </c>
      <c r="AE103" s="76">
        <v>0</v>
      </c>
      <c r="AF103" s="76">
        <v>13562.59072</v>
      </c>
      <c r="AG103" s="76">
        <v>0</v>
      </c>
      <c r="AH103" s="76">
        <v>0</v>
      </c>
      <c r="AI103" s="76">
        <v>0</v>
      </c>
      <c r="AJ103" s="76">
        <v>0</v>
      </c>
      <c r="AK103" s="76">
        <v>61007.599540000003</v>
      </c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>
        <v>7.1231925854</v>
      </c>
      <c r="BA103" s="76">
        <v>1.1740149104E-2</v>
      </c>
      <c r="BB103" s="76">
        <v>1.3044643131000001E-3</v>
      </c>
      <c r="BC103" s="76">
        <v>0</v>
      </c>
      <c r="BD103" s="76">
        <v>-1.0829</v>
      </c>
      <c r="BE103" s="76">
        <v>12106</v>
      </c>
      <c r="BF103" s="76">
        <v>12084</v>
      </c>
      <c r="BG103" s="76">
        <v>18</v>
      </c>
      <c r="BH103" s="76">
        <v>0</v>
      </c>
      <c r="BI103" s="76">
        <v>0</v>
      </c>
      <c r="BJ103" s="76">
        <v>0</v>
      </c>
      <c r="BK103" s="76">
        <v>0</v>
      </c>
      <c r="BL103" s="76">
        <v>0</v>
      </c>
      <c r="BM103" s="76">
        <v>0</v>
      </c>
      <c r="BN103" s="76">
        <v>0</v>
      </c>
      <c r="BO103" s="76">
        <v>0</v>
      </c>
      <c r="BP103" s="76">
        <v>0</v>
      </c>
      <c r="BQ103" s="76">
        <v>2</v>
      </c>
      <c r="BR103" s="76">
        <v>2</v>
      </c>
      <c r="BS103" s="76">
        <v>0</v>
      </c>
      <c r="BT103" s="76">
        <v>0</v>
      </c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76"/>
      <c r="CG103" s="76"/>
      <c r="CH103" s="76"/>
      <c r="CI103" s="76">
        <v>1.2999788913000001</v>
      </c>
      <c r="CJ103" s="78">
        <v>174997.1931</v>
      </c>
    </row>
    <row r="104" spans="2:88" ht="15.6" x14ac:dyDescent="0.3">
      <c r="B104" s="79" t="s">
        <v>69</v>
      </c>
      <c r="C104" s="80" t="s">
        <v>220</v>
      </c>
      <c r="D104" s="81" t="s">
        <v>163</v>
      </c>
      <c r="E104" s="81">
        <v>40011225000168</v>
      </c>
      <c r="F104" s="82">
        <v>0.28599999999999998</v>
      </c>
      <c r="G104" s="80" t="s">
        <v>88</v>
      </c>
      <c r="H104" s="82"/>
      <c r="I104" s="83" t="s">
        <v>182</v>
      </c>
      <c r="J104" s="82">
        <v>254207.50266999999</v>
      </c>
      <c r="K104" s="82">
        <v>251827.45207999999</v>
      </c>
      <c r="L104" s="82">
        <v>0</v>
      </c>
      <c r="M104" s="82">
        <v>14.922129999999999</v>
      </c>
      <c r="N104" s="82">
        <v>1516.0175099999999</v>
      </c>
      <c r="O104" s="82">
        <v>252691.48516000001</v>
      </c>
      <c r="P104" s="82">
        <v>30543.9836</v>
      </c>
      <c r="Q104" s="82">
        <v>0</v>
      </c>
      <c r="R104" s="82">
        <v>0</v>
      </c>
      <c r="S104" s="82">
        <v>30543.9836</v>
      </c>
      <c r="T104" s="82">
        <v>1037.2450899999999</v>
      </c>
      <c r="U104" s="82">
        <v>0</v>
      </c>
      <c r="V104" s="82">
        <v>-2079.7806</v>
      </c>
      <c r="W104" s="82">
        <v>29501.448090000002</v>
      </c>
      <c r="X104" s="82">
        <v>29501.448090000002</v>
      </c>
      <c r="Y104" s="82">
        <v>28026.375684999999</v>
      </c>
      <c r="Z104" s="82">
        <v>28469.796579999998</v>
      </c>
      <c r="AA104" s="82">
        <v>4952.49658</v>
      </c>
      <c r="AB104" s="82">
        <v>0.96385299999999996</v>
      </c>
      <c r="AC104" s="82"/>
      <c r="AD104" s="82">
        <v>0</v>
      </c>
      <c r="AE104" s="82">
        <v>0</v>
      </c>
      <c r="AF104" s="82">
        <v>243906.53484000001</v>
      </c>
      <c r="AG104" s="82">
        <v>0</v>
      </c>
      <c r="AH104" s="82">
        <v>0</v>
      </c>
      <c r="AI104" s="82">
        <v>0</v>
      </c>
      <c r="AJ104" s="82">
        <v>0</v>
      </c>
      <c r="AK104" s="82">
        <v>-2190.76692</v>
      </c>
      <c r="AL104" s="82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82"/>
      <c r="AZ104" s="82">
        <v>89.290277442000004</v>
      </c>
      <c r="BA104" s="82">
        <v>6.5100000000000005E-2</v>
      </c>
      <c r="BB104" s="82">
        <v>0</v>
      </c>
      <c r="BC104" s="82">
        <v>0.90200000000000002</v>
      </c>
      <c r="BD104" s="82">
        <v>0.6028</v>
      </c>
      <c r="BE104" s="82">
        <v>30067</v>
      </c>
      <c r="BF104" s="82">
        <v>30032</v>
      </c>
      <c r="BG104" s="82">
        <v>30</v>
      </c>
      <c r="BH104" s="82">
        <v>0</v>
      </c>
      <c r="BI104" s="82">
        <v>0</v>
      </c>
      <c r="BJ104" s="82">
        <v>0</v>
      </c>
      <c r="BK104" s="82">
        <v>3</v>
      </c>
      <c r="BL104" s="82">
        <v>0</v>
      </c>
      <c r="BM104" s="82">
        <v>0</v>
      </c>
      <c r="BN104" s="82">
        <v>0</v>
      </c>
      <c r="BO104" s="82">
        <v>0</v>
      </c>
      <c r="BP104" s="82">
        <v>0</v>
      </c>
      <c r="BQ104" s="82">
        <v>0</v>
      </c>
      <c r="BR104" s="82">
        <v>2</v>
      </c>
      <c r="BS104" s="82">
        <v>0</v>
      </c>
      <c r="BT104" s="82">
        <v>0</v>
      </c>
      <c r="BU104" s="82">
        <v>0</v>
      </c>
      <c r="BV104" s="82">
        <v>0</v>
      </c>
      <c r="BW104" s="82">
        <v>0</v>
      </c>
      <c r="BX104" s="82">
        <v>0</v>
      </c>
      <c r="BY104" s="82">
        <v>0</v>
      </c>
      <c r="BZ104" s="82">
        <v>0</v>
      </c>
      <c r="CA104" s="82">
        <v>0</v>
      </c>
      <c r="CB104" s="82">
        <v>0</v>
      </c>
      <c r="CC104" s="82">
        <v>0</v>
      </c>
      <c r="CD104" s="82">
        <v>0</v>
      </c>
      <c r="CE104" s="82">
        <v>0</v>
      </c>
      <c r="CF104" s="82">
        <v>0</v>
      </c>
      <c r="CG104" s="82">
        <v>0</v>
      </c>
      <c r="CH104" s="82">
        <v>0</v>
      </c>
      <c r="CI104" s="82">
        <v>0.99473316183000005</v>
      </c>
      <c r="CJ104" s="84">
        <v>251360.6</v>
      </c>
    </row>
    <row r="105" spans="2:88" ht="15.6" x14ac:dyDescent="0.3">
      <c r="B105" s="73" t="s">
        <v>70</v>
      </c>
      <c r="C105" s="74" t="s">
        <v>221</v>
      </c>
      <c r="D105" s="75" t="s">
        <v>164</v>
      </c>
      <c r="E105" s="75">
        <v>41076710000182</v>
      </c>
      <c r="F105" s="76">
        <v>0.26900000000000002</v>
      </c>
      <c r="G105" s="74" t="s">
        <v>88</v>
      </c>
      <c r="H105" s="76">
        <v>0.85</v>
      </c>
      <c r="I105" s="77" t="s">
        <v>183</v>
      </c>
      <c r="J105" s="76">
        <v>437200.31907999999</v>
      </c>
      <c r="K105" s="76">
        <v>423414.59441999998</v>
      </c>
      <c r="L105" s="76">
        <v>0</v>
      </c>
      <c r="M105" s="76">
        <v>231.05790999999999</v>
      </c>
      <c r="N105" s="76">
        <v>21564.999380000001</v>
      </c>
      <c r="O105" s="76">
        <v>415635.31969999999</v>
      </c>
      <c r="P105" s="76">
        <v>50977.54638</v>
      </c>
      <c r="Q105" s="76">
        <v>0</v>
      </c>
      <c r="R105" s="76">
        <v>0</v>
      </c>
      <c r="S105" s="76">
        <v>50977.54638</v>
      </c>
      <c r="T105" s="76">
        <v>1130.588</v>
      </c>
      <c r="U105" s="76">
        <v>0</v>
      </c>
      <c r="V105" s="76">
        <v>-3817.71146</v>
      </c>
      <c r="W105" s="76">
        <v>48290.422919999997</v>
      </c>
      <c r="X105" s="76">
        <v>48290.422919999997</v>
      </c>
      <c r="Y105" s="76">
        <v>45875.901773999998</v>
      </c>
      <c r="Z105" s="76">
        <v>47609.891940000001</v>
      </c>
      <c r="AA105" s="76">
        <v>8399.9999499999994</v>
      </c>
      <c r="AB105" s="76">
        <v>0.98546</v>
      </c>
      <c r="AC105" s="76"/>
      <c r="AD105" s="76">
        <v>0</v>
      </c>
      <c r="AE105" s="76">
        <v>0</v>
      </c>
      <c r="AF105" s="76">
        <v>76101.825500000006</v>
      </c>
      <c r="AG105" s="76">
        <v>0</v>
      </c>
      <c r="AH105" s="76">
        <v>0</v>
      </c>
      <c r="AI105" s="76">
        <v>0</v>
      </c>
      <c r="AJ105" s="76">
        <v>0</v>
      </c>
      <c r="AK105" s="76">
        <v>332957.48300000001</v>
      </c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>
        <v>98.960790404999997</v>
      </c>
      <c r="BA105" s="76">
        <v>6.8099999999999994E-2</v>
      </c>
      <c r="BB105" s="76">
        <v>0</v>
      </c>
      <c r="BC105" s="76">
        <v>1.125</v>
      </c>
      <c r="BD105" s="76">
        <v>1.5629999999999999</v>
      </c>
      <c r="BE105" s="76">
        <v>41357</v>
      </c>
      <c r="BF105" s="76">
        <v>41302</v>
      </c>
      <c r="BG105" s="76">
        <v>45</v>
      </c>
      <c r="BH105" s="76">
        <v>0</v>
      </c>
      <c r="BI105" s="76">
        <v>0</v>
      </c>
      <c r="BJ105" s="76">
        <v>0</v>
      </c>
      <c r="BK105" s="76">
        <v>2</v>
      </c>
      <c r="BL105" s="76">
        <v>0</v>
      </c>
      <c r="BM105" s="76">
        <v>0</v>
      </c>
      <c r="BN105" s="76">
        <v>0</v>
      </c>
      <c r="BO105" s="76">
        <v>0</v>
      </c>
      <c r="BP105" s="76">
        <v>0</v>
      </c>
      <c r="BQ105" s="76">
        <v>5</v>
      </c>
      <c r="BR105" s="76">
        <v>3</v>
      </c>
      <c r="BS105" s="76">
        <v>0</v>
      </c>
      <c r="BT105" s="76">
        <v>0</v>
      </c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>
        <v>0.91025950411000001</v>
      </c>
      <c r="CJ105" s="78">
        <v>378336</v>
      </c>
    </row>
    <row r="106" spans="2:88" ht="15.6" x14ac:dyDescent="0.3">
      <c r="B106" s="79" t="s">
        <v>71</v>
      </c>
      <c r="C106" s="80" t="s">
        <v>347</v>
      </c>
      <c r="D106" s="81" t="s">
        <v>165</v>
      </c>
      <c r="E106" s="81">
        <v>26681370000125</v>
      </c>
      <c r="F106" s="82">
        <v>0.26200000000000001</v>
      </c>
      <c r="G106" s="80" t="s">
        <v>90</v>
      </c>
      <c r="H106" s="82">
        <v>1.17</v>
      </c>
      <c r="I106" s="83" t="s">
        <v>183</v>
      </c>
      <c r="J106" s="82">
        <v>592355.37369000004</v>
      </c>
      <c r="K106" s="82">
        <v>458968.76394999999</v>
      </c>
      <c r="L106" s="82">
        <v>455002.38983</v>
      </c>
      <c r="M106" s="82">
        <v>118102.21309</v>
      </c>
      <c r="N106" s="82">
        <v>181081.64657000001</v>
      </c>
      <c r="O106" s="82">
        <v>411273.72712</v>
      </c>
      <c r="P106" s="82">
        <v>71824.153550000003</v>
      </c>
      <c r="Q106" s="82">
        <v>0</v>
      </c>
      <c r="R106" s="82">
        <v>71602.568410000007</v>
      </c>
      <c r="S106" s="82">
        <v>221.58514</v>
      </c>
      <c r="T106" s="82">
        <v>1451.3691100000001</v>
      </c>
      <c r="U106" s="82">
        <v>0</v>
      </c>
      <c r="V106" s="82">
        <v>-32100.94541</v>
      </c>
      <c r="W106" s="82">
        <v>41174.577250000002</v>
      </c>
      <c r="X106" s="82">
        <v>41174.574249999998</v>
      </c>
      <c r="Y106" s="82">
        <v>39115.845538000001</v>
      </c>
      <c r="Z106" s="82">
        <v>40573.123467999998</v>
      </c>
      <c r="AA106" s="82">
        <v>8784.6589875000009</v>
      </c>
      <c r="AB106" s="82">
        <v>0.95986000000000005</v>
      </c>
      <c r="AC106" s="82"/>
      <c r="AD106" s="82">
        <v>0</v>
      </c>
      <c r="AE106" s="82">
        <v>0</v>
      </c>
      <c r="AF106" s="82">
        <v>10470.158020000001</v>
      </c>
      <c r="AG106" s="82">
        <v>0</v>
      </c>
      <c r="AH106" s="82">
        <v>0</v>
      </c>
      <c r="AI106" s="82">
        <v>0</v>
      </c>
      <c r="AJ106" s="82">
        <v>0</v>
      </c>
      <c r="AK106" s="82">
        <v>-51390.333180000001</v>
      </c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>
        <v>97.412823719000002</v>
      </c>
      <c r="BA106" s="82">
        <v>8.6223027783000006E-2</v>
      </c>
      <c r="BB106" s="82"/>
      <c r="BC106" s="82">
        <v>1.4733000000000001</v>
      </c>
      <c r="BD106" s="82">
        <v>0.97399999999999998</v>
      </c>
      <c r="BE106" s="82">
        <v>30171</v>
      </c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>
        <v>0</v>
      </c>
      <c r="BV106" s="82">
        <v>0</v>
      </c>
      <c r="BW106" s="82">
        <v>0</v>
      </c>
      <c r="BX106" s="82">
        <v>0</v>
      </c>
      <c r="BY106" s="82">
        <v>0</v>
      </c>
      <c r="BZ106" s="82">
        <v>0</v>
      </c>
      <c r="CA106" s="82">
        <v>0</v>
      </c>
      <c r="CB106" s="82">
        <v>0</v>
      </c>
      <c r="CC106" s="82">
        <v>0</v>
      </c>
      <c r="CD106" s="82">
        <v>0</v>
      </c>
      <c r="CE106" s="82">
        <v>0</v>
      </c>
      <c r="CF106" s="82">
        <v>0</v>
      </c>
      <c r="CG106" s="82">
        <v>0</v>
      </c>
      <c r="CH106" s="82">
        <v>0</v>
      </c>
      <c r="CI106" s="82">
        <v>0.89515935039000005</v>
      </c>
      <c r="CJ106" s="84">
        <v>368155.52240000002</v>
      </c>
    </row>
    <row r="107" spans="2:88" ht="15.6" x14ac:dyDescent="0.3">
      <c r="B107" s="73" t="s">
        <v>315</v>
      </c>
      <c r="C107" s="74" t="s">
        <v>352</v>
      </c>
      <c r="D107" s="75" t="s">
        <v>323</v>
      </c>
      <c r="E107" s="75">
        <v>14410722000129</v>
      </c>
      <c r="F107" s="76">
        <v>1.1220000000000001</v>
      </c>
      <c r="G107" s="74" t="s">
        <v>90</v>
      </c>
      <c r="H107" s="76">
        <v>0.27700000000000002</v>
      </c>
      <c r="I107" s="77" t="s">
        <v>182</v>
      </c>
      <c r="J107" s="76">
        <v>1637016.2556</v>
      </c>
      <c r="K107" s="76">
        <v>1496853.3729000001</v>
      </c>
      <c r="L107" s="76">
        <v>1491827.1069</v>
      </c>
      <c r="M107" s="76">
        <v>80001.346139999994</v>
      </c>
      <c r="N107" s="76">
        <v>20818.715209999998</v>
      </c>
      <c r="O107" s="76">
        <v>1616197.5404000001</v>
      </c>
      <c r="P107" s="76">
        <v>206910.64692999999</v>
      </c>
      <c r="Q107" s="76">
        <v>23535.41489</v>
      </c>
      <c r="R107" s="76">
        <v>182681.25769999999</v>
      </c>
      <c r="S107" s="76">
        <v>693.97433999999998</v>
      </c>
      <c r="T107" s="76">
        <v>6664.3565399999998</v>
      </c>
      <c r="U107" s="76">
        <v>0</v>
      </c>
      <c r="V107" s="76">
        <v>-8769.7372300000006</v>
      </c>
      <c r="W107" s="76">
        <v>204805.26624</v>
      </c>
      <c r="X107" s="76">
        <v>204805.26624</v>
      </c>
      <c r="Y107" s="76">
        <v>194565.00292999999</v>
      </c>
      <c r="Z107" s="76">
        <v>195559.30934000001</v>
      </c>
      <c r="AA107" s="76">
        <v>46391.814037999997</v>
      </c>
      <c r="AB107" s="76">
        <v>0.95</v>
      </c>
      <c r="AC107" s="76"/>
      <c r="AD107" s="76">
        <v>0</v>
      </c>
      <c r="AE107" s="76">
        <v>0</v>
      </c>
      <c r="AF107" s="76">
        <v>56491.996200000001</v>
      </c>
      <c r="AG107" s="76">
        <v>0</v>
      </c>
      <c r="AH107" s="76">
        <v>0</v>
      </c>
      <c r="AI107" s="76">
        <v>0</v>
      </c>
      <c r="AJ107" s="76">
        <v>0</v>
      </c>
      <c r="AK107" s="76">
        <v>6330.6413899999998</v>
      </c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>
        <v>101.52192287</v>
      </c>
      <c r="BA107" s="76">
        <v>2.5399999999999999E-2</v>
      </c>
      <c r="BB107" s="76">
        <v>4.5999999999999999E-3</v>
      </c>
      <c r="BC107" s="76">
        <v>0</v>
      </c>
      <c r="BD107" s="76">
        <v>-8.7499999999999994E-2</v>
      </c>
      <c r="BE107" s="76">
        <v>69674</v>
      </c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76"/>
      <c r="CB107" s="76"/>
      <c r="CC107" s="76"/>
      <c r="CD107" s="76"/>
      <c r="CE107" s="76"/>
      <c r="CF107" s="76"/>
      <c r="CG107" s="76">
        <v>100</v>
      </c>
      <c r="CH107" s="76"/>
      <c r="CI107" s="76">
        <v>0.97643934623999995</v>
      </c>
      <c r="CJ107" s="78">
        <v>1578118.8696999999</v>
      </c>
    </row>
    <row r="108" spans="2:88" ht="15.6" x14ac:dyDescent="0.3">
      <c r="B108" s="79" t="s">
        <v>72</v>
      </c>
      <c r="C108" s="80" t="s">
        <v>348</v>
      </c>
      <c r="D108" s="81" t="s">
        <v>166</v>
      </c>
      <c r="E108" s="81">
        <v>28548288000152</v>
      </c>
      <c r="F108" s="82">
        <v>1.496</v>
      </c>
      <c r="G108" s="80" t="s">
        <v>89</v>
      </c>
      <c r="H108" s="82">
        <v>1</v>
      </c>
      <c r="I108" s="83" t="s">
        <v>183</v>
      </c>
      <c r="J108" s="82">
        <v>3467162.7941000001</v>
      </c>
      <c r="K108" s="82">
        <v>2853043.5425</v>
      </c>
      <c r="L108" s="82">
        <v>1377031.9018999999</v>
      </c>
      <c r="M108" s="82">
        <v>420715.20293999999</v>
      </c>
      <c r="N108" s="82">
        <v>1312969.2616999999</v>
      </c>
      <c r="O108" s="82">
        <v>2154193.5323999999</v>
      </c>
      <c r="P108" s="82">
        <v>218039.67012</v>
      </c>
      <c r="Q108" s="82">
        <v>0</v>
      </c>
      <c r="R108" s="82">
        <v>162017.14572999999</v>
      </c>
      <c r="S108" s="82">
        <v>56022.524389999999</v>
      </c>
      <c r="T108" s="82">
        <v>14122.40992</v>
      </c>
      <c r="U108" s="82">
        <v>0</v>
      </c>
      <c r="V108" s="82">
        <v>-256092.70168</v>
      </c>
      <c r="W108" s="82">
        <v>-23930.621640000001</v>
      </c>
      <c r="X108" s="82">
        <v>182710.41706000001</v>
      </c>
      <c r="Y108" s="82">
        <v>173574.89621000001</v>
      </c>
      <c r="Z108" s="82">
        <v>175971.48968</v>
      </c>
      <c r="AA108" s="82">
        <v>42273.717427000003</v>
      </c>
      <c r="AB108" s="82">
        <v>0.96265999999999996</v>
      </c>
      <c r="AC108" s="82"/>
      <c r="AD108" s="82">
        <v>0</v>
      </c>
      <c r="AE108" s="82">
        <v>0</v>
      </c>
      <c r="AF108" s="82">
        <v>872516.51474000001</v>
      </c>
      <c r="AG108" s="82">
        <v>0</v>
      </c>
      <c r="AH108" s="82">
        <v>0</v>
      </c>
      <c r="AI108" s="82">
        <v>0</v>
      </c>
      <c r="AJ108" s="82">
        <v>0</v>
      </c>
      <c r="AK108" s="82">
        <v>-768192.41307000001</v>
      </c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>
        <v>107.51849261</v>
      </c>
      <c r="BA108" s="82">
        <v>8.3952867409000001E-2</v>
      </c>
      <c r="BB108" s="82"/>
      <c r="BC108" s="82">
        <v>0.87709999999999999</v>
      </c>
      <c r="BD108" s="82">
        <v>2.2818000000000001</v>
      </c>
      <c r="BE108" s="82">
        <v>180932</v>
      </c>
      <c r="BF108" s="82"/>
      <c r="BG108" s="82"/>
      <c r="BH108" s="82"/>
      <c r="BI108" s="82"/>
      <c r="BJ108" s="82"/>
      <c r="BK108" s="82"/>
      <c r="BL108" s="82"/>
      <c r="BM108" s="82"/>
      <c r="BN108" s="82"/>
      <c r="BO108" s="82"/>
      <c r="BP108" s="82"/>
      <c r="BQ108" s="82"/>
      <c r="BR108" s="82"/>
      <c r="BS108" s="82"/>
      <c r="BT108" s="82"/>
      <c r="BU108" s="82"/>
      <c r="BV108" s="82"/>
      <c r="BW108" s="82"/>
      <c r="BX108" s="82"/>
      <c r="BY108" s="82"/>
      <c r="BZ108" s="82"/>
      <c r="CA108" s="82"/>
      <c r="CB108" s="82"/>
      <c r="CC108" s="82"/>
      <c r="CD108" s="82"/>
      <c r="CE108" s="82"/>
      <c r="CF108" s="82"/>
      <c r="CG108" s="82">
        <v>100</v>
      </c>
      <c r="CH108" s="82"/>
      <c r="CI108" s="82">
        <v>0.97685521297</v>
      </c>
      <c r="CJ108" s="84">
        <v>2104335.1819000002</v>
      </c>
    </row>
    <row r="109" spans="2:88" ht="15.6" x14ac:dyDescent="0.3">
      <c r="B109" s="73" t="s">
        <v>73</v>
      </c>
      <c r="C109" s="74" t="s">
        <v>222</v>
      </c>
      <c r="D109" s="75" t="s">
        <v>167</v>
      </c>
      <c r="E109" s="75">
        <v>34508872000187</v>
      </c>
      <c r="F109" s="76">
        <v>0.66500000000000004</v>
      </c>
      <c r="G109" s="74" t="s">
        <v>91</v>
      </c>
      <c r="H109" s="76"/>
      <c r="I109" s="77" t="s">
        <v>183</v>
      </c>
      <c r="J109" s="76">
        <v>1213106.7242999999</v>
      </c>
      <c r="K109" s="76">
        <v>1110199.2180999999</v>
      </c>
      <c r="L109" s="76">
        <v>0</v>
      </c>
      <c r="M109" s="76">
        <v>88080.113899999997</v>
      </c>
      <c r="N109" s="76">
        <v>12755.258159999999</v>
      </c>
      <c r="O109" s="76">
        <v>1200351.4661999999</v>
      </c>
      <c r="P109" s="76">
        <v>149606.22344</v>
      </c>
      <c r="Q109" s="76">
        <v>0</v>
      </c>
      <c r="R109" s="76">
        <v>-11.33334</v>
      </c>
      <c r="S109" s="76">
        <v>149617.55678000001</v>
      </c>
      <c r="T109" s="76">
        <v>2839.7860999999998</v>
      </c>
      <c r="U109" s="76">
        <v>0</v>
      </c>
      <c r="V109" s="76">
        <v>-21422.15797</v>
      </c>
      <c r="W109" s="76">
        <v>131023.85157</v>
      </c>
      <c r="X109" s="76">
        <v>122532.12953999999</v>
      </c>
      <c r="Y109" s="76">
        <v>116405.52306000001</v>
      </c>
      <c r="Z109" s="76">
        <v>155424.39363999999</v>
      </c>
      <c r="AA109" s="76">
        <v>25045.437123</v>
      </c>
      <c r="AB109" s="76">
        <v>1.735571</v>
      </c>
      <c r="AC109" s="76"/>
      <c r="AD109" s="76">
        <v>0</v>
      </c>
      <c r="AE109" s="76">
        <v>0</v>
      </c>
      <c r="AF109" s="76">
        <v>141452.52145</v>
      </c>
      <c r="AG109" s="76">
        <v>0</v>
      </c>
      <c r="AH109" s="76">
        <v>0</v>
      </c>
      <c r="AI109" s="76">
        <v>0</v>
      </c>
      <c r="AJ109" s="76">
        <v>0</v>
      </c>
      <c r="AK109" s="76">
        <v>661028.28162999998</v>
      </c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>
        <v>102.29778485</v>
      </c>
      <c r="BA109" s="76">
        <v>1.7399999999999999E-2</v>
      </c>
      <c r="BB109" s="76">
        <v>0</v>
      </c>
      <c r="BC109" s="76">
        <v>0.98322600000000004</v>
      </c>
      <c r="BD109" s="76">
        <v>1.565086</v>
      </c>
      <c r="BE109" s="76">
        <v>82153</v>
      </c>
      <c r="BF109" s="76">
        <v>82027</v>
      </c>
      <c r="BG109" s="76">
        <v>99</v>
      </c>
      <c r="BH109" s="76">
        <v>0</v>
      </c>
      <c r="BI109" s="76">
        <v>0</v>
      </c>
      <c r="BJ109" s="76">
        <v>0</v>
      </c>
      <c r="BK109" s="76">
        <v>5</v>
      </c>
      <c r="BL109" s="76">
        <v>1</v>
      </c>
      <c r="BM109" s="76">
        <v>0</v>
      </c>
      <c r="BN109" s="76">
        <v>0</v>
      </c>
      <c r="BO109" s="76">
        <v>0</v>
      </c>
      <c r="BP109" s="76">
        <v>0</v>
      </c>
      <c r="BQ109" s="76">
        <v>10</v>
      </c>
      <c r="BR109" s="76">
        <v>5</v>
      </c>
      <c r="BS109" s="76">
        <v>0</v>
      </c>
      <c r="BT109" s="76">
        <v>6</v>
      </c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6"/>
      <c r="CH109" s="76"/>
      <c r="CI109" s="76">
        <v>0.77939126557000005</v>
      </c>
      <c r="CJ109" s="78">
        <v>935543.44834999996</v>
      </c>
    </row>
    <row r="110" spans="2:88" ht="15.6" x14ac:dyDescent="0.3">
      <c r="B110" s="79" t="s">
        <v>74</v>
      </c>
      <c r="C110" s="80" t="s">
        <v>223</v>
      </c>
      <c r="D110" s="81" t="s">
        <v>168</v>
      </c>
      <c r="E110" s="81">
        <v>29852732000191</v>
      </c>
      <c r="F110" s="82">
        <v>1.093</v>
      </c>
      <c r="G110" s="80" t="s">
        <v>88</v>
      </c>
      <c r="H110" s="82">
        <v>1.06</v>
      </c>
      <c r="I110" s="83" t="s">
        <v>182</v>
      </c>
      <c r="J110" s="82">
        <v>1441486.4140999999</v>
      </c>
      <c r="K110" s="82">
        <v>1087303.8388</v>
      </c>
      <c r="L110" s="82">
        <v>0</v>
      </c>
      <c r="M110" s="82">
        <v>14688.5823</v>
      </c>
      <c r="N110" s="82">
        <v>22083.298930000001</v>
      </c>
      <c r="O110" s="82">
        <v>1419403.1151999999</v>
      </c>
      <c r="P110" s="82">
        <v>155614.32931</v>
      </c>
      <c r="Q110" s="82">
        <v>0</v>
      </c>
      <c r="R110" s="82">
        <v>0</v>
      </c>
      <c r="S110" s="82">
        <v>155614.32931</v>
      </c>
      <c r="T110" s="82">
        <v>3878.9632000000001</v>
      </c>
      <c r="U110" s="82">
        <v>0</v>
      </c>
      <c r="V110" s="82">
        <v>-18527.50013</v>
      </c>
      <c r="W110" s="82">
        <v>140965.79238</v>
      </c>
      <c r="X110" s="82">
        <v>140965.79238</v>
      </c>
      <c r="Y110" s="82">
        <v>133917.50276</v>
      </c>
      <c r="Z110" s="82">
        <v>140965.79238</v>
      </c>
      <c r="AA110" s="82">
        <v>23680.003079999999</v>
      </c>
      <c r="AB110" s="82">
        <v>1</v>
      </c>
      <c r="AC110" s="82"/>
      <c r="AD110" s="82">
        <v>0</v>
      </c>
      <c r="AE110" s="82">
        <v>0</v>
      </c>
      <c r="AF110" s="82">
        <v>109188.4449</v>
      </c>
      <c r="AG110" s="82">
        <v>0</v>
      </c>
      <c r="AH110" s="82">
        <v>0</v>
      </c>
      <c r="AI110" s="82">
        <v>0</v>
      </c>
      <c r="AJ110" s="82">
        <v>0</v>
      </c>
      <c r="AK110" s="82">
        <v>992711.52191000001</v>
      </c>
      <c r="AL110" s="82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/>
      <c r="AW110" s="82"/>
      <c r="AX110" s="82"/>
      <c r="AY110" s="82"/>
      <c r="AZ110" s="82">
        <v>9.7151992588000002</v>
      </c>
      <c r="BA110" s="82">
        <v>7.2300000000000003E-2</v>
      </c>
      <c r="BB110" s="82">
        <v>0</v>
      </c>
      <c r="BC110" s="82">
        <v>0.81059999999999999</v>
      </c>
      <c r="BD110" s="82">
        <v>0.58450000000000002</v>
      </c>
      <c r="BE110" s="82">
        <v>260902</v>
      </c>
      <c r="BF110" s="82">
        <v>260427</v>
      </c>
      <c r="BG110" s="82">
        <v>434</v>
      </c>
      <c r="BH110" s="82">
        <v>0</v>
      </c>
      <c r="BI110" s="82">
        <v>1</v>
      </c>
      <c r="BJ110" s="82">
        <v>0</v>
      </c>
      <c r="BK110" s="82">
        <v>7</v>
      </c>
      <c r="BL110" s="82">
        <v>2</v>
      </c>
      <c r="BM110" s="82">
        <v>0</v>
      </c>
      <c r="BN110" s="82">
        <v>0</v>
      </c>
      <c r="BO110" s="82">
        <v>0</v>
      </c>
      <c r="BP110" s="82">
        <v>0</v>
      </c>
      <c r="BQ110" s="82">
        <v>12</v>
      </c>
      <c r="BR110" s="82">
        <v>18</v>
      </c>
      <c r="BS110" s="82">
        <v>0</v>
      </c>
      <c r="BT110" s="82">
        <v>1</v>
      </c>
      <c r="BU110" s="82">
        <v>0</v>
      </c>
      <c r="BV110" s="82">
        <v>0</v>
      </c>
      <c r="BW110" s="82">
        <v>0</v>
      </c>
      <c r="BX110" s="82">
        <v>0</v>
      </c>
      <c r="BY110" s="82">
        <v>0</v>
      </c>
      <c r="BZ110" s="82">
        <v>0</v>
      </c>
      <c r="CA110" s="82">
        <v>0</v>
      </c>
      <c r="CB110" s="82">
        <v>0</v>
      </c>
      <c r="CC110" s="82">
        <v>0</v>
      </c>
      <c r="CD110" s="82">
        <v>0</v>
      </c>
      <c r="CE110" s="82">
        <v>0</v>
      </c>
      <c r="CF110" s="82">
        <v>0</v>
      </c>
      <c r="CG110" s="82">
        <v>0</v>
      </c>
      <c r="CH110" s="82">
        <v>0</v>
      </c>
      <c r="CI110" s="82">
        <v>1.0138752419999999</v>
      </c>
      <c r="CJ110" s="84">
        <v>1439097.6769999999</v>
      </c>
    </row>
    <row r="111" spans="2:88" ht="15.6" x14ac:dyDescent="0.3">
      <c r="B111" s="73" t="s">
        <v>75</v>
      </c>
      <c r="C111" s="74" t="s">
        <v>224</v>
      </c>
      <c r="D111" s="75" t="s">
        <v>169</v>
      </c>
      <c r="E111" s="75">
        <v>34197811000146</v>
      </c>
      <c r="F111" s="76">
        <v>0.71299999999999997</v>
      </c>
      <c r="G111" s="74" t="s">
        <v>88</v>
      </c>
      <c r="H111" s="76"/>
      <c r="I111" s="77" t="s">
        <v>182</v>
      </c>
      <c r="J111" s="76">
        <v>1082696.9341</v>
      </c>
      <c r="K111" s="76">
        <v>1066194.6679</v>
      </c>
      <c r="L111" s="76">
        <v>0</v>
      </c>
      <c r="M111" s="76">
        <v>23.075009999999999</v>
      </c>
      <c r="N111" s="76">
        <v>1052.92489</v>
      </c>
      <c r="O111" s="76">
        <v>1081644.0092</v>
      </c>
      <c r="P111" s="76">
        <v>125475.99116999999</v>
      </c>
      <c r="Q111" s="76">
        <v>0</v>
      </c>
      <c r="R111" s="76">
        <v>0</v>
      </c>
      <c r="S111" s="76">
        <v>125475.99116999999</v>
      </c>
      <c r="T111" s="76">
        <v>1967.0958800000001</v>
      </c>
      <c r="U111" s="76">
        <v>0</v>
      </c>
      <c r="V111" s="76">
        <v>-11801.43246</v>
      </c>
      <c r="W111" s="76">
        <v>115641.65459000001</v>
      </c>
      <c r="X111" s="76">
        <v>115641.65459000001</v>
      </c>
      <c r="Y111" s="76">
        <v>109859.57186</v>
      </c>
      <c r="Z111" s="76">
        <v>115641.65459000001</v>
      </c>
      <c r="AA111" s="76">
        <v>20316.75849</v>
      </c>
      <c r="AB111" s="76">
        <v>1</v>
      </c>
      <c r="AC111" s="76"/>
      <c r="AD111" s="76">
        <v>0</v>
      </c>
      <c r="AE111" s="76">
        <v>0</v>
      </c>
      <c r="AF111" s="76">
        <v>9784.1549300000006</v>
      </c>
      <c r="AG111" s="76">
        <v>0</v>
      </c>
      <c r="AH111" s="76">
        <v>0</v>
      </c>
      <c r="AI111" s="76">
        <v>0</v>
      </c>
      <c r="AJ111" s="76">
        <v>0</v>
      </c>
      <c r="AK111" s="76">
        <v>1050946.7767</v>
      </c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>
        <v>91.763921565000004</v>
      </c>
      <c r="BA111" s="76">
        <v>8.48E-2</v>
      </c>
      <c r="BB111" s="76">
        <v>0</v>
      </c>
      <c r="BC111" s="76">
        <v>0.97489999999999999</v>
      </c>
      <c r="BD111" s="76">
        <v>1.1840999999999999</v>
      </c>
      <c r="BE111" s="76">
        <v>89564</v>
      </c>
      <c r="BF111" s="76">
        <v>89362</v>
      </c>
      <c r="BG111" s="76">
        <v>161</v>
      </c>
      <c r="BH111" s="76">
        <v>0</v>
      </c>
      <c r="BI111" s="76">
        <v>1</v>
      </c>
      <c r="BJ111" s="76">
        <v>0</v>
      </c>
      <c r="BK111" s="76">
        <v>4</v>
      </c>
      <c r="BL111" s="76">
        <v>0</v>
      </c>
      <c r="BM111" s="76">
        <v>0</v>
      </c>
      <c r="BN111" s="76">
        <v>0</v>
      </c>
      <c r="BO111" s="76">
        <v>0</v>
      </c>
      <c r="BP111" s="76">
        <v>0</v>
      </c>
      <c r="BQ111" s="76">
        <v>19</v>
      </c>
      <c r="BR111" s="76">
        <v>15</v>
      </c>
      <c r="BS111" s="76">
        <v>0</v>
      </c>
      <c r="BT111" s="76">
        <v>2</v>
      </c>
      <c r="BU111" s="76">
        <v>0</v>
      </c>
      <c r="BV111" s="76">
        <v>0</v>
      </c>
      <c r="BW111" s="76">
        <v>0</v>
      </c>
      <c r="BX111" s="76">
        <v>0</v>
      </c>
      <c r="BY111" s="76">
        <v>0</v>
      </c>
      <c r="BZ111" s="76">
        <v>0</v>
      </c>
      <c r="CA111" s="76">
        <v>0</v>
      </c>
      <c r="CB111" s="76">
        <v>0</v>
      </c>
      <c r="CC111" s="76">
        <v>0</v>
      </c>
      <c r="CD111" s="76">
        <v>0</v>
      </c>
      <c r="CE111" s="76">
        <v>0</v>
      </c>
      <c r="CF111" s="76">
        <v>0</v>
      </c>
      <c r="CG111" s="76">
        <v>0</v>
      </c>
      <c r="CH111" s="76">
        <v>0</v>
      </c>
      <c r="CI111" s="76">
        <v>0.92737972123000001</v>
      </c>
      <c r="CJ111" s="78">
        <v>1003094.7197</v>
      </c>
    </row>
    <row r="112" spans="2:88" ht="15.6" x14ac:dyDescent="0.3">
      <c r="B112" s="79" t="s">
        <v>76</v>
      </c>
      <c r="C112" s="80" t="s">
        <v>225</v>
      </c>
      <c r="D112" s="81" t="s">
        <v>170</v>
      </c>
      <c r="E112" s="81">
        <v>36771692000119</v>
      </c>
      <c r="F112" s="82">
        <v>0.998</v>
      </c>
      <c r="G112" s="80" t="s">
        <v>89</v>
      </c>
      <c r="H112" s="82">
        <v>0.9</v>
      </c>
      <c r="I112" s="83" t="s">
        <v>182</v>
      </c>
      <c r="J112" s="82">
        <v>1519379.9342</v>
      </c>
      <c r="K112" s="82">
        <v>1480605.737</v>
      </c>
      <c r="L112" s="82">
        <v>0</v>
      </c>
      <c r="M112" s="82">
        <v>15083.99908</v>
      </c>
      <c r="N112" s="82">
        <v>40096.20117</v>
      </c>
      <c r="O112" s="82">
        <v>1479283.7331000001</v>
      </c>
      <c r="P112" s="82">
        <v>160560.76569</v>
      </c>
      <c r="Q112" s="82">
        <v>0</v>
      </c>
      <c r="R112" s="82">
        <v>0</v>
      </c>
      <c r="S112" s="82">
        <v>160560.76569</v>
      </c>
      <c r="T112" s="82">
        <v>3390.7352999999998</v>
      </c>
      <c r="U112" s="82">
        <v>0</v>
      </c>
      <c r="V112" s="82">
        <v>-14514.894420000001</v>
      </c>
      <c r="W112" s="82">
        <v>149436.60657</v>
      </c>
      <c r="X112" s="82">
        <v>149436.60657999999</v>
      </c>
      <c r="Y112" s="82">
        <v>141964.77625</v>
      </c>
      <c r="Z112" s="82">
        <v>146707.71117</v>
      </c>
      <c r="AA112" s="82">
        <v>-9.0000000000000002E-6</v>
      </c>
      <c r="AB112" s="82">
        <v>0.98801399999999995</v>
      </c>
      <c r="AC112" s="82"/>
      <c r="AD112" s="82">
        <v>0</v>
      </c>
      <c r="AE112" s="82">
        <v>0</v>
      </c>
      <c r="AF112" s="82">
        <v>620008.45070000004</v>
      </c>
      <c r="AG112" s="82">
        <v>0</v>
      </c>
      <c r="AH112" s="82">
        <v>0</v>
      </c>
      <c r="AI112" s="82">
        <v>0</v>
      </c>
      <c r="AJ112" s="82">
        <v>0</v>
      </c>
      <c r="AK112" s="82">
        <v>816452.44296000001</v>
      </c>
      <c r="AL112" s="82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  <c r="AX112" s="82"/>
      <c r="AY112" s="82"/>
      <c r="AZ112" s="82">
        <v>8.9805039999999998</v>
      </c>
      <c r="BA112" s="82">
        <v>7.3099999999999998E-2</v>
      </c>
      <c r="BB112" s="82">
        <v>4.4999999999999997E-3</v>
      </c>
      <c r="BC112" s="82">
        <v>0.99915399999999999</v>
      </c>
      <c r="BD112" s="82">
        <v>0.69816400000000001</v>
      </c>
      <c r="BE112" s="82">
        <v>406786</v>
      </c>
      <c r="BF112" s="82"/>
      <c r="BG112" s="82"/>
      <c r="BH112" s="82"/>
      <c r="BI112" s="82"/>
      <c r="BJ112" s="82"/>
      <c r="BK112" s="82"/>
      <c r="BL112" s="82"/>
      <c r="BM112" s="82"/>
      <c r="BN112" s="82"/>
      <c r="BO112" s="82"/>
      <c r="BP112" s="82"/>
      <c r="BQ112" s="82"/>
      <c r="BR112" s="82"/>
      <c r="BS112" s="82"/>
      <c r="BT112" s="82"/>
      <c r="BU112" s="82"/>
      <c r="BV112" s="82"/>
      <c r="BW112" s="82"/>
      <c r="BX112" s="82"/>
      <c r="BY112" s="82"/>
      <c r="BZ112" s="82"/>
      <c r="CA112" s="82"/>
      <c r="CB112" s="82"/>
      <c r="CC112" s="82"/>
      <c r="CD112" s="82"/>
      <c r="CE112" s="82"/>
      <c r="CF112" s="82"/>
      <c r="CG112" s="82"/>
      <c r="CH112" s="82"/>
      <c r="CI112" s="82">
        <v>0.94872180893000002</v>
      </c>
      <c r="CJ112" s="84">
        <v>1403428.7392</v>
      </c>
    </row>
    <row r="113" spans="2:88" ht="15.6" x14ac:dyDescent="0.3">
      <c r="B113" s="73" t="s">
        <v>77</v>
      </c>
      <c r="C113" s="74" t="s">
        <v>226</v>
      </c>
      <c r="D113" s="75" t="s">
        <v>171</v>
      </c>
      <c r="E113" s="75">
        <v>30629603000118</v>
      </c>
      <c r="F113" s="76">
        <v>1.2310000000000001</v>
      </c>
      <c r="G113" s="74" t="s">
        <v>92</v>
      </c>
      <c r="H113" s="76">
        <v>1.3</v>
      </c>
      <c r="I113" s="77" t="s">
        <v>182</v>
      </c>
      <c r="J113" s="76">
        <v>2105305.3402999998</v>
      </c>
      <c r="K113" s="76">
        <v>1934993.9071</v>
      </c>
      <c r="L113" s="76">
        <v>1423530.2194000001</v>
      </c>
      <c r="M113" s="76">
        <v>14169.52116</v>
      </c>
      <c r="N113" s="76">
        <v>96553.069629999998</v>
      </c>
      <c r="O113" s="76">
        <v>2008752.2707</v>
      </c>
      <c r="P113" s="76">
        <v>164897.90187999999</v>
      </c>
      <c r="Q113" s="76">
        <v>0</v>
      </c>
      <c r="R113" s="76">
        <v>129306.08177999999</v>
      </c>
      <c r="S113" s="76">
        <v>35591.820099999997</v>
      </c>
      <c r="T113" s="76">
        <v>8220.7682000000004</v>
      </c>
      <c r="U113" s="76">
        <v>0</v>
      </c>
      <c r="V113" s="76">
        <v>-20366.714520000001</v>
      </c>
      <c r="W113" s="76">
        <v>152751.95556</v>
      </c>
      <c r="X113" s="76">
        <v>152751.95556</v>
      </c>
      <c r="Y113" s="76">
        <v>145114.35777999999</v>
      </c>
      <c r="Z113" s="76">
        <v>152751.95556</v>
      </c>
      <c r="AA113" s="76">
        <v>66159.336569999999</v>
      </c>
      <c r="AB113" s="76">
        <v>1</v>
      </c>
      <c r="AC113" s="76"/>
      <c r="AD113" s="76">
        <v>0</v>
      </c>
      <c r="AE113" s="76">
        <v>0</v>
      </c>
      <c r="AF113" s="76">
        <v>425584.17521000002</v>
      </c>
      <c r="AG113" s="76">
        <v>0</v>
      </c>
      <c r="AH113" s="76">
        <v>0</v>
      </c>
      <c r="AI113" s="76">
        <v>0</v>
      </c>
      <c r="AJ113" s="76">
        <v>0</v>
      </c>
      <c r="AK113" s="76">
        <v>-82355.344620000003</v>
      </c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>
        <v>0</v>
      </c>
      <c r="AY113" s="76">
        <v>0</v>
      </c>
      <c r="AZ113" s="76">
        <v>124.62351769999999</v>
      </c>
      <c r="BA113" s="76">
        <v>7.7100000000000002E-2</v>
      </c>
      <c r="BB113" s="76">
        <v>0</v>
      </c>
      <c r="BC113" s="76">
        <v>0.63570000000000004</v>
      </c>
      <c r="BD113" s="76">
        <v>0.57099999999999995</v>
      </c>
      <c r="BE113" s="76">
        <v>131046</v>
      </c>
      <c r="BF113" s="76">
        <v>130608</v>
      </c>
      <c r="BG113" s="76">
        <v>365</v>
      </c>
      <c r="BH113" s="76">
        <v>0</v>
      </c>
      <c r="BI113" s="76">
        <v>1</v>
      </c>
      <c r="BJ113" s="76">
        <v>0</v>
      </c>
      <c r="BK113" s="76">
        <v>8</v>
      </c>
      <c r="BL113" s="76">
        <v>3</v>
      </c>
      <c r="BM113" s="76">
        <v>9</v>
      </c>
      <c r="BN113" s="76">
        <v>0</v>
      </c>
      <c r="BO113" s="76">
        <v>0</v>
      </c>
      <c r="BP113" s="76">
        <v>0</v>
      </c>
      <c r="BQ113" s="76">
        <v>18</v>
      </c>
      <c r="BR113" s="76">
        <v>29</v>
      </c>
      <c r="BS113" s="76">
        <v>0</v>
      </c>
      <c r="BT113" s="76">
        <v>5</v>
      </c>
      <c r="BU113" s="76">
        <v>3.6878528371999999</v>
      </c>
      <c r="BV113" s="76">
        <v>0</v>
      </c>
      <c r="BW113" s="76">
        <v>0</v>
      </c>
      <c r="BX113" s="76">
        <v>0.81471446777000001</v>
      </c>
      <c r="BY113" s="76">
        <v>4.4356296155999999</v>
      </c>
      <c r="BZ113" s="76">
        <v>0</v>
      </c>
      <c r="CA113" s="76">
        <v>18.770471228000002</v>
      </c>
      <c r="CB113" s="76">
        <v>14.976290505</v>
      </c>
      <c r="CC113" s="76">
        <v>0</v>
      </c>
      <c r="CD113" s="76">
        <v>0.35437678911999998</v>
      </c>
      <c r="CE113" s="76">
        <v>6.1239613345999997</v>
      </c>
      <c r="CF113" s="76">
        <v>3.5504297901999999</v>
      </c>
      <c r="CG113" s="76">
        <v>47.286273432000002</v>
      </c>
      <c r="CH113" s="76">
        <v>0</v>
      </c>
      <c r="CI113" s="76">
        <v>0.86187584798000005</v>
      </c>
      <c r="CJ113" s="78">
        <v>1731295.0667000001</v>
      </c>
    </row>
    <row r="114" spans="2:88" ht="15.6" x14ac:dyDescent="0.3">
      <c r="B114" s="79" t="s">
        <v>370</v>
      </c>
      <c r="C114" s="80" t="s">
        <v>430</v>
      </c>
      <c r="D114" s="81" t="s">
        <v>389</v>
      </c>
      <c r="E114" s="81">
        <v>35507457000171</v>
      </c>
      <c r="F114" s="82">
        <v>0.52800000000000002</v>
      </c>
      <c r="G114" s="80" t="s">
        <v>88</v>
      </c>
      <c r="H114" s="82">
        <v>1</v>
      </c>
      <c r="I114" s="83" t="s">
        <v>182</v>
      </c>
      <c r="J114" s="82">
        <v>852873.36370999995</v>
      </c>
      <c r="K114" s="82">
        <v>845691.06006000005</v>
      </c>
      <c r="L114" s="82">
        <v>0</v>
      </c>
      <c r="M114" s="82">
        <v>91.253889999999998</v>
      </c>
      <c r="N114" s="82">
        <v>9776.3663300000007</v>
      </c>
      <c r="O114" s="82">
        <v>843096.99737999996</v>
      </c>
      <c r="P114" s="82">
        <v>42281.882169999997</v>
      </c>
      <c r="Q114" s="82">
        <v>0</v>
      </c>
      <c r="R114" s="82">
        <v>0</v>
      </c>
      <c r="S114" s="82">
        <v>42281.882169999997</v>
      </c>
      <c r="T114" s="82">
        <v>7902.5015700000004</v>
      </c>
      <c r="U114" s="82">
        <v>0</v>
      </c>
      <c r="V114" s="82">
        <v>-10644.71947</v>
      </c>
      <c r="W114" s="82">
        <v>39539.664270000001</v>
      </c>
      <c r="X114" s="82">
        <v>39742.595739999997</v>
      </c>
      <c r="Y114" s="82">
        <v>37755.465952999999</v>
      </c>
      <c r="Z114" s="82">
        <v>39754.419522999997</v>
      </c>
      <c r="AA114" s="82">
        <v>9041.8282629999994</v>
      </c>
      <c r="AB114" s="82">
        <v>0.98841000000000001</v>
      </c>
      <c r="AC114" s="82"/>
      <c r="AD114" s="82">
        <v>0</v>
      </c>
      <c r="AE114" s="82">
        <v>0</v>
      </c>
      <c r="AF114" s="82">
        <v>735561.89708000002</v>
      </c>
      <c r="AG114" s="82">
        <v>0</v>
      </c>
      <c r="AH114" s="82">
        <v>0</v>
      </c>
      <c r="AI114" s="82">
        <v>0</v>
      </c>
      <c r="AJ114" s="82">
        <v>0</v>
      </c>
      <c r="AK114" s="82">
        <v>118106.23099</v>
      </c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>
        <v>82.045155006000002</v>
      </c>
      <c r="BA114" s="82">
        <v>7.3088622295999994E-2</v>
      </c>
      <c r="BB114" s="82"/>
      <c r="BC114" s="82">
        <v>0.91110000000000002</v>
      </c>
      <c r="BD114" s="82">
        <v>0.5746</v>
      </c>
      <c r="BE114" s="82">
        <v>42739</v>
      </c>
      <c r="BF114" s="82"/>
      <c r="BG114" s="82"/>
      <c r="BH114" s="82"/>
      <c r="BI114" s="82"/>
      <c r="BJ114" s="82"/>
      <c r="BK114" s="82"/>
      <c r="BL114" s="82"/>
      <c r="BM114" s="82"/>
      <c r="BN114" s="82"/>
      <c r="BO114" s="82"/>
      <c r="BP114" s="82"/>
      <c r="BQ114" s="82"/>
      <c r="BR114" s="82"/>
      <c r="BS114" s="82"/>
      <c r="BT114" s="82"/>
      <c r="BU114" s="82"/>
      <c r="BV114" s="82"/>
      <c r="BW114" s="82"/>
      <c r="BX114" s="82"/>
      <c r="BY114" s="82"/>
      <c r="BZ114" s="82"/>
      <c r="CA114" s="82"/>
      <c r="CB114" s="82"/>
      <c r="CC114" s="82"/>
      <c r="CD114" s="82"/>
      <c r="CE114" s="82"/>
      <c r="CF114" s="82"/>
      <c r="CG114" s="82"/>
      <c r="CH114" s="82"/>
      <c r="CI114" s="82">
        <v>0.88061263330999995</v>
      </c>
      <c r="CJ114" s="84">
        <v>742441.86699999997</v>
      </c>
    </row>
    <row r="115" spans="2:88" ht="15.6" x14ac:dyDescent="0.3">
      <c r="B115" s="73" t="s">
        <v>78</v>
      </c>
      <c r="C115" s="74" t="s">
        <v>227</v>
      </c>
      <c r="D115" s="75" t="s">
        <v>172</v>
      </c>
      <c r="E115" s="75">
        <v>32400250000105</v>
      </c>
      <c r="F115" s="76">
        <v>0.94</v>
      </c>
      <c r="G115" s="74" t="s">
        <v>88</v>
      </c>
      <c r="H115" s="76">
        <v>1.6</v>
      </c>
      <c r="I115" s="77" t="s">
        <v>182</v>
      </c>
      <c r="J115" s="76">
        <v>1547112.3115000001</v>
      </c>
      <c r="K115" s="76">
        <v>1508773.1240999999</v>
      </c>
      <c r="L115" s="76">
        <v>0</v>
      </c>
      <c r="M115" s="76">
        <v>24.12987</v>
      </c>
      <c r="N115" s="76">
        <v>139572.57263000001</v>
      </c>
      <c r="O115" s="76">
        <v>1407539.7389</v>
      </c>
      <c r="P115" s="76">
        <v>193942.49252</v>
      </c>
      <c r="Q115" s="76">
        <v>0</v>
      </c>
      <c r="R115" s="76">
        <v>0</v>
      </c>
      <c r="S115" s="76">
        <v>193942.49252</v>
      </c>
      <c r="T115" s="76">
        <v>3668.8210100000001</v>
      </c>
      <c r="U115" s="76">
        <v>0</v>
      </c>
      <c r="V115" s="76">
        <v>-24354.862649999999</v>
      </c>
      <c r="W115" s="76">
        <v>173256.45087999999</v>
      </c>
      <c r="X115" s="76">
        <v>173256.45087999999</v>
      </c>
      <c r="Y115" s="76">
        <v>164593.62834</v>
      </c>
      <c r="Z115" s="76">
        <v>152393.08051</v>
      </c>
      <c r="AA115" s="76">
        <v>26503.137006000001</v>
      </c>
      <c r="AB115" s="76">
        <v>1.0364390000000001</v>
      </c>
      <c r="AC115" s="76"/>
      <c r="AD115" s="76">
        <v>0</v>
      </c>
      <c r="AE115" s="76">
        <v>0</v>
      </c>
      <c r="AF115" s="76">
        <v>20288.4146</v>
      </c>
      <c r="AG115" s="76">
        <v>0</v>
      </c>
      <c r="AH115" s="76">
        <v>0</v>
      </c>
      <c r="AI115" s="76">
        <v>0</v>
      </c>
      <c r="AJ115" s="76">
        <v>0</v>
      </c>
      <c r="AK115" s="76">
        <v>1499071.3739</v>
      </c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>
        <v>95.595124065999997</v>
      </c>
      <c r="BA115" s="76">
        <v>0.14050000000000001</v>
      </c>
      <c r="BB115" s="76">
        <v>7.0000000000000001E-3</v>
      </c>
      <c r="BC115" s="76">
        <v>0.83889999999999998</v>
      </c>
      <c r="BD115" s="76">
        <v>1.0764</v>
      </c>
      <c r="BE115" s="76">
        <v>34255</v>
      </c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76"/>
      <c r="BZ115" s="76"/>
      <c r="CA115" s="76"/>
      <c r="CB115" s="76"/>
      <c r="CC115" s="76"/>
      <c r="CD115" s="76"/>
      <c r="CE115" s="76"/>
      <c r="CF115" s="76"/>
      <c r="CG115" s="76"/>
      <c r="CH115" s="76"/>
      <c r="CI115" s="76">
        <v>0.93979688689999996</v>
      </c>
      <c r="CJ115" s="78">
        <v>1322801.4648</v>
      </c>
    </row>
    <row r="116" spans="2:88" ht="15.6" x14ac:dyDescent="0.3">
      <c r="B116" s="79" t="s">
        <v>79</v>
      </c>
      <c r="C116" s="80" t="s">
        <v>228</v>
      </c>
      <c r="D116" s="81" t="s">
        <v>173</v>
      </c>
      <c r="E116" s="81">
        <v>36244015000142</v>
      </c>
      <c r="F116" s="82">
        <v>7.4999999999999997E-2</v>
      </c>
      <c r="G116" s="80" t="s">
        <v>91</v>
      </c>
      <c r="H116" s="82">
        <v>1</v>
      </c>
      <c r="I116" s="83" t="s">
        <v>182</v>
      </c>
      <c r="J116" s="82">
        <v>324235.59341999999</v>
      </c>
      <c r="K116" s="82">
        <v>313190.47272000002</v>
      </c>
      <c r="L116" s="82">
        <v>0</v>
      </c>
      <c r="M116" s="82">
        <v>5114.8561799999998</v>
      </c>
      <c r="N116" s="82">
        <v>114.13009</v>
      </c>
      <c r="O116" s="82">
        <v>324121.46333</v>
      </c>
      <c r="P116" s="82">
        <v>11747.00281</v>
      </c>
      <c r="Q116" s="82">
        <v>0</v>
      </c>
      <c r="R116" s="82">
        <v>0</v>
      </c>
      <c r="S116" s="82">
        <v>11747.00281</v>
      </c>
      <c r="T116" s="82">
        <v>365.76625000000001</v>
      </c>
      <c r="U116" s="82">
        <v>0</v>
      </c>
      <c r="V116" s="82">
        <v>-1329.6190300000001</v>
      </c>
      <c r="W116" s="82">
        <v>10783.150030000001</v>
      </c>
      <c r="X116" s="82">
        <v>10841.45153</v>
      </c>
      <c r="Y116" s="82">
        <v>10299.378952999999</v>
      </c>
      <c r="Z116" s="82">
        <v>13438.840953000001</v>
      </c>
      <c r="AA116" s="82">
        <v>2389.1272835</v>
      </c>
      <c r="AB116" s="82">
        <v>1.1037939999999999</v>
      </c>
      <c r="AC116" s="82"/>
      <c r="AD116" s="82">
        <v>0</v>
      </c>
      <c r="AE116" s="82">
        <v>0</v>
      </c>
      <c r="AF116" s="82">
        <v>48323.261550000003</v>
      </c>
      <c r="AG116" s="82">
        <v>0</v>
      </c>
      <c r="AH116" s="82">
        <v>0</v>
      </c>
      <c r="AI116" s="82">
        <v>0</v>
      </c>
      <c r="AJ116" s="82">
        <v>0</v>
      </c>
      <c r="AK116" s="82">
        <v>259255.61595000001</v>
      </c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/>
      <c r="AY116" s="82"/>
      <c r="AZ116" s="82">
        <v>10.853217107000001</v>
      </c>
      <c r="BA116" s="82">
        <v>2.75E-2</v>
      </c>
      <c r="BB116" s="82">
        <v>0</v>
      </c>
      <c r="BC116" s="82">
        <v>0.37312899999999999</v>
      </c>
      <c r="BD116" s="82">
        <v>1.614365</v>
      </c>
      <c r="BE116" s="82">
        <v>79295</v>
      </c>
      <c r="BF116" s="82">
        <v>79235</v>
      </c>
      <c r="BG116" s="82">
        <v>48</v>
      </c>
      <c r="BH116" s="82">
        <v>0</v>
      </c>
      <c r="BI116" s="82">
        <v>0</v>
      </c>
      <c r="BJ116" s="82">
        <v>0</v>
      </c>
      <c r="BK116" s="82">
        <v>2</v>
      </c>
      <c r="BL116" s="82">
        <v>0</v>
      </c>
      <c r="BM116" s="82">
        <v>0</v>
      </c>
      <c r="BN116" s="82">
        <v>0</v>
      </c>
      <c r="BO116" s="82">
        <v>0</v>
      </c>
      <c r="BP116" s="82">
        <v>0</v>
      </c>
      <c r="BQ116" s="82">
        <v>7</v>
      </c>
      <c r="BR116" s="82">
        <v>1</v>
      </c>
      <c r="BS116" s="82">
        <v>0</v>
      </c>
      <c r="BT116" s="82">
        <v>2</v>
      </c>
      <c r="BU116" s="8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>
        <v>0.32340641170000001</v>
      </c>
      <c r="CJ116" s="84">
        <v>104822.95941</v>
      </c>
    </row>
    <row r="117" spans="2:88" ht="15.6" x14ac:dyDescent="0.3">
      <c r="B117" s="73" t="s">
        <v>80</v>
      </c>
      <c r="C117" s="74" t="s">
        <v>349</v>
      </c>
      <c r="D117" s="75" t="s">
        <v>174</v>
      </c>
      <c r="E117" s="75">
        <v>36445587000190</v>
      </c>
      <c r="F117" s="76">
        <v>0.11600000000000001</v>
      </c>
      <c r="G117" s="74" t="s">
        <v>91</v>
      </c>
      <c r="H117" s="76">
        <v>0.95</v>
      </c>
      <c r="I117" s="77" t="s">
        <v>183</v>
      </c>
      <c r="J117" s="76">
        <v>358612.89062000002</v>
      </c>
      <c r="K117" s="76">
        <v>350179.93547999999</v>
      </c>
      <c r="L117" s="76">
        <v>350179.24995999999</v>
      </c>
      <c r="M117" s="76">
        <v>2457.9364700000001</v>
      </c>
      <c r="N117" s="76">
        <v>121090.21662000001</v>
      </c>
      <c r="O117" s="76">
        <v>237522.674</v>
      </c>
      <c r="P117" s="76">
        <v>23103.032080000001</v>
      </c>
      <c r="Q117" s="76">
        <v>-211.77415999999999</v>
      </c>
      <c r="R117" s="76">
        <v>23173.631099999999</v>
      </c>
      <c r="S117" s="76">
        <v>141.17514</v>
      </c>
      <c r="T117" s="76">
        <v>896.23257000000001</v>
      </c>
      <c r="U117" s="76">
        <v>0</v>
      </c>
      <c r="V117" s="76">
        <v>-7440.1083500000004</v>
      </c>
      <c r="W117" s="76">
        <v>16559.156299999999</v>
      </c>
      <c r="X117" s="76">
        <v>21304.62112</v>
      </c>
      <c r="Y117" s="76">
        <v>20239.390063999999</v>
      </c>
      <c r="Z117" s="76">
        <v>22607.248404000002</v>
      </c>
      <c r="AA117" s="76">
        <v>3746.9867140000001</v>
      </c>
      <c r="AB117" s="76">
        <v>1.0499970000000001</v>
      </c>
      <c r="AC117" s="76"/>
      <c r="AD117" s="76">
        <v>0</v>
      </c>
      <c r="AE117" s="76">
        <v>0</v>
      </c>
      <c r="AF117" s="76">
        <v>6448.6661999999997</v>
      </c>
      <c r="AG117" s="76">
        <v>0</v>
      </c>
      <c r="AH117" s="76">
        <v>0</v>
      </c>
      <c r="AI117" s="76">
        <v>0</v>
      </c>
      <c r="AJ117" s="76">
        <v>0</v>
      </c>
      <c r="AK117" s="76">
        <v>10.11975</v>
      </c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>
        <v>8.8146936378999996</v>
      </c>
      <c r="BA117" s="76">
        <v>6.1611141175000002E-2</v>
      </c>
      <c r="BB117" s="76"/>
      <c r="BC117" s="76">
        <v>0.75790000000000002</v>
      </c>
      <c r="BD117" s="76">
        <v>0.46710000000000002</v>
      </c>
      <c r="BE117" s="76">
        <v>50453</v>
      </c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>
        <v>0</v>
      </c>
      <c r="BV117" s="76">
        <v>0</v>
      </c>
      <c r="BW117" s="76">
        <v>0</v>
      </c>
      <c r="BX117" s="76">
        <v>0</v>
      </c>
      <c r="BY117" s="76">
        <v>0.23599999999999999</v>
      </c>
      <c r="BZ117" s="76">
        <v>0.55100000000000005</v>
      </c>
      <c r="CA117" s="76">
        <v>0.45240000000000002</v>
      </c>
      <c r="CB117" s="76">
        <v>0</v>
      </c>
      <c r="CC117" s="76">
        <v>0</v>
      </c>
      <c r="CD117" s="76">
        <v>0</v>
      </c>
      <c r="CE117" s="76">
        <v>0</v>
      </c>
      <c r="CF117" s="76">
        <v>0</v>
      </c>
      <c r="CG117" s="76">
        <v>98.760499999999993</v>
      </c>
      <c r="CH117" s="76">
        <v>0</v>
      </c>
      <c r="CI117" s="76">
        <v>0.68748844246999996</v>
      </c>
      <c r="CJ117" s="78">
        <v>163294.0932</v>
      </c>
    </row>
    <row r="118" spans="2:88" ht="15.6" x14ac:dyDescent="0.3">
      <c r="B118" s="79" t="s">
        <v>81</v>
      </c>
      <c r="C118" s="80" t="s">
        <v>229</v>
      </c>
      <c r="D118" s="81" t="s">
        <v>175</v>
      </c>
      <c r="E118" s="81">
        <v>12516185000170</v>
      </c>
      <c r="F118" s="82">
        <v>0.29899999999999999</v>
      </c>
      <c r="G118" s="80" t="s">
        <v>90</v>
      </c>
      <c r="H118" s="82">
        <v>1.2</v>
      </c>
      <c r="I118" s="83" t="s">
        <v>183</v>
      </c>
      <c r="J118" s="82">
        <v>1378305.6431</v>
      </c>
      <c r="K118" s="82">
        <v>1255869.9458000001</v>
      </c>
      <c r="L118" s="82">
        <v>1251817.5368999999</v>
      </c>
      <c r="M118" s="82">
        <v>89871.589089999994</v>
      </c>
      <c r="N118" s="82">
        <v>490984.15522999997</v>
      </c>
      <c r="O118" s="82">
        <v>887321.48791000003</v>
      </c>
      <c r="P118" s="82">
        <v>123624.94012</v>
      </c>
      <c r="Q118" s="82">
        <v>0</v>
      </c>
      <c r="R118" s="82">
        <v>126822.4537</v>
      </c>
      <c r="S118" s="82">
        <v>-3197.5135799999998</v>
      </c>
      <c r="T118" s="82">
        <v>2421.7288800000001</v>
      </c>
      <c r="U118" s="82">
        <v>0</v>
      </c>
      <c r="V118" s="82">
        <v>-62777.067479999998</v>
      </c>
      <c r="W118" s="82">
        <v>63269.601519999997</v>
      </c>
      <c r="X118" s="82">
        <v>63268.973890000001</v>
      </c>
      <c r="Y118" s="82">
        <v>60105.525196000002</v>
      </c>
      <c r="Z118" s="82">
        <v>63287.278996000001</v>
      </c>
      <c r="AA118" s="82">
        <v>14042.210395</v>
      </c>
      <c r="AB118" s="82">
        <v>0.95</v>
      </c>
      <c r="AC118" s="82"/>
      <c r="AD118" s="82">
        <v>0</v>
      </c>
      <c r="AE118" s="82">
        <v>0</v>
      </c>
      <c r="AF118" s="82">
        <v>35763.779670000004</v>
      </c>
      <c r="AG118" s="82">
        <v>0</v>
      </c>
      <c r="AH118" s="82">
        <v>0</v>
      </c>
      <c r="AI118" s="82">
        <v>0</v>
      </c>
      <c r="AJ118" s="82">
        <v>0</v>
      </c>
      <c r="AK118" s="82">
        <v>8257.1172299999998</v>
      </c>
      <c r="AL118" s="82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/>
      <c r="AW118" s="82"/>
      <c r="AX118" s="82"/>
      <c r="AY118" s="82"/>
      <c r="AZ118" s="82">
        <v>10.713040922999999</v>
      </c>
      <c r="BA118" s="82">
        <v>5.9255552486999999E-2</v>
      </c>
      <c r="BB118" s="82"/>
      <c r="BC118" s="82">
        <v>0.4657</v>
      </c>
      <c r="BD118" s="82">
        <v>0.2404</v>
      </c>
      <c r="BE118" s="82">
        <v>153812</v>
      </c>
      <c r="BF118" s="82"/>
      <c r="BG118" s="82"/>
      <c r="BH118" s="82"/>
      <c r="BI118" s="82"/>
      <c r="BJ118" s="82"/>
      <c r="BK118" s="82"/>
      <c r="BL118" s="82"/>
      <c r="BM118" s="82"/>
      <c r="BN118" s="82"/>
      <c r="BO118" s="82"/>
      <c r="BP118" s="82"/>
      <c r="BQ118" s="82"/>
      <c r="BR118" s="82"/>
      <c r="BS118" s="82"/>
      <c r="BT118" s="82"/>
      <c r="BU118" s="82">
        <v>0</v>
      </c>
      <c r="BV118" s="82">
        <v>0</v>
      </c>
      <c r="BW118" s="82">
        <v>0</v>
      </c>
      <c r="BX118" s="82">
        <v>0</v>
      </c>
      <c r="BY118" s="82">
        <v>5.8697999999999997</v>
      </c>
      <c r="BZ118" s="82">
        <v>12.8056</v>
      </c>
      <c r="CA118" s="82">
        <v>1.5173000000000001</v>
      </c>
      <c r="CB118" s="82">
        <v>0</v>
      </c>
      <c r="CC118" s="82">
        <v>0</v>
      </c>
      <c r="CD118" s="82">
        <v>0</v>
      </c>
      <c r="CE118" s="82">
        <v>0</v>
      </c>
      <c r="CF118" s="82">
        <v>0</v>
      </c>
      <c r="CG118" s="82">
        <v>79.807299999999998</v>
      </c>
      <c r="CH118" s="82">
        <v>0</v>
      </c>
      <c r="CI118" s="82">
        <v>0.47325498297000002</v>
      </c>
      <c r="CJ118" s="84">
        <v>419929.31565</v>
      </c>
    </row>
    <row r="119" spans="2:88" ht="15.6" x14ac:dyDescent="0.3">
      <c r="B119" s="73" t="s">
        <v>82</v>
      </c>
      <c r="C119" s="74" t="s">
        <v>350</v>
      </c>
      <c r="D119" s="75" t="s">
        <v>176</v>
      </c>
      <c r="E119" s="75">
        <v>17554274000125</v>
      </c>
      <c r="F119" s="76">
        <v>2.1709999999999998</v>
      </c>
      <c r="G119" s="74" t="s">
        <v>93</v>
      </c>
      <c r="H119" s="76">
        <v>1.35</v>
      </c>
      <c r="I119" s="77" t="s">
        <v>183</v>
      </c>
      <c r="J119" s="76">
        <v>4354545.7583999997</v>
      </c>
      <c r="K119" s="76">
        <v>3860454.0860000001</v>
      </c>
      <c r="L119" s="76">
        <v>3852923.3382000001</v>
      </c>
      <c r="M119" s="76">
        <v>121566.17212</v>
      </c>
      <c r="N119" s="76">
        <v>701306.83681000001</v>
      </c>
      <c r="O119" s="76">
        <v>3653238.9216</v>
      </c>
      <c r="P119" s="76">
        <v>297902.26022</v>
      </c>
      <c r="Q119" s="76">
        <v>0</v>
      </c>
      <c r="R119" s="76">
        <v>295641.34717000002</v>
      </c>
      <c r="S119" s="76">
        <v>2260.9130500000001</v>
      </c>
      <c r="T119" s="76">
        <v>39713.598080000003</v>
      </c>
      <c r="U119" s="76">
        <v>0</v>
      </c>
      <c r="V119" s="76">
        <v>-57768.590360000002</v>
      </c>
      <c r="W119" s="76">
        <v>279847.26793999999</v>
      </c>
      <c r="X119" s="76">
        <v>279848.29311000003</v>
      </c>
      <c r="Y119" s="76">
        <v>265855.87845000002</v>
      </c>
      <c r="Z119" s="76">
        <v>284540.82195999997</v>
      </c>
      <c r="AA119" s="76">
        <v>47057.345925000001</v>
      </c>
      <c r="AB119" s="76">
        <v>0.995251</v>
      </c>
      <c r="AC119" s="76"/>
      <c r="AD119" s="76">
        <v>0</v>
      </c>
      <c r="AE119" s="76">
        <v>0</v>
      </c>
      <c r="AF119" s="76">
        <v>333140.63312000001</v>
      </c>
      <c r="AG119" s="76">
        <v>0</v>
      </c>
      <c r="AH119" s="76">
        <v>0</v>
      </c>
      <c r="AI119" s="76">
        <v>0</v>
      </c>
      <c r="AJ119" s="76">
        <v>0</v>
      </c>
      <c r="AK119" s="76">
        <v>14907.975850000001</v>
      </c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>
        <v>126.72255512</v>
      </c>
      <c r="BA119" s="76">
        <v>9.2249287888000006E-2</v>
      </c>
      <c r="BB119" s="76"/>
      <c r="BC119" s="76">
        <v>0.65329999999999999</v>
      </c>
      <c r="BD119" s="76">
        <v>0.39939999999999998</v>
      </c>
      <c r="BE119" s="76">
        <v>353757</v>
      </c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>
        <v>3.9060999999999999</v>
      </c>
      <c r="BV119" s="76">
        <v>2.4441999999999999</v>
      </c>
      <c r="BW119" s="76">
        <v>2.1972999999999998</v>
      </c>
      <c r="BX119" s="76">
        <v>4.0034000000000001</v>
      </c>
      <c r="BY119" s="76">
        <v>2.2765</v>
      </c>
      <c r="BZ119" s="76">
        <v>2.8226</v>
      </c>
      <c r="CA119" s="76">
        <v>2.8944999999999999</v>
      </c>
      <c r="CB119" s="76">
        <v>3.8302999999999998</v>
      </c>
      <c r="CC119" s="76">
        <v>2.9910000000000001</v>
      </c>
      <c r="CD119" s="76">
        <v>2.8592</v>
      </c>
      <c r="CE119" s="76">
        <v>2.4169</v>
      </c>
      <c r="CF119" s="76">
        <v>6.8936000000000002</v>
      </c>
      <c r="CG119" s="76">
        <v>40.2104</v>
      </c>
      <c r="CH119" s="76">
        <v>20.254200000000001</v>
      </c>
      <c r="CI119" s="76">
        <v>0.83568390721999997</v>
      </c>
      <c r="CJ119" s="78">
        <v>3052952.9759999998</v>
      </c>
    </row>
    <row r="120" spans="2:88" ht="15.6" x14ac:dyDescent="0.3">
      <c r="B120" s="79" t="s">
        <v>83</v>
      </c>
      <c r="C120" s="80" t="s">
        <v>230</v>
      </c>
      <c r="D120" s="81" t="s">
        <v>177</v>
      </c>
      <c r="E120" s="81">
        <v>41256643000188</v>
      </c>
      <c r="F120" s="82">
        <v>0.20499999999999999</v>
      </c>
      <c r="G120" s="80" t="s">
        <v>89</v>
      </c>
      <c r="H120" s="82">
        <v>1</v>
      </c>
      <c r="I120" s="83" t="s">
        <v>182</v>
      </c>
      <c r="J120" s="82">
        <v>303814.70231999998</v>
      </c>
      <c r="K120" s="82">
        <v>288103.90775999997</v>
      </c>
      <c r="L120" s="82">
        <v>7595.0855600000004</v>
      </c>
      <c r="M120" s="82">
        <v>252.99941000000001</v>
      </c>
      <c r="N120" s="82">
        <v>4321.9155000000001</v>
      </c>
      <c r="O120" s="82">
        <v>299492.78681999998</v>
      </c>
      <c r="P120" s="82">
        <v>35533.814290000002</v>
      </c>
      <c r="Q120" s="82">
        <v>0</v>
      </c>
      <c r="R120" s="82">
        <v>0</v>
      </c>
      <c r="S120" s="82">
        <v>35533.814290000002</v>
      </c>
      <c r="T120" s="82">
        <v>-282.28143999999998</v>
      </c>
      <c r="U120" s="82">
        <v>0</v>
      </c>
      <c r="V120" s="82">
        <v>-2758.4600700000001</v>
      </c>
      <c r="W120" s="82">
        <v>32493.072779999999</v>
      </c>
      <c r="X120" s="82">
        <v>32124.20506</v>
      </c>
      <c r="Y120" s="82">
        <v>30517.994806999999</v>
      </c>
      <c r="Z120" s="82">
        <v>31189.147196999998</v>
      </c>
      <c r="AA120" s="82">
        <v>3339.7677870000002</v>
      </c>
      <c r="AB120" s="82">
        <v>0.99373400000000001</v>
      </c>
      <c r="AC120" s="82"/>
      <c r="AD120" s="82">
        <v>0</v>
      </c>
      <c r="AE120" s="82">
        <v>0</v>
      </c>
      <c r="AF120" s="82">
        <v>73775.451199999996</v>
      </c>
      <c r="AG120" s="82">
        <v>0</v>
      </c>
      <c r="AH120" s="82">
        <v>0</v>
      </c>
      <c r="AI120" s="82">
        <v>0</v>
      </c>
      <c r="AJ120" s="82">
        <v>0</v>
      </c>
      <c r="AK120" s="82">
        <v>217477.85861</v>
      </c>
      <c r="AL120" s="82"/>
      <c r="AM120" s="82"/>
      <c r="AN120" s="82"/>
      <c r="AO120" s="82"/>
      <c r="AP120" s="82"/>
      <c r="AQ120" s="82"/>
      <c r="AR120" s="82"/>
      <c r="AS120" s="82"/>
      <c r="AT120" s="82"/>
      <c r="AU120" s="82"/>
      <c r="AV120" s="82"/>
      <c r="AW120" s="82"/>
      <c r="AX120" s="82"/>
      <c r="AY120" s="82"/>
      <c r="AZ120" s="82">
        <v>9.6884418645999997</v>
      </c>
      <c r="BA120" s="82">
        <v>8.7900000000000006E-2</v>
      </c>
      <c r="BB120" s="82">
        <v>0</v>
      </c>
      <c r="BC120" s="82">
        <v>1.0345</v>
      </c>
      <c r="BD120" s="82">
        <v>1.2576000000000001</v>
      </c>
      <c r="BE120" s="82">
        <v>12859</v>
      </c>
      <c r="BF120" s="82"/>
      <c r="BG120" s="82"/>
      <c r="BH120" s="82"/>
      <c r="BI120" s="82"/>
      <c r="BJ120" s="82"/>
      <c r="BK120" s="82"/>
      <c r="BL120" s="82"/>
      <c r="BM120" s="82"/>
      <c r="BN120" s="82"/>
      <c r="BO120" s="82"/>
      <c r="BP120" s="82"/>
      <c r="BQ120" s="82"/>
      <c r="BR120" s="82"/>
      <c r="BS120" s="82"/>
      <c r="BT120" s="82"/>
      <c r="BU120" s="82"/>
      <c r="BV120" s="82"/>
      <c r="BW120" s="82"/>
      <c r="BX120" s="82"/>
      <c r="BY120" s="82"/>
      <c r="BZ120" s="82"/>
      <c r="CA120" s="82"/>
      <c r="CB120" s="82"/>
      <c r="CC120" s="82"/>
      <c r="CD120" s="82"/>
      <c r="CE120" s="82"/>
      <c r="CF120" s="82"/>
      <c r="CG120" s="82"/>
      <c r="CH120" s="82"/>
      <c r="CI120" s="82">
        <v>0.96300314646999996</v>
      </c>
      <c r="CJ120" s="84">
        <v>288412.49605000002</v>
      </c>
    </row>
    <row r="121" spans="2:88" ht="15.6" x14ac:dyDescent="0.3">
      <c r="B121" s="73" t="s">
        <v>84</v>
      </c>
      <c r="C121" s="74" t="s">
        <v>231</v>
      </c>
      <c r="D121" s="75" t="s">
        <v>178</v>
      </c>
      <c r="E121" s="75">
        <v>28516301000191</v>
      </c>
      <c r="F121" s="76">
        <v>0.53900000000000003</v>
      </c>
      <c r="G121" s="74" t="s">
        <v>88</v>
      </c>
      <c r="H121" s="76">
        <v>1</v>
      </c>
      <c r="I121" s="77" t="s">
        <v>183</v>
      </c>
      <c r="J121" s="76">
        <v>793329.53616000002</v>
      </c>
      <c r="K121" s="76">
        <v>714164.75243999995</v>
      </c>
      <c r="L121" s="76">
        <v>0</v>
      </c>
      <c r="M121" s="76">
        <v>94.536389999999997</v>
      </c>
      <c r="N121" s="76">
        <v>1433.8154999999999</v>
      </c>
      <c r="O121" s="76">
        <v>791895.72065999999</v>
      </c>
      <c r="P121" s="76">
        <v>102712.46332</v>
      </c>
      <c r="Q121" s="76">
        <v>0</v>
      </c>
      <c r="R121" s="76">
        <v>0</v>
      </c>
      <c r="S121" s="76">
        <v>102712.46332</v>
      </c>
      <c r="T121" s="76">
        <v>1729.90822</v>
      </c>
      <c r="U121" s="76">
        <v>0</v>
      </c>
      <c r="V121" s="76">
        <v>-7779.6190299999998</v>
      </c>
      <c r="W121" s="76">
        <v>96662.752510000006</v>
      </c>
      <c r="X121" s="76">
        <v>96998.328099999999</v>
      </c>
      <c r="Y121" s="76">
        <v>92148.411695000003</v>
      </c>
      <c r="Z121" s="76">
        <v>94237.808155000006</v>
      </c>
      <c r="AA121" s="76">
        <v>8701.5519949999998</v>
      </c>
      <c r="AB121" s="76">
        <v>0.96594800000000003</v>
      </c>
      <c r="AC121" s="76"/>
      <c r="AD121" s="76">
        <v>0</v>
      </c>
      <c r="AE121" s="76">
        <v>0</v>
      </c>
      <c r="AF121" s="76">
        <v>50624.834999999999</v>
      </c>
      <c r="AG121" s="76">
        <v>0</v>
      </c>
      <c r="AH121" s="76">
        <v>0</v>
      </c>
      <c r="AI121" s="76">
        <v>0</v>
      </c>
      <c r="AJ121" s="76">
        <v>0</v>
      </c>
      <c r="AK121" s="76">
        <v>729869.32340999995</v>
      </c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>
        <v>91.006261948000002</v>
      </c>
      <c r="BA121" s="76">
        <v>8.7599999999999997E-2</v>
      </c>
      <c r="BB121" s="76">
        <v>0</v>
      </c>
      <c r="BC121" s="76">
        <v>0.88500000000000001</v>
      </c>
      <c r="BD121" s="76">
        <v>1.5561</v>
      </c>
      <c r="BE121" s="76">
        <v>79104</v>
      </c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>
        <v>0.95685723307000004</v>
      </c>
      <c r="CJ121" s="78">
        <v>757731.14815000002</v>
      </c>
    </row>
    <row r="122" spans="2:88" ht="15.6" x14ac:dyDescent="0.3">
      <c r="B122" s="79" t="s">
        <v>85</v>
      </c>
      <c r="C122" s="80" t="s">
        <v>232</v>
      </c>
      <c r="D122" s="81" t="s">
        <v>179</v>
      </c>
      <c r="E122" s="81">
        <v>28516325000140</v>
      </c>
      <c r="F122" s="82">
        <v>0.376</v>
      </c>
      <c r="G122" s="80" t="s">
        <v>91</v>
      </c>
      <c r="H122" s="82">
        <v>0.75</v>
      </c>
      <c r="I122" s="83" t="s">
        <v>182</v>
      </c>
      <c r="J122" s="82">
        <v>755282.59829999995</v>
      </c>
      <c r="K122" s="82">
        <v>714646.24363000004</v>
      </c>
      <c r="L122" s="82">
        <v>864213.59498000005</v>
      </c>
      <c r="M122" s="82">
        <v>30423.742549999999</v>
      </c>
      <c r="N122" s="82">
        <v>2865.6160199999999</v>
      </c>
      <c r="O122" s="82">
        <v>752416.98228</v>
      </c>
      <c r="P122" s="82">
        <v>26055.845000000001</v>
      </c>
      <c r="Q122" s="82">
        <v>1614.58017</v>
      </c>
      <c r="R122" s="82">
        <v>11241.62703</v>
      </c>
      <c r="S122" s="82">
        <v>13199.6378</v>
      </c>
      <c r="T122" s="82">
        <v>2290.9711699999998</v>
      </c>
      <c r="U122" s="82">
        <v>0</v>
      </c>
      <c r="V122" s="82">
        <v>-20787.201430000001</v>
      </c>
      <c r="W122" s="82">
        <v>7559.61474</v>
      </c>
      <c r="X122" s="82">
        <v>10931.28708</v>
      </c>
      <c r="Y122" s="82">
        <v>10384.722726</v>
      </c>
      <c r="Z122" s="82">
        <v>11080.269216000001</v>
      </c>
      <c r="AA122" s="82">
        <v>3395.7611160000001</v>
      </c>
      <c r="AB122" s="82">
        <v>1.031385</v>
      </c>
      <c r="AC122" s="82"/>
      <c r="AD122" s="82">
        <v>0</v>
      </c>
      <c r="AE122" s="82">
        <v>0</v>
      </c>
      <c r="AF122" s="82">
        <v>20658.471580000001</v>
      </c>
      <c r="AG122" s="82">
        <v>0</v>
      </c>
      <c r="AH122" s="82">
        <v>0</v>
      </c>
      <c r="AI122" s="82">
        <v>0</v>
      </c>
      <c r="AJ122" s="82">
        <v>0</v>
      </c>
      <c r="AK122" s="82">
        <v>0</v>
      </c>
      <c r="AL122" s="82"/>
      <c r="AM122" s="82"/>
      <c r="AN122" s="82"/>
      <c r="AO122" s="82"/>
      <c r="AP122" s="82">
        <v>13991</v>
      </c>
      <c r="AQ122" s="82">
        <v>0</v>
      </c>
      <c r="AR122" s="82">
        <v>0</v>
      </c>
      <c r="AS122" s="82">
        <v>0</v>
      </c>
      <c r="AT122" s="82"/>
      <c r="AU122" s="82"/>
      <c r="AV122" s="82"/>
      <c r="AW122" s="82"/>
      <c r="AX122" s="82"/>
      <c r="AY122" s="82"/>
      <c r="AZ122" s="82">
        <v>105.22693377</v>
      </c>
      <c r="BA122" s="82">
        <v>4.8099999999999997E-2</v>
      </c>
      <c r="BB122" s="82">
        <v>0</v>
      </c>
      <c r="BC122" s="82">
        <v>0.58859499999999998</v>
      </c>
      <c r="BD122" s="82">
        <v>0.48548400000000003</v>
      </c>
      <c r="BE122" s="82">
        <v>47789</v>
      </c>
      <c r="BF122" s="82">
        <v>47681</v>
      </c>
      <c r="BG122" s="82">
        <v>68</v>
      </c>
      <c r="BH122" s="82">
        <v>0</v>
      </c>
      <c r="BI122" s="82">
        <v>0</v>
      </c>
      <c r="BJ122" s="82">
        <v>0</v>
      </c>
      <c r="BK122" s="82">
        <v>3</v>
      </c>
      <c r="BL122" s="82">
        <v>0</v>
      </c>
      <c r="BM122" s="82">
        <v>1</v>
      </c>
      <c r="BN122" s="82">
        <v>0</v>
      </c>
      <c r="BO122" s="82">
        <v>0</v>
      </c>
      <c r="BP122" s="82">
        <v>0</v>
      </c>
      <c r="BQ122" s="82">
        <v>15</v>
      </c>
      <c r="BR122" s="82">
        <v>18</v>
      </c>
      <c r="BS122" s="82">
        <v>0</v>
      </c>
      <c r="BT122" s="82">
        <v>3</v>
      </c>
      <c r="BU122" s="82">
        <v>1.9827999999999999</v>
      </c>
      <c r="BV122" s="82">
        <v>0.7419</v>
      </c>
      <c r="BW122" s="82">
        <v>2.6959</v>
      </c>
      <c r="BX122" s="82">
        <v>0.84540000000000004</v>
      </c>
      <c r="BY122" s="82">
        <v>0</v>
      </c>
      <c r="BZ122" s="82">
        <v>3.9201000000000001</v>
      </c>
      <c r="CA122" s="82">
        <v>0.81610000000000005</v>
      </c>
      <c r="CB122" s="82">
        <v>0</v>
      </c>
      <c r="CC122" s="82">
        <v>0.97170000000000001</v>
      </c>
      <c r="CD122" s="82">
        <v>1.1151</v>
      </c>
      <c r="CE122" s="82">
        <v>6.4518000000000004</v>
      </c>
      <c r="CF122" s="82">
        <v>0.47239999999999999</v>
      </c>
      <c r="CG122" s="82">
        <v>100</v>
      </c>
      <c r="CH122" s="82"/>
      <c r="CI122" s="82">
        <v>0.70286187522999999</v>
      </c>
      <c r="CJ122" s="84">
        <v>528845.21111999999</v>
      </c>
    </row>
    <row r="123" spans="2:88" ht="15.6" x14ac:dyDescent="0.3">
      <c r="B123" s="73" t="s">
        <v>86</v>
      </c>
      <c r="C123" s="74" t="s">
        <v>233</v>
      </c>
      <c r="D123" s="75" t="s">
        <v>180</v>
      </c>
      <c r="E123" s="75">
        <v>28757546000100</v>
      </c>
      <c r="F123" s="76">
        <v>4.226</v>
      </c>
      <c r="G123" s="74" t="s">
        <v>93</v>
      </c>
      <c r="H123" s="76">
        <v>0.95</v>
      </c>
      <c r="I123" s="77" t="s">
        <v>182</v>
      </c>
      <c r="J123" s="76">
        <v>8391246.3098000009</v>
      </c>
      <c r="K123" s="76">
        <v>6887716.3869000003</v>
      </c>
      <c r="L123" s="76">
        <v>4838796.3019000003</v>
      </c>
      <c r="M123" s="76">
        <v>137022.75062999999</v>
      </c>
      <c r="N123" s="76">
        <v>1797723.3447</v>
      </c>
      <c r="O123" s="76">
        <v>6593522.9652000004</v>
      </c>
      <c r="P123" s="76">
        <v>346895.53921999998</v>
      </c>
      <c r="Q123" s="76">
        <v>0</v>
      </c>
      <c r="R123" s="76">
        <v>259165.94325000001</v>
      </c>
      <c r="S123" s="76">
        <v>87729.595969999995</v>
      </c>
      <c r="T123" s="76">
        <v>85016.595960000006</v>
      </c>
      <c r="U123" s="76">
        <v>0</v>
      </c>
      <c r="V123" s="76">
        <v>-30152.310310000001</v>
      </c>
      <c r="W123" s="76">
        <v>401759.82487000001</v>
      </c>
      <c r="X123" s="76">
        <v>401759.82487000001</v>
      </c>
      <c r="Y123" s="76">
        <v>381671.83363000001</v>
      </c>
      <c r="Z123" s="76">
        <v>401759.82487000001</v>
      </c>
      <c r="AA123" s="76">
        <v>87345.249559999997</v>
      </c>
      <c r="AB123" s="76">
        <v>1</v>
      </c>
      <c r="AC123" s="76"/>
      <c r="AD123" s="76">
        <v>0</v>
      </c>
      <c r="AE123" s="76">
        <v>0</v>
      </c>
      <c r="AF123" s="76">
        <v>3032359.3092999998</v>
      </c>
      <c r="AG123" s="76">
        <v>0</v>
      </c>
      <c r="AH123" s="76">
        <v>0</v>
      </c>
      <c r="AI123" s="76">
        <v>0</v>
      </c>
      <c r="AJ123" s="76">
        <v>0</v>
      </c>
      <c r="AK123" s="76">
        <v>-1534121.405</v>
      </c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>
        <v>119.18836225</v>
      </c>
      <c r="BA123" s="76">
        <v>5.8799999999999998E-2</v>
      </c>
      <c r="BB123" s="76">
        <v>0</v>
      </c>
      <c r="BC123" s="76">
        <v>0.7853</v>
      </c>
      <c r="BD123" s="76">
        <v>0.36259999999999998</v>
      </c>
      <c r="BE123" s="76">
        <v>535741</v>
      </c>
      <c r="BF123" s="76">
        <v>534591</v>
      </c>
      <c r="BG123" s="76">
        <v>1025</v>
      </c>
      <c r="BH123" s="76">
        <v>1</v>
      </c>
      <c r="BI123" s="76">
        <v>1</v>
      </c>
      <c r="BJ123" s="76">
        <v>0</v>
      </c>
      <c r="BK123" s="76">
        <v>23</v>
      </c>
      <c r="BL123" s="76">
        <v>4</v>
      </c>
      <c r="BM123" s="76">
        <v>9</v>
      </c>
      <c r="BN123" s="76">
        <v>0</v>
      </c>
      <c r="BO123" s="76">
        <v>0</v>
      </c>
      <c r="BP123" s="76">
        <v>0</v>
      </c>
      <c r="BQ123" s="76">
        <v>26</v>
      </c>
      <c r="BR123" s="76">
        <v>52</v>
      </c>
      <c r="BS123" s="76">
        <v>0</v>
      </c>
      <c r="BT123" s="76">
        <v>9</v>
      </c>
      <c r="BU123" s="76">
        <v>2.4879496403000001</v>
      </c>
      <c r="BV123" s="76">
        <v>0.37311151078999999</v>
      </c>
      <c r="BW123" s="76">
        <v>1.1059352518000001</v>
      </c>
      <c r="BX123" s="76">
        <v>4.1541366906999997</v>
      </c>
      <c r="BY123" s="76">
        <v>19.220323741000001</v>
      </c>
      <c r="BZ123" s="76">
        <v>12.452338128999999</v>
      </c>
      <c r="CA123" s="76">
        <v>13.792985611000001</v>
      </c>
      <c r="CB123" s="76">
        <v>1.4020683453</v>
      </c>
      <c r="CC123" s="76">
        <v>3.0087230215999998</v>
      </c>
      <c r="CD123" s="76">
        <v>8.4304856115</v>
      </c>
      <c r="CE123" s="76">
        <v>3.6731115108000001</v>
      </c>
      <c r="CF123" s="76">
        <v>1.3990107914000001</v>
      </c>
      <c r="CG123" s="76">
        <v>22.91852518</v>
      </c>
      <c r="CH123" s="76">
        <v>5.5812949639999996</v>
      </c>
      <c r="CI123" s="76">
        <v>0.90151419117999998</v>
      </c>
      <c r="CJ123" s="78">
        <v>5944154.5229000002</v>
      </c>
    </row>
    <row r="124" spans="2:88" ht="15.6" x14ac:dyDescent="0.3">
      <c r="B124" s="79" t="s">
        <v>87</v>
      </c>
      <c r="C124" s="80" t="s">
        <v>234</v>
      </c>
      <c r="D124" s="81" t="s">
        <v>181</v>
      </c>
      <c r="E124" s="81">
        <v>30983020000190</v>
      </c>
      <c r="F124" s="82">
        <v>0.221</v>
      </c>
      <c r="G124" s="80" t="s">
        <v>88</v>
      </c>
      <c r="H124" s="82">
        <v>1</v>
      </c>
      <c r="I124" s="83" t="s">
        <v>183</v>
      </c>
      <c r="J124" s="82">
        <v>362494.89182999998</v>
      </c>
      <c r="K124" s="82">
        <v>354954.02335999999</v>
      </c>
      <c r="L124" s="82">
        <v>0</v>
      </c>
      <c r="M124" s="82">
        <v>58.70364</v>
      </c>
      <c r="N124" s="82">
        <v>3340.9654700000001</v>
      </c>
      <c r="O124" s="82">
        <v>359153.92635999998</v>
      </c>
      <c r="P124" s="82">
        <v>41302.449130000001</v>
      </c>
      <c r="Q124" s="82">
        <v>0</v>
      </c>
      <c r="R124" s="82">
        <v>0</v>
      </c>
      <c r="S124" s="82">
        <v>41302.449130000001</v>
      </c>
      <c r="T124" s="82">
        <v>938.60554000000002</v>
      </c>
      <c r="U124" s="82">
        <v>0</v>
      </c>
      <c r="V124" s="82">
        <v>-3690.7245899999998</v>
      </c>
      <c r="W124" s="82">
        <v>38550.33008</v>
      </c>
      <c r="X124" s="82">
        <v>38550.33008</v>
      </c>
      <c r="Y124" s="82">
        <v>36622.813576</v>
      </c>
      <c r="Z124" s="82">
        <v>38755.415306000003</v>
      </c>
      <c r="AA124" s="82">
        <v>3031.1498059999999</v>
      </c>
      <c r="AB124" s="82">
        <v>1.001943</v>
      </c>
      <c r="AC124" s="82"/>
      <c r="AD124" s="82">
        <v>0</v>
      </c>
      <c r="AE124" s="82">
        <v>0</v>
      </c>
      <c r="AF124" s="82">
        <v>346817.07030000002</v>
      </c>
      <c r="AG124" s="82">
        <v>0</v>
      </c>
      <c r="AH124" s="82">
        <v>0</v>
      </c>
      <c r="AI124" s="82">
        <v>0</v>
      </c>
      <c r="AJ124" s="82">
        <v>0</v>
      </c>
      <c r="AK124" s="82">
        <v>12643.151372</v>
      </c>
      <c r="AL124" s="82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  <c r="AX124" s="82"/>
      <c r="AY124" s="82"/>
      <c r="AZ124" s="82">
        <v>8.2941380346999996</v>
      </c>
      <c r="BA124" s="82">
        <v>7.8600000000000003E-2</v>
      </c>
      <c r="BB124" s="82">
        <v>0</v>
      </c>
      <c r="BC124" s="82">
        <v>0.84030000000000005</v>
      </c>
      <c r="BD124" s="82">
        <v>0.40960000000000002</v>
      </c>
      <c r="BE124" s="82">
        <v>62978</v>
      </c>
      <c r="BF124" s="82"/>
      <c r="BG124" s="82"/>
      <c r="BH124" s="82"/>
      <c r="BI124" s="82"/>
      <c r="BJ124" s="82"/>
      <c r="BK124" s="82"/>
      <c r="BL124" s="82"/>
      <c r="BM124" s="82"/>
      <c r="BN124" s="82"/>
      <c r="BO124" s="82"/>
      <c r="BP124" s="82"/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2"/>
      <c r="CB124" s="82"/>
      <c r="CC124" s="82"/>
      <c r="CD124" s="82"/>
      <c r="CE124" s="82"/>
      <c r="CF124" s="82"/>
      <c r="CG124" s="82"/>
      <c r="CH124" s="82"/>
      <c r="CI124" s="82">
        <v>0.86446596016999999</v>
      </c>
      <c r="CJ124" s="84">
        <v>310476.34379999997</v>
      </c>
    </row>
    <row r="125" spans="2:88" ht="15.6" x14ac:dyDescent="0.3">
      <c r="B125" s="73" t="s">
        <v>371</v>
      </c>
      <c r="C125" s="74" t="s">
        <v>431</v>
      </c>
      <c r="D125" s="75" t="s">
        <v>390</v>
      </c>
      <c r="E125" s="75">
        <v>40575940000123</v>
      </c>
      <c r="F125" s="76">
        <v>8.8999999999999996E-2</v>
      </c>
      <c r="G125" s="74" t="s">
        <v>89</v>
      </c>
      <c r="H125" s="76">
        <v>1.25</v>
      </c>
      <c r="I125" s="77" t="s">
        <v>182</v>
      </c>
      <c r="J125" s="76">
        <v>249266.61283</v>
      </c>
      <c r="K125" s="76">
        <v>238449.32879</v>
      </c>
      <c r="L125" s="76">
        <v>232938.36978000001</v>
      </c>
      <c r="M125" s="76">
        <v>4673.6709899999996</v>
      </c>
      <c r="N125" s="76">
        <v>97610.094670000006</v>
      </c>
      <c r="O125" s="76">
        <v>151656.51816000001</v>
      </c>
      <c r="P125" s="76">
        <v>18483.313699999999</v>
      </c>
      <c r="Q125" s="76">
        <v>0</v>
      </c>
      <c r="R125" s="76">
        <v>24400.747090000001</v>
      </c>
      <c r="S125" s="76">
        <v>-5917.4333900000001</v>
      </c>
      <c r="T125" s="76">
        <v>1411.1573000000001</v>
      </c>
      <c r="U125" s="76">
        <v>0</v>
      </c>
      <c r="V125" s="76">
        <v>-2553.1142500000001</v>
      </c>
      <c r="W125" s="76">
        <v>17341.356749999999</v>
      </c>
      <c r="X125" s="76">
        <v>17341.356769999999</v>
      </c>
      <c r="Y125" s="76">
        <v>16474.288931999999</v>
      </c>
      <c r="Z125" s="76">
        <v>16826.278151999999</v>
      </c>
      <c r="AA125" s="76">
        <v>2711.2144914999999</v>
      </c>
      <c r="AB125" s="76">
        <v>0.97876700000000005</v>
      </c>
      <c r="AC125" s="76"/>
      <c r="AD125" s="76">
        <v>0</v>
      </c>
      <c r="AE125" s="76">
        <v>0</v>
      </c>
      <c r="AF125" s="76">
        <v>1062.6107</v>
      </c>
      <c r="AG125" s="76">
        <v>6376.4854999999998</v>
      </c>
      <c r="AH125" s="76">
        <v>0</v>
      </c>
      <c r="AI125" s="76">
        <v>0</v>
      </c>
      <c r="AJ125" s="76">
        <v>0</v>
      </c>
      <c r="AK125" s="76">
        <v>2580.49505</v>
      </c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>
        <v>129.25396282</v>
      </c>
      <c r="BA125" s="76">
        <v>1.15E-2</v>
      </c>
      <c r="BB125" s="76">
        <v>0</v>
      </c>
      <c r="BC125" s="76">
        <v>0.88619099999999995</v>
      </c>
      <c r="BD125" s="76">
        <v>0.48945899999999998</v>
      </c>
      <c r="BE125" s="76">
        <v>4182</v>
      </c>
      <c r="BF125" s="76">
        <v>4145</v>
      </c>
      <c r="BG125" s="76">
        <v>28</v>
      </c>
      <c r="BH125" s="76">
        <v>0</v>
      </c>
      <c r="BI125" s="76">
        <v>1</v>
      </c>
      <c r="BJ125" s="76">
        <v>0</v>
      </c>
      <c r="BK125" s="76">
        <v>2</v>
      </c>
      <c r="BL125" s="76">
        <v>0</v>
      </c>
      <c r="BM125" s="76">
        <v>0</v>
      </c>
      <c r="BN125" s="76">
        <v>0</v>
      </c>
      <c r="BO125" s="76">
        <v>0</v>
      </c>
      <c r="BP125" s="76">
        <v>0</v>
      </c>
      <c r="BQ125" s="76">
        <v>3</v>
      </c>
      <c r="BR125" s="76">
        <v>2</v>
      </c>
      <c r="BS125" s="76">
        <v>0</v>
      </c>
      <c r="BT125" s="76">
        <v>1</v>
      </c>
      <c r="BU125" s="76">
        <v>0</v>
      </c>
      <c r="BV125" s="76">
        <v>0</v>
      </c>
      <c r="BW125" s="76">
        <v>1.6178219826</v>
      </c>
      <c r="BX125" s="76">
        <v>0</v>
      </c>
      <c r="BY125" s="76">
        <v>0</v>
      </c>
      <c r="BZ125" s="76">
        <v>0.25572552836000001</v>
      </c>
      <c r="CA125" s="76">
        <v>0</v>
      </c>
      <c r="CB125" s="76">
        <v>3.7941827864</v>
      </c>
      <c r="CC125" s="76">
        <v>4.3413029512000003</v>
      </c>
      <c r="CD125" s="76">
        <v>0</v>
      </c>
      <c r="CE125" s="76">
        <v>0.86401063653999999</v>
      </c>
      <c r="CF125" s="76">
        <v>0</v>
      </c>
      <c r="CG125" s="76">
        <v>89.126956114999999</v>
      </c>
      <c r="CH125" s="76">
        <v>0</v>
      </c>
      <c r="CI125" s="76">
        <v>0.83571905762999998</v>
      </c>
      <c r="CJ125" s="78">
        <v>126742.24244</v>
      </c>
    </row>
    <row r="126" spans="2:88" ht="15.6" x14ac:dyDescent="0.3">
      <c r="B126" s="79"/>
      <c r="C126" s="80"/>
      <c r="D126" s="81"/>
      <c r="E126" s="81"/>
      <c r="F126" s="82"/>
      <c r="G126" s="80"/>
      <c r="H126" s="82"/>
      <c r="I126" s="83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82"/>
      <c r="AZ126" s="82"/>
      <c r="BA126" s="82"/>
      <c r="BB126" s="82"/>
      <c r="BC126" s="82"/>
      <c r="BD126" s="82"/>
      <c r="BE126" s="82"/>
      <c r="BF126" s="82"/>
      <c r="BG126" s="82"/>
      <c r="BH126" s="82"/>
      <c r="BI126" s="82"/>
      <c r="BJ126" s="82"/>
      <c r="BK126" s="82"/>
      <c r="BL126" s="82"/>
      <c r="BM126" s="82"/>
      <c r="BN126" s="82"/>
      <c r="BO126" s="82"/>
      <c r="BP126" s="82"/>
      <c r="BQ126" s="82"/>
      <c r="BR126" s="82"/>
      <c r="BS126" s="82"/>
      <c r="BT126" s="82"/>
      <c r="BU126" s="82"/>
      <c r="BV126" s="82"/>
      <c r="BW126" s="82"/>
      <c r="BX126" s="82"/>
      <c r="BY126" s="82"/>
      <c r="BZ126" s="82"/>
      <c r="CA126" s="82"/>
      <c r="CB126" s="82"/>
      <c r="CC126" s="82"/>
      <c r="CD126" s="82"/>
      <c r="CE126" s="82"/>
      <c r="CF126" s="82"/>
      <c r="CG126" s="82"/>
      <c r="CH126" s="82"/>
      <c r="CI126" s="82"/>
      <c r="CJ126" s="84"/>
    </row>
    <row r="127" spans="2:88" ht="15.6" x14ac:dyDescent="0.3">
      <c r="B127" s="73"/>
      <c r="C127" s="74"/>
      <c r="D127" s="75"/>
      <c r="E127" s="75"/>
      <c r="F127" s="76"/>
      <c r="G127" s="74"/>
      <c r="H127" s="76"/>
      <c r="I127" s="77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8"/>
    </row>
    <row r="128" spans="2:88" ht="15.6" x14ac:dyDescent="0.3">
      <c r="B128" s="79"/>
      <c r="C128" s="80"/>
      <c r="D128" s="81"/>
      <c r="E128" s="81"/>
      <c r="F128" s="82"/>
      <c r="G128" s="80"/>
      <c r="H128" s="82"/>
      <c r="I128" s="83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  <c r="AX128" s="82"/>
      <c r="AY128" s="82"/>
      <c r="AZ128" s="82"/>
      <c r="BA128" s="82"/>
      <c r="BB128" s="82"/>
      <c r="BC128" s="82"/>
      <c r="BD128" s="82"/>
      <c r="BE128" s="82"/>
      <c r="BF128" s="82"/>
      <c r="BG128" s="82"/>
      <c r="BH128" s="82"/>
      <c r="BI128" s="82"/>
      <c r="BJ128" s="82"/>
      <c r="BK128" s="82"/>
      <c r="BL128" s="82"/>
      <c r="BM128" s="82"/>
      <c r="BN128" s="82"/>
      <c r="BO128" s="82"/>
      <c r="BP128" s="82"/>
      <c r="BQ128" s="82"/>
      <c r="BR128" s="82"/>
      <c r="BS128" s="82"/>
      <c r="BT128" s="82"/>
      <c r="BU128" s="82"/>
      <c r="BV128" s="82"/>
      <c r="BW128" s="82"/>
      <c r="BX128" s="82"/>
      <c r="BY128" s="82"/>
      <c r="BZ128" s="82"/>
      <c r="CA128" s="82"/>
      <c r="CB128" s="82"/>
      <c r="CC128" s="82"/>
      <c r="CD128" s="82"/>
      <c r="CE128" s="82"/>
      <c r="CF128" s="82"/>
      <c r="CG128" s="82"/>
      <c r="CH128" s="82"/>
      <c r="CI128" s="82"/>
      <c r="CJ128" s="84"/>
    </row>
    <row r="129" spans="2:88" ht="15.6" x14ac:dyDescent="0.3">
      <c r="B129" s="73"/>
      <c r="C129" s="74"/>
      <c r="D129" s="75"/>
      <c r="E129" s="75"/>
      <c r="F129" s="76"/>
      <c r="G129" s="74"/>
      <c r="H129" s="76"/>
      <c r="I129" s="77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8"/>
    </row>
    <row r="130" spans="2:88" ht="15.6" x14ac:dyDescent="0.3">
      <c r="B130" s="79"/>
      <c r="C130" s="80"/>
      <c r="D130" s="81"/>
      <c r="E130" s="81"/>
      <c r="F130" s="82"/>
      <c r="G130" s="80"/>
      <c r="H130" s="82"/>
      <c r="I130" s="83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82"/>
      <c r="AZ130" s="82"/>
      <c r="BA130" s="82"/>
      <c r="BB130" s="82"/>
      <c r="BC130" s="82"/>
      <c r="BD130" s="82"/>
      <c r="BE130" s="82"/>
      <c r="BF130" s="82"/>
      <c r="BG130" s="82"/>
      <c r="BH130" s="82"/>
      <c r="BI130" s="82"/>
      <c r="BJ130" s="82"/>
      <c r="BK130" s="82"/>
      <c r="BL130" s="82"/>
      <c r="BM130" s="82"/>
      <c r="BN130" s="82"/>
      <c r="BO130" s="82"/>
      <c r="BP130" s="82"/>
      <c r="BQ130" s="82"/>
      <c r="BR130" s="82"/>
      <c r="BS130" s="82"/>
      <c r="BT130" s="82"/>
      <c r="BU130" s="82"/>
      <c r="BV130" s="82"/>
      <c r="BW130" s="82"/>
      <c r="BX130" s="82"/>
      <c r="BY130" s="82"/>
      <c r="BZ130" s="82"/>
      <c r="CA130" s="82"/>
      <c r="CB130" s="82"/>
      <c r="CC130" s="82"/>
      <c r="CD130" s="82"/>
      <c r="CE130" s="82"/>
      <c r="CF130" s="82"/>
      <c r="CG130" s="82"/>
      <c r="CH130" s="82"/>
      <c r="CI130" s="82"/>
      <c r="CJ130" s="84"/>
    </row>
    <row r="131" spans="2:88" ht="15.6" x14ac:dyDescent="0.3">
      <c r="B131" s="73"/>
      <c r="C131" s="74"/>
      <c r="D131" s="75"/>
      <c r="E131" s="75"/>
      <c r="F131" s="76"/>
      <c r="G131" s="74"/>
      <c r="H131" s="76"/>
      <c r="I131" s="77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8"/>
    </row>
    <row r="132" spans="2:88" ht="15.6" x14ac:dyDescent="0.3">
      <c r="B132" s="79"/>
      <c r="C132" s="80"/>
      <c r="D132" s="81"/>
      <c r="E132" s="81"/>
      <c r="F132" s="82"/>
      <c r="G132" s="80"/>
      <c r="H132" s="82"/>
      <c r="I132" s="83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82"/>
      <c r="AZ132" s="82"/>
      <c r="BA132" s="82"/>
      <c r="BB132" s="82"/>
      <c r="BC132" s="82"/>
      <c r="BD132" s="82"/>
      <c r="BE132" s="82"/>
      <c r="BF132" s="82"/>
      <c r="BG132" s="82"/>
      <c r="BH132" s="82"/>
      <c r="BI132" s="82"/>
      <c r="BJ132" s="82"/>
      <c r="BK132" s="82"/>
      <c r="BL132" s="82"/>
      <c r="BM132" s="82"/>
      <c r="BN132" s="82"/>
      <c r="BO132" s="82"/>
      <c r="BP132" s="82"/>
      <c r="BQ132" s="82"/>
      <c r="BR132" s="82"/>
      <c r="BS132" s="82"/>
      <c r="BT132" s="82"/>
      <c r="BU132" s="82"/>
      <c r="BV132" s="82"/>
      <c r="BW132" s="82"/>
      <c r="BX132" s="82"/>
      <c r="BY132" s="82"/>
      <c r="BZ132" s="82"/>
      <c r="CA132" s="82"/>
      <c r="CB132" s="82"/>
      <c r="CC132" s="82"/>
      <c r="CD132" s="82"/>
      <c r="CE132" s="82"/>
      <c r="CF132" s="82"/>
      <c r="CG132" s="82"/>
      <c r="CH132" s="82"/>
      <c r="CI132" s="82"/>
      <c r="CJ132" s="84"/>
    </row>
    <row r="133" spans="2:88" ht="15.6" x14ac:dyDescent="0.3">
      <c r="B133" s="73"/>
      <c r="C133" s="74"/>
      <c r="D133" s="75"/>
      <c r="E133" s="75"/>
      <c r="F133" s="76"/>
      <c r="G133" s="74"/>
      <c r="H133" s="76"/>
      <c r="I133" s="77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8"/>
    </row>
    <row r="134" spans="2:88" ht="15.6" x14ac:dyDescent="0.3">
      <c r="B134" s="79"/>
      <c r="C134" s="80"/>
      <c r="D134" s="81"/>
      <c r="E134" s="81"/>
      <c r="F134" s="82"/>
      <c r="G134" s="80"/>
      <c r="H134" s="82"/>
      <c r="I134" s="83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/>
      <c r="BM134" s="82"/>
      <c r="BN134" s="82"/>
      <c r="BO134" s="82"/>
      <c r="BP134" s="82"/>
      <c r="BQ134" s="82"/>
      <c r="BR134" s="82"/>
      <c r="BS134" s="82"/>
      <c r="BT134" s="82"/>
      <c r="BU134" s="82"/>
      <c r="BV134" s="82"/>
      <c r="BW134" s="82"/>
      <c r="BX134" s="82"/>
      <c r="BY134" s="82"/>
      <c r="BZ134" s="82"/>
      <c r="CA134" s="82"/>
      <c r="CB134" s="82"/>
      <c r="CC134" s="82"/>
      <c r="CD134" s="82"/>
      <c r="CE134" s="82"/>
      <c r="CF134" s="82"/>
      <c r="CG134" s="82"/>
      <c r="CH134" s="82"/>
      <c r="CI134" s="82"/>
      <c r="CJ134" s="84"/>
    </row>
    <row r="135" spans="2:88" ht="15.6" x14ac:dyDescent="0.3">
      <c r="B135" s="73"/>
      <c r="C135" s="74"/>
      <c r="D135" s="75"/>
      <c r="E135" s="75"/>
      <c r="F135" s="76"/>
      <c r="G135" s="74"/>
      <c r="H135" s="76"/>
      <c r="I135" s="77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8"/>
    </row>
    <row r="136" spans="2:88" ht="15.6" x14ac:dyDescent="0.3">
      <c r="B136" s="79"/>
      <c r="C136" s="80"/>
      <c r="D136" s="81"/>
      <c r="E136" s="81"/>
      <c r="F136" s="82"/>
      <c r="G136" s="80"/>
      <c r="H136" s="82"/>
      <c r="I136" s="83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82"/>
      <c r="AZ136" s="82"/>
      <c r="BA136" s="82"/>
      <c r="BB136" s="82"/>
      <c r="BC136" s="82"/>
      <c r="BD136" s="82"/>
      <c r="BE136" s="82"/>
      <c r="BF136" s="82"/>
      <c r="BG136" s="82"/>
      <c r="BH136" s="82"/>
      <c r="BI136" s="82"/>
      <c r="BJ136" s="82"/>
      <c r="BK136" s="82"/>
      <c r="BL136" s="82"/>
      <c r="BM136" s="82"/>
      <c r="BN136" s="82"/>
      <c r="BO136" s="82"/>
      <c r="BP136" s="82"/>
      <c r="BQ136" s="82"/>
      <c r="BR136" s="82"/>
      <c r="BS136" s="82"/>
      <c r="BT136" s="82"/>
      <c r="BU136" s="82"/>
      <c r="BV136" s="82"/>
      <c r="BW136" s="82"/>
      <c r="BX136" s="82"/>
      <c r="BY136" s="82"/>
      <c r="BZ136" s="82"/>
      <c r="CA136" s="82"/>
      <c r="CB136" s="82"/>
      <c r="CC136" s="82"/>
      <c r="CD136" s="82"/>
      <c r="CE136" s="82"/>
      <c r="CF136" s="82"/>
      <c r="CG136" s="82"/>
      <c r="CH136" s="82"/>
      <c r="CI136" s="82"/>
      <c r="CJ136" s="84"/>
    </row>
    <row r="137" spans="2:88" ht="15.6" x14ac:dyDescent="0.3">
      <c r="B137" s="73"/>
      <c r="C137" s="74"/>
      <c r="D137" s="75"/>
      <c r="E137" s="75"/>
      <c r="F137" s="76"/>
      <c r="G137" s="74"/>
      <c r="H137" s="76"/>
      <c r="I137" s="77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76"/>
      <c r="CB137" s="76"/>
      <c r="CC137" s="76"/>
      <c r="CD137" s="76"/>
      <c r="CE137" s="76"/>
      <c r="CF137" s="76"/>
      <c r="CG137" s="76"/>
      <c r="CH137" s="76"/>
      <c r="CI137" s="76"/>
      <c r="CJ137" s="78"/>
    </row>
    <row r="138" spans="2:88" ht="15.6" x14ac:dyDescent="0.3">
      <c r="B138" s="79"/>
      <c r="C138" s="80"/>
      <c r="D138" s="81"/>
      <c r="E138" s="81"/>
      <c r="F138" s="82"/>
      <c r="G138" s="80"/>
      <c r="H138" s="82"/>
      <c r="I138" s="83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82"/>
      <c r="AZ138" s="82"/>
      <c r="BA138" s="82"/>
      <c r="BB138" s="82"/>
      <c r="BC138" s="82"/>
      <c r="BD138" s="82"/>
      <c r="BE138" s="82"/>
      <c r="BF138" s="82"/>
      <c r="BG138" s="82"/>
      <c r="BH138" s="82"/>
      <c r="BI138" s="82"/>
      <c r="BJ138" s="82"/>
      <c r="BK138" s="82"/>
      <c r="BL138" s="82"/>
      <c r="BM138" s="82"/>
      <c r="BN138" s="82"/>
      <c r="BO138" s="82"/>
      <c r="BP138" s="82"/>
      <c r="BQ138" s="82"/>
      <c r="BR138" s="82"/>
      <c r="BS138" s="82"/>
      <c r="BT138" s="82"/>
      <c r="BU138" s="82"/>
      <c r="BV138" s="82"/>
      <c r="BW138" s="82"/>
      <c r="BX138" s="82"/>
      <c r="BY138" s="82"/>
      <c r="BZ138" s="82"/>
      <c r="CA138" s="82"/>
      <c r="CB138" s="82"/>
      <c r="CC138" s="82"/>
      <c r="CD138" s="82"/>
      <c r="CE138" s="82"/>
      <c r="CF138" s="82"/>
      <c r="CG138" s="82"/>
      <c r="CH138" s="82"/>
      <c r="CI138" s="82"/>
      <c r="CJ138" s="84"/>
    </row>
    <row r="139" spans="2:88" ht="15.6" x14ac:dyDescent="0.3">
      <c r="B139" s="73"/>
      <c r="C139" s="74"/>
      <c r="D139" s="75"/>
      <c r="E139" s="75"/>
      <c r="F139" s="76"/>
      <c r="G139" s="74"/>
      <c r="H139" s="76"/>
      <c r="I139" s="77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76"/>
      <c r="CB139" s="76"/>
      <c r="CC139" s="76"/>
      <c r="CD139" s="76"/>
      <c r="CE139" s="76"/>
      <c r="CF139" s="76"/>
      <c r="CG139" s="76"/>
      <c r="CH139" s="76"/>
      <c r="CI139" s="76"/>
      <c r="CJ139" s="78"/>
    </row>
    <row r="140" spans="2:88" ht="15.6" x14ac:dyDescent="0.3">
      <c r="B140" s="79"/>
      <c r="C140" s="80"/>
      <c r="D140" s="81"/>
      <c r="E140" s="81"/>
      <c r="F140" s="82"/>
      <c r="G140" s="80"/>
      <c r="H140" s="82"/>
      <c r="I140" s="83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  <c r="AF140" s="82"/>
      <c r="AG140" s="82"/>
      <c r="AH140" s="82"/>
      <c r="AI140" s="82"/>
      <c r="AJ140" s="82"/>
      <c r="AK140" s="82"/>
      <c r="AL140" s="82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  <c r="AX140" s="82"/>
      <c r="AY140" s="82"/>
      <c r="AZ140" s="82"/>
      <c r="BA140" s="82"/>
      <c r="BB140" s="82"/>
      <c r="BC140" s="82"/>
      <c r="BD140" s="82"/>
      <c r="BE140" s="82"/>
      <c r="BF140" s="82"/>
      <c r="BG140" s="82"/>
      <c r="BH140" s="82"/>
      <c r="BI140" s="82"/>
      <c r="BJ140" s="82"/>
      <c r="BK140" s="82"/>
      <c r="BL140" s="82"/>
      <c r="BM140" s="82"/>
      <c r="BN140" s="82"/>
      <c r="BO140" s="82"/>
      <c r="BP140" s="82"/>
      <c r="BQ140" s="82"/>
      <c r="BR140" s="82"/>
      <c r="BS140" s="82"/>
      <c r="BT140" s="82"/>
      <c r="BU140" s="82"/>
      <c r="BV140" s="82"/>
      <c r="BW140" s="82"/>
      <c r="BX140" s="82"/>
      <c r="BY140" s="82"/>
      <c r="BZ140" s="82"/>
      <c r="CA140" s="82"/>
      <c r="CB140" s="82"/>
      <c r="CC140" s="82"/>
      <c r="CD140" s="82"/>
      <c r="CE140" s="82"/>
      <c r="CF140" s="82"/>
      <c r="CG140" s="82"/>
      <c r="CH140" s="82"/>
      <c r="CI140" s="82"/>
      <c r="CJ140" s="84"/>
    </row>
    <row r="141" spans="2:88" ht="15.6" x14ac:dyDescent="0.3">
      <c r="B141" s="73"/>
      <c r="C141" s="74"/>
      <c r="D141" s="75"/>
      <c r="E141" s="75"/>
      <c r="F141" s="76"/>
      <c r="G141" s="74"/>
      <c r="H141" s="76"/>
      <c r="I141" s="77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76"/>
      <c r="CB141" s="76"/>
      <c r="CC141" s="76"/>
      <c r="CD141" s="76"/>
      <c r="CE141" s="76"/>
      <c r="CF141" s="76"/>
      <c r="CG141" s="76"/>
      <c r="CH141" s="76"/>
      <c r="CI141" s="76"/>
      <c r="CJ141" s="78"/>
    </row>
    <row r="142" spans="2:88" ht="15.6" x14ac:dyDescent="0.3">
      <c r="B142" s="79"/>
      <c r="C142" s="80"/>
      <c r="D142" s="81"/>
      <c r="E142" s="81"/>
      <c r="F142" s="82"/>
      <c r="G142" s="80"/>
      <c r="H142" s="82"/>
      <c r="I142" s="83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  <c r="AJ142" s="82"/>
      <c r="AK142" s="82"/>
      <c r="AL142" s="82"/>
      <c r="AM142" s="82"/>
      <c r="AN142" s="82"/>
      <c r="AO142" s="82"/>
      <c r="AP142" s="82"/>
      <c r="AQ142" s="82"/>
      <c r="AR142" s="82"/>
      <c r="AS142" s="82"/>
      <c r="AT142" s="82"/>
      <c r="AU142" s="82"/>
      <c r="AV142" s="82"/>
      <c r="AW142" s="82"/>
      <c r="AX142" s="82"/>
      <c r="AY142" s="82"/>
      <c r="AZ142" s="82"/>
      <c r="BA142" s="82"/>
      <c r="BB142" s="82"/>
      <c r="BC142" s="82"/>
      <c r="BD142" s="82"/>
      <c r="BE142" s="82"/>
      <c r="BF142" s="82"/>
      <c r="BG142" s="82"/>
      <c r="BH142" s="82"/>
      <c r="BI142" s="82"/>
      <c r="BJ142" s="82"/>
      <c r="BK142" s="82"/>
      <c r="BL142" s="82"/>
      <c r="BM142" s="82"/>
      <c r="BN142" s="82"/>
      <c r="BO142" s="82"/>
      <c r="BP142" s="82"/>
      <c r="BQ142" s="82"/>
      <c r="BR142" s="82"/>
      <c r="BS142" s="82"/>
      <c r="BT142" s="82"/>
      <c r="BU142" s="82"/>
      <c r="BV142" s="82"/>
      <c r="BW142" s="82"/>
      <c r="BX142" s="82"/>
      <c r="BY142" s="82"/>
      <c r="BZ142" s="82"/>
      <c r="CA142" s="82"/>
      <c r="CB142" s="82"/>
      <c r="CC142" s="82"/>
      <c r="CD142" s="82"/>
      <c r="CE142" s="82"/>
      <c r="CF142" s="82"/>
      <c r="CG142" s="82"/>
      <c r="CH142" s="82"/>
      <c r="CI142" s="82"/>
      <c r="CJ142" s="84"/>
    </row>
    <row r="143" spans="2:88" ht="15.6" x14ac:dyDescent="0.3">
      <c r="B143" s="73"/>
      <c r="C143" s="74"/>
      <c r="D143" s="75"/>
      <c r="E143" s="75"/>
      <c r="F143" s="76"/>
      <c r="G143" s="74"/>
      <c r="H143" s="76"/>
      <c r="I143" s="77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76"/>
      <c r="CB143" s="76"/>
      <c r="CC143" s="76"/>
      <c r="CD143" s="76"/>
      <c r="CE143" s="76"/>
      <c r="CF143" s="76"/>
      <c r="CG143" s="76"/>
      <c r="CH143" s="76"/>
      <c r="CI143" s="76"/>
      <c r="CJ143" s="78"/>
    </row>
    <row r="144" spans="2:88" ht="15.6" x14ac:dyDescent="0.3">
      <c r="B144" s="79"/>
      <c r="C144" s="80"/>
      <c r="D144" s="81"/>
      <c r="E144" s="81"/>
      <c r="F144" s="82"/>
      <c r="G144" s="80"/>
      <c r="H144" s="82"/>
      <c r="I144" s="83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  <c r="AJ144" s="82"/>
      <c r="AK144" s="82"/>
      <c r="AL144" s="82"/>
      <c r="AM144" s="82"/>
      <c r="AN144" s="82"/>
      <c r="AO144" s="82"/>
      <c r="AP144" s="82"/>
      <c r="AQ144" s="82"/>
      <c r="AR144" s="82"/>
      <c r="AS144" s="82"/>
      <c r="AT144" s="82"/>
      <c r="AU144" s="82"/>
      <c r="AV144" s="82"/>
      <c r="AW144" s="82"/>
      <c r="AX144" s="82"/>
      <c r="AY144" s="82"/>
      <c r="AZ144" s="82"/>
      <c r="BA144" s="82"/>
      <c r="BB144" s="82"/>
      <c r="BC144" s="82"/>
      <c r="BD144" s="82"/>
      <c r="BE144" s="82"/>
      <c r="BF144" s="82"/>
      <c r="BG144" s="82"/>
      <c r="BH144" s="82"/>
      <c r="BI144" s="82"/>
      <c r="BJ144" s="82"/>
      <c r="BK144" s="82"/>
      <c r="BL144" s="82"/>
      <c r="BM144" s="82"/>
      <c r="BN144" s="82"/>
      <c r="BO144" s="82"/>
      <c r="BP144" s="82"/>
      <c r="BQ144" s="82"/>
      <c r="BR144" s="82"/>
      <c r="BS144" s="82"/>
      <c r="BT144" s="82"/>
      <c r="BU144" s="82"/>
      <c r="BV144" s="82"/>
      <c r="BW144" s="82"/>
      <c r="BX144" s="82"/>
      <c r="BY144" s="82"/>
      <c r="BZ144" s="82"/>
      <c r="CA144" s="82"/>
      <c r="CB144" s="82"/>
      <c r="CC144" s="82"/>
      <c r="CD144" s="82"/>
      <c r="CE144" s="82"/>
      <c r="CF144" s="82"/>
      <c r="CG144" s="82"/>
      <c r="CH144" s="82"/>
      <c r="CI144" s="82"/>
      <c r="CJ144" s="84"/>
    </row>
    <row r="145" spans="2:88" ht="15.6" x14ac:dyDescent="0.3">
      <c r="B145" s="73"/>
      <c r="C145" s="74"/>
      <c r="D145" s="75"/>
      <c r="E145" s="75"/>
      <c r="F145" s="76"/>
      <c r="G145" s="74"/>
      <c r="H145" s="76"/>
      <c r="I145" s="77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76"/>
      <c r="CE145" s="76"/>
      <c r="CF145" s="76"/>
      <c r="CG145" s="76"/>
      <c r="CH145" s="76"/>
      <c r="CI145" s="76"/>
      <c r="CJ145" s="78"/>
    </row>
    <row r="146" spans="2:88" ht="15.6" x14ac:dyDescent="0.3">
      <c r="B146" s="79"/>
      <c r="C146" s="80"/>
      <c r="D146" s="81"/>
      <c r="E146" s="81"/>
      <c r="F146" s="82"/>
      <c r="G146" s="80"/>
      <c r="H146" s="82"/>
      <c r="I146" s="83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/>
      <c r="AG146" s="82"/>
      <c r="AH146" s="82"/>
      <c r="AI146" s="82"/>
      <c r="AJ146" s="82"/>
      <c r="AK146" s="82"/>
      <c r="AL146" s="82"/>
      <c r="AM146" s="82"/>
      <c r="AN146" s="82"/>
      <c r="AO146" s="82"/>
      <c r="AP146" s="82"/>
      <c r="AQ146" s="82"/>
      <c r="AR146" s="82"/>
      <c r="AS146" s="82"/>
      <c r="AT146" s="82"/>
      <c r="AU146" s="82"/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/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/>
      <c r="BR146" s="82"/>
      <c r="BS146" s="82"/>
      <c r="BT146" s="82"/>
      <c r="BU146" s="82"/>
      <c r="BV146" s="82"/>
      <c r="BW146" s="82"/>
      <c r="BX146" s="82"/>
      <c r="BY146" s="82"/>
      <c r="BZ146" s="82"/>
      <c r="CA146" s="82"/>
      <c r="CB146" s="82"/>
      <c r="CC146" s="82"/>
      <c r="CD146" s="82"/>
      <c r="CE146" s="82"/>
      <c r="CF146" s="82"/>
      <c r="CG146" s="82"/>
      <c r="CH146" s="82"/>
      <c r="CI146" s="82"/>
      <c r="CJ146" s="84"/>
    </row>
    <row r="147" spans="2:88" ht="15.6" x14ac:dyDescent="0.3">
      <c r="B147" s="73"/>
      <c r="C147" s="74"/>
      <c r="D147" s="75"/>
      <c r="E147" s="75"/>
      <c r="F147" s="76"/>
      <c r="G147" s="74"/>
      <c r="H147" s="76"/>
      <c r="I147" s="77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76"/>
      <c r="AO147" s="76"/>
      <c r="AP147" s="76"/>
      <c r="AQ147" s="76"/>
      <c r="AR147" s="76"/>
      <c r="AS147" s="76"/>
      <c r="AT147" s="76"/>
      <c r="AU147" s="76"/>
      <c r="AV147" s="76"/>
      <c r="AW147" s="76"/>
      <c r="AX147" s="76"/>
      <c r="AY147" s="76"/>
      <c r="AZ147" s="76"/>
      <c r="BA147" s="76"/>
      <c r="BB147" s="76"/>
      <c r="BC147" s="76"/>
      <c r="BD147" s="76"/>
      <c r="BE147" s="76"/>
      <c r="BF147" s="76"/>
      <c r="BG147" s="76"/>
      <c r="BH147" s="76"/>
      <c r="BI147" s="76"/>
      <c r="BJ147" s="76"/>
      <c r="BK147" s="76"/>
      <c r="BL147" s="76"/>
      <c r="BM147" s="76"/>
      <c r="BN147" s="76"/>
      <c r="BO147" s="76"/>
      <c r="BP147" s="76"/>
      <c r="BQ147" s="76"/>
      <c r="BR147" s="76"/>
      <c r="BS147" s="76"/>
      <c r="BT147" s="76"/>
      <c r="BU147" s="76"/>
      <c r="BV147" s="76"/>
      <c r="BW147" s="76"/>
      <c r="BX147" s="76"/>
      <c r="BY147" s="76"/>
      <c r="BZ147" s="76"/>
      <c r="CA147" s="76"/>
      <c r="CB147" s="76"/>
      <c r="CC147" s="76"/>
      <c r="CD147" s="76"/>
      <c r="CE147" s="76"/>
      <c r="CF147" s="76"/>
      <c r="CG147" s="76"/>
      <c r="CH147" s="76"/>
      <c r="CI147" s="76"/>
      <c r="CJ147" s="78"/>
    </row>
    <row r="148" spans="2:88" ht="15.6" x14ac:dyDescent="0.3">
      <c r="B148" s="79"/>
      <c r="C148" s="80"/>
      <c r="D148" s="81"/>
      <c r="E148" s="81"/>
      <c r="F148" s="82"/>
      <c r="G148" s="80"/>
      <c r="H148" s="82"/>
      <c r="I148" s="83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  <c r="AX148" s="82"/>
      <c r="AY148" s="82"/>
      <c r="AZ148" s="82"/>
      <c r="BA148" s="82"/>
      <c r="BB148" s="82"/>
      <c r="BC148" s="82"/>
      <c r="BD148" s="82"/>
      <c r="BE148" s="82"/>
      <c r="BF148" s="82"/>
      <c r="BG148" s="82"/>
      <c r="BH148" s="82"/>
      <c r="BI148" s="82"/>
      <c r="BJ148" s="82"/>
      <c r="BK148" s="82"/>
      <c r="BL148" s="82"/>
      <c r="BM148" s="82"/>
      <c r="BN148" s="82"/>
      <c r="BO148" s="82"/>
      <c r="BP148" s="82"/>
      <c r="BQ148" s="82"/>
      <c r="BR148" s="82"/>
      <c r="BS148" s="82"/>
      <c r="BT148" s="82"/>
      <c r="BU148" s="82"/>
      <c r="BV148" s="82"/>
      <c r="BW148" s="82"/>
      <c r="BX148" s="82"/>
      <c r="BY148" s="82"/>
      <c r="BZ148" s="82"/>
      <c r="CA148" s="82"/>
      <c r="CB148" s="82"/>
      <c r="CC148" s="82"/>
      <c r="CD148" s="82"/>
      <c r="CE148" s="82"/>
      <c r="CF148" s="82"/>
      <c r="CG148" s="82"/>
      <c r="CH148" s="82"/>
      <c r="CI148" s="82"/>
      <c r="CJ148" s="84"/>
    </row>
    <row r="149" spans="2:88" ht="15.6" x14ac:dyDescent="0.3">
      <c r="B149" s="73"/>
      <c r="C149" s="74"/>
      <c r="D149" s="75"/>
      <c r="E149" s="75"/>
      <c r="F149" s="76"/>
      <c r="G149" s="74"/>
      <c r="H149" s="76"/>
      <c r="I149" s="77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76"/>
      <c r="AV149" s="76"/>
      <c r="AW149" s="76"/>
      <c r="AX149" s="76"/>
      <c r="AY149" s="76"/>
      <c r="AZ149" s="76"/>
      <c r="BA149" s="76"/>
      <c r="BB149" s="76"/>
      <c r="BC149" s="76"/>
      <c r="BD149" s="76"/>
      <c r="BE149" s="76"/>
      <c r="BF149" s="76"/>
      <c r="BG149" s="76"/>
      <c r="BH149" s="76"/>
      <c r="BI149" s="76"/>
      <c r="BJ149" s="76"/>
      <c r="BK149" s="76"/>
      <c r="BL149" s="76"/>
      <c r="BM149" s="76"/>
      <c r="BN149" s="76"/>
      <c r="BO149" s="76"/>
      <c r="BP149" s="76"/>
      <c r="BQ149" s="76"/>
      <c r="BR149" s="76"/>
      <c r="BS149" s="76"/>
      <c r="BT149" s="76"/>
      <c r="BU149" s="76"/>
      <c r="BV149" s="76"/>
      <c r="BW149" s="76"/>
      <c r="BX149" s="76"/>
      <c r="BY149" s="76"/>
      <c r="BZ149" s="76"/>
      <c r="CA149" s="76"/>
      <c r="CB149" s="76"/>
      <c r="CC149" s="76"/>
      <c r="CD149" s="76"/>
      <c r="CE149" s="76"/>
      <c r="CF149" s="76"/>
      <c r="CG149" s="76"/>
      <c r="CH149" s="76"/>
      <c r="CI149" s="76"/>
      <c r="CJ149" s="78"/>
    </row>
    <row r="150" spans="2:88" ht="15.6" x14ac:dyDescent="0.3">
      <c r="B150" s="79"/>
      <c r="C150" s="80"/>
      <c r="D150" s="81"/>
      <c r="E150" s="81"/>
      <c r="F150" s="82"/>
      <c r="G150" s="80"/>
      <c r="H150" s="82"/>
      <c r="I150" s="83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2"/>
      <c r="AU150" s="82"/>
      <c r="AV150" s="82"/>
      <c r="AW150" s="82"/>
      <c r="AX150" s="82"/>
      <c r="AY150" s="82"/>
      <c r="AZ150" s="82"/>
      <c r="BA150" s="82"/>
      <c r="BB150" s="82"/>
      <c r="BC150" s="82"/>
      <c r="BD150" s="82"/>
      <c r="BE150" s="82"/>
      <c r="BF150" s="82"/>
      <c r="BG150" s="82"/>
      <c r="BH150" s="82"/>
      <c r="BI150" s="82"/>
      <c r="BJ150" s="82"/>
      <c r="BK150" s="82"/>
      <c r="BL150" s="82"/>
      <c r="BM150" s="82"/>
      <c r="BN150" s="82"/>
      <c r="BO150" s="82"/>
      <c r="BP150" s="82"/>
      <c r="BQ150" s="82"/>
      <c r="BR150" s="82"/>
      <c r="BS150" s="82"/>
      <c r="BT150" s="82"/>
      <c r="BU150" s="82"/>
      <c r="BV150" s="82"/>
      <c r="BW150" s="82"/>
      <c r="BX150" s="82"/>
      <c r="BY150" s="82"/>
      <c r="BZ150" s="82"/>
      <c r="CA150" s="82"/>
      <c r="CB150" s="82"/>
      <c r="CC150" s="82"/>
      <c r="CD150" s="82"/>
      <c r="CE150" s="82"/>
      <c r="CF150" s="82"/>
      <c r="CG150" s="82"/>
      <c r="CH150" s="82"/>
      <c r="CI150" s="82"/>
      <c r="CJ150" s="84"/>
    </row>
    <row r="151" spans="2:88" ht="15.6" x14ac:dyDescent="0.3">
      <c r="B151" s="73"/>
      <c r="C151" s="74"/>
      <c r="D151" s="75"/>
      <c r="E151" s="75"/>
      <c r="F151" s="76"/>
      <c r="G151" s="74"/>
      <c r="H151" s="76"/>
      <c r="I151" s="77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8"/>
    </row>
    <row r="152" spans="2:88" ht="15.6" x14ac:dyDescent="0.3">
      <c r="B152" s="79"/>
      <c r="C152" s="80"/>
      <c r="D152" s="81"/>
      <c r="E152" s="81"/>
      <c r="F152" s="82"/>
      <c r="G152" s="80"/>
      <c r="H152" s="82"/>
      <c r="I152" s="83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2"/>
      <c r="AU152" s="82"/>
      <c r="AV152" s="82"/>
      <c r="AW152" s="82"/>
      <c r="AX152" s="82"/>
      <c r="AY152" s="82"/>
      <c r="AZ152" s="82"/>
      <c r="BA152" s="82"/>
      <c r="BB152" s="82"/>
      <c r="BC152" s="82"/>
      <c r="BD152" s="82"/>
      <c r="BE152" s="82"/>
      <c r="BF152" s="82"/>
      <c r="BG152" s="82"/>
      <c r="BH152" s="82"/>
      <c r="BI152" s="82"/>
      <c r="BJ152" s="82"/>
      <c r="BK152" s="82"/>
      <c r="BL152" s="82"/>
      <c r="BM152" s="82"/>
      <c r="BN152" s="82"/>
      <c r="BO152" s="82"/>
      <c r="BP152" s="82"/>
      <c r="BQ152" s="82"/>
      <c r="BR152" s="82"/>
      <c r="BS152" s="82"/>
      <c r="BT152" s="82"/>
      <c r="BU152" s="82"/>
      <c r="BV152" s="82"/>
      <c r="BW152" s="82"/>
      <c r="BX152" s="82"/>
      <c r="BY152" s="82"/>
      <c r="BZ152" s="82"/>
      <c r="CA152" s="82"/>
      <c r="CB152" s="82"/>
      <c r="CC152" s="82"/>
      <c r="CD152" s="82"/>
      <c r="CE152" s="82"/>
      <c r="CF152" s="82"/>
      <c r="CG152" s="82"/>
      <c r="CH152" s="82"/>
      <c r="CI152" s="82"/>
      <c r="CJ152" s="84"/>
    </row>
    <row r="153" spans="2:88" ht="15.6" x14ac:dyDescent="0.3">
      <c r="B153" s="73"/>
      <c r="C153" s="74"/>
      <c r="D153" s="75"/>
      <c r="E153" s="75"/>
      <c r="F153" s="76"/>
      <c r="G153" s="74"/>
      <c r="H153" s="76"/>
      <c r="I153" s="77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8"/>
    </row>
    <row r="154" spans="2:88" ht="15.6" x14ac:dyDescent="0.3">
      <c r="B154" s="79"/>
      <c r="C154" s="80"/>
      <c r="D154" s="81"/>
      <c r="E154" s="81"/>
      <c r="F154" s="82"/>
      <c r="G154" s="80"/>
      <c r="H154" s="82"/>
      <c r="I154" s="83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2"/>
      <c r="AU154" s="82"/>
      <c r="AV154" s="82"/>
      <c r="AW154" s="82"/>
      <c r="AX154" s="82"/>
      <c r="AY154" s="82"/>
      <c r="AZ154" s="82"/>
      <c r="BA154" s="82"/>
      <c r="BB154" s="82"/>
      <c r="BC154" s="82"/>
      <c r="BD154" s="82"/>
      <c r="BE154" s="82"/>
      <c r="BF154" s="82"/>
      <c r="BG154" s="82"/>
      <c r="BH154" s="82"/>
      <c r="BI154" s="82"/>
      <c r="BJ154" s="82"/>
      <c r="BK154" s="82"/>
      <c r="BL154" s="82"/>
      <c r="BM154" s="82"/>
      <c r="BN154" s="82"/>
      <c r="BO154" s="82"/>
      <c r="BP154" s="82"/>
      <c r="BQ154" s="82"/>
      <c r="BR154" s="82"/>
      <c r="BS154" s="82"/>
      <c r="BT154" s="82"/>
      <c r="BU154" s="82"/>
      <c r="BV154" s="82"/>
      <c r="BW154" s="82"/>
      <c r="BX154" s="82"/>
      <c r="BY154" s="82"/>
      <c r="BZ154" s="82"/>
      <c r="CA154" s="82"/>
      <c r="CB154" s="82"/>
      <c r="CC154" s="82"/>
      <c r="CD154" s="82"/>
      <c r="CE154" s="82"/>
      <c r="CF154" s="82"/>
      <c r="CG154" s="82"/>
      <c r="CH154" s="82"/>
      <c r="CI154" s="82"/>
      <c r="CJ154" s="84"/>
    </row>
    <row r="155" spans="2:88" ht="15.6" x14ac:dyDescent="0.3">
      <c r="B155" s="73"/>
      <c r="C155" s="74"/>
      <c r="D155" s="75"/>
      <c r="E155" s="75"/>
      <c r="F155" s="76"/>
      <c r="G155" s="74"/>
      <c r="H155" s="76"/>
      <c r="I155" s="77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8"/>
    </row>
    <row r="156" spans="2:88" ht="15.6" x14ac:dyDescent="0.3">
      <c r="B156" s="79"/>
      <c r="C156" s="80"/>
      <c r="D156" s="81"/>
      <c r="E156" s="81"/>
      <c r="F156" s="82"/>
      <c r="G156" s="80"/>
      <c r="H156" s="82"/>
      <c r="I156" s="83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2"/>
      <c r="AU156" s="82"/>
      <c r="AV156" s="82"/>
      <c r="AW156" s="82"/>
      <c r="AX156" s="82"/>
      <c r="AY156" s="82"/>
      <c r="AZ156" s="82"/>
      <c r="BA156" s="82"/>
      <c r="BB156" s="82"/>
      <c r="BC156" s="82"/>
      <c r="BD156" s="82"/>
      <c r="BE156" s="82"/>
      <c r="BF156" s="82"/>
      <c r="BG156" s="82"/>
      <c r="BH156" s="82"/>
      <c r="BI156" s="82"/>
      <c r="BJ156" s="82"/>
      <c r="BK156" s="82"/>
      <c r="BL156" s="82"/>
      <c r="BM156" s="82"/>
      <c r="BN156" s="82"/>
      <c r="BO156" s="82"/>
      <c r="BP156" s="82"/>
      <c r="BQ156" s="82"/>
      <c r="BR156" s="82"/>
      <c r="BS156" s="82"/>
      <c r="BT156" s="82"/>
      <c r="BU156" s="82"/>
      <c r="BV156" s="82"/>
      <c r="BW156" s="82"/>
      <c r="BX156" s="82"/>
      <c r="BY156" s="82"/>
      <c r="BZ156" s="82"/>
      <c r="CA156" s="82"/>
      <c r="CB156" s="82"/>
      <c r="CC156" s="82"/>
      <c r="CD156" s="82"/>
      <c r="CE156" s="82"/>
      <c r="CF156" s="82"/>
      <c r="CG156" s="82"/>
      <c r="CH156" s="82"/>
      <c r="CI156" s="82"/>
      <c r="CJ156" s="84"/>
    </row>
    <row r="157" spans="2:88" ht="15.6" x14ac:dyDescent="0.3">
      <c r="B157" s="73"/>
      <c r="C157" s="74"/>
      <c r="D157" s="75"/>
      <c r="E157" s="75"/>
      <c r="F157" s="76"/>
      <c r="G157" s="74"/>
      <c r="H157" s="76"/>
      <c r="I157" s="77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8"/>
    </row>
    <row r="158" spans="2:88" ht="15.6" x14ac:dyDescent="0.3">
      <c r="B158" s="79"/>
      <c r="C158" s="80"/>
      <c r="D158" s="81"/>
      <c r="E158" s="81"/>
      <c r="F158" s="82"/>
      <c r="G158" s="80"/>
      <c r="H158" s="82"/>
      <c r="I158" s="83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/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82"/>
      <c r="BK158" s="82"/>
      <c r="BL158" s="82"/>
      <c r="BM158" s="82"/>
      <c r="BN158" s="82"/>
      <c r="BO158" s="82"/>
      <c r="BP158" s="82"/>
      <c r="BQ158" s="82"/>
      <c r="BR158" s="82"/>
      <c r="BS158" s="82"/>
      <c r="BT158" s="82"/>
      <c r="BU158" s="82"/>
      <c r="BV158" s="82"/>
      <c r="BW158" s="82"/>
      <c r="BX158" s="82"/>
      <c r="BY158" s="82"/>
      <c r="BZ158" s="82"/>
      <c r="CA158" s="82"/>
      <c r="CB158" s="82"/>
      <c r="CC158" s="82"/>
      <c r="CD158" s="82"/>
      <c r="CE158" s="82"/>
      <c r="CF158" s="82"/>
      <c r="CG158" s="82"/>
      <c r="CH158" s="82"/>
      <c r="CI158" s="82"/>
      <c r="CJ158" s="84"/>
    </row>
    <row r="159" spans="2:88" ht="15.6" x14ac:dyDescent="0.3">
      <c r="B159" s="73"/>
      <c r="C159" s="74"/>
      <c r="D159" s="75"/>
      <c r="E159" s="75"/>
      <c r="F159" s="76"/>
      <c r="G159" s="74"/>
      <c r="H159" s="76"/>
      <c r="I159" s="77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8"/>
    </row>
    <row r="160" spans="2:88" ht="15.6" x14ac:dyDescent="0.3">
      <c r="B160" s="79"/>
      <c r="C160" s="80"/>
      <c r="D160" s="81"/>
      <c r="E160" s="81"/>
      <c r="F160" s="82"/>
      <c r="G160" s="80"/>
      <c r="H160" s="82"/>
      <c r="I160" s="83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  <c r="AX160" s="82"/>
      <c r="AY160" s="82"/>
      <c r="AZ160" s="82"/>
      <c r="BA160" s="82"/>
      <c r="BB160" s="82"/>
      <c r="BC160" s="82"/>
      <c r="BD160" s="82"/>
      <c r="BE160" s="82"/>
      <c r="BF160" s="82"/>
      <c r="BG160" s="82"/>
      <c r="BH160" s="82"/>
      <c r="BI160" s="82"/>
      <c r="BJ160" s="82"/>
      <c r="BK160" s="82"/>
      <c r="BL160" s="82"/>
      <c r="BM160" s="82"/>
      <c r="BN160" s="82"/>
      <c r="BO160" s="82"/>
      <c r="BP160" s="82"/>
      <c r="BQ160" s="82"/>
      <c r="BR160" s="82"/>
      <c r="BS160" s="82"/>
      <c r="BT160" s="82"/>
      <c r="BU160" s="82"/>
      <c r="BV160" s="82"/>
      <c r="BW160" s="82"/>
      <c r="BX160" s="82"/>
      <c r="BY160" s="82"/>
      <c r="BZ160" s="82"/>
      <c r="CA160" s="82"/>
      <c r="CB160" s="82"/>
      <c r="CC160" s="82"/>
      <c r="CD160" s="82"/>
      <c r="CE160" s="82"/>
      <c r="CF160" s="82"/>
      <c r="CG160" s="82"/>
      <c r="CH160" s="82"/>
      <c r="CI160" s="82"/>
      <c r="CJ160" s="84"/>
    </row>
    <row r="161" spans="2:88" ht="15.6" x14ac:dyDescent="0.3">
      <c r="B161" s="73"/>
      <c r="C161" s="74"/>
      <c r="D161" s="75"/>
      <c r="E161" s="75"/>
      <c r="F161" s="76"/>
      <c r="G161" s="74"/>
      <c r="H161" s="76"/>
      <c r="I161" s="77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8"/>
    </row>
    <row r="162" spans="2:88" ht="15.6" x14ac:dyDescent="0.3">
      <c r="B162" s="79"/>
      <c r="C162" s="80"/>
      <c r="D162" s="81"/>
      <c r="E162" s="81"/>
      <c r="F162" s="82"/>
      <c r="G162" s="80"/>
      <c r="H162" s="82"/>
      <c r="I162" s="83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2"/>
      <c r="AU162" s="82"/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2"/>
      <c r="BJ162" s="82"/>
      <c r="BK162" s="82"/>
      <c r="BL162" s="82"/>
      <c r="BM162" s="82"/>
      <c r="BN162" s="82"/>
      <c r="BO162" s="82"/>
      <c r="BP162" s="82"/>
      <c r="BQ162" s="82"/>
      <c r="BR162" s="82"/>
      <c r="BS162" s="82"/>
      <c r="BT162" s="82"/>
      <c r="BU162" s="82"/>
      <c r="BV162" s="82"/>
      <c r="BW162" s="82"/>
      <c r="BX162" s="82"/>
      <c r="BY162" s="82"/>
      <c r="BZ162" s="82"/>
      <c r="CA162" s="82"/>
      <c r="CB162" s="82"/>
      <c r="CC162" s="82"/>
      <c r="CD162" s="82"/>
      <c r="CE162" s="82"/>
      <c r="CF162" s="82"/>
      <c r="CG162" s="82"/>
      <c r="CH162" s="82"/>
      <c r="CI162" s="82"/>
      <c r="CJ162" s="84"/>
    </row>
    <row r="163" spans="2:88" ht="15.6" x14ac:dyDescent="0.3">
      <c r="B163" s="73"/>
      <c r="C163" s="74"/>
      <c r="D163" s="75"/>
      <c r="E163" s="75"/>
      <c r="F163" s="76"/>
      <c r="G163" s="74"/>
      <c r="H163" s="76"/>
      <c r="I163" s="77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8"/>
    </row>
    <row r="164" spans="2:88" ht="15.6" x14ac:dyDescent="0.3">
      <c r="B164" s="79"/>
      <c r="C164" s="80"/>
      <c r="D164" s="81"/>
      <c r="E164" s="81"/>
      <c r="F164" s="82"/>
      <c r="G164" s="80"/>
      <c r="H164" s="82"/>
      <c r="I164" s="83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4"/>
    </row>
    <row r="165" spans="2:88" ht="15.6" x14ac:dyDescent="0.3">
      <c r="B165" s="73"/>
      <c r="C165" s="74"/>
      <c r="D165" s="75"/>
      <c r="E165" s="75"/>
      <c r="F165" s="76"/>
      <c r="G165" s="74"/>
      <c r="H165" s="76"/>
      <c r="I165" s="77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8"/>
    </row>
    <row r="166" spans="2:88" ht="15.6" x14ac:dyDescent="0.3">
      <c r="B166" s="79"/>
      <c r="C166" s="80"/>
      <c r="D166" s="81"/>
      <c r="E166" s="81"/>
      <c r="F166" s="82"/>
      <c r="G166" s="80"/>
      <c r="H166" s="82"/>
      <c r="I166" s="83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4"/>
    </row>
    <row r="167" spans="2:88" ht="15.6" x14ac:dyDescent="0.3">
      <c r="B167" s="73"/>
      <c r="C167" s="74"/>
      <c r="D167" s="75"/>
      <c r="E167" s="75"/>
      <c r="F167" s="76"/>
      <c r="G167" s="74"/>
      <c r="H167" s="76"/>
      <c r="I167" s="77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8"/>
    </row>
    <row r="168" spans="2:88" ht="15.6" x14ac:dyDescent="0.3">
      <c r="B168" s="79"/>
      <c r="C168" s="80"/>
      <c r="D168" s="81"/>
      <c r="E168" s="81"/>
      <c r="F168" s="82"/>
      <c r="G168" s="80"/>
      <c r="H168" s="82"/>
      <c r="I168" s="83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4"/>
    </row>
    <row r="169" spans="2:88" ht="15.6" x14ac:dyDescent="0.3">
      <c r="B169" s="73"/>
      <c r="C169" s="74"/>
      <c r="D169" s="75"/>
      <c r="E169" s="75"/>
      <c r="F169" s="76"/>
      <c r="G169" s="74"/>
      <c r="H169" s="76"/>
      <c r="I169" s="77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8"/>
    </row>
    <row r="170" spans="2:88" ht="15.6" x14ac:dyDescent="0.3">
      <c r="B170" s="79"/>
      <c r="C170" s="80"/>
      <c r="D170" s="81"/>
      <c r="E170" s="81"/>
      <c r="F170" s="82"/>
      <c r="G170" s="80"/>
      <c r="H170" s="82"/>
      <c r="I170" s="83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4"/>
    </row>
    <row r="171" spans="2:88" ht="15.6" x14ac:dyDescent="0.3">
      <c r="B171" s="73"/>
      <c r="C171" s="74"/>
      <c r="D171" s="75"/>
      <c r="E171" s="75"/>
      <c r="F171" s="76"/>
      <c r="G171" s="74"/>
      <c r="H171" s="76"/>
      <c r="I171" s="77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8"/>
    </row>
    <row r="172" spans="2:88" ht="15.6" x14ac:dyDescent="0.3">
      <c r="B172" s="79"/>
      <c r="C172" s="80"/>
      <c r="D172" s="81"/>
      <c r="E172" s="81"/>
      <c r="F172" s="82"/>
      <c r="G172" s="80"/>
      <c r="H172" s="82"/>
      <c r="I172" s="83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4"/>
    </row>
    <row r="173" spans="2:88" ht="15.6" x14ac:dyDescent="0.3">
      <c r="B173" s="73"/>
      <c r="C173" s="74"/>
      <c r="D173" s="75"/>
      <c r="E173" s="75"/>
      <c r="F173" s="76"/>
      <c r="G173" s="74"/>
      <c r="H173" s="76"/>
      <c r="I173" s="77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8"/>
    </row>
    <row r="174" spans="2:88" ht="15.6" x14ac:dyDescent="0.3">
      <c r="B174" s="79"/>
      <c r="C174" s="80"/>
      <c r="D174" s="81"/>
      <c r="E174" s="81"/>
      <c r="F174" s="82"/>
      <c r="G174" s="80"/>
      <c r="H174" s="82"/>
      <c r="I174" s="83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82"/>
      <c r="AT174" s="82"/>
      <c r="AU174" s="82"/>
      <c r="AV174" s="82"/>
      <c r="AW174" s="82"/>
      <c r="AX174" s="82"/>
      <c r="AY174" s="82"/>
      <c r="AZ174" s="82"/>
      <c r="BA174" s="82"/>
      <c r="BB174" s="82"/>
      <c r="BC174" s="82"/>
      <c r="BD174" s="82"/>
      <c r="BE174" s="82"/>
      <c r="BF174" s="82"/>
      <c r="BG174" s="82"/>
      <c r="BH174" s="82"/>
      <c r="BI174" s="82"/>
      <c r="BJ174" s="82"/>
      <c r="BK174" s="82"/>
      <c r="BL174" s="82"/>
      <c r="BM174" s="82"/>
      <c r="BN174" s="82"/>
      <c r="BO174" s="82"/>
      <c r="BP174" s="82"/>
      <c r="BQ174" s="82"/>
      <c r="BR174" s="82"/>
      <c r="BS174" s="82"/>
      <c r="BT174" s="82"/>
      <c r="BU174" s="82"/>
      <c r="BV174" s="82"/>
      <c r="BW174" s="82"/>
      <c r="BX174" s="82"/>
      <c r="BY174" s="82"/>
      <c r="BZ174" s="82"/>
      <c r="CA174" s="82"/>
      <c r="CB174" s="82"/>
      <c r="CC174" s="82"/>
      <c r="CD174" s="82"/>
      <c r="CE174" s="82"/>
      <c r="CF174" s="82"/>
      <c r="CG174" s="82"/>
      <c r="CH174" s="82"/>
      <c r="CI174" s="82"/>
      <c r="CJ174" s="84"/>
    </row>
    <row r="175" spans="2:88" ht="15.6" x14ac:dyDescent="0.3">
      <c r="B175" s="73"/>
      <c r="C175" s="74"/>
      <c r="D175" s="75"/>
      <c r="E175" s="75"/>
      <c r="F175" s="76"/>
      <c r="G175" s="74"/>
      <c r="H175" s="76"/>
      <c r="I175" s="77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8"/>
    </row>
    <row r="176" spans="2:88" ht="15.6" x14ac:dyDescent="0.3">
      <c r="B176" s="79"/>
      <c r="C176" s="80"/>
      <c r="D176" s="81"/>
      <c r="E176" s="81"/>
      <c r="F176" s="82"/>
      <c r="G176" s="80"/>
      <c r="H176" s="82"/>
      <c r="I176" s="83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82"/>
      <c r="AT176" s="82"/>
      <c r="AU176" s="82"/>
      <c r="AV176" s="82"/>
      <c r="AW176" s="82"/>
      <c r="AX176" s="82"/>
      <c r="AY176" s="82"/>
      <c r="AZ176" s="82"/>
      <c r="BA176" s="82"/>
      <c r="BB176" s="82"/>
      <c r="BC176" s="82"/>
      <c r="BD176" s="82"/>
      <c r="BE176" s="82"/>
      <c r="BF176" s="82"/>
      <c r="BG176" s="82"/>
      <c r="BH176" s="82"/>
      <c r="BI176" s="82"/>
      <c r="BJ176" s="82"/>
      <c r="BK176" s="82"/>
      <c r="BL176" s="82"/>
      <c r="BM176" s="82"/>
      <c r="BN176" s="82"/>
      <c r="BO176" s="82"/>
      <c r="BP176" s="82"/>
      <c r="BQ176" s="82"/>
      <c r="BR176" s="82"/>
      <c r="BS176" s="82"/>
      <c r="BT176" s="82"/>
      <c r="BU176" s="82"/>
      <c r="BV176" s="82"/>
      <c r="BW176" s="82"/>
      <c r="BX176" s="82"/>
      <c r="BY176" s="82"/>
      <c r="BZ176" s="82"/>
      <c r="CA176" s="82"/>
      <c r="CB176" s="82"/>
      <c r="CC176" s="82"/>
      <c r="CD176" s="82"/>
      <c r="CE176" s="82"/>
      <c r="CF176" s="82"/>
      <c r="CG176" s="82"/>
      <c r="CH176" s="82"/>
      <c r="CI176" s="82"/>
      <c r="CJ176" s="84"/>
    </row>
    <row r="177" spans="2:88" ht="15.6" x14ac:dyDescent="0.3">
      <c r="B177" s="73"/>
      <c r="C177" s="74"/>
      <c r="D177" s="75"/>
      <c r="E177" s="75"/>
      <c r="F177" s="76"/>
      <c r="G177" s="74"/>
      <c r="H177" s="76"/>
      <c r="I177" s="77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8"/>
    </row>
    <row r="178" spans="2:88" ht="15.6" x14ac:dyDescent="0.3">
      <c r="B178" s="79"/>
      <c r="C178" s="80"/>
      <c r="D178" s="81"/>
      <c r="E178" s="81"/>
      <c r="F178" s="82"/>
      <c r="G178" s="80"/>
      <c r="H178" s="82"/>
      <c r="I178" s="83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/>
      <c r="AV178" s="82"/>
      <c r="AW178" s="82"/>
      <c r="AX178" s="82"/>
      <c r="AY178" s="82"/>
      <c r="AZ178" s="82"/>
      <c r="BA178" s="82"/>
      <c r="BB178" s="82"/>
      <c r="BC178" s="82"/>
      <c r="BD178" s="82"/>
      <c r="BE178" s="82"/>
      <c r="BF178" s="82"/>
      <c r="BG178" s="82"/>
      <c r="BH178" s="82"/>
      <c r="BI178" s="82"/>
      <c r="BJ178" s="82"/>
      <c r="BK178" s="82"/>
      <c r="BL178" s="82"/>
      <c r="BM178" s="82"/>
      <c r="BN178" s="82"/>
      <c r="BO178" s="82"/>
      <c r="BP178" s="82"/>
      <c r="BQ178" s="82"/>
      <c r="BR178" s="82"/>
      <c r="BS178" s="82"/>
      <c r="BT178" s="82"/>
      <c r="BU178" s="82"/>
      <c r="BV178" s="82"/>
      <c r="BW178" s="82"/>
      <c r="BX178" s="82"/>
      <c r="BY178" s="82"/>
      <c r="BZ178" s="82"/>
      <c r="CA178" s="82"/>
      <c r="CB178" s="82"/>
      <c r="CC178" s="82"/>
      <c r="CD178" s="82"/>
      <c r="CE178" s="82"/>
      <c r="CF178" s="82"/>
      <c r="CG178" s="82"/>
      <c r="CH178" s="82"/>
      <c r="CI178" s="82"/>
      <c r="CJ178" s="84"/>
    </row>
    <row r="179" spans="2:88" ht="15.6" x14ac:dyDescent="0.3">
      <c r="B179" s="73"/>
      <c r="C179" s="74"/>
      <c r="D179" s="75"/>
      <c r="E179" s="75"/>
      <c r="F179" s="76"/>
      <c r="G179" s="74"/>
      <c r="H179" s="76"/>
      <c r="I179" s="77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8"/>
    </row>
    <row r="180" spans="2:88" ht="15.6" x14ac:dyDescent="0.3">
      <c r="B180" s="79"/>
      <c r="C180" s="80"/>
      <c r="D180" s="81"/>
      <c r="E180" s="81"/>
      <c r="F180" s="82"/>
      <c r="G180" s="80"/>
      <c r="H180" s="82"/>
      <c r="I180" s="83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/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82"/>
      <c r="BZ180" s="82"/>
      <c r="CA180" s="82"/>
      <c r="CB180" s="82"/>
      <c r="CC180" s="82"/>
      <c r="CD180" s="82"/>
      <c r="CE180" s="82"/>
      <c r="CF180" s="82"/>
      <c r="CG180" s="82"/>
      <c r="CH180" s="82"/>
      <c r="CI180" s="82"/>
      <c r="CJ180" s="84"/>
    </row>
    <row r="181" spans="2:88" ht="15.6" x14ac:dyDescent="0.3">
      <c r="B181" s="73"/>
      <c r="C181" s="74"/>
      <c r="D181" s="75"/>
      <c r="E181" s="75"/>
      <c r="F181" s="76"/>
      <c r="G181" s="74"/>
      <c r="H181" s="76"/>
      <c r="I181" s="77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8"/>
    </row>
    <row r="182" spans="2:88" ht="15.6" x14ac:dyDescent="0.3">
      <c r="B182" s="79"/>
      <c r="C182" s="80"/>
      <c r="D182" s="81"/>
      <c r="E182" s="81"/>
      <c r="F182" s="82"/>
      <c r="G182" s="80"/>
      <c r="H182" s="82"/>
      <c r="I182" s="83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  <c r="AX182" s="82"/>
      <c r="AY182" s="82"/>
      <c r="AZ182" s="82"/>
      <c r="BA182" s="82"/>
      <c r="BB182" s="82"/>
      <c r="BC182" s="82"/>
      <c r="BD182" s="82"/>
      <c r="BE182" s="82"/>
      <c r="BF182" s="82"/>
      <c r="BG182" s="82"/>
      <c r="BH182" s="82"/>
      <c r="BI182" s="82"/>
      <c r="BJ182" s="82"/>
      <c r="BK182" s="82"/>
      <c r="BL182" s="82"/>
      <c r="BM182" s="82"/>
      <c r="BN182" s="82"/>
      <c r="BO182" s="82"/>
      <c r="BP182" s="82"/>
      <c r="BQ182" s="82"/>
      <c r="BR182" s="82"/>
      <c r="BS182" s="82"/>
      <c r="BT182" s="82"/>
      <c r="BU182" s="82"/>
      <c r="BV182" s="82"/>
      <c r="BW182" s="82"/>
      <c r="BX182" s="82"/>
      <c r="BY182" s="82"/>
      <c r="BZ182" s="82"/>
      <c r="CA182" s="82"/>
      <c r="CB182" s="82"/>
      <c r="CC182" s="82"/>
      <c r="CD182" s="82"/>
      <c r="CE182" s="82"/>
      <c r="CF182" s="82"/>
      <c r="CG182" s="82"/>
      <c r="CH182" s="82"/>
      <c r="CI182" s="82"/>
      <c r="CJ182" s="84"/>
    </row>
    <row r="183" spans="2:88" ht="15.6" x14ac:dyDescent="0.3">
      <c r="B183" s="73"/>
      <c r="C183" s="74"/>
      <c r="D183" s="75"/>
      <c r="E183" s="75"/>
      <c r="F183" s="76"/>
      <c r="G183" s="74"/>
      <c r="H183" s="76"/>
      <c r="I183" s="77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8"/>
    </row>
    <row r="184" spans="2:88" ht="15.6" x14ac:dyDescent="0.3">
      <c r="B184" s="79"/>
      <c r="C184" s="80"/>
      <c r="D184" s="81"/>
      <c r="E184" s="81"/>
      <c r="F184" s="82"/>
      <c r="G184" s="80"/>
      <c r="H184" s="82"/>
      <c r="I184" s="83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82"/>
      <c r="BF184" s="82"/>
      <c r="BG184" s="82"/>
      <c r="BH184" s="82"/>
      <c r="BI184" s="82"/>
      <c r="BJ184" s="82"/>
      <c r="BK184" s="82"/>
      <c r="BL184" s="82"/>
      <c r="BM184" s="82"/>
      <c r="BN184" s="82"/>
      <c r="BO184" s="82"/>
      <c r="BP184" s="82"/>
      <c r="BQ184" s="82"/>
      <c r="BR184" s="82"/>
      <c r="BS184" s="82"/>
      <c r="BT184" s="82"/>
      <c r="BU184" s="82"/>
      <c r="BV184" s="82"/>
      <c r="BW184" s="82"/>
      <c r="BX184" s="82"/>
      <c r="BY184" s="82"/>
      <c r="BZ184" s="82"/>
      <c r="CA184" s="82"/>
      <c r="CB184" s="82"/>
      <c r="CC184" s="82"/>
      <c r="CD184" s="82"/>
      <c r="CE184" s="82"/>
      <c r="CF184" s="82"/>
      <c r="CG184" s="82"/>
      <c r="CH184" s="82"/>
      <c r="CI184" s="82"/>
      <c r="CJ184" s="84"/>
    </row>
    <row r="185" spans="2:88" ht="15.6" x14ac:dyDescent="0.3">
      <c r="B185" s="73"/>
      <c r="C185" s="74"/>
      <c r="D185" s="75"/>
      <c r="E185" s="75"/>
      <c r="F185" s="76"/>
      <c r="G185" s="74"/>
      <c r="H185" s="76"/>
      <c r="I185" s="77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8"/>
    </row>
    <row r="186" spans="2:88" ht="15.6" x14ac:dyDescent="0.3">
      <c r="B186" s="79"/>
      <c r="C186" s="80"/>
      <c r="D186" s="81"/>
      <c r="E186" s="81"/>
      <c r="F186" s="82"/>
      <c r="G186" s="80"/>
      <c r="H186" s="82"/>
      <c r="I186" s="83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  <c r="AX186" s="82"/>
      <c r="AY186" s="82"/>
      <c r="AZ186" s="82"/>
      <c r="BA186" s="82"/>
      <c r="BB186" s="82"/>
      <c r="BC186" s="82"/>
      <c r="BD186" s="82"/>
      <c r="BE186" s="82"/>
      <c r="BF186" s="82"/>
      <c r="BG186" s="82"/>
      <c r="BH186" s="82"/>
      <c r="BI186" s="82"/>
      <c r="BJ186" s="82"/>
      <c r="BK186" s="82"/>
      <c r="BL186" s="82"/>
      <c r="BM186" s="82"/>
      <c r="BN186" s="82"/>
      <c r="BO186" s="82"/>
      <c r="BP186" s="82"/>
      <c r="BQ186" s="82"/>
      <c r="BR186" s="82"/>
      <c r="BS186" s="82"/>
      <c r="BT186" s="82"/>
      <c r="BU186" s="82"/>
      <c r="BV186" s="82"/>
      <c r="BW186" s="82"/>
      <c r="BX186" s="82"/>
      <c r="BY186" s="82"/>
      <c r="BZ186" s="82"/>
      <c r="CA186" s="82"/>
      <c r="CB186" s="82"/>
      <c r="CC186" s="82"/>
      <c r="CD186" s="82"/>
      <c r="CE186" s="82"/>
      <c r="CF186" s="82"/>
      <c r="CG186" s="82"/>
      <c r="CH186" s="82"/>
      <c r="CI186" s="82"/>
      <c r="CJ186" s="84"/>
    </row>
    <row r="187" spans="2:88" ht="15.6" x14ac:dyDescent="0.3">
      <c r="B187" s="73"/>
      <c r="C187" s="74"/>
      <c r="D187" s="75"/>
      <c r="E187" s="75"/>
      <c r="F187" s="76"/>
      <c r="G187" s="74"/>
      <c r="H187" s="76"/>
      <c r="I187" s="77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8"/>
    </row>
    <row r="188" spans="2:88" ht="15.6" x14ac:dyDescent="0.3">
      <c r="B188" s="79"/>
      <c r="C188" s="80"/>
      <c r="D188" s="81"/>
      <c r="E188" s="81"/>
      <c r="F188" s="82"/>
      <c r="G188" s="80"/>
      <c r="H188" s="82"/>
      <c r="I188" s="83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82"/>
      <c r="AZ188" s="82"/>
      <c r="BA188" s="82"/>
      <c r="BB188" s="82"/>
      <c r="BC188" s="82"/>
      <c r="BD188" s="82"/>
      <c r="BE188" s="82"/>
      <c r="BF188" s="82"/>
      <c r="BG188" s="82"/>
      <c r="BH188" s="82"/>
      <c r="BI188" s="82"/>
      <c r="BJ188" s="82"/>
      <c r="BK188" s="82"/>
      <c r="BL188" s="82"/>
      <c r="BM188" s="82"/>
      <c r="BN188" s="82"/>
      <c r="BO188" s="82"/>
      <c r="BP188" s="82"/>
      <c r="BQ188" s="82"/>
      <c r="BR188" s="82"/>
      <c r="BS188" s="82"/>
      <c r="BT188" s="82"/>
      <c r="BU188" s="82"/>
      <c r="BV188" s="82"/>
      <c r="BW188" s="82"/>
      <c r="BX188" s="82"/>
      <c r="BY188" s="82"/>
      <c r="BZ188" s="82"/>
      <c r="CA188" s="82"/>
      <c r="CB188" s="82"/>
      <c r="CC188" s="82"/>
      <c r="CD188" s="82"/>
      <c r="CE188" s="82"/>
      <c r="CF188" s="82"/>
      <c r="CG188" s="82"/>
      <c r="CH188" s="82"/>
      <c r="CI188" s="82"/>
      <c r="CJ188" s="84"/>
    </row>
    <row r="189" spans="2:88" ht="15.6" x14ac:dyDescent="0.3">
      <c r="B189" s="73"/>
      <c r="C189" s="74"/>
      <c r="D189" s="75"/>
      <c r="E189" s="75"/>
      <c r="F189" s="76"/>
      <c r="G189" s="74"/>
      <c r="H189" s="76"/>
      <c r="I189" s="77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8"/>
    </row>
    <row r="190" spans="2:88" ht="15.6" x14ac:dyDescent="0.3">
      <c r="B190" s="79"/>
      <c r="C190" s="80"/>
      <c r="D190" s="81"/>
      <c r="E190" s="81"/>
      <c r="F190" s="82"/>
      <c r="G190" s="80"/>
      <c r="H190" s="82"/>
      <c r="I190" s="83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/>
      <c r="AG190" s="82"/>
      <c r="AH190" s="82"/>
      <c r="AI190" s="82"/>
      <c r="AJ190" s="82"/>
      <c r="AK190" s="82"/>
      <c r="AL190" s="82"/>
      <c r="AM190" s="82"/>
      <c r="AN190" s="82"/>
      <c r="AO190" s="82"/>
      <c r="AP190" s="82"/>
      <c r="AQ190" s="82"/>
      <c r="AR190" s="82"/>
      <c r="AS190" s="82"/>
      <c r="AT190" s="82"/>
      <c r="AU190" s="82"/>
      <c r="AV190" s="82"/>
      <c r="AW190" s="82"/>
      <c r="AX190" s="82"/>
      <c r="AY190" s="82"/>
      <c r="AZ190" s="82"/>
      <c r="BA190" s="82"/>
      <c r="BB190" s="82"/>
      <c r="BC190" s="82"/>
      <c r="BD190" s="82"/>
      <c r="BE190" s="82"/>
      <c r="BF190" s="82"/>
      <c r="BG190" s="82"/>
      <c r="BH190" s="82"/>
      <c r="BI190" s="82"/>
      <c r="BJ190" s="82"/>
      <c r="BK190" s="82"/>
      <c r="BL190" s="82"/>
      <c r="BM190" s="82"/>
      <c r="BN190" s="82"/>
      <c r="BO190" s="82"/>
      <c r="BP190" s="82"/>
      <c r="BQ190" s="82"/>
      <c r="BR190" s="82"/>
      <c r="BS190" s="82"/>
      <c r="BT190" s="82"/>
      <c r="BU190" s="82"/>
      <c r="BV190" s="82"/>
      <c r="BW190" s="82"/>
      <c r="BX190" s="82"/>
      <c r="BY190" s="82"/>
      <c r="BZ190" s="82"/>
      <c r="CA190" s="82"/>
      <c r="CB190" s="82"/>
      <c r="CC190" s="82"/>
      <c r="CD190" s="82"/>
      <c r="CE190" s="82"/>
      <c r="CF190" s="82"/>
      <c r="CG190" s="82"/>
      <c r="CH190" s="82"/>
      <c r="CI190" s="82"/>
      <c r="CJ190" s="84"/>
    </row>
    <row r="191" spans="2:88" ht="15.6" x14ac:dyDescent="0.3">
      <c r="B191" s="73"/>
      <c r="C191" s="74"/>
      <c r="D191" s="75"/>
      <c r="E191" s="75"/>
      <c r="F191" s="76"/>
      <c r="G191" s="74"/>
      <c r="H191" s="76"/>
      <c r="I191" s="77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8"/>
    </row>
    <row r="192" spans="2:88" ht="15.6" x14ac:dyDescent="0.3">
      <c r="B192" s="79"/>
      <c r="C192" s="80"/>
      <c r="D192" s="81"/>
      <c r="E192" s="81"/>
      <c r="F192" s="82"/>
      <c r="G192" s="80"/>
      <c r="H192" s="82"/>
      <c r="I192" s="83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  <c r="AK192" s="82"/>
      <c r="AL192" s="82"/>
      <c r="AM192" s="82"/>
      <c r="AN192" s="82"/>
      <c r="AO192" s="82"/>
      <c r="AP192" s="82"/>
      <c r="AQ192" s="82"/>
      <c r="AR192" s="82"/>
      <c r="AS192" s="82"/>
      <c r="AT192" s="82"/>
      <c r="AU192" s="82"/>
      <c r="AV192" s="82"/>
      <c r="AW192" s="82"/>
      <c r="AX192" s="82"/>
      <c r="AY192" s="82"/>
      <c r="AZ192" s="82"/>
      <c r="BA192" s="82"/>
      <c r="BB192" s="82"/>
      <c r="BC192" s="82"/>
      <c r="BD192" s="82"/>
      <c r="BE192" s="82"/>
      <c r="BF192" s="82"/>
      <c r="BG192" s="82"/>
      <c r="BH192" s="82"/>
      <c r="BI192" s="82"/>
      <c r="BJ192" s="82"/>
      <c r="BK192" s="82"/>
      <c r="BL192" s="82"/>
      <c r="BM192" s="82"/>
      <c r="BN192" s="82"/>
      <c r="BO192" s="82"/>
      <c r="BP192" s="82"/>
      <c r="BQ192" s="82"/>
      <c r="BR192" s="82"/>
      <c r="BS192" s="82"/>
      <c r="BT192" s="82"/>
      <c r="BU192" s="82"/>
      <c r="BV192" s="82"/>
      <c r="BW192" s="82"/>
      <c r="BX192" s="82"/>
      <c r="BY192" s="82"/>
      <c r="BZ192" s="82"/>
      <c r="CA192" s="82"/>
      <c r="CB192" s="82"/>
      <c r="CC192" s="82"/>
      <c r="CD192" s="82"/>
      <c r="CE192" s="82"/>
      <c r="CF192" s="82"/>
      <c r="CG192" s="82"/>
      <c r="CH192" s="82"/>
      <c r="CI192" s="82"/>
      <c r="CJ192" s="84"/>
    </row>
    <row r="193" spans="2:88" ht="15.6" x14ac:dyDescent="0.3">
      <c r="B193" s="73"/>
      <c r="C193" s="74"/>
      <c r="D193" s="75"/>
      <c r="E193" s="75"/>
      <c r="F193" s="76"/>
      <c r="G193" s="74"/>
      <c r="H193" s="76"/>
      <c r="I193" s="77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8"/>
    </row>
    <row r="194" spans="2:88" ht="15.6" x14ac:dyDescent="0.3">
      <c r="B194" s="79"/>
      <c r="C194" s="80"/>
      <c r="D194" s="81"/>
      <c r="E194" s="81"/>
      <c r="F194" s="82"/>
      <c r="G194" s="80"/>
      <c r="H194" s="82"/>
      <c r="I194" s="83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  <c r="AE194" s="82"/>
      <c r="AF194" s="82"/>
      <c r="AG194" s="82"/>
      <c r="AH194" s="82"/>
      <c r="AI194" s="82"/>
      <c r="AJ194" s="82"/>
      <c r="AK194" s="82"/>
      <c r="AL194" s="82"/>
      <c r="AM194" s="82"/>
      <c r="AN194" s="82"/>
      <c r="AO194" s="82"/>
      <c r="AP194" s="82"/>
      <c r="AQ194" s="82"/>
      <c r="AR194" s="82"/>
      <c r="AS194" s="82"/>
      <c r="AT194" s="82"/>
      <c r="AU194" s="82"/>
      <c r="AV194" s="82"/>
      <c r="AW194" s="82"/>
      <c r="AX194" s="82"/>
      <c r="AY194" s="82"/>
      <c r="AZ194" s="82"/>
      <c r="BA194" s="82"/>
      <c r="BB194" s="82"/>
      <c r="BC194" s="82"/>
      <c r="BD194" s="82"/>
      <c r="BE194" s="82"/>
      <c r="BF194" s="82"/>
      <c r="BG194" s="82"/>
      <c r="BH194" s="82"/>
      <c r="BI194" s="82"/>
      <c r="BJ194" s="82"/>
      <c r="BK194" s="82"/>
      <c r="BL194" s="82"/>
      <c r="BM194" s="82"/>
      <c r="BN194" s="82"/>
      <c r="BO194" s="82"/>
      <c r="BP194" s="82"/>
      <c r="BQ194" s="82"/>
      <c r="BR194" s="82"/>
      <c r="BS194" s="82"/>
      <c r="BT194" s="82"/>
      <c r="BU194" s="82"/>
      <c r="BV194" s="82"/>
      <c r="BW194" s="82"/>
      <c r="BX194" s="82"/>
      <c r="BY194" s="82"/>
      <c r="BZ194" s="82"/>
      <c r="CA194" s="82"/>
      <c r="CB194" s="82"/>
      <c r="CC194" s="82"/>
      <c r="CD194" s="82"/>
      <c r="CE194" s="82"/>
      <c r="CF194" s="82"/>
      <c r="CG194" s="82"/>
      <c r="CH194" s="82"/>
      <c r="CI194" s="82"/>
      <c r="CJ194" s="84"/>
    </row>
    <row r="195" spans="2:88" ht="15.6" x14ac:dyDescent="0.3">
      <c r="B195" s="73"/>
      <c r="C195" s="74"/>
      <c r="D195" s="75"/>
      <c r="E195" s="75"/>
      <c r="F195" s="76"/>
      <c r="G195" s="74"/>
      <c r="H195" s="76"/>
      <c r="I195" s="77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8"/>
    </row>
    <row r="196" spans="2:88" ht="15.6" x14ac:dyDescent="0.3">
      <c r="B196" s="79"/>
      <c r="C196" s="80"/>
      <c r="D196" s="81"/>
      <c r="E196" s="81"/>
      <c r="F196" s="82"/>
      <c r="G196" s="80"/>
      <c r="H196" s="82"/>
      <c r="I196" s="83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  <c r="AK196" s="82"/>
      <c r="AL196" s="82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82"/>
      <c r="BF196" s="82"/>
      <c r="BG196" s="82"/>
      <c r="BH196" s="82"/>
      <c r="BI196" s="82"/>
      <c r="BJ196" s="82"/>
      <c r="BK196" s="82"/>
      <c r="BL196" s="82"/>
      <c r="BM196" s="82"/>
      <c r="BN196" s="82"/>
      <c r="BO196" s="82"/>
      <c r="BP196" s="82"/>
      <c r="BQ196" s="82"/>
      <c r="BR196" s="82"/>
      <c r="BS196" s="82"/>
      <c r="BT196" s="82"/>
      <c r="BU196" s="82"/>
      <c r="BV196" s="82"/>
      <c r="BW196" s="82"/>
      <c r="BX196" s="82"/>
      <c r="BY196" s="82"/>
      <c r="BZ196" s="82"/>
      <c r="CA196" s="82"/>
      <c r="CB196" s="82"/>
      <c r="CC196" s="82"/>
      <c r="CD196" s="82"/>
      <c r="CE196" s="82"/>
      <c r="CF196" s="82"/>
      <c r="CG196" s="82"/>
      <c r="CH196" s="82"/>
      <c r="CI196" s="82"/>
      <c r="CJ196" s="84"/>
    </row>
    <row r="197" spans="2:88" ht="15.6" x14ac:dyDescent="0.3">
      <c r="B197" s="73"/>
      <c r="C197" s="74"/>
      <c r="D197" s="75"/>
      <c r="E197" s="75"/>
      <c r="F197" s="76"/>
      <c r="G197" s="74"/>
      <c r="H197" s="76"/>
      <c r="I197" s="77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8"/>
    </row>
    <row r="198" spans="2:88" ht="15.6" x14ac:dyDescent="0.3">
      <c r="B198" s="79"/>
      <c r="C198" s="80"/>
      <c r="D198" s="81"/>
      <c r="E198" s="81"/>
      <c r="F198" s="82"/>
      <c r="G198" s="80"/>
      <c r="H198" s="82"/>
      <c r="I198" s="83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  <c r="AF198" s="82"/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  <c r="BH198" s="82"/>
      <c r="BI198" s="82"/>
      <c r="BJ198" s="82"/>
      <c r="BK198" s="82"/>
      <c r="BL198" s="82"/>
      <c r="BM198" s="82"/>
      <c r="BN198" s="82"/>
      <c r="BO198" s="82"/>
      <c r="BP198" s="82"/>
      <c r="BQ198" s="82"/>
      <c r="BR198" s="82"/>
      <c r="BS198" s="82"/>
      <c r="BT198" s="82"/>
      <c r="BU198" s="82"/>
      <c r="BV198" s="82"/>
      <c r="BW198" s="82"/>
      <c r="BX198" s="82"/>
      <c r="BY198" s="82"/>
      <c r="BZ198" s="82"/>
      <c r="CA198" s="82"/>
      <c r="CB198" s="82"/>
      <c r="CC198" s="82"/>
      <c r="CD198" s="82"/>
      <c r="CE198" s="82"/>
      <c r="CF198" s="82"/>
      <c r="CG198" s="82"/>
      <c r="CH198" s="82"/>
      <c r="CI198" s="82"/>
      <c r="CJ198" s="84"/>
    </row>
    <row r="199" spans="2:88" ht="15.6" x14ac:dyDescent="0.3">
      <c r="B199" s="73"/>
      <c r="C199" s="74"/>
      <c r="D199" s="75"/>
      <c r="E199" s="75"/>
      <c r="F199" s="76"/>
      <c r="G199" s="74"/>
      <c r="H199" s="76"/>
      <c r="I199" s="77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8"/>
    </row>
    <row r="200" spans="2:88" ht="15.6" x14ac:dyDescent="0.3">
      <c r="B200" s="79"/>
      <c r="C200" s="80"/>
      <c r="D200" s="81"/>
      <c r="E200" s="81"/>
      <c r="F200" s="82"/>
      <c r="G200" s="80"/>
      <c r="H200" s="82"/>
      <c r="I200" s="83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  <c r="AX200" s="82"/>
      <c r="AY200" s="82"/>
      <c r="AZ200" s="82"/>
      <c r="BA200" s="82"/>
      <c r="BB200" s="82"/>
      <c r="BC200" s="82"/>
      <c r="BD200" s="82"/>
      <c r="BE200" s="82"/>
      <c r="BF200" s="82"/>
      <c r="BG200" s="82"/>
      <c r="BH200" s="82"/>
      <c r="BI200" s="82"/>
      <c r="BJ200" s="82"/>
      <c r="BK200" s="82"/>
      <c r="BL200" s="82"/>
      <c r="BM200" s="82"/>
      <c r="BN200" s="82"/>
      <c r="BO200" s="82"/>
      <c r="BP200" s="82"/>
      <c r="BQ200" s="82"/>
      <c r="BR200" s="82"/>
      <c r="BS200" s="82"/>
      <c r="BT200" s="82"/>
      <c r="BU200" s="82"/>
      <c r="BV200" s="82"/>
      <c r="BW200" s="82"/>
      <c r="BX200" s="82"/>
      <c r="BY200" s="82"/>
      <c r="BZ200" s="82"/>
      <c r="CA200" s="82"/>
      <c r="CB200" s="82"/>
      <c r="CC200" s="82"/>
      <c r="CD200" s="82"/>
      <c r="CE200" s="82"/>
      <c r="CF200" s="82"/>
      <c r="CG200" s="82"/>
      <c r="CH200" s="82"/>
      <c r="CI200" s="82"/>
      <c r="CJ200" s="84"/>
    </row>
    <row r="201" spans="2:88" ht="15.6" x14ac:dyDescent="0.3">
      <c r="B201" s="73"/>
      <c r="C201" s="74"/>
      <c r="D201" s="75"/>
      <c r="E201" s="75"/>
      <c r="F201" s="76"/>
      <c r="G201" s="74"/>
      <c r="H201" s="76"/>
      <c r="I201" s="77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76"/>
      <c r="CE201" s="76"/>
      <c r="CF201" s="76"/>
      <c r="CG201" s="76"/>
      <c r="CH201" s="76"/>
      <c r="CI201" s="76"/>
      <c r="CJ201" s="78"/>
    </row>
    <row r="202" spans="2:88" ht="15.6" x14ac:dyDescent="0.3">
      <c r="B202" s="79"/>
      <c r="C202" s="80"/>
      <c r="D202" s="81"/>
      <c r="E202" s="81"/>
      <c r="F202" s="82"/>
      <c r="G202" s="80"/>
      <c r="H202" s="82"/>
      <c r="I202" s="83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  <c r="BC202" s="82"/>
      <c r="BD202" s="82"/>
      <c r="BE202" s="82"/>
      <c r="BF202" s="82"/>
      <c r="BG202" s="82"/>
      <c r="BH202" s="82"/>
      <c r="BI202" s="82"/>
      <c r="BJ202" s="82"/>
      <c r="BK202" s="82"/>
      <c r="BL202" s="82"/>
      <c r="BM202" s="82"/>
      <c r="BN202" s="82"/>
      <c r="BO202" s="82"/>
      <c r="BP202" s="82"/>
      <c r="BQ202" s="82"/>
      <c r="BR202" s="82"/>
      <c r="BS202" s="82"/>
      <c r="BT202" s="82"/>
      <c r="BU202" s="82"/>
      <c r="BV202" s="82"/>
      <c r="BW202" s="82"/>
      <c r="BX202" s="82"/>
      <c r="BY202" s="82"/>
      <c r="BZ202" s="82"/>
      <c r="CA202" s="82"/>
      <c r="CB202" s="82"/>
      <c r="CC202" s="82"/>
      <c r="CD202" s="82"/>
      <c r="CE202" s="82"/>
      <c r="CF202" s="82"/>
      <c r="CG202" s="82"/>
      <c r="CH202" s="82"/>
      <c r="CI202" s="82"/>
      <c r="CJ202" s="84"/>
    </row>
    <row r="203" spans="2:88" ht="15.6" x14ac:dyDescent="0.3">
      <c r="B203" s="73"/>
      <c r="C203" s="74"/>
      <c r="D203" s="75"/>
      <c r="E203" s="75"/>
      <c r="F203" s="76"/>
      <c r="G203" s="74"/>
      <c r="H203" s="76"/>
      <c r="I203" s="77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6"/>
      <c r="BD203" s="76"/>
      <c r="BE203" s="76"/>
      <c r="BF203" s="76"/>
      <c r="BG203" s="76"/>
      <c r="BH203" s="76"/>
      <c r="BI203" s="76"/>
      <c r="BJ203" s="76"/>
      <c r="BK203" s="76"/>
      <c r="BL203" s="76"/>
      <c r="BM203" s="76"/>
      <c r="BN203" s="76"/>
      <c r="BO203" s="76"/>
      <c r="BP203" s="76"/>
      <c r="BQ203" s="76"/>
      <c r="BR203" s="76"/>
      <c r="BS203" s="76"/>
      <c r="BT203" s="76"/>
      <c r="BU203" s="76"/>
      <c r="BV203" s="76"/>
      <c r="BW203" s="76"/>
      <c r="BX203" s="76"/>
      <c r="BY203" s="76"/>
      <c r="BZ203" s="76"/>
      <c r="CA203" s="76"/>
      <c r="CB203" s="76"/>
      <c r="CC203" s="76"/>
      <c r="CD203" s="76"/>
      <c r="CE203" s="76"/>
      <c r="CF203" s="76"/>
      <c r="CG203" s="76"/>
      <c r="CH203" s="76"/>
      <c r="CI203" s="76"/>
      <c r="CJ203" s="78"/>
    </row>
    <row r="204" spans="2:88" ht="15.6" x14ac:dyDescent="0.3">
      <c r="B204" s="79"/>
      <c r="C204" s="80"/>
      <c r="D204" s="81"/>
      <c r="E204" s="81"/>
      <c r="F204" s="82"/>
      <c r="G204" s="80"/>
      <c r="H204" s="82"/>
      <c r="I204" s="83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  <c r="BC204" s="82"/>
      <c r="BD204" s="82"/>
      <c r="BE204" s="82"/>
      <c r="BF204" s="82"/>
      <c r="BG204" s="82"/>
      <c r="BH204" s="82"/>
      <c r="BI204" s="82"/>
      <c r="BJ204" s="82"/>
      <c r="BK204" s="82"/>
      <c r="BL204" s="82"/>
      <c r="BM204" s="82"/>
      <c r="BN204" s="82"/>
      <c r="BO204" s="82"/>
      <c r="BP204" s="82"/>
      <c r="BQ204" s="82"/>
      <c r="BR204" s="82"/>
      <c r="BS204" s="82"/>
      <c r="BT204" s="82"/>
      <c r="BU204" s="82"/>
      <c r="BV204" s="82"/>
      <c r="BW204" s="82"/>
      <c r="BX204" s="82"/>
      <c r="BY204" s="82"/>
      <c r="BZ204" s="82"/>
      <c r="CA204" s="82"/>
      <c r="CB204" s="82"/>
      <c r="CC204" s="82"/>
      <c r="CD204" s="82"/>
      <c r="CE204" s="82"/>
      <c r="CF204" s="82"/>
      <c r="CG204" s="82"/>
      <c r="CH204" s="82"/>
      <c r="CI204" s="82"/>
      <c r="CJ204" s="84"/>
    </row>
    <row r="205" spans="2:88" ht="15.6" x14ac:dyDescent="0.3">
      <c r="B205" s="73"/>
      <c r="C205" s="74"/>
      <c r="D205" s="75"/>
      <c r="E205" s="75"/>
      <c r="F205" s="76"/>
      <c r="G205" s="74"/>
      <c r="H205" s="76"/>
      <c r="I205" s="77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76"/>
      <c r="BD205" s="76"/>
      <c r="BE205" s="76"/>
      <c r="BF205" s="76"/>
      <c r="BG205" s="76"/>
      <c r="BH205" s="76"/>
      <c r="BI205" s="76"/>
      <c r="BJ205" s="76"/>
      <c r="BK205" s="76"/>
      <c r="BL205" s="76"/>
      <c r="BM205" s="76"/>
      <c r="BN205" s="76"/>
      <c r="BO205" s="76"/>
      <c r="BP205" s="76"/>
      <c r="BQ205" s="76"/>
      <c r="BR205" s="76"/>
      <c r="BS205" s="76"/>
      <c r="BT205" s="76"/>
      <c r="BU205" s="76"/>
      <c r="BV205" s="76"/>
      <c r="BW205" s="76"/>
      <c r="BX205" s="76"/>
      <c r="BY205" s="76"/>
      <c r="BZ205" s="76"/>
      <c r="CA205" s="76"/>
      <c r="CB205" s="76"/>
      <c r="CC205" s="76"/>
      <c r="CD205" s="76"/>
      <c r="CE205" s="76"/>
      <c r="CF205" s="76"/>
      <c r="CG205" s="76"/>
      <c r="CH205" s="76"/>
      <c r="CI205" s="76"/>
      <c r="CJ205" s="78"/>
    </row>
    <row r="206" spans="2:88" ht="15.6" x14ac:dyDescent="0.3">
      <c r="B206" s="79"/>
      <c r="C206" s="80"/>
      <c r="D206" s="81"/>
      <c r="E206" s="81"/>
      <c r="F206" s="82"/>
      <c r="G206" s="80"/>
      <c r="H206" s="82"/>
      <c r="I206" s="83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  <c r="AK206" s="82"/>
      <c r="AL206" s="82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82"/>
      <c r="BF206" s="82"/>
      <c r="BG206" s="82"/>
      <c r="BH206" s="82"/>
      <c r="BI206" s="82"/>
      <c r="BJ206" s="82"/>
      <c r="BK206" s="82"/>
      <c r="BL206" s="82"/>
      <c r="BM206" s="82"/>
      <c r="BN206" s="82"/>
      <c r="BO206" s="82"/>
      <c r="BP206" s="82"/>
      <c r="BQ206" s="82"/>
      <c r="BR206" s="82"/>
      <c r="BS206" s="82"/>
      <c r="BT206" s="82"/>
      <c r="BU206" s="82"/>
      <c r="BV206" s="82"/>
      <c r="BW206" s="82"/>
      <c r="BX206" s="82"/>
      <c r="BY206" s="82"/>
      <c r="BZ206" s="82"/>
      <c r="CA206" s="82"/>
      <c r="CB206" s="82"/>
      <c r="CC206" s="82"/>
      <c r="CD206" s="82"/>
      <c r="CE206" s="82"/>
      <c r="CF206" s="82"/>
      <c r="CG206" s="82"/>
      <c r="CH206" s="82"/>
      <c r="CI206" s="82"/>
      <c r="CJ206" s="84"/>
    </row>
    <row r="207" spans="2:88" ht="15.6" x14ac:dyDescent="0.3">
      <c r="B207" s="85"/>
      <c r="C207" s="86"/>
      <c r="D207" s="87"/>
      <c r="E207" s="87"/>
      <c r="F207" s="88"/>
      <c r="G207" s="86"/>
      <c r="H207" s="88"/>
      <c r="I207" s="89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  <c r="AA207" s="88"/>
      <c r="AB207" s="88"/>
      <c r="AC207" s="88"/>
      <c r="AD207" s="88"/>
      <c r="AE207" s="88"/>
      <c r="AF207" s="88"/>
      <c r="AG207" s="88"/>
      <c r="AH207" s="88"/>
      <c r="AI207" s="88"/>
      <c r="AJ207" s="88"/>
      <c r="AK207" s="88"/>
      <c r="AL207" s="88"/>
      <c r="AM207" s="88"/>
      <c r="AN207" s="88"/>
      <c r="AO207" s="88"/>
      <c r="AP207" s="88"/>
      <c r="AQ207" s="88"/>
      <c r="AR207" s="88"/>
      <c r="AS207" s="88"/>
      <c r="AT207" s="88"/>
      <c r="AU207" s="88"/>
      <c r="AV207" s="88"/>
      <c r="AW207" s="88"/>
      <c r="AX207" s="88"/>
      <c r="AY207" s="88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  <c r="BM207" s="88"/>
      <c r="BN207" s="88"/>
      <c r="BO207" s="88"/>
      <c r="BP207" s="88"/>
      <c r="BQ207" s="88"/>
      <c r="BR207" s="88"/>
      <c r="BS207" s="88"/>
      <c r="BT207" s="88"/>
      <c r="BU207" s="88"/>
      <c r="BV207" s="88"/>
      <c r="BW207" s="88"/>
      <c r="BX207" s="88"/>
      <c r="BY207" s="88"/>
      <c r="BZ207" s="88"/>
      <c r="CA207" s="88"/>
      <c r="CB207" s="88"/>
      <c r="CC207" s="88"/>
      <c r="CD207" s="88"/>
      <c r="CE207" s="88"/>
      <c r="CF207" s="88"/>
      <c r="CG207" s="88"/>
      <c r="CH207" s="88"/>
      <c r="CI207" s="88"/>
      <c r="CJ207" s="90"/>
    </row>
  </sheetData>
  <mergeCells count="3">
    <mergeCell ref="B7:C7"/>
    <mergeCell ref="B8:C8"/>
    <mergeCell ref="B9:C9"/>
  </mergeCells>
  <dataValidations count="2">
    <dataValidation type="list" allowBlank="1" showInputMessage="1" showErrorMessage="1" sqref="C4" xr:uid="{BD5E0632-C32B-49B6-AC4E-5050A53372F0}">
      <formula1>"Units,Thousands,Millions"</formula1>
    </dataValidation>
    <dataValidation type="list" allowBlank="1" showInputMessage="1" showErrorMessage="1" sqref="C5" xr:uid="{8BB1166A-CCBD-4818-ABDC-DAD721E7E2D5}">
      <formula1>"3M,12M,IN FISCAL YEAR"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0FB86-7D1E-4CF0-B486-2D715ECA6C5E}">
  <sheetPr codeName="Planilha5">
    <tabColor rgb="FFB1AE2D"/>
  </sheetPr>
  <dimension ref="B1:J1311"/>
  <sheetViews>
    <sheetView showGridLines="0" zoomScale="80" zoomScaleNormal="80" workbookViewId="0"/>
  </sheetViews>
  <sheetFormatPr defaultColWidth="9.21875" defaultRowHeight="14.4" x14ac:dyDescent="0.3"/>
  <cols>
    <col min="1" max="1" width="2.5546875" customWidth="1"/>
    <col min="2" max="5" width="23.77734375" customWidth="1"/>
  </cols>
  <sheetData>
    <row r="1" spans="2:10" s="6" customFormat="1" ht="60" customHeight="1" x14ac:dyDescent="0.3">
      <c r="D1" s="92" t="s">
        <v>435</v>
      </c>
      <c r="F1" s="93"/>
      <c r="G1" s="93"/>
      <c r="H1" s="93"/>
      <c r="I1" s="93"/>
      <c r="J1" s="93"/>
    </row>
    <row r="2" spans="2:10" ht="15.6" x14ac:dyDescent="0.3">
      <c r="B2" s="60" t="s">
        <v>299</v>
      </c>
      <c r="C2" s="94" t="str">
        <f>Lâmina!D6</f>
        <v>ALZR11</v>
      </c>
      <c r="D2" s="7"/>
      <c r="E2" s="10"/>
    </row>
    <row r="3" spans="2:10" ht="15.6" x14ac:dyDescent="0.3">
      <c r="B3" s="62" t="s">
        <v>300</v>
      </c>
      <c r="C3" s="95" t="str">
        <f>IF(Lâmina!K47="DESDE O INÍCIO",C5,Lâmina!K47)</f>
        <v>12M</v>
      </c>
      <c r="D3" s="7"/>
      <c r="E3" s="10"/>
    </row>
    <row r="4" spans="2:10" ht="15.6" x14ac:dyDescent="0.3">
      <c r="B4" s="62" t="s">
        <v>301</v>
      </c>
      <c r="C4" s="95">
        <f>Lâmina!K4</f>
        <v>45535</v>
      </c>
      <c r="D4" s="7"/>
      <c r="E4" s="10"/>
    </row>
    <row r="5" spans="2:10" ht="15.6" x14ac:dyDescent="0.3">
      <c r="B5" s="63" t="s">
        <v>302</v>
      </c>
      <c r="C5" s="96">
        <f>_xll.ECONOMATICA(C2,"Series Start Date")</f>
        <v>43103</v>
      </c>
      <c r="D5" s="7"/>
      <c r="E5" s="7"/>
    </row>
    <row r="6" spans="2:10" x14ac:dyDescent="0.3">
      <c r="B6" s="8"/>
      <c r="C6" s="7"/>
      <c r="D6" s="7"/>
      <c r="E6" s="7"/>
    </row>
    <row r="7" spans="2:10" ht="16.2" thickBot="1" x14ac:dyDescent="0.35">
      <c r="B7" s="105" t="s">
        <v>303</v>
      </c>
      <c r="C7" s="105"/>
      <c r="D7" s="105"/>
      <c r="E7" s="105"/>
    </row>
    <row r="8" spans="2:10" ht="16.8" thickTop="1" thickBot="1" x14ac:dyDescent="0.35">
      <c r="B8" s="97" t="s">
        <v>304</v>
      </c>
      <c r="C8" s="98" t="str">
        <f>Lâmina!D4</f>
        <v>FII Alianza</v>
      </c>
      <c r="D8" s="99" t="s">
        <v>305</v>
      </c>
      <c r="E8" s="106"/>
    </row>
    <row r="9" spans="2:10" ht="16.2" thickTop="1" x14ac:dyDescent="0.3">
      <c r="B9" s="100">
        <f>_xll.ECONOMATICA($C$2,"close",,C4,C3,"d",,,,"FALSE","Cotas",{"def.defdef=7"})</f>
        <v>45169</v>
      </c>
      <c r="C9" s="101">
        <v>100</v>
      </c>
      <c r="D9" s="101">
        <f>_xll.ECONOMATICA("IBOV","close",,C4,C3,"d",,,"false","FALSE","Cotas",{"def.defdef=7"})</f>
        <v>100</v>
      </c>
      <c r="E9" s="107"/>
    </row>
    <row r="10" spans="2:10" ht="15.6" x14ac:dyDescent="0.3">
      <c r="B10" s="102">
        <v>45170</v>
      </c>
      <c r="C10" s="103">
        <v>100.15416238</v>
      </c>
      <c r="D10" s="103">
        <v>101.85857643</v>
      </c>
      <c r="E10" s="108"/>
    </row>
    <row r="11" spans="2:10" ht="15.6" x14ac:dyDescent="0.3">
      <c r="B11" s="47">
        <v>45173</v>
      </c>
      <c r="C11" s="104">
        <v>100.29976019</v>
      </c>
      <c r="D11" s="104">
        <v>101.75805959</v>
      </c>
      <c r="E11" s="109"/>
    </row>
    <row r="12" spans="2:10" ht="15.6" x14ac:dyDescent="0.3">
      <c r="B12" s="102">
        <v>45174</v>
      </c>
      <c r="C12" s="103">
        <v>100.24837273</v>
      </c>
      <c r="D12" s="103">
        <v>101.37330667000001</v>
      </c>
      <c r="E12" s="108"/>
    </row>
    <row r="13" spans="2:10" ht="15.6" x14ac:dyDescent="0.3">
      <c r="B13" s="47">
        <v>45175</v>
      </c>
      <c r="C13" s="104">
        <v>100.0342583</v>
      </c>
      <c r="D13" s="104">
        <v>100.21040797000001</v>
      </c>
      <c r="E13" s="109"/>
    </row>
    <row r="14" spans="2:10" ht="15.6" x14ac:dyDescent="0.3">
      <c r="B14" s="102">
        <v>45176</v>
      </c>
      <c r="C14" s="103"/>
      <c r="D14" s="103"/>
      <c r="E14" s="108"/>
    </row>
    <row r="15" spans="2:10" ht="15.6" x14ac:dyDescent="0.3">
      <c r="B15" s="47">
        <v>45177</v>
      </c>
      <c r="C15" s="104">
        <v>100.09421034</v>
      </c>
      <c r="D15" s="104">
        <v>99.629857180000002</v>
      </c>
      <c r="E15" s="109"/>
    </row>
    <row r="16" spans="2:10" ht="15.6" x14ac:dyDescent="0.3">
      <c r="B16" s="102">
        <v>45180</v>
      </c>
      <c r="C16" s="103">
        <v>100.02569373</v>
      </c>
      <c r="D16" s="103">
        <v>100.98627279999999</v>
      </c>
      <c r="E16" s="108"/>
    </row>
    <row r="17" spans="2:5" ht="15.6" x14ac:dyDescent="0.3">
      <c r="B17" s="47">
        <v>45181</v>
      </c>
      <c r="C17" s="104">
        <v>100.11990407</v>
      </c>
      <c r="D17" s="104">
        <v>101.92351407</v>
      </c>
      <c r="E17" s="109"/>
    </row>
    <row r="18" spans="2:5" ht="15.6" x14ac:dyDescent="0.3">
      <c r="B18" s="102">
        <v>45182</v>
      </c>
      <c r="C18" s="103">
        <v>100.13703323</v>
      </c>
      <c r="D18" s="103">
        <v>102.10309481</v>
      </c>
      <c r="E18" s="108"/>
    </row>
    <row r="19" spans="2:5" ht="15.6" x14ac:dyDescent="0.3">
      <c r="B19" s="47">
        <v>45183</v>
      </c>
      <c r="C19" s="104">
        <v>100.09421034</v>
      </c>
      <c r="D19" s="104">
        <v>103.15334622</v>
      </c>
      <c r="E19" s="109"/>
    </row>
    <row r="20" spans="2:5" ht="15.6" x14ac:dyDescent="0.3">
      <c r="B20" s="102">
        <v>45184</v>
      </c>
      <c r="C20" s="103">
        <v>99.768756422999999</v>
      </c>
      <c r="D20" s="103">
        <v>102.605558</v>
      </c>
      <c r="E20" s="108"/>
    </row>
    <row r="21" spans="2:5" ht="15.6" x14ac:dyDescent="0.3">
      <c r="B21" s="47">
        <v>45187</v>
      </c>
      <c r="C21" s="104">
        <v>99.871531345999998</v>
      </c>
      <c r="D21" s="104">
        <v>102.20006927</v>
      </c>
      <c r="E21" s="109"/>
    </row>
    <row r="22" spans="2:5" ht="15.6" x14ac:dyDescent="0.3">
      <c r="B22" s="102">
        <v>45188</v>
      </c>
      <c r="C22" s="103">
        <v>99.884469749000004</v>
      </c>
      <c r="D22" s="103">
        <v>101.81781328</v>
      </c>
      <c r="E22" s="108"/>
    </row>
    <row r="23" spans="2:5" ht="15.6" x14ac:dyDescent="0.3">
      <c r="B23" s="47">
        <v>45189</v>
      </c>
      <c r="C23" s="104">
        <v>99.953474564000004</v>
      </c>
      <c r="D23" s="104">
        <v>102.55180906</v>
      </c>
      <c r="E23" s="109"/>
    </row>
    <row r="24" spans="2:5" ht="15.6" x14ac:dyDescent="0.3">
      <c r="B24" s="102">
        <v>45190</v>
      </c>
      <c r="C24" s="103">
        <v>100.00522817</v>
      </c>
      <c r="D24" s="103">
        <v>100.34839614000001</v>
      </c>
      <c r="E24" s="108"/>
    </row>
    <row r="25" spans="2:5" ht="15.6" x14ac:dyDescent="0.3">
      <c r="B25" s="47">
        <v>45191</v>
      </c>
      <c r="C25" s="104">
        <v>100.30712423999999</v>
      </c>
      <c r="D25" s="104">
        <v>100.23053899</v>
      </c>
      <c r="E25" s="109"/>
    </row>
    <row r="26" spans="2:5" ht="15.6" x14ac:dyDescent="0.3">
      <c r="B26" s="102">
        <v>45194</v>
      </c>
      <c r="C26" s="103">
        <v>100.05698178</v>
      </c>
      <c r="D26" s="103">
        <v>100.15793773999999</v>
      </c>
      <c r="E26" s="108"/>
    </row>
    <row r="27" spans="2:5" ht="15.6" x14ac:dyDescent="0.3">
      <c r="B27" s="47">
        <v>45195</v>
      </c>
      <c r="C27" s="104">
        <v>99.970725767999994</v>
      </c>
      <c r="D27" s="104">
        <v>98.662212038999996</v>
      </c>
      <c r="E27" s="109"/>
    </row>
    <row r="28" spans="2:5" ht="15.6" x14ac:dyDescent="0.3">
      <c r="B28" s="102">
        <v>45196</v>
      </c>
      <c r="C28" s="103">
        <v>99.625701692999996</v>
      </c>
      <c r="D28" s="103">
        <v>98.777658653000003</v>
      </c>
      <c r="E28" s="108"/>
    </row>
    <row r="29" spans="2:5" ht="15.6" x14ac:dyDescent="0.3">
      <c r="B29" s="47">
        <v>45197</v>
      </c>
      <c r="C29" s="104">
        <v>97.857453308000004</v>
      </c>
      <c r="D29" s="104">
        <v>99.990452887999993</v>
      </c>
      <c r="E29" s="109"/>
    </row>
    <row r="30" spans="2:5" ht="15.6" x14ac:dyDescent="0.3">
      <c r="B30" s="102">
        <v>45198</v>
      </c>
      <c r="C30" s="103">
        <v>100.73840432999999</v>
      </c>
      <c r="D30" s="103">
        <v>100.71137646</v>
      </c>
      <c r="E30" s="108"/>
    </row>
    <row r="31" spans="2:5" ht="15.6" x14ac:dyDescent="0.3">
      <c r="B31" s="47">
        <v>45201</v>
      </c>
      <c r="C31" s="104">
        <v>100.79015794</v>
      </c>
      <c r="D31" s="104">
        <v>99.408208666999997</v>
      </c>
      <c r="E31" s="109"/>
    </row>
    <row r="32" spans="2:5" ht="15.6" x14ac:dyDescent="0.3">
      <c r="B32" s="102">
        <v>45202</v>
      </c>
      <c r="C32" s="103">
        <v>100.35887785</v>
      </c>
      <c r="D32" s="103">
        <v>97.993145260000006</v>
      </c>
      <c r="E32" s="108"/>
    </row>
    <row r="33" spans="2:5" ht="15.6" x14ac:dyDescent="0.3">
      <c r="B33" s="47">
        <v>45203</v>
      </c>
      <c r="C33" s="104">
        <v>99.841341740000004</v>
      </c>
      <c r="D33" s="104">
        <v>98.155929995999998</v>
      </c>
      <c r="E33" s="109"/>
    </row>
    <row r="34" spans="2:5" ht="15.6" x14ac:dyDescent="0.3">
      <c r="B34" s="102">
        <v>45204</v>
      </c>
      <c r="C34" s="103">
        <v>100.03973058</v>
      </c>
      <c r="D34" s="103">
        <v>97.876540898000002</v>
      </c>
      <c r="E34" s="108"/>
    </row>
    <row r="35" spans="2:5" ht="15.6" x14ac:dyDescent="0.3">
      <c r="B35" s="47">
        <v>45205</v>
      </c>
      <c r="C35" s="104">
        <v>99.798213730000001</v>
      </c>
      <c r="D35" s="104">
        <v>98.641649029000007</v>
      </c>
      <c r="E35" s="109"/>
    </row>
    <row r="36" spans="2:5" ht="15.6" x14ac:dyDescent="0.3">
      <c r="B36" s="102">
        <v>45208</v>
      </c>
      <c r="C36" s="103">
        <v>100.46238507</v>
      </c>
      <c r="D36" s="103">
        <v>99.493925314999998</v>
      </c>
      <c r="E36" s="108"/>
    </row>
    <row r="37" spans="2:5" ht="15.6" x14ac:dyDescent="0.3">
      <c r="B37" s="47">
        <v>45209</v>
      </c>
      <c r="C37" s="104">
        <v>100.37612905</v>
      </c>
      <c r="D37" s="104">
        <v>100.85979301</v>
      </c>
      <c r="E37" s="109"/>
    </row>
    <row r="38" spans="2:5" ht="15.6" x14ac:dyDescent="0.3">
      <c r="B38" s="102">
        <v>45210</v>
      </c>
      <c r="C38" s="103">
        <v>100.02247937</v>
      </c>
      <c r="D38" s="103">
        <v>101.13090507</v>
      </c>
      <c r="E38" s="108"/>
    </row>
    <row r="39" spans="2:5" ht="15.6" x14ac:dyDescent="0.3">
      <c r="B39" s="47">
        <v>45211</v>
      </c>
      <c r="C39" s="104"/>
      <c r="D39" s="104"/>
      <c r="E39" s="109"/>
    </row>
    <row r="40" spans="2:5" ht="15.6" x14ac:dyDescent="0.3">
      <c r="B40" s="102">
        <v>45212</v>
      </c>
      <c r="C40" s="103">
        <v>99.987976971999998</v>
      </c>
      <c r="D40" s="103">
        <v>100.01060117999999</v>
      </c>
      <c r="E40" s="108"/>
    </row>
    <row r="41" spans="2:5" ht="15.6" x14ac:dyDescent="0.3">
      <c r="B41" s="47">
        <v>45215</v>
      </c>
      <c r="C41" s="104">
        <v>99.987976971999998</v>
      </c>
      <c r="D41" s="104">
        <v>100.68431622999999</v>
      </c>
      <c r="E41" s="109"/>
    </row>
    <row r="42" spans="2:5" ht="15.6" x14ac:dyDescent="0.3">
      <c r="B42" s="102">
        <v>45216</v>
      </c>
      <c r="C42" s="103">
        <v>99.875844146999995</v>
      </c>
      <c r="D42" s="103">
        <v>100.14395835000001</v>
      </c>
      <c r="E42" s="108"/>
    </row>
    <row r="43" spans="2:5" ht="15.6" x14ac:dyDescent="0.3">
      <c r="B43" s="47">
        <v>45217</v>
      </c>
      <c r="C43" s="104">
        <v>99.599824886999997</v>
      </c>
      <c r="D43" s="104">
        <v>98.546618546999994</v>
      </c>
      <c r="E43" s="109"/>
    </row>
    <row r="44" spans="2:5" ht="15.6" x14ac:dyDescent="0.3">
      <c r="B44" s="102">
        <v>45218</v>
      </c>
      <c r="C44" s="103">
        <v>100.03855236</v>
      </c>
      <c r="D44" s="103">
        <v>98.498805228999998</v>
      </c>
      <c r="E44" s="108"/>
    </row>
    <row r="45" spans="2:5" ht="15.6" x14ac:dyDescent="0.3">
      <c r="B45" s="47">
        <v>45219</v>
      </c>
      <c r="C45" s="104">
        <v>99.830048216999998</v>
      </c>
      <c r="D45" s="104">
        <v>97.765258724999995</v>
      </c>
      <c r="E45" s="109"/>
    </row>
    <row r="46" spans="2:5" ht="15.6" x14ac:dyDescent="0.3">
      <c r="B46" s="102">
        <v>45222</v>
      </c>
      <c r="C46" s="103">
        <v>99.413039921999996</v>
      </c>
      <c r="D46" s="103">
        <v>97.444925045000005</v>
      </c>
      <c r="E46" s="108"/>
    </row>
    <row r="47" spans="2:5" ht="15.6" x14ac:dyDescent="0.3">
      <c r="B47" s="47">
        <v>45223</v>
      </c>
      <c r="C47" s="104">
        <v>99.274037156999995</v>
      </c>
      <c r="D47" s="104">
        <v>98.289373562999998</v>
      </c>
      <c r="E47" s="109"/>
    </row>
    <row r="48" spans="2:5" ht="15.6" x14ac:dyDescent="0.3">
      <c r="B48" s="102">
        <v>45224</v>
      </c>
      <c r="C48" s="103">
        <v>99.395664576000001</v>
      </c>
      <c r="D48" s="103">
        <v>97.484193481999995</v>
      </c>
      <c r="E48" s="108"/>
    </row>
    <row r="49" spans="2:5" ht="15.6" x14ac:dyDescent="0.3">
      <c r="B49" s="47">
        <v>45225</v>
      </c>
      <c r="C49" s="104">
        <v>99.039469991000004</v>
      </c>
      <c r="D49" s="104">
        <v>99.166290902</v>
      </c>
      <c r="E49" s="109"/>
    </row>
    <row r="50" spans="2:5" ht="15.6" x14ac:dyDescent="0.3">
      <c r="B50" s="102">
        <v>45226</v>
      </c>
      <c r="C50" s="103">
        <v>98.909154899000001</v>
      </c>
      <c r="D50" s="103">
        <v>97.891462039999993</v>
      </c>
      <c r="E50" s="108"/>
    </row>
    <row r="51" spans="2:5" ht="15.6" x14ac:dyDescent="0.3">
      <c r="B51" s="47">
        <v>45229</v>
      </c>
      <c r="C51" s="104">
        <v>99.664982433000006</v>
      </c>
      <c r="D51" s="104">
        <v>97.226335063999997</v>
      </c>
      <c r="E51" s="109"/>
    </row>
    <row r="52" spans="2:5" ht="15.6" x14ac:dyDescent="0.3">
      <c r="B52" s="102">
        <v>45230</v>
      </c>
      <c r="C52" s="103">
        <v>99.586793377999996</v>
      </c>
      <c r="D52" s="103">
        <v>97.755227778000005</v>
      </c>
      <c r="E52" s="108"/>
    </row>
    <row r="53" spans="2:5" ht="15.6" x14ac:dyDescent="0.3">
      <c r="B53" s="47">
        <v>45231</v>
      </c>
      <c r="C53" s="104">
        <v>99.508604323</v>
      </c>
      <c r="D53" s="104">
        <v>99.404839097999997</v>
      </c>
      <c r="E53" s="109"/>
    </row>
    <row r="54" spans="2:5" ht="15.6" x14ac:dyDescent="0.3">
      <c r="B54" s="102">
        <v>45232</v>
      </c>
      <c r="C54" s="103"/>
      <c r="D54" s="103"/>
      <c r="E54" s="108"/>
    </row>
    <row r="55" spans="2:5" ht="15.6" x14ac:dyDescent="0.3">
      <c r="B55" s="47">
        <v>45233</v>
      </c>
      <c r="C55" s="104">
        <v>99.951675636000004</v>
      </c>
      <c r="D55" s="104">
        <v>102.08927093</v>
      </c>
      <c r="E55" s="109"/>
    </row>
    <row r="56" spans="2:5" ht="15.6" x14ac:dyDescent="0.3">
      <c r="B56" s="102">
        <v>45236</v>
      </c>
      <c r="C56" s="103">
        <v>99.647607088000001</v>
      </c>
      <c r="D56" s="103">
        <v>102.32365469</v>
      </c>
      <c r="E56" s="108"/>
    </row>
    <row r="57" spans="2:5" ht="15.6" x14ac:dyDescent="0.3">
      <c r="B57" s="47">
        <v>45237</v>
      </c>
      <c r="C57" s="104">
        <v>99.647607088000001</v>
      </c>
      <c r="D57" s="104">
        <v>103.04665185</v>
      </c>
      <c r="E57" s="109"/>
    </row>
    <row r="58" spans="2:5" ht="15.6" x14ac:dyDescent="0.3">
      <c r="B58" s="102">
        <v>45238</v>
      </c>
      <c r="C58" s="103">
        <v>99.647607088000001</v>
      </c>
      <c r="D58" s="103">
        <v>102.96769162</v>
      </c>
      <c r="E58" s="108"/>
    </row>
    <row r="59" spans="2:5" ht="15.6" x14ac:dyDescent="0.3">
      <c r="B59" s="47">
        <v>45239</v>
      </c>
      <c r="C59" s="104">
        <v>99.612856395999998</v>
      </c>
      <c r="D59" s="104">
        <v>102.84454684000001</v>
      </c>
      <c r="E59" s="109"/>
    </row>
    <row r="60" spans="2:5" ht="15.6" x14ac:dyDescent="0.3">
      <c r="B60" s="102">
        <v>45240</v>
      </c>
      <c r="C60" s="103">
        <v>99.421727594999993</v>
      </c>
      <c r="D60" s="103">
        <v>104.16991059</v>
      </c>
      <c r="E60" s="108"/>
    </row>
    <row r="61" spans="2:5" ht="15.6" x14ac:dyDescent="0.3">
      <c r="B61" s="47">
        <v>45243</v>
      </c>
      <c r="C61" s="104">
        <v>99.334850867</v>
      </c>
      <c r="D61" s="104">
        <v>104.03342576999999</v>
      </c>
      <c r="E61" s="109"/>
    </row>
    <row r="62" spans="2:5" ht="15.6" x14ac:dyDescent="0.3">
      <c r="B62" s="102">
        <v>45244</v>
      </c>
      <c r="C62" s="103">
        <v>99.413039921999996</v>
      </c>
      <c r="D62" s="103">
        <v>106.41423354</v>
      </c>
      <c r="E62" s="108"/>
    </row>
    <row r="63" spans="2:5" ht="15.6" x14ac:dyDescent="0.3">
      <c r="B63" s="47">
        <v>45245</v>
      </c>
      <c r="C63" s="104"/>
      <c r="D63" s="104"/>
      <c r="E63" s="109"/>
    </row>
    <row r="64" spans="2:5" ht="15.6" x14ac:dyDescent="0.3">
      <c r="B64" s="102">
        <v>45246</v>
      </c>
      <c r="C64" s="103">
        <v>99.517291995999997</v>
      </c>
      <c r="D64" s="103">
        <v>107.6873085</v>
      </c>
      <c r="E64" s="108"/>
    </row>
    <row r="65" spans="2:5" ht="15.6" x14ac:dyDescent="0.3">
      <c r="B65" s="47">
        <v>45247</v>
      </c>
      <c r="C65" s="104">
        <v>99.647607088000001</v>
      </c>
      <c r="D65" s="104">
        <v>107.80305751</v>
      </c>
      <c r="E65" s="109"/>
    </row>
    <row r="66" spans="2:5" ht="15.6" x14ac:dyDescent="0.3">
      <c r="B66" s="102">
        <v>45250</v>
      </c>
      <c r="C66" s="103">
        <v>99.940752627999998</v>
      </c>
      <c r="D66" s="103">
        <v>108.82589446</v>
      </c>
      <c r="E66" s="108"/>
    </row>
    <row r="67" spans="2:5" ht="15.6" x14ac:dyDescent="0.3">
      <c r="B67" s="47">
        <v>45251</v>
      </c>
      <c r="C67" s="104">
        <v>99.739488526000002</v>
      </c>
      <c r="D67" s="104">
        <v>108.53988717999999</v>
      </c>
      <c r="E67" s="109"/>
    </row>
    <row r="68" spans="2:5" ht="15.6" x14ac:dyDescent="0.3">
      <c r="B68" s="102">
        <v>45252</v>
      </c>
      <c r="C68" s="103">
        <v>99.643231780999997</v>
      </c>
      <c r="D68" s="103">
        <v>108.89349319</v>
      </c>
      <c r="E68" s="108"/>
    </row>
    <row r="69" spans="2:5" ht="15.6" x14ac:dyDescent="0.3">
      <c r="B69" s="47">
        <v>45253</v>
      </c>
      <c r="C69" s="104">
        <v>99.678234234000001</v>
      </c>
      <c r="D69" s="104">
        <v>109.36043768</v>
      </c>
      <c r="E69" s="109"/>
    </row>
    <row r="70" spans="2:5" ht="15.6" x14ac:dyDescent="0.3">
      <c r="B70" s="102">
        <v>45254</v>
      </c>
      <c r="C70" s="103">
        <v>99.748239139000006</v>
      </c>
      <c r="D70" s="103">
        <v>108.44591941</v>
      </c>
      <c r="E70" s="108"/>
    </row>
    <row r="71" spans="2:5" ht="15.6" x14ac:dyDescent="0.3">
      <c r="B71" s="47">
        <v>45257</v>
      </c>
      <c r="C71" s="104">
        <v>99.573226876000007</v>
      </c>
      <c r="D71" s="104">
        <v>108.63096922</v>
      </c>
      <c r="E71" s="109"/>
    </row>
    <row r="72" spans="2:5" ht="15.6" x14ac:dyDescent="0.3">
      <c r="B72" s="102">
        <v>45258</v>
      </c>
      <c r="C72" s="103">
        <v>99.100693766999996</v>
      </c>
      <c r="D72" s="103">
        <v>109.32809846000001</v>
      </c>
      <c r="E72" s="108"/>
    </row>
    <row r="73" spans="2:5" ht="15.6" x14ac:dyDescent="0.3">
      <c r="B73" s="47">
        <v>45259</v>
      </c>
      <c r="C73" s="104">
        <v>99.135696218999996</v>
      </c>
      <c r="D73" s="104">
        <v>109.00610591</v>
      </c>
      <c r="E73" s="109"/>
    </row>
    <row r="74" spans="2:5" ht="15.6" x14ac:dyDescent="0.3">
      <c r="B74" s="102">
        <v>45260</v>
      </c>
      <c r="C74" s="103">
        <v>100.01075753000001</v>
      </c>
      <c r="D74" s="103">
        <v>110.01307133</v>
      </c>
      <c r="E74" s="108"/>
    </row>
    <row r="75" spans="2:5" ht="15.6" x14ac:dyDescent="0.3">
      <c r="B75" s="47">
        <v>45261</v>
      </c>
      <c r="C75" s="104">
        <v>100.54454493</v>
      </c>
      <c r="D75" s="104">
        <v>110.75073908</v>
      </c>
      <c r="E75" s="109"/>
    </row>
    <row r="76" spans="2:5" ht="15.6" x14ac:dyDescent="0.3">
      <c r="B76" s="102">
        <v>45264</v>
      </c>
      <c r="C76" s="103">
        <v>99.765740364999999</v>
      </c>
      <c r="D76" s="103">
        <v>109.55659842999999</v>
      </c>
      <c r="E76" s="108"/>
    </row>
    <row r="77" spans="2:5" ht="15.6" x14ac:dyDescent="0.3">
      <c r="B77" s="47">
        <v>45265</v>
      </c>
      <c r="C77" s="104">
        <v>100.26452531</v>
      </c>
      <c r="D77" s="104">
        <v>109.64339507</v>
      </c>
      <c r="E77" s="109"/>
    </row>
    <row r="78" spans="2:5" ht="15.6" x14ac:dyDescent="0.3">
      <c r="B78" s="102">
        <v>45266</v>
      </c>
      <c r="C78" s="103">
        <v>100.61454983</v>
      </c>
      <c r="D78" s="103">
        <v>108.53696689</v>
      </c>
      <c r="E78" s="108"/>
    </row>
    <row r="79" spans="2:5" ht="15.6" x14ac:dyDescent="0.3">
      <c r="B79" s="47">
        <v>45267</v>
      </c>
      <c r="C79" s="104">
        <v>100.85081639000001</v>
      </c>
      <c r="D79" s="104">
        <v>108.87126268</v>
      </c>
      <c r="E79" s="109"/>
    </row>
    <row r="80" spans="2:5" ht="15.6" x14ac:dyDescent="0.3">
      <c r="B80" s="102">
        <v>45268</v>
      </c>
      <c r="C80" s="103">
        <v>100.92957191000001</v>
      </c>
      <c r="D80" s="103">
        <v>109.80783003000001</v>
      </c>
      <c r="E80" s="108"/>
    </row>
    <row r="81" spans="2:5" ht="15.6" x14ac:dyDescent="0.3">
      <c r="B81" s="47">
        <v>45271</v>
      </c>
      <c r="C81" s="104">
        <v>101.28834705</v>
      </c>
      <c r="D81" s="104">
        <v>109.6547652</v>
      </c>
      <c r="E81" s="109"/>
    </row>
    <row r="82" spans="2:5" ht="15.6" x14ac:dyDescent="0.3">
      <c r="B82" s="102">
        <v>45272</v>
      </c>
      <c r="C82" s="103">
        <v>101.43710747</v>
      </c>
      <c r="D82" s="103">
        <v>109.21120897999999</v>
      </c>
      <c r="E82" s="108"/>
    </row>
    <row r="83" spans="2:5" ht="15.6" x14ac:dyDescent="0.3">
      <c r="B83" s="47">
        <v>45273</v>
      </c>
      <c r="C83" s="104">
        <v>101.47210991999999</v>
      </c>
      <c r="D83" s="104">
        <v>111.85679574</v>
      </c>
      <c r="E83" s="109"/>
    </row>
    <row r="84" spans="2:5" ht="15.6" x14ac:dyDescent="0.3">
      <c r="B84" s="102">
        <v>45274</v>
      </c>
      <c r="C84" s="103">
        <v>101.94464302999999</v>
      </c>
      <c r="D84" s="103">
        <v>113.04652139</v>
      </c>
      <c r="E84" s="108"/>
    </row>
    <row r="85" spans="2:5" ht="15.6" x14ac:dyDescent="0.3">
      <c r="B85" s="47">
        <v>45275</v>
      </c>
      <c r="C85" s="104">
        <v>102.73219821000001</v>
      </c>
      <c r="D85" s="104">
        <v>112.48925517000001</v>
      </c>
      <c r="E85" s="109"/>
    </row>
    <row r="86" spans="2:5" ht="15.6" x14ac:dyDescent="0.3">
      <c r="B86" s="102">
        <v>45278</v>
      </c>
      <c r="C86" s="103">
        <v>102.64847906999999</v>
      </c>
      <c r="D86" s="103">
        <v>113.25537418</v>
      </c>
      <c r="E86" s="108"/>
    </row>
    <row r="87" spans="2:5" ht="15.6" x14ac:dyDescent="0.3">
      <c r="B87" s="47">
        <v>45279</v>
      </c>
      <c r="C87" s="104">
        <v>102.48985333</v>
      </c>
      <c r="D87" s="104">
        <v>113.91812517</v>
      </c>
      <c r="E87" s="109"/>
    </row>
    <row r="88" spans="2:5" ht="15.6" x14ac:dyDescent="0.3">
      <c r="B88" s="102">
        <v>45280</v>
      </c>
      <c r="C88" s="103">
        <v>102.40172792</v>
      </c>
      <c r="D88" s="103">
        <v>113.01375881</v>
      </c>
      <c r="E88" s="108"/>
    </row>
    <row r="89" spans="2:5" ht="15.6" x14ac:dyDescent="0.3">
      <c r="B89" s="47">
        <v>45281</v>
      </c>
      <c r="C89" s="104">
        <v>102.78947973</v>
      </c>
      <c r="D89" s="104">
        <v>114.20420157</v>
      </c>
      <c r="E89" s="109"/>
    </row>
    <row r="90" spans="2:5" ht="15.6" x14ac:dyDescent="0.3">
      <c r="B90" s="102">
        <v>45282</v>
      </c>
      <c r="C90" s="103">
        <v>103.71479655</v>
      </c>
      <c r="D90" s="103">
        <v>114.69747189</v>
      </c>
      <c r="E90" s="108"/>
    </row>
    <row r="91" spans="2:5" ht="15.6" x14ac:dyDescent="0.3">
      <c r="B91" s="47">
        <v>45285</v>
      </c>
      <c r="C91" s="104"/>
      <c r="D91" s="104"/>
      <c r="E91" s="109"/>
    </row>
    <row r="92" spans="2:5" ht="15.6" x14ac:dyDescent="0.3">
      <c r="B92" s="102">
        <v>45286</v>
      </c>
      <c r="C92" s="103">
        <v>103.59142097</v>
      </c>
      <c r="D92" s="103">
        <v>115.37137703</v>
      </c>
      <c r="E92" s="108"/>
    </row>
    <row r="93" spans="2:5" ht="15.6" x14ac:dyDescent="0.3">
      <c r="B93" s="47">
        <v>45287</v>
      </c>
      <c r="C93" s="104">
        <v>102.50747841</v>
      </c>
      <c r="D93" s="104">
        <v>115.94230295</v>
      </c>
      <c r="E93" s="109"/>
    </row>
    <row r="94" spans="2:5" ht="15.6" x14ac:dyDescent="0.3">
      <c r="B94" s="102">
        <v>45288</v>
      </c>
      <c r="C94" s="103">
        <v>103.67073384</v>
      </c>
      <c r="D94" s="103">
        <v>115.9349763</v>
      </c>
      <c r="E94" s="108"/>
    </row>
    <row r="95" spans="2:5" ht="15.6" x14ac:dyDescent="0.3">
      <c r="B95" s="47">
        <v>45289</v>
      </c>
      <c r="C95" s="104"/>
      <c r="D95" s="104"/>
      <c r="E95" s="109"/>
    </row>
    <row r="96" spans="2:5" ht="15.6" x14ac:dyDescent="0.3">
      <c r="B96" s="102">
        <v>45292</v>
      </c>
      <c r="C96" s="103"/>
      <c r="D96" s="103"/>
      <c r="E96" s="108"/>
    </row>
    <row r="97" spans="2:5" ht="15.6" x14ac:dyDescent="0.3">
      <c r="B97" s="47">
        <v>45293</v>
      </c>
      <c r="C97" s="104">
        <v>103.98798532000001</v>
      </c>
      <c r="D97" s="104">
        <v>114.64882914</v>
      </c>
      <c r="E97" s="109"/>
    </row>
    <row r="98" spans="2:5" ht="15.6" x14ac:dyDescent="0.3">
      <c r="B98" s="102">
        <v>45294</v>
      </c>
      <c r="C98" s="103">
        <v>105.00142755</v>
      </c>
      <c r="D98" s="103">
        <v>114.76747253000001</v>
      </c>
      <c r="E98" s="108"/>
    </row>
    <row r="99" spans="2:5" ht="15.6" x14ac:dyDescent="0.3">
      <c r="B99" s="47">
        <v>45295</v>
      </c>
      <c r="C99" s="104">
        <v>105.46849223</v>
      </c>
      <c r="D99" s="104">
        <v>113.3781388</v>
      </c>
      <c r="E99" s="109"/>
    </row>
    <row r="100" spans="2:5" ht="15.6" x14ac:dyDescent="0.3">
      <c r="B100" s="102">
        <v>45296</v>
      </c>
      <c r="C100" s="103">
        <v>105.34511666</v>
      </c>
      <c r="D100" s="103">
        <v>114.06674907999999</v>
      </c>
      <c r="E100" s="108"/>
    </row>
    <row r="101" spans="2:5" ht="15.6" x14ac:dyDescent="0.3">
      <c r="B101" s="47">
        <v>45299</v>
      </c>
      <c r="C101" s="104">
        <v>105.34511666</v>
      </c>
      <c r="D101" s="104">
        <v>114.41547353999999</v>
      </c>
      <c r="E101" s="109"/>
    </row>
    <row r="102" spans="2:5" ht="15.6" x14ac:dyDescent="0.3">
      <c r="B102" s="102">
        <v>45300</v>
      </c>
      <c r="C102" s="103">
        <v>105.25699125</v>
      </c>
      <c r="D102" s="103">
        <v>113.56880456</v>
      </c>
      <c r="E102" s="108"/>
    </row>
    <row r="103" spans="2:5" ht="15.6" x14ac:dyDescent="0.3">
      <c r="B103" s="47">
        <v>45301</v>
      </c>
      <c r="C103" s="104">
        <v>105.57424272999999</v>
      </c>
      <c r="D103" s="104">
        <v>113.04565739</v>
      </c>
      <c r="E103" s="109"/>
    </row>
    <row r="104" spans="2:5" ht="15.6" x14ac:dyDescent="0.3">
      <c r="B104" s="102">
        <v>45302</v>
      </c>
      <c r="C104" s="103">
        <v>105.54780510000001</v>
      </c>
      <c r="D104" s="103">
        <v>112.87947717</v>
      </c>
      <c r="E104" s="108"/>
    </row>
    <row r="105" spans="2:5" ht="15.6" x14ac:dyDescent="0.3">
      <c r="B105" s="47">
        <v>45303</v>
      </c>
      <c r="C105" s="104">
        <v>105.57424272999999</v>
      </c>
      <c r="D105" s="104">
        <v>113.17230134</v>
      </c>
      <c r="E105" s="109"/>
    </row>
    <row r="106" spans="2:5" ht="15.6" x14ac:dyDescent="0.3">
      <c r="B106" s="102">
        <v>45306</v>
      </c>
      <c r="C106" s="103">
        <v>105.53018002</v>
      </c>
      <c r="D106" s="103">
        <v>113.63301645</v>
      </c>
      <c r="E106" s="108"/>
    </row>
    <row r="107" spans="2:5" ht="15.6" x14ac:dyDescent="0.3">
      <c r="B107" s="47">
        <v>45307</v>
      </c>
      <c r="C107" s="104">
        <v>105.38036682000001</v>
      </c>
      <c r="D107" s="104">
        <v>111.70901854</v>
      </c>
      <c r="E107" s="109"/>
    </row>
    <row r="108" spans="2:5" ht="15.6" x14ac:dyDescent="0.3">
      <c r="B108" s="102">
        <v>45308</v>
      </c>
      <c r="C108" s="103">
        <v>105.30986649</v>
      </c>
      <c r="D108" s="103">
        <v>111.04356325000001</v>
      </c>
      <c r="E108" s="108"/>
    </row>
    <row r="109" spans="2:5" ht="15.6" x14ac:dyDescent="0.3">
      <c r="B109" s="47">
        <v>45309</v>
      </c>
      <c r="C109" s="104">
        <v>105.04549025999999</v>
      </c>
      <c r="D109" s="104">
        <v>109.99978313</v>
      </c>
      <c r="E109" s="109"/>
    </row>
    <row r="110" spans="2:5" ht="15.6" x14ac:dyDescent="0.3">
      <c r="B110" s="102">
        <v>45310</v>
      </c>
      <c r="C110" s="103">
        <v>103.92546141</v>
      </c>
      <c r="D110" s="103">
        <v>110.27618282</v>
      </c>
      <c r="E110" s="108"/>
    </row>
    <row r="111" spans="2:5" ht="15.6" x14ac:dyDescent="0.3">
      <c r="B111" s="47">
        <v>45313</v>
      </c>
      <c r="C111" s="104">
        <v>104.39567223</v>
      </c>
      <c r="D111" s="104">
        <v>109.38272867000001</v>
      </c>
      <c r="E111" s="109"/>
    </row>
    <row r="112" spans="2:5" ht="15.6" x14ac:dyDescent="0.3">
      <c r="B112" s="102">
        <v>45314</v>
      </c>
      <c r="C112" s="103">
        <v>104.50213505000001</v>
      </c>
      <c r="D112" s="103">
        <v>110.81779349999999</v>
      </c>
      <c r="E112" s="108"/>
    </row>
    <row r="113" spans="2:5" ht="15.6" x14ac:dyDescent="0.3">
      <c r="B113" s="47">
        <v>45315</v>
      </c>
      <c r="C113" s="104">
        <v>104.42228793</v>
      </c>
      <c r="D113" s="104">
        <v>110.43174458</v>
      </c>
      <c r="E113" s="109"/>
    </row>
    <row r="114" spans="2:5" ht="15.6" x14ac:dyDescent="0.3">
      <c r="B114" s="102">
        <v>45316</v>
      </c>
      <c r="C114" s="103">
        <v>104.40454413</v>
      </c>
      <c r="D114" s="103">
        <v>110.73675969</v>
      </c>
      <c r="E114" s="108"/>
    </row>
    <row r="115" spans="2:5" ht="15.6" x14ac:dyDescent="0.3">
      <c r="B115" s="47">
        <v>45317</v>
      </c>
      <c r="C115" s="104">
        <v>104.688445</v>
      </c>
      <c r="D115" s="104">
        <v>111.42673507000001</v>
      </c>
      <c r="E115" s="109"/>
    </row>
    <row r="116" spans="2:5" ht="15.6" x14ac:dyDescent="0.3">
      <c r="B116" s="102">
        <v>45320</v>
      </c>
      <c r="C116" s="103">
        <v>104.42228793</v>
      </c>
      <c r="D116" s="103">
        <v>111.02527254</v>
      </c>
      <c r="E116" s="108"/>
    </row>
    <row r="117" spans="2:5" ht="15.6" x14ac:dyDescent="0.3">
      <c r="B117" s="47">
        <v>45321</v>
      </c>
      <c r="C117" s="104">
        <v>104.32469700999999</v>
      </c>
      <c r="D117" s="104">
        <v>110.07414693</v>
      </c>
      <c r="E117" s="109"/>
    </row>
    <row r="118" spans="2:5" ht="15.6" x14ac:dyDescent="0.3">
      <c r="B118" s="102">
        <v>45322</v>
      </c>
      <c r="C118" s="103">
        <v>102.29303142000001</v>
      </c>
      <c r="D118" s="103">
        <v>110.37695021</v>
      </c>
      <c r="E118" s="108"/>
    </row>
    <row r="119" spans="2:5" ht="15.6" x14ac:dyDescent="0.3">
      <c r="B119" s="47">
        <v>45323</v>
      </c>
      <c r="C119" s="104">
        <v>102.51482898</v>
      </c>
      <c r="D119" s="104">
        <v>111.00657575</v>
      </c>
      <c r="E119" s="109"/>
    </row>
    <row r="120" spans="2:5" ht="15.6" x14ac:dyDescent="0.3">
      <c r="B120" s="102">
        <v>45324</v>
      </c>
      <c r="C120" s="103">
        <v>103.14473403</v>
      </c>
      <c r="D120" s="103">
        <v>109.88444884</v>
      </c>
      <c r="E120" s="108"/>
    </row>
    <row r="121" spans="2:5" ht="15.6" x14ac:dyDescent="0.3">
      <c r="B121" s="47">
        <v>45327</v>
      </c>
      <c r="C121" s="104">
        <v>103.79238288000001</v>
      </c>
      <c r="D121" s="104">
        <v>110.23975692</v>
      </c>
      <c r="E121" s="109"/>
    </row>
    <row r="122" spans="2:5" ht="15.6" x14ac:dyDescent="0.3">
      <c r="B122" s="102">
        <v>45328</v>
      </c>
      <c r="C122" s="103">
        <v>104.51100695</v>
      </c>
      <c r="D122" s="103">
        <v>112.67865087</v>
      </c>
      <c r="E122" s="108"/>
    </row>
    <row r="123" spans="2:5" ht="15.6" x14ac:dyDescent="0.3">
      <c r="B123" s="47">
        <v>45329</v>
      </c>
      <c r="C123" s="104">
        <v>104.57311027</v>
      </c>
      <c r="D123" s="104">
        <v>112.27567635</v>
      </c>
      <c r="E123" s="109"/>
    </row>
    <row r="124" spans="2:5" ht="15.6" x14ac:dyDescent="0.3">
      <c r="B124" s="102">
        <v>45330</v>
      </c>
      <c r="C124" s="103">
        <v>104.77716402</v>
      </c>
      <c r="D124" s="103">
        <v>110.77839546</v>
      </c>
      <c r="E124" s="108"/>
    </row>
    <row r="125" spans="2:5" ht="15.6" x14ac:dyDescent="0.3">
      <c r="B125" s="47">
        <v>45331</v>
      </c>
      <c r="C125" s="104">
        <v>105.10542439</v>
      </c>
      <c r="D125" s="104">
        <v>110.61318291000001</v>
      </c>
      <c r="E125" s="109"/>
    </row>
    <row r="126" spans="2:5" ht="15.6" x14ac:dyDescent="0.3">
      <c r="B126" s="102">
        <v>45334</v>
      </c>
      <c r="C126" s="103"/>
      <c r="D126" s="103"/>
      <c r="E126" s="108"/>
    </row>
    <row r="127" spans="2:5" ht="15.6" x14ac:dyDescent="0.3">
      <c r="B127" s="47">
        <v>45335</v>
      </c>
      <c r="C127" s="104"/>
      <c r="D127" s="104"/>
      <c r="E127" s="109"/>
    </row>
    <row r="128" spans="2:5" ht="15.6" x14ac:dyDescent="0.3">
      <c r="B128" s="102">
        <v>45336</v>
      </c>
      <c r="C128" s="103">
        <v>104.67957309000001</v>
      </c>
      <c r="D128" s="103">
        <v>109.74278871</v>
      </c>
      <c r="E128" s="108"/>
    </row>
    <row r="129" spans="2:5" ht="15.6" x14ac:dyDescent="0.3">
      <c r="B129" s="47">
        <v>45337</v>
      </c>
      <c r="C129" s="104">
        <v>104.15613087</v>
      </c>
      <c r="D129" s="104">
        <v>110.4217482</v>
      </c>
      <c r="E129" s="109"/>
    </row>
    <row r="130" spans="2:5" ht="15.6" x14ac:dyDescent="0.3">
      <c r="B130" s="102">
        <v>45338</v>
      </c>
      <c r="C130" s="103">
        <v>105.09655248999999</v>
      </c>
      <c r="D130" s="103">
        <v>111.21813284</v>
      </c>
      <c r="E130" s="108"/>
    </row>
    <row r="131" spans="2:5" ht="15.6" x14ac:dyDescent="0.3">
      <c r="B131" s="47">
        <v>45341</v>
      </c>
      <c r="C131" s="104">
        <v>104.77281521</v>
      </c>
      <c r="D131" s="104">
        <v>111.48584940000001</v>
      </c>
      <c r="E131" s="109"/>
    </row>
    <row r="132" spans="2:5" ht="15.6" x14ac:dyDescent="0.3">
      <c r="B132" s="102">
        <v>45342</v>
      </c>
      <c r="C132" s="103">
        <v>104.59417444</v>
      </c>
      <c r="D132" s="103">
        <v>112.24648206000001</v>
      </c>
      <c r="E132" s="108"/>
    </row>
    <row r="133" spans="2:5" ht="15.6" x14ac:dyDescent="0.3">
      <c r="B133" s="47">
        <v>45343</v>
      </c>
      <c r="C133" s="104">
        <v>104.7460191</v>
      </c>
      <c r="D133" s="104">
        <v>112.34624722</v>
      </c>
      <c r="E133" s="109"/>
    </row>
    <row r="134" spans="2:5" ht="15.6" x14ac:dyDescent="0.3">
      <c r="B134" s="102">
        <v>45344</v>
      </c>
      <c r="C134" s="103">
        <v>104.68349482000001</v>
      </c>
      <c r="D134" s="103">
        <v>112.52679563</v>
      </c>
      <c r="E134" s="108"/>
    </row>
    <row r="135" spans="2:5" ht="15.6" x14ac:dyDescent="0.3">
      <c r="B135" s="47">
        <v>45345</v>
      </c>
      <c r="C135" s="104">
        <v>105.3444657</v>
      </c>
      <c r="D135" s="104">
        <v>111.81674971</v>
      </c>
      <c r="E135" s="109"/>
    </row>
    <row r="136" spans="2:5" ht="15.6" x14ac:dyDescent="0.3">
      <c r="B136" s="102">
        <v>45348</v>
      </c>
      <c r="C136" s="103">
        <v>104.63883463000001</v>
      </c>
      <c r="D136" s="103">
        <v>111.98118467</v>
      </c>
      <c r="E136" s="108"/>
    </row>
    <row r="137" spans="2:5" ht="15.6" x14ac:dyDescent="0.3">
      <c r="B137" s="47">
        <v>45349</v>
      </c>
      <c r="C137" s="104">
        <v>104.61203851</v>
      </c>
      <c r="D137" s="104">
        <v>113.77856454</v>
      </c>
      <c r="E137" s="109"/>
    </row>
    <row r="138" spans="2:5" ht="15.6" x14ac:dyDescent="0.3">
      <c r="B138" s="102">
        <v>45350</v>
      </c>
      <c r="C138" s="103">
        <v>104.68349482000001</v>
      </c>
      <c r="D138" s="103">
        <v>112.45325262999999</v>
      </c>
      <c r="E138" s="108"/>
    </row>
    <row r="139" spans="2:5" ht="15.6" x14ac:dyDescent="0.3">
      <c r="B139" s="47">
        <v>45351</v>
      </c>
      <c r="C139" s="104">
        <v>103.51339774</v>
      </c>
      <c r="D139" s="104">
        <v>111.47226745</v>
      </c>
      <c r="E139" s="109"/>
    </row>
    <row r="140" spans="2:5" ht="15.6" x14ac:dyDescent="0.3">
      <c r="B140" s="102">
        <v>45352</v>
      </c>
      <c r="C140" s="103">
        <v>103.96893172</v>
      </c>
      <c r="D140" s="103">
        <v>111.61080857</v>
      </c>
      <c r="E140" s="108"/>
    </row>
    <row r="141" spans="2:5" ht="15.6" x14ac:dyDescent="0.3">
      <c r="B141" s="47">
        <v>45355</v>
      </c>
      <c r="C141" s="104">
        <v>103.95999968</v>
      </c>
      <c r="D141" s="104">
        <v>110.88520215</v>
      </c>
      <c r="E141" s="109"/>
    </row>
    <row r="142" spans="2:5" ht="15.6" x14ac:dyDescent="0.3">
      <c r="B142" s="102">
        <v>45356</v>
      </c>
      <c r="C142" s="103">
        <v>104.59417444</v>
      </c>
      <c r="D142" s="103">
        <v>110.67574457000001</v>
      </c>
      <c r="E142" s="108"/>
    </row>
    <row r="143" spans="2:5" ht="15.6" x14ac:dyDescent="0.3">
      <c r="B143" s="47">
        <v>45357</v>
      </c>
      <c r="C143" s="104">
        <v>104.75495112999999</v>
      </c>
      <c r="D143" s="104">
        <v>111.36012993</v>
      </c>
      <c r="E143" s="109"/>
    </row>
    <row r="144" spans="2:5" ht="15.6" x14ac:dyDescent="0.3">
      <c r="B144" s="102">
        <v>45358</v>
      </c>
      <c r="C144" s="103">
        <v>105.30873754</v>
      </c>
      <c r="D144" s="103">
        <v>110.88452823999999</v>
      </c>
      <c r="E144" s="108"/>
    </row>
    <row r="145" spans="2:5" ht="15.6" x14ac:dyDescent="0.3">
      <c r="B145" s="47">
        <v>45359</v>
      </c>
      <c r="C145" s="104">
        <v>105.79999967000001</v>
      </c>
      <c r="D145" s="104">
        <v>109.78814829</v>
      </c>
      <c r="E145" s="109"/>
    </row>
    <row r="146" spans="2:5" ht="15.6" x14ac:dyDescent="0.3">
      <c r="B146" s="102">
        <v>45362</v>
      </c>
      <c r="C146" s="103">
        <v>105.45165016</v>
      </c>
      <c r="D146" s="103">
        <v>108.96974913</v>
      </c>
      <c r="E146" s="108"/>
    </row>
    <row r="147" spans="2:5" ht="15.6" x14ac:dyDescent="0.3">
      <c r="B147" s="47">
        <v>45363</v>
      </c>
      <c r="C147" s="104">
        <v>105.04970842</v>
      </c>
      <c r="D147" s="104">
        <v>110.30399472000001</v>
      </c>
      <c r="E147" s="109"/>
    </row>
    <row r="148" spans="2:5" ht="15.6" x14ac:dyDescent="0.3">
      <c r="B148" s="102">
        <v>45364</v>
      </c>
      <c r="C148" s="103">
        <v>105.21941715</v>
      </c>
      <c r="D148" s="103">
        <v>110.59620545999999</v>
      </c>
      <c r="E148" s="108"/>
    </row>
    <row r="149" spans="2:5" ht="15.6" x14ac:dyDescent="0.3">
      <c r="B149" s="47">
        <v>45365</v>
      </c>
      <c r="C149" s="104">
        <v>104.95145599</v>
      </c>
      <c r="D149" s="104">
        <v>110.32311487</v>
      </c>
      <c r="E149" s="109"/>
    </row>
    <row r="150" spans="2:5" ht="15.6" x14ac:dyDescent="0.3">
      <c r="B150" s="102">
        <v>45366</v>
      </c>
      <c r="C150" s="103">
        <v>105.19262104000001</v>
      </c>
      <c r="D150" s="103">
        <v>109.50391218999999</v>
      </c>
      <c r="E150" s="108"/>
    </row>
    <row r="151" spans="2:5" ht="15.6" x14ac:dyDescent="0.3">
      <c r="B151" s="47">
        <v>45369</v>
      </c>
      <c r="C151" s="104">
        <v>105.48737832</v>
      </c>
      <c r="D151" s="104">
        <v>109.68739818</v>
      </c>
      <c r="E151" s="109"/>
    </row>
    <row r="152" spans="2:5" ht="15.6" x14ac:dyDescent="0.3">
      <c r="B152" s="102">
        <v>45370</v>
      </c>
      <c r="C152" s="103">
        <v>105.03554114000001</v>
      </c>
      <c r="D152" s="103">
        <v>110.18390847000001</v>
      </c>
      <c r="E152" s="108"/>
    </row>
    <row r="153" spans="2:5" ht="15.6" x14ac:dyDescent="0.3">
      <c r="B153" s="47">
        <v>45371</v>
      </c>
      <c r="C153" s="104">
        <v>105.19741098</v>
      </c>
      <c r="D153" s="104">
        <v>111.56282245</v>
      </c>
      <c r="E153" s="109"/>
    </row>
    <row r="154" spans="2:5" ht="15.6" x14ac:dyDescent="0.3">
      <c r="B154" s="102">
        <v>45372</v>
      </c>
      <c r="C154" s="103">
        <v>105.30532420999999</v>
      </c>
      <c r="D154" s="103">
        <v>110.72798152999999</v>
      </c>
      <c r="E154" s="108"/>
    </row>
    <row r="155" spans="2:5" ht="15.6" x14ac:dyDescent="0.3">
      <c r="B155" s="47">
        <v>45373</v>
      </c>
      <c r="C155" s="104">
        <v>105.33230251000001</v>
      </c>
      <c r="D155" s="104">
        <v>109.75040048</v>
      </c>
      <c r="E155" s="109"/>
    </row>
    <row r="156" spans="2:5" ht="15.6" x14ac:dyDescent="0.3">
      <c r="B156" s="102">
        <v>45376</v>
      </c>
      <c r="C156" s="103">
        <v>105.21539652</v>
      </c>
      <c r="D156" s="103">
        <v>109.66777691999999</v>
      </c>
      <c r="E156" s="108"/>
    </row>
    <row r="157" spans="2:5" ht="15.6" x14ac:dyDescent="0.3">
      <c r="B157" s="47">
        <v>45377</v>
      </c>
      <c r="C157" s="104">
        <v>105.21539652</v>
      </c>
      <c r="D157" s="104">
        <v>109.60863667</v>
      </c>
      <c r="E157" s="109"/>
    </row>
    <row r="158" spans="2:5" ht="15.6" x14ac:dyDescent="0.3">
      <c r="B158" s="102">
        <v>45378</v>
      </c>
      <c r="C158" s="103">
        <v>105.12546883</v>
      </c>
      <c r="D158" s="103">
        <v>110.32367646</v>
      </c>
      <c r="E158" s="108"/>
    </row>
    <row r="159" spans="2:5" ht="15.6" x14ac:dyDescent="0.3">
      <c r="B159" s="47">
        <v>45379</v>
      </c>
      <c r="C159" s="104">
        <v>106.07870233</v>
      </c>
      <c r="D159" s="104">
        <v>110.68264787</v>
      </c>
      <c r="E159" s="109"/>
    </row>
    <row r="160" spans="2:5" ht="15.6" x14ac:dyDescent="0.3">
      <c r="B160" s="102">
        <v>45380</v>
      </c>
      <c r="C160" s="103"/>
      <c r="D160" s="103"/>
      <c r="E160" s="108"/>
    </row>
    <row r="161" spans="2:5" ht="15.6" x14ac:dyDescent="0.3">
      <c r="B161" s="47">
        <v>45383</v>
      </c>
      <c r="C161" s="104">
        <v>105.84489034000001</v>
      </c>
      <c r="D161" s="104">
        <v>109.71873517</v>
      </c>
      <c r="E161" s="109"/>
    </row>
    <row r="162" spans="2:5" ht="15.6" x14ac:dyDescent="0.3">
      <c r="B162" s="102">
        <v>45384</v>
      </c>
      <c r="C162" s="103">
        <v>106.33049986</v>
      </c>
      <c r="D162" s="103">
        <v>110.2009032</v>
      </c>
      <c r="E162" s="108"/>
    </row>
    <row r="163" spans="2:5" ht="15.6" x14ac:dyDescent="0.3">
      <c r="B163" s="47">
        <v>45385</v>
      </c>
      <c r="C163" s="104">
        <v>106.06970957</v>
      </c>
      <c r="D163" s="104">
        <v>110.00207270999999</v>
      </c>
      <c r="E163" s="109"/>
    </row>
    <row r="164" spans="2:5" ht="15.6" x14ac:dyDescent="0.3">
      <c r="B164" s="102">
        <v>45386</v>
      </c>
      <c r="C164" s="103">
        <v>105.90783972</v>
      </c>
      <c r="D164" s="103">
        <v>110.09636879999999</v>
      </c>
      <c r="E164" s="108"/>
    </row>
    <row r="165" spans="2:5" ht="15.6" x14ac:dyDescent="0.3">
      <c r="B165" s="47">
        <v>45387</v>
      </c>
      <c r="C165" s="104">
        <v>106.10568064</v>
      </c>
      <c r="D165" s="104">
        <v>109.55022217</v>
      </c>
      <c r="E165" s="109"/>
    </row>
    <row r="166" spans="2:5" ht="15.6" x14ac:dyDescent="0.3">
      <c r="B166" s="102">
        <v>45390</v>
      </c>
      <c r="C166" s="103">
        <v>105.97078911</v>
      </c>
      <c r="D166" s="103">
        <v>111.33155771</v>
      </c>
      <c r="E166" s="108"/>
    </row>
    <row r="167" spans="2:5" ht="15.6" x14ac:dyDescent="0.3">
      <c r="B167" s="47">
        <v>45391</v>
      </c>
      <c r="C167" s="104">
        <v>105.76395542</v>
      </c>
      <c r="D167" s="104">
        <v>112.22424289999999</v>
      </c>
      <c r="E167" s="109"/>
    </row>
    <row r="168" spans="2:5" ht="15.6" x14ac:dyDescent="0.3">
      <c r="B168" s="102">
        <v>45392</v>
      </c>
      <c r="C168" s="103">
        <v>105.08050498</v>
      </c>
      <c r="D168" s="103">
        <v>110.63740924</v>
      </c>
      <c r="E168" s="108"/>
    </row>
    <row r="169" spans="2:5" ht="15.6" x14ac:dyDescent="0.3">
      <c r="B169" s="47">
        <v>45393</v>
      </c>
      <c r="C169" s="104">
        <v>105.31431696999999</v>
      </c>
      <c r="D169" s="104">
        <v>110.06942952999999</v>
      </c>
      <c r="E169" s="109"/>
    </row>
    <row r="170" spans="2:5" ht="15.6" x14ac:dyDescent="0.3">
      <c r="B170" s="102">
        <v>45394</v>
      </c>
      <c r="C170" s="103">
        <v>105.87186865</v>
      </c>
      <c r="D170" s="103">
        <v>108.81641646999999</v>
      </c>
      <c r="E170" s="108"/>
    </row>
    <row r="171" spans="2:5" ht="15.6" x14ac:dyDescent="0.3">
      <c r="B171" s="47">
        <v>45397</v>
      </c>
      <c r="C171" s="104">
        <v>105.61107835</v>
      </c>
      <c r="D171" s="104">
        <v>108.28748055</v>
      </c>
      <c r="E171" s="109"/>
    </row>
    <row r="172" spans="2:5" ht="15.6" x14ac:dyDescent="0.3">
      <c r="B172" s="102">
        <v>45398</v>
      </c>
      <c r="C172" s="103">
        <v>105.43122296999999</v>
      </c>
      <c r="D172" s="103">
        <v>107.47077482</v>
      </c>
      <c r="E172" s="108"/>
    </row>
    <row r="173" spans="2:5" ht="15.6" x14ac:dyDescent="0.3">
      <c r="B173" s="47">
        <v>45399</v>
      </c>
      <c r="C173" s="104">
        <v>104.99957006</v>
      </c>
      <c r="D173" s="104">
        <v>107.28288247</v>
      </c>
      <c r="E173" s="109"/>
    </row>
    <row r="174" spans="2:5" ht="15.6" x14ac:dyDescent="0.3">
      <c r="B174" s="102">
        <v>45400</v>
      </c>
      <c r="C174" s="103">
        <v>104.96359898999999</v>
      </c>
      <c r="D174" s="103">
        <v>107.30450819000001</v>
      </c>
      <c r="E174" s="108"/>
    </row>
    <row r="175" spans="2:5" ht="15.6" x14ac:dyDescent="0.3">
      <c r="B175" s="47">
        <v>45401</v>
      </c>
      <c r="C175" s="104">
        <v>104.37606854000001</v>
      </c>
      <c r="D175" s="104">
        <v>108.10639647000001</v>
      </c>
      <c r="E175" s="109"/>
    </row>
    <row r="176" spans="2:5" ht="15.6" x14ac:dyDescent="0.3">
      <c r="B176" s="102">
        <v>45404</v>
      </c>
      <c r="C176" s="103">
        <v>103.48891722</v>
      </c>
      <c r="D176" s="103">
        <v>108.49420791999999</v>
      </c>
      <c r="E176" s="108"/>
    </row>
    <row r="177" spans="2:5" ht="15.6" x14ac:dyDescent="0.3">
      <c r="B177" s="47">
        <v>45405</v>
      </c>
      <c r="C177" s="104">
        <v>102.88239539999999</v>
      </c>
      <c r="D177" s="104">
        <v>108.12693356</v>
      </c>
      <c r="E177" s="109"/>
    </row>
    <row r="178" spans="2:5" ht="15.6" x14ac:dyDescent="0.3">
      <c r="B178" s="102">
        <v>45406</v>
      </c>
      <c r="C178" s="103">
        <v>102.24871589</v>
      </c>
      <c r="D178" s="103">
        <v>107.77496049</v>
      </c>
      <c r="E178" s="108"/>
    </row>
    <row r="179" spans="2:5" ht="15.6" x14ac:dyDescent="0.3">
      <c r="B179" s="47">
        <v>45407</v>
      </c>
      <c r="C179" s="104">
        <v>103.2897608</v>
      </c>
      <c r="D179" s="104">
        <v>107.69278620999999</v>
      </c>
      <c r="E179" s="109"/>
    </row>
    <row r="180" spans="2:5" ht="15.6" x14ac:dyDescent="0.3">
      <c r="B180" s="102">
        <v>45408</v>
      </c>
      <c r="C180" s="103">
        <v>104.12259674000001</v>
      </c>
      <c r="D180" s="103">
        <v>109.31768735999999</v>
      </c>
      <c r="E180" s="108"/>
    </row>
    <row r="181" spans="2:5" ht="15.6" x14ac:dyDescent="0.3">
      <c r="B181" s="47">
        <v>45411</v>
      </c>
      <c r="C181" s="104">
        <v>104.75627625</v>
      </c>
      <c r="D181" s="104">
        <v>110.03093004999999</v>
      </c>
      <c r="E181" s="109"/>
    </row>
    <row r="182" spans="2:5" ht="15.6" x14ac:dyDescent="0.3">
      <c r="B182" s="102">
        <v>45412</v>
      </c>
      <c r="C182" s="103">
        <v>105.67058526</v>
      </c>
      <c r="D182" s="103">
        <v>108.79749504</v>
      </c>
      <c r="E182" s="108"/>
    </row>
    <row r="183" spans="2:5" ht="15.6" x14ac:dyDescent="0.3">
      <c r="B183" s="47">
        <v>45413</v>
      </c>
      <c r="C183" s="104"/>
      <c r="D183" s="104"/>
      <c r="E183" s="109"/>
    </row>
    <row r="184" spans="2:5" ht="15.6" x14ac:dyDescent="0.3">
      <c r="B184" s="102">
        <v>45414</v>
      </c>
      <c r="C184" s="103">
        <v>105.43521859000001</v>
      </c>
      <c r="D184" s="103">
        <v>109.83260932</v>
      </c>
      <c r="E184" s="108"/>
    </row>
    <row r="185" spans="2:5" ht="15.6" x14ac:dyDescent="0.3">
      <c r="B185" s="47">
        <v>45415</v>
      </c>
      <c r="C185" s="104">
        <v>105.91500449999999</v>
      </c>
      <c r="D185" s="104">
        <v>111.03046513</v>
      </c>
      <c r="E185" s="109"/>
    </row>
    <row r="186" spans="2:5" ht="15.6" x14ac:dyDescent="0.3">
      <c r="B186" s="102">
        <v>45418</v>
      </c>
      <c r="C186" s="103">
        <v>105.64342757</v>
      </c>
      <c r="D186" s="103">
        <v>110.99333075</v>
      </c>
      <c r="E186" s="108"/>
    </row>
    <row r="187" spans="2:5" ht="15.6" x14ac:dyDescent="0.3">
      <c r="B187" s="47">
        <v>45419</v>
      </c>
      <c r="C187" s="104">
        <v>104.12259674000001</v>
      </c>
      <c r="D187" s="104">
        <v>111.63682337</v>
      </c>
      <c r="E187" s="109"/>
    </row>
    <row r="188" spans="2:5" ht="15.6" x14ac:dyDescent="0.3">
      <c r="B188" s="102">
        <v>45420</v>
      </c>
      <c r="C188" s="103">
        <v>105.44427115000001</v>
      </c>
      <c r="D188" s="103">
        <v>111.87045544999999</v>
      </c>
      <c r="E188" s="108"/>
    </row>
    <row r="189" spans="2:5" ht="15.6" x14ac:dyDescent="0.3">
      <c r="B189" s="47">
        <v>45421</v>
      </c>
      <c r="C189" s="104">
        <v>104.10449161</v>
      </c>
      <c r="D189" s="104">
        <v>110.75370257</v>
      </c>
      <c r="E189" s="109"/>
    </row>
    <row r="190" spans="2:5" ht="15.6" x14ac:dyDescent="0.3">
      <c r="B190" s="102">
        <v>45422</v>
      </c>
      <c r="C190" s="103">
        <v>104.73817112</v>
      </c>
      <c r="D190" s="103">
        <v>110.24500999</v>
      </c>
      <c r="E190" s="108"/>
    </row>
    <row r="191" spans="2:5" ht="15.6" x14ac:dyDescent="0.3">
      <c r="B191" s="47">
        <v>45425</v>
      </c>
      <c r="C191" s="104">
        <v>101.92282356</v>
      </c>
      <c r="D191" s="104">
        <v>110.72471564</v>
      </c>
      <c r="E191" s="109"/>
    </row>
    <row r="192" spans="2:5" ht="15.6" x14ac:dyDescent="0.3">
      <c r="B192" s="102">
        <v>45426</v>
      </c>
      <c r="C192" s="103">
        <v>102.33924153</v>
      </c>
      <c r="D192" s="103">
        <v>111.03635756</v>
      </c>
      <c r="E192" s="108"/>
    </row>
    <row r="193" spans="2:5" ht="15.6" x14ac:dyDescent="0.3">
      <c r="B193" s="47">
        <v>45427</v>
      </c>
      <c r="C193" s="104">
        <v>103.19923516</v>
      </c>
      <c r="D193" s="104">
        <v>110.61481585</v>
      </c>
      <c r="E193" s="109"/>
    </row>
    <row r="194" spans="2:5" ht="15.6" x14ac:dyDescent="0.3">
      <c r="B194" s="102">
        <v>45428</v>
      </c>
      <c r="C194" s="103">
        <v>102.4557762</v>
      </c>
      <c r="D194" s="103">
        <v>110.83602372999999</v>
      </c>
      <c r="E194" s="108"/>
    </row>
    <row r="195" spans="2:5" ht="15.6" x14ac:dyDescent="0.3">
      <c r="B195" s="47">
        <v>45429</v>
      </c>
      <c r="C195" s="104">
        <v>102.29952356</v>
      </c>
      <c r="D195" s="104">
        <v>110.72119055</v>
      </c>
      <c r="E195" s="109"/>
    </row>
    <row r="196" spans="2:5" ht="15.6" x14ac:dyDescent="0.3">
      <c r="B196" s="102">
        <v>45432</v>
      </c>
      <c r="C196" s="103">
        <v>101.68330514</v>
      </c>
      <c r="D196" s="103">
        <v>110.37577518000001</v>
      </c>
      <c r="E196" s="108"/>
    </row>
    <row r="197" spans="2:5" ht="15.6" x14ac:dyDescent="0.3">
      <c r="B197" s="47">
        <v>45433</v>
      </c>
      <c r="C197" s="104">
        <v>101.57227696</v>
      </c>
      <c r="D197" s="104">
        <v>110.08256221000001</v>
      </c>
      <c r="E197" s="109"/>
    </row>
    <row r="198" spans="2:5" ht="15.6" x14ac:dyDescent="0.3">
      <c r="B198" s="102">
        <v>45434</v>
      </c>
      <c r="C198" s="103">
        <v>101.12816426000001</v>
      </c>
      <c r="D198" s="103">
        <v>108.56062299</v>
      </c>
      <c r="E198" s="108"/>
    </row>
    <row r="199" spans="2:5" ht="15.6" x14ac:dyDescent="0.3">
      <c r="B199" s="47">
        <v>45435</v>
      </c>
      <c r="C199" s="104">
        <v>101.22068774</v>
      </c>
      <c r="D199" s="104">
        <v>107.76520601999999</v>
      </c>
      <c r="E199" s="109"/>
    </row>
    <row r="200" spans="2:5" ht="15.6" x14ac:dyDescent="0.3">
      <c r="B200" s="102">
        <v>45436</v>
      </c>
      <c r="C200" s="103">
        <v>101.32246357</v>
      </c>
      <c r="D200" s="103">
        <v>107.39902028</v>
      </c>
      <c r="E200" s="108"/>
    </row>
    <row r="201" spans="2:5" ht="15.6" x14ac:dyDescent="0.3">
      <c r="B201" s="47">
        <v>45439</v>
      </c>
      <c r="C201" s="104">
        <v>101.39648235</v>
      </c>
      <c r="D201" s="104">
        <v>107.5632738</v>
      </c>
      <c r="E201" s="109"/>
    </row>
    <row r="202" spans="2:5" ht="15.6" x14ac:dyDescent="0.3">
      <c r="B202" s="102">
        <v>45440</v>
      </c>
      <c r="C202" s="103">
        <v>101.31321122</v>
      </c>
      <c r="D202" s="103">
        <v>106.94453455999999</v>
      </c>
      <c r="E202" s="108"/>
    </row>
    <row r="203" spans="2:5" ht="15.6" x14ac:dyDescent="0.3">
      <c r="B203" s="47">
        <v>45441</v>
      </c>
      <c r="C203" s="104">
        <v>101.36872531</v>
      </c>
      <c r="D203" s="104">
        <v>106.01811048</v>
      </c>
      <c r="E203" s="109"/>
    </row>
    <row r="204" spans="2:5" ht="15.6" x14ac:dyDescent="0.3">
      <c r="B204" s="102">
        <v>45442</v>
      </c>
      <c r="C204" s="103"/>
      <c r="D204" s="103"/>
      <c r="E204" s="108"/>
    </row>
    <row r="205" spans="2:5" ht="15.6" x14ac:dyDescent="0.3">
      <c r="B205" s="47">
        <v>45443</v>
      </c>
      <c r="C205" s="104">
        <v>101.76657627</v>
      </c>
      <c r="D205" s="104">
        <v>105.49177518</v>
      </c>
      <c r="E205" s="109"/>
    </row>
    <row r="206" spans="2:5" ht="15.6" x14ac:dyDescent="0.3">
      <c r="B206" s="102">
        <v>45446</v>
      </c>
      <c r="C206" s="103">
        <v>101.58152930999999</v>
      </c>
      <c r="D206" s="103">
        <v>105.43431107000001</v>
      </c>
      <c r="E206" s="108"/>
    </row>
    <row r="207" spans="2:5" ht="15.6" x14ac:dyDescent="0.3">
      <c r="B207" s="47">
        <v>45447</v>
      </c>
      <c r="C207" s="104">
        <v>100.91536025000001</v>
      </c>
      <c r="D207" s="104">
        <v>105.23600762</v>
      </c>
      <c r="E207" s="109"/>
    </row>
    <row r="208" spans="2:5" ht="15.6" x14ac:dyDescent="0.3">
      <c r="B208" s="102">
        <v>45448</v>
      </c>
      <c r="C208" s="103">
        <v>100.66554685</v>
      </c>
      <c r="D208" s="103">
        <v>104.89496405</v>
      </c>
      <c r="E208" s="108"/>
    </row>
    <row r="209" spans="2:5" ht="15.6" x14ac:dyDescent="0.3">
      <c r="B209" s="47">
        <v>45449</v>
      </c>
      <c r="C209" s="104">
        <v>100.72106094</v>
      </c>
      <c r="D209" s="104">
        <v>106.18358223</v>
      </c>
      <c r="E209" s="109"/>
    </row>
    <row r="210" spans="2:5" ht="15.6" x14ac:dyDescent="0.3">
      <c r="B210" s="102">
        <v>45450</v>
      </c>
      <c r="C210" s="103">
        <v>101.02638843</v>
      </c>
      <c r="D210" s="103">
        <v>104.3418882</v>
      </c>
      <c r="E210" s="108"/>
    </row>
    <row r="211" spans="2:5" ht="15.6" x14ac:dyDescent="0.3">
      <c r="B211" s="47">
        <v>45453</v>
      </c>
      <c r="C211" s="104">
        <v>100.90610789999999</v>
      </c>
      <c r="D211" s="104">
        <v>104.33525274</v>
      </c>
      <c r="E211" s="109"/>
    </row>
    <row r="212" spans="2:5" ht="15.6" x14ac:dyDescent="0.3">
      <c r="B212" s="102">
        <v>45454</v>
      </c>
      <c r="C212" s="103">
        <v>100.82283676999999</v>
      </c>
      <c r="D212" s="103">
        <v>105.09172096</v>
      </c>
      <c r="E212" s="108"/>
    </row>
    <row r="213" spans="2:5" ht="15.6" x14ac:dyDescent="0.3">
      <c r="B213" s="47">
        <v>45455</v>
      </c>
      <c r="C213" s="104">
        <v>100.66554685</v>
      </c>
      <c r="D213" s="104">
        <v>103.62376396000001</v>
      </c>
      <c r="E213" s="109"/>
    </row>
    <row r="214" spans="2:5" ht="15.6" x14ac:dyDescent="0.3">
      <c r="B214" s="102">
        <v>45456</v>
      </c>
      <c r="C214" s="103">
        <v>100.48975224</v>
      </c>
      <c r="D214" s="103">
        <v>103.30539154</v>
      </c>
      <c r="E214" s="108"/>
    </row>
    <row r="215" spans="2:5" ht="15.6" x14ac:dyDescent="0.3">
      <c r="B215" s="47">
        <v>45457</v>
      </c>
      <c r="C215" s="104">
        <v>100.90610789999999</v>
      </c>
      <c r="D215" s="104">
        <v>103.38734118000001</v>
      </c>
      <c r="E215" s="109"/>
    </row>
    <row r="216" spans="2:5" ht="15.6" x14ac:dyDescent="0.3">
      <c r="B216" s="102">
        <v>45460</v>
      </c>
      <c r="C216" s="103">
        <v>101.08190252</v>
      </c>
      <c r="D216" s="103">
        <v>102.93416009000001</v>
      </c>
      <c r="E216" s="108"/>
    </row>
    <row r="217" spans="2:5" ht="15.6" x14ac:dyDescent="0.3">
      <c r="B217" s="47">
        <v>45461</v>
      </c>
      <c r="C217" s="104">
        <v>101.09115486</v>
      </c>
      <c r="D217" s="104">
        <v>103.35974528</v>
      </c>
      <c r="E217" s="109"/>
    </row>
    <row r="218" spans="2:5" ht="15.6" x14ac:dyDescent="0.3">
      <c r="B218" s="102">
        <v>45462</v>
      </c>
      <c r="C218" s="103">
        <v>100.86049066</v>
      </c>
      <c r="D218" s="103">
        <v>103.90483784</v>
      </c>
      <c r="E218" s="108"/>
    </row>
    <row r="219" spans="2:5" ht="15.6" x14ac:dyDescent="0.3">
      <c r="B219" s="47">
        <v>45463</v>
      </c>
      <c r="C219" s="104">
        <v>100.82323151999999</v>
      </c>
      <c r="D219" s="104">
        <v>104.06430485</v>
      </c>
      <c r="E219" s="109"/>
    </row>
    <row r="220" spans="2:5" ht="15.6" x14ac:dyDescent="0.3">
      <c r="B220" s="102">
        <v>45464</v>
      </c>
      <c r="C220" s="103">
        <v>100.95363851</v>
      </c>
      <c r="D220" s="103">
        <v>104.83776777999999</v>
      </c>
      <c r="E220" s="108"/>
    </row>
    <row r="221" spans="2:5" ht="15.6" x14ac:dyDescent="0.3">
      <c r="B221" s="47">
        <v>45467</v>
      </c>
      <c r="C221" s="104">
        <v>100.83254631</v>
      </c>
      <c r="D221" s="104">
        <v>105.95735456</v>
      </c>
      <c r="E221" s="109"/>
    </row>
    <row r="222" spans="2:5" ht="15.6" x14ac:dyDescent="0.3">
      <c r="B222" s="102">
        <v>45468</v>
      </c>
      <c r="C222" s="103">
        <v>101.00952722</v>
      </c>
      <c r="D222" s="103">
        <v>105.69334452</v>
      </c>
      <c r="E222" s="108"/>
    </row>
    <row r="223" spans="2:5" ht="15.6" x14ac:dyDescent="0.3">
      <c r="B223" s="47">
        <v>45469</v>
      </c>
      <c r="C223" s="104">
        <v>100.88843502</v>
      </c>
      <c r="D223" s="104">
        <v>105.96110428</v>
      </c>
      <c r="E223" s="109"/>
    </row>
    <row r="224" spans="2:5" ht="15.6" x14ac:dyDescent="0.3">
      <c r="B224" s="102">
        <v>45470</v>
      </c>
      <c r="C224" s="103">
        <v>100.97226808000001</v>
      </c>
      <c r="D224" s="103">
        <v>107.4009729</v>
      </c>
      <c r="E224" s="108"/>
    </row>
    <row r="225" spans="2:5" ht="15.6" x14ac:dyDescent="0.3">
      <c r="B225" s="47">
        <v>45471</v>
      </c>
      <c r="C225" s="104">
        <v>101.00952722</v>
      </c>
      <c r="D225" s="104">
        <v>107.05427019</v>
      </c>
      <c r="E225" s="109"/>
    </row>
    <row r="226" spans="2:5" ht="15.6" x14ac:dyDescent="0.3">
      <c r="B226" s="102">
        <v>45474</v>
      </c>
      <c r="C226" s="103">
        <v>100.78597239</v>
      </c>
      <c r="D226" s="103">
        <v>107.75541699</v>
      </c>
      <c r="E226" s="108"/>
    </row>
    <row r="227" spans="2:5" ht="15.6" x14ac:dyDescent="0.3">
      <c r="B227" s="47">
        <v>45475</v>
      </c>
      <c r="C227" s="104">
        <v>100.78597239</v>
      </c>
      <c r="D227" s="104">
        <v>107.81504108</v>
      </c>
      <c r="E227" s="109"/>
    </row>
    <row r="228" spans="2:5" ht="15.6" x14ac:dyDescent="0.3">
      <c r="B228" s="102">
        <v>45476</v>
      </c>
      <c r="C228" s="103">
        <v>100.69282454</v>
      </c>
      <c r="D228" s="103">
        <v>108.57086993</v>
      </c>
      <c r="E228" s="108"/>
    </row>
    <row r="229" spans="2:5" ht="15.6" x14ac:dyDescent="0.3">
      <c r="B229" s="47">
        <v>45477</v>
      </c>
      <c r="C229" s="104">
        <v>100.9629533</v>
      </c>
      <c r="D229" s="104">
        <v>109.00467169</v>
      </c>
      <c r="E229" s="109"/>
    </row>
    <row r="230" spans="2:5" ht="15.6" x14ac:dyDescent="0.3">
      <c r="B230" s="102">
        <v>45478</v>
      </c>
      <c r="C230" s="103">
        <v>101.0840455</v>
      </c>
      <c r="D230" s="103">
        <v>109.09372334</v>
      </c>
      <c r="E230" s="108"/>
    </row>
    <row r="231" spans="2:5" ht="15.6" x14ac:dyDescent="0.3">
      <c r="B231" s="47">
        <v>45481</v>
      </c>
      <c r="C231" s="104">
        <v>101.06541593</v>
      </c>
      <c r="D231" s="104">
        <v>109.33675565999999</v>
      </c>
      <c r="E231" s="109"/>
    </row>
    <row r="232" spans="2:5" ht="15.6" x14ac:dyDescent="0.3">
      <c r="B232" s="102">
        <v>45482</v>
      </c>
      <c r="C232" s="103">
        <v>101.10267507</v>
      </c>
      <c r="D232" s="103">
        <v>109.82048751000001</v>
      </c>
      <c r="E232" s="108"/>
    </row>
    <row r="233" spans="2:5" ht="15.6" x14ac:dyDescent="0.3">
      <c r="B233" s="47">
        <v>45483</v>
      </c>
      <c r="C233" s="104">
        <v>101.05610115</v>
      </c>
      <c r="D233" s="104">
        <v>109.91554391</v>
      </c>
      <c r="E233" s="109"/>
    </row>
    <row r="234" spans="2:5" ht="15.6" x14ac:dyDescent="0.3">
      <c r="B234" s="102">
        <v>45484</v>
      </c>
      <c r="C234" s="103">
        <v>101.25171163</v>
      </c>
      <c r="D234" s="103">
        <v>110.84465501</v>
      </c>
      <c r="E234" s="108"/>
    </row>
    <row r="235" spans="2:5" ht="15.6" x14ac:dyDescent="0.3">
      <c r="B235" s="47">
        <v>45485</v>
      </c>
      <c r="C235" s="104">
        <v>101.71745086999999</v>
      </c>
      <c r="D235" s="104">
        <v>111.36596187000001</v>
      </c>
      <c r="E235" s="109"/>
    </row>
    <row r="236" spans="2:5" ht="15.6" x14ac:dyDescent="0.3">
      <c r="B236" s="102">
        <v>45488</v>
      </c>
      <c r="C236" s="103">
        <v>101.87580222</v>
      </c>
      <c r="D236" s="103">
        <v>111.73227721000001</v>
      </c>
      <c r="E236" s="108"/>
    </row>
    <row r="237" spans="2:5" ht="15.6" x14ac:dyDescent="0.3">
      <c r="B237" s="47">
        <v>45489</v>
      </c>
      <c r="C237" s="104">
        <v>101.81059872</v>
      </c>
      <c r="D237" s="104">
        <v>111.55033777</v>
      </c>
      <c r="E237" s="109"/>
    </row>
    <row r="238" spans="2:5" ht="15.6" x14ac:dyDescent="0.3">
      <c r="B238" s="102">
        <v>45490</v>
      </c>
      <c r="C238" s="103">
        <v>102.06209791000001</v>
      </c>
      <c r="D238" s="103">
        <v>111.84404322</v>
      </c>
      <c r="E238" s="108"/>
    </row>
    <row r="239" spans="2:5" ht="15.6" x14ac:dyDescent="0.3">
      <c r="B239" s="47">
        <v>45491</v>
      </c>
      <c r="C239" s="104">
        <v>101.92237614</v>
      </c>
      <c r="D239" s="104">
        <v>110.29036093000001</v>
      </c>
      <c r="E239" s="109"/>
    </row>
    <row r="240" spans="2:5" ht="15.6" x14ac:dyDescent="0.3">
      <c r="B240" s="102">
        <v>45492</v>
      </c>
      <c r="C240" s="103">
        <v>101.70747124</v>
      </c>
      <c r="D240" s="103">
        <v>110.25960281</v>
      </c>
      <c r="E240" s="108"/>
    </row>
    <row r="241" spans="2:5" ht="15.6" x14ac:dyDescent="0.3">
      <c r="B241" s="47">
        <v>45495</v>
      </c>
      <c r="C241" s="104">
        <v>101.72622260999999</v>
      </c>
      <c r="D241" s="104">
        <v>110.46969975</v>
      </c>
      <c r="E241" s="109"/>
    </row>
    <row r="242" spans="2:5" ht="15.6" x14ac:dyDescent="0.3">
      <c r="B242" s="102">
        <v>45496</v>
      </c>
      <c r="C242" s="103">
        <v>101.50120609</v>
      </c>
      <c r="D242" s="103">
        <v>109.37261133</v>
      </c>
      <c r="E242" s="108"/>
    </row>
    <row r="243" spans="2:5" ht="15.6" x14ac:dyDescent="0.3">
      <c r="B243" s="47">
        <v>45497</v>
      </c>
      <c r="C243" s="104">
        <v>101.58558728</v>
      </c>
      <c r="D243" s="104">
        <v>109.22822961999999</v>
      </c>
      <c r="E243" s="109"/>
    </row>
    <row r="244" spans="2:5" ht="15.6" x14ac:dyDescent="0.3">
      <c r="B244" s="102">
        <v>45498</v>
      </c>
      <c r="C244" s="103">
        <v>101.42620058</v>
      </c>
      <c r="D244" s="103">
        <v>108.82332839999999</v>
      </c>
      <c r="E244" s="108"/>
    </row>
    <row r="245" spans="2:5" ht="15.6" x14ac:dyDescent="0.3">
      <c r="B245" s="47">
        <v>45499</v>
      </c>
      <c r="C245" s="104">
        <v>101.16368129</v>
      </c>
      <c r="D245" s="104">
        <v>110.15249372</v>
      </c>
      <c r="E245" s="109"/>
    </row>
    <row r="246" spans="2:5" ht="15.6" x14ac:dyDescent="0.3">
      <c r="B246" s="102">
        <v>45502</v>
      </c>
      <c r="C246" s="103">
        <v>100.97616752</v>
      </c>
      <c r="D246" s="103">
        <v>109.68712170000001</v>
      </c>
      <c r="E246" s="108"/>
    </row>
    <row r="247" spans="2:5" ht="15.6" x14ac:dyDescent="0.3">
      <c r="B247" s="47">
        <v>45503</v>
      </c>
      <c r="C247" s="104">
        <v>100.56363721</v>
      </c>
      <c r="D247" s="104">
        <v>108.9832706</v>
      </c>
      <c r="E247" s="109"/>
    </row>
    <row r="248" spans="2:5" ht="15.6" x14ac:dyDescent="0.3">
      <c r="B248" s="102">
        <v>45504</v>
      </c>
      <c r="C248" s="103">
        <v>101.05117303</v>
      </c>
      <c r="D248" s="103">
        <v>110.29014493</v>
      </c>
      <c r="E248" s="108"/>
    </row>
    <row r="249" spans="2:5" ht="15.6" x14ac:dyDescent="0.3">
      <c r="B249" s="47">
        <v>45505</v>
      </c>
      <c r="C249" s="104">
        <v>101.30431661999999</v>
      </c>
      <c r="D249" s="104">
        <v>110.06834954</v>
      </c>
      <c r="E249" s="109"/>
    </row>
    <row r="250" spans="2:5" ht="15.6" x14ac:dyDescent="0.3">
      <c r="B250" s="102">
        <v>45506</v>
      </c>
      <c r="C250" s="103">
        <v>101.61371435</v>
      </c>
      <c r="D250" s="103">
        <v>108.73692920000001</v>
      </c>
      <c r="E250" s="108"/>
    </row>
    <row r="251" spans="2:5" ht="15.6" x14ac:dyDescent="0.3">
      <c r="B251" s="47">
        <v>45509</v>
      </c>
      <c r="C251" s="104">
        <v>101.25743817999999</v>
      </c>
      <c r="D251" s="104">
        <v>108.23188267</v>
      </c>
      <c r="E251" s="109"/>
    </row>
    <row r="252" spans="2:5" ht="15.6" x14ac:dyDescent="0.3">
      <c r="B252" s="102">
        <v>45510</v>
      </c>
      <c r="C252" s="103">
        <v>101.52933315</v>
      </c>
      <c r="D252" s="103">
        <v>109.09342095</v>
      </c>
      <c r="E252" s="108"/>
    </row>
    <row r="253" spans="2:5" ht="15.6" x14ac:dyDescent="0.3">
      <c r="B253" s="47">
        <v>45511</v>
      </c>
      <c r="C253" s="104">
        <v>101.41682489</v>
      </c>
      <c r="D253" s="104">
        <v>110.17097450999999</v>
      </c>
      <c r="E253" s="109"/>
    </row>
    <row r="254" spans="2:5" ht="15.6" x14ac:dyDescent="0.3">
      <c r="B254" s="102">
        <v>45512</v>
      </c>
      <c r="C254" s="103">
        <v>100.90116200999999</v>
      </c>
      <c r="D254" s="103">
        <v>111.16197336</v>
      </c>
      <c r="E254" s="108"/>
    </row>
    <row r="255" spans="2:5" ht="15.6" x14ac:dyDescent="0.3">
      <c r="B255" s="47">
        <v>45513</v>
      </c>
      <c r="C255" s="104">
        <v>101.14492991</v>
      </c>
      <c r="D255" s="104">
        <v>112.8499632</v>
      </c>
      <c r="E255" s="109"/>
    </row>
    <row r="256" spans="2:5" ht="15.6" x14ac:dyDescent="0.3">
      <c r="B256" s="102">
        <v>45516</v>
      </c>
      <c r="C256" s="103">
        <v>100.97616752</v>
      </c>
      <c r="D256" s="103">
        <v>113.28309104</v>
      </c>
      <c r="E256" s="108"/>
    </row>
    <row r="257" spans="2:5" ht="15.6" x14ac:dyDescent="0.3">
      <c r="B257" s="47">
        <v>45517</v>
      </c>
      <c r="C257" s="104">
        <v>101.20118404999999</v>
      </c>
      <c r="D257" s="104">
        <v>114.39078929</v>
      </c>
      <c r="E257" s="109"/>
    </row>
    <row r="258" spans="2:5" ht="15.6" x14ac:dyDescent="0.3">
      <c r="B258" s="102">
        <v>45518</v>
      </c>
      <c r="C258" s="103">
        <v>101.36057074999999</v>
      </c>
      <c r="D258" s="103">
        <v>115.18539411</v>
      </c>
      <c r="E258" s="108"/>
    </row>
    <row r="259" spans="2:5" ht="15.6" x14ac:dyDescent="0.3">
      <c r="B259" s="47">
        <v>45519</v>
      </c>
      <c r="C259" s="104">
        <v>101.6512171</v>
      </c>
      <c r="D259" s="104">
        <v>115.90748408</v>
      </c>
      <c r="E259" s="109"/>
    </row>
    <row r="260" spans="2:5" ht="15.6" x14ac:dyDescent="0.3">
      <c r="B260" s="102">
        <v>45520</v>
      </c>
      <c r="C260" s="103">
        <v>101.45432764</v>
      </c>
      <c r="D260" s="103">
        <v>115.73453879</v>
      </c>
      <c r="E260" s="108"/>
    </row>
    <row r="261" spans="2:5" ht="15.6" x14ac:dyDescent="0.3">
      <c r="B261" s="47">
        <v>45523</v>
      </c>
      <c r="C261" s="104">
        <v>101.49917610999999</v>
      </c>
      <c r="D261" s="104">
        <v>117.31109094999999</v>
      </c>
      <c r="E261" s="109"/>
    </row>
    <row r="262" spans="2:5" ht="15.6" x14ac:dyDescent="0.3">
      <c r="B262" s="102">
        <v>45524</v>
      </c>
      <c r="C262" s="103">
        <v>101.60303574</v>
      </c>
      <c r="D262" s="103">
        <v>117.578436</v>
      </c>
      <c r="E262" s="108"/>
    </row>
    <row r="263" spans="2:5" ht="15.6" x14ac:dyDescent="0.3">
      <c r="B263" s="47">
        <v>45525</v>
      </c>
      <c r="C263" s="104">
        <v>101.49917610999999</v>
      </c>
      <c r="D263" s="104">
        <v>117.90350436</v>
      </c>
      <c r="E263" s="109"/>
    </row>
    <row r="264" spans="2:5" ht="15.6" x14ac:dyDescent="0.3">
      <c r="B264" s="102">
        <v>45526</v>
      </c>
      <c r="C264" s="103">
        <v>101.39531649</v>
      </c>
      <c r="D264" s="103">
        <v>116.78873000999999</v>
      </c>
      <c r="E264" s="108"/>
    </row>
    <row r="265" spans="2:5" ht="15.6" x14ac:dyDescent="0.3">
      <c r="B265" s="47">
        <v>45527</v>
      </c>
      <c r="C265" s="104">
        <v>101.47085076</v>
      </c>
      <c r="D265" s="104">
        <v>117.16463566</v>
      </c>
      <c r="E265" s="109"/>
    </row>
    <row r="266" spans="2:5" ht="15.6" x14ac:dyDescent="0.3">
      <c r="B266" s="102">
        <v>45530</v>
      </c>
      <c r="C266" s="103">
        <v>101.47085076</v>
      </c>
      <c r="D266" s="103">
        <v>118.2707528</v>
      </c>
      <c r="E266" s="108"/>
    </row>
    <row r="267" spans="2:5" ht="15.6" x14ac:dyDescent="0.3">
      <c r="B267" s="47">
        <v>45531</v>
      </c>
      <c r="C267" s="104">
        <v>101.5086179</v>
      </c>
      <c r="D267" s="104">
        <v>118.1732945</v>
      </c>
      <c r="E267" s="109"/>
    </row>
    <row r="268" spans="2:5" ht="15.6" x14ac:dyDescent="0.3">
      <c r="B268" s="102">
        <v>45532</v>
      </c>
      <c r="C268" s="103">
        <v>101.59359395</v>
      </c>
      <c r="D268" s="103">
        <v>118.66408517000001</v>
      </c>
      <c r="E268" s="108"/>
    </row>
    <row r="269" spans="2:5" ht="15.6" x14ac:dyDescent="0.3">
      <c r="B269" s="47">
        <v>45533</v>
      </c>
      <c r="C269" s="104">
        <v>101.97126531000001</v>
      </c>
      <c r="D269" s="104">
        <v>117.53864053</v>
      </c>
      <c r="E269" s="109"/>
    </row>
    <row r="270" spans="2:5" ht="15.6" x14ac:dyDescent="0.3">
      <c r="B270" s="102">
        <v>45534</v>
      </c>
      <c r="C270" s="103">
        <v>101.69745358</v>
      </c>
      <c r="D270" s="103">
        <v>117.50637906</v>
      </c>
      <c r="E270" s="108"/>
    </row>
    <row r="271" spans="2:5" ht="15.6" x14ac:dyDescent="0.3">
      <c r="B271" s="47"/>
      <c r="C271" s="104"/>
      <c r="D271" s="104"/>
      <c r="E271" s="109"/>
    </row>
    <row r="272" spans="2:5" ht="15.6" x14ac:dyDescent="0.3">
      <c r="B272" s="102"/>
      <c r="C272" s="103"/>
      <c r="D272" s="103"/>
      <c r="E272" s="108"/>
    </row>
    <row r="273" spans="2:5" ht="15.6" x14ac:dyDescent="0.3">
      <c r="B273" s="47"/>
      <c r="C273" s="104"/>
      <c r="D273" s="104"/>
      <c r="E273" s="109"/>
    </row>
    <row r="274" spans="2:5" ht="15.6" x14ac:dyDescent="0.3">
      <c r="B274" s="102"/>
      <c r="C274" s="103"/>
      <c r="D274" s="103"/>
      <c r="E274" s="108"/>
    </row>
    <row r="275" spans="2:5" ht="15.6" x14ac:dyDescent="0.3">
      <c r="B275" s="47"/>
      <c r="C275" s="104"/>
      <c r="D275" s="104"/>
      <c r="E275" s="109"/>
    </row>
    <row r="276" spans="2:5" ht="15.6" x14ac:dyDescent="0.3">
      <c r="B276" s="102"/>
      <c r="C276" s="103"/>
      <c r="D276" s="103"/>
      <c r="E276" s="108"/>
    </row>
    <row r="277" spans="2:5" ht="15.6" x14ac:dyDescent="0.3">
      <c r="B277" s="47"/>
      <c r="C277" s="104"/>
      <c r="D277" s="104"/>
      <c r="E277" s="109"/>
    </row>
    <row r="278" spans="2:5" ht="15.6" x14ac:dyDescent="0.3">
      <c r="B278" s="102"/>
      <c r="C278" s="103"/>
      <c r="D278" s="103"/>
      <c r="E278" s="108"/>
    </row>
    <row r="279" spans="2:5" ht="15.6" x14ac:dyDescent="0.3">
      <c r="B279" s="47"/>
      <c r="C279" s="104"/>
      <c r="D279" s="104"/>
      <c r="E279" s="109"/>
    </row>
    <row r="280" spans="2:5" ht="15.6" x14ac:dyDescent="0.3">
      <c r="B280" s="102"/>
      <c r="C280" s="103"/>
      <c r="D280" s="103"/>
      <c r="E280" s="108"/>
    </row>
    <row r="281" spans="2:5" ht="15.6" x14ac:dyDescent="0.3">
      <c r="B281" s="47"/>
      <c r="C281" s="104"/>
      <c r="D281" s="104"/>
      <c r="E281" s="109"/>
    </row>
    <row r="282" spans="2:5" ht="15.6" x14ac:dyDescent="0.3">
      <c r="B282" s="102"/>
      <c r="C282" s="103"/>
      <c r="D282" s="103"/>
      <c r="E282" s="108"/>
    </row>
    <row r="283" spans="2:5" ht="15.6" x14ac:dyDescent="0.3">
      <c r="B283" s="47"/>
      <c r="C283" s="104"/>
      <c r="D283" s="104"/>
      <c r="E283" s="109"/>
    </row>
    <row r="284" spans="2:5" ht="15.6" x14ac:dyDescent="0.3">
      <c r="B284" s="102"/>
      <c r="C284" s="103"/>
      <c r="D284" s="103"/>
      <c r="E284" s="108"/>
    </row>
    <row r="285" spans="2:5" ht="15.6" x14ac:dyDescent="0.3">
      <c r="B285" s="47"/>
      <c r="C285" s="104"/>
      <c r="D285" s="104"/>
      <c r="E285" s="109"/>
    </row>
    <row r="286" spans="2:5" ht="15.6" x14ac:dyDescent="0.3">
      <c r="B286" s="102"/>
      <c r="C286" s="103"/>
      <c r="D286" s="103"/>
      <c r="E286" s="108"/>
    </row>
    <row r="287" spans="2:5" ht="15.6" x14ac:dyDescent="0.3">
      <c r="B287" s="47"/>
      <c r="C287" s="104"/>
      <c r="D287" s="104"/>
      <c r="E287" s="109"/>
    </row>
    <row r="288" spans="2:5" ht="15.6" x14ac:dyDescent="0.3">
      <c r="B288" s="102"/>
      <c r="C288" s="103"/>
      <c r="D288" s="103"/>
      <c r="E288" s="108"/>
    </row>
    <row r="289" spans="2:5" ht="15.6" x14ac:dyDescent="0.3">
      <c r="B289" s="47"/>
      <c r="C289" s="104"/>
      <c r="D289" s="104"/>
      <c r="E289" s="109"/>
    </row>
    <row r="290" spans="2:5" ht="15.6" x14ac:dyDescent="0.3">
      <c r="B290" s="102"/>
      <c r="C290" s="103"/>
      <c r="D290" s="103"/>
      <c r="E290" s="108"/>
    </row>
    <row r="291" spans="2:5" ht="15.6" x14ac:dyDescent="0.3">
      <c r="B291" s="47"/>
      <c r="C291" s="104"/>
      <c r="D291" s="104"/>
      <c r="E291" s="109"/>
    </row>
    <row r="292" spans="2:5" ht="15.6" x14ac:dyDescent="0.3">
      <c r="B292" s="102"/>
      <c r="C292" s="103"/>
      <c r="D292" s="103"/>
      <c r="E292" s="108"/>
    </row>
    <row r="293" spans="2:5" ht="15.6" x14ac:dyDescent="0.3">
      <c r="B293" s="47"/>
      <c r="C293" s="104"/>
      <c r="D293" s="104"/>
      <c r="E293" s="109"/>
    </row>
    <row r="294" spans="2:5" ht="15.6" x14ac:dyDescent="0.3">
      <c r="B294" s="102"/>
      <c r="C294" s="103"/>
      <c r="D294" s="103"/>
      <c r="E294" s="108"/>
    </row>
    <row r="295" spans="2:5" ht="15.6" x14ac:dyDescent="0.3">
      <c r="B295" s="47"/>
      <c r="C295" s="104"/>
      <c r="D295" s="104"/>
      <c r="E295" s="109"/>
    </row>
    <row r="296" spans="2:5" ht="15.6" x14ac:dyDescent="0.3">
      <c r="B296" s="102"/>
      <c r="C296" s="103"/>
      <c r="D296" s="103"/>
      <c r="E296" s="108"/>
    </row>
    <row r="297" spans="2:5" ht="15.6" x14ac:dyDescent="0.3">
      <c r="B297" s="47"/>
      <c r="C297" s="104"/>
      <c r="D297" s="104"/>
      <c r="E297" s="109"/>
    </row>
    <row r="298" spans="2:5" ht="15.6" x14ac:dyDescent="0.3">
      <c r="B298" s="102"/>
      <c r="C298" s="103"/>
      <c r="D298" s="103"/>
      <c r="E298" s="108"/>
    </row>
    <row r="299" spans="2:5" ht="15.6" x14ac:dyDescent="0.3">
      <c r="B299" s="47"/>
      <c r="C299" s="104"/>
      <c r="D299" s="104"/>
      <c r="E299" s="109"/>
    </row>
    <row r="300" spans="2:5" ht="15.6" x14ac:dyDescent="0.3">
      <c r="B300" s="102"/>
      <c r="C300" s="103"/>
      <c r="D300" s="103"/>
      <c r="E300" s="108"/>
    </row>
    <row r="301" spans="2:5" ht="15.6" x14ac:dyDescent="0.3">
      <c r="B301" s="47"/>
      <c r="C301" s="104"/>
      <c r="D301" s="104"/>
      <c r="E301" s="109"/>
    </row>
    <row r="302" spans="2:5" ht="15.6" x14ac:dyDescent="0.3">
      <c r="B302" s="102"/>
      <c r="C302" s="103"/>
      <c r="D302" s="103"/>
      <c r="E302" s="108"/>
    </row>
    <row r="303" spans="2:5" ht="15.6" x14ac:dyDescent="0.3">
      <c r="B303" s="47"/>
      <c r="C303" s="104"/>
      <c r="D303" s="104"/>
      <c r="E303" s="109"/>
    </row>
    <row r="304" spans="2:5" ht="15.6" x14ac:dyDescent="0.3">
      <c r="B304" s="102"/>
      <c r="C304" s="103"/>
      <c r="D304" s="103"/>
      <c r="E304" s="108"/>
    </row>
    <row r="305" spans="2:5" ht="15.6" x14ac:dyDescent="0.3">
      <c r="B305" s="47"/>
      <c r="C305" s="104"/>
      <c r="D305" s="104"/>
      <c r="E305" s="109"/>
    </row>
    <row r="306" spans="2:5" ht="15.6" x14ac:dyDescent="0.3">
      <c r="B306" s="102"/>
      <c r="C306" s="103"/>
      <c r="D306" s="103"/>
      <c r="E306" s="108"/>
    </row>
    <row r="307" spans="2:5" ht="15.6" x14ac:dyDescent="0.3">
      <c r="B307" s="47"/>
      <c r="C307" s="104"/>
      <c r="D307" s="104"/>
      <c r="E307" s="109"/>
    </row>
    <row r="308" spans="2:5" ht="15.6" x14ac:dyDescent="0.3">
      <c r="B308" s="102"/>
      <c r="C308" s="103"/>
      <c r="D308" s="103"/>
      <c r="E308" s="108"/>
    </row>
    <row r="309" spans="2:5" ht="15.6" x14ac:dyDescent="0.3">
      <c r="B309" s="47"/>
      <c r="C309" s="104"/>
      <c r="D309" s="104"/>
      <c r="E309" s="109"/>
    </row>
    <row r="310" spans="2:5" ht="15.6" x14ac:dyDescent="0.3">
      <c r="B310" s="102"/>
      <c r="C310" s="103"/>
      <c r="D310" s="103"/>
      <c r="E310" s="108"/>
    </row>
    <row r="311" spans="2:5" ht="15.6" x14ac:dyDescent="0.3">
      <c r="B311" s="47"/>
      <c r="C311" s="104"/>
      <c r="D311" s="104"/>
      <c r="E311" s="109"/>
    </row>
    <row r="312" spans="2:5" ht="15.6" x14ac:dyDescent="0.3">
      <c r="B312" s="102"/>
      <c r="C312" s="103"/>
      <c r="D312" s="103"/>
      <c r="E312" s="108"/>
    </row>
    <row r="313" spans="2:5" ht="15.6" x14ac:dyDescent="0.3">
      <c r="B313" s="47"/>
      <c r="C313" s="104"/>
      <c r="D313" s="104"/>
      <c r="E313" s="109"/>
    </row>
    <row r="314" spans="2:5" ht="15.6" x14ac:dyDescent="0.3">
      <c r="B314" s="102"/>
      <c r="C314" s="103"/>
      <c r="D314" s="103"/>
      <c r="E314" s="108"/>
    </row>
    <row r="315" spans="2:5" ht="15.6" x14ac:dyDescent="0.3">
      <c r="B315" s="47"/>
      <c r="C315" s="104"/>
      <c r="D315" s="104"/>
      <c r="E315" s="109"/>
    </row>
    <row r="316" spans="2:5" ht="15.6" x14ac:dyDescent="0.3">
      <c r="B316" s="102"/>
      <c r="C316" s="103"/>
      <c r="D316" s="103"/>
      <c r="E316" s="108"/>
    </row>
    <row r="317" spans="2:5" ht="15.6" x14ac:dyDescent="0.3">
      <c r="B317" s="47"/>
      <c r="C317" s="104"/>
      <c r="D317" s="104"/>
      <c r="E317" s="109"/>
    </row>
    <row r="318" spans="2:5" ht="15.6" x14ac:dyDescent="0.3">
      <c r="B318" s="102"/>
      <c r="C318" s="103"/>
      <c r="D318" s="103"/>
      <c r="E318" s="108"/>
    </row>
    <row r="319" spans="2:5" ht="15.6" x14ac:dyDescent="0.3">
      <c r="B319" s="47"/>
      <c r="C319" s="104"/>
      <c r="D319" s="104"/>
      <c r="E319" s="109"/>
    </row>
    <row r="320" spans="2:5" ht="15.6" x14ac:dyDescent="0.3">
      <c r="B320" s="102"/>
      <c r="C320" s="103"/>
      <c r="D320" s="103"/>
      <c r="E320" s="108"/>
    </row>
    <row r="321" spans="2:5" ht="15.6" x14ac:dyDescent="0.3">
      <c r="B321" s="47"/>
      <c r="C321" s="104"/>
      <c r="D321" s="104"/>
      <c r="E321" s="109"/>
    </row>
    <row r="322" spans="2:5" ht="15.6" x14ac:dyDescent="0.3">
      <c r="B322" s="102"/>
      <c r="C322" s="103"/>
      <c r="D322" s="103"/>
      <c r="E322" s="108"/>
    </row>
    <row r="323" spans="2:5" ht="15.6" x14ac:dyDescent="0.3">
      <c r="B323" s="47"/>
      <c r="C323" s="104"/>
      <c r="D323" s="104"/>
      <c r="E323" s="109"/>
    </row>
    <row r="324" spans="2:5" ht="15.6" x14ac:dyDescent="0.3">
      <c r="B324" s="102"/>
      <c r="C324" s="103"/>
      <c r="D324" s="103"/>
      <c r="E324" s="108"/>
    </row>
    <row r="325" spans="2:5" ht="15.6" x14ac:dyDescent="0.3">
      <c r="B325" s="47"/>
      <c r="C325" s="104"/>
      <c r="D325" s="104"/>
      <c r="E325" s="109"/>
    </row>
    <row r="326" spans="2:5" ht="15.6" x14ac:dyDescent="0.3">
      <c r="B326" s="102"/>
      <c r="C326" s="103"/>
      <c r="D326" s="103"/>
      <c r="E326" s="108"/>
    </row>
    <row r="327" spans="2:5" ht="15.6" x14ac:dyDescent="0.3">
      <c r="B327" s="47"/>
      <c r="C327" s="104"/>
      <c r="D327" s="104"/>
      <c r="E327" s="109"/>
    </row>
    <row r="328" spans="2:5" ht="15.6" x14ac:dyDescent="0.3">
      <c r="B328" s="102"/>
      <c r="C328" s="103"/>
      <c r="D328" s="103"/>
      <c r="E328" s="108"/>
    </row>
    <row r="329" spans="2:5" ht="15.6" x14ac:dyDescent="0.3">
      <c r="B329" s="47"/>
      <c r="C329" s="104"/>
      <c r="D329" s="104"/>
      <c r="E329" s="109"/>
    </row>
    <row r="330" spans="2:5" ht="15.6" x14ac:dyDescent="0.3">
      <c r="B330" s="102"/>
      <c r="C330" s="103"/>
      <c r="D330" s="103"/>
      <c r="E330" s="108"/>
    </row>
    <row r="331" spans="2:5" ht="15.6" x14ac:dyDescent="0.3">
      <c r="B331" s="47"/>
      <c r="C331" s="104"/>
      <c r="D331" s="104"/>
      <c r="E331" s="109"/>
    </row>
    <row r="332" spans="2:5" ht="15.6" x14ac:dyDescent="0.3">
      <c r="B332" s="102"/>
      <c r="C332" s="103"/>
      <c r="D332" s="103"/>
      <c r="E332" s="108"/>
    </row>
    <row r="333" spans="2:5" ht="15.6" x14ac:dyDescent="0.3">
      <c r="B333" s="47"/>
      <c r="C333" s="104"/>
      <c r="D333" s="104"/>
      <c r="E333" s="109"/>
    </row>
    <row r="334" spans="2:5" ht="15.6" x14ac:dyDescent="0.3">
      <c r="B334" s="102"/>
      <c r="C334" s="103"/>
      <c r="D334" s="103"/>
      <c r="E334" s="108"/>
    </row>
    <row r="335" spans="2:5" ht="15.6" x14ac:dyDescent="0.3">
      <c r="B335" s="47"/>
      <c r="C335" s="104"/>
      <c r="D335" s="104"/>
      <c r="E335" s="109"/>
    </row>
    <row r="336" spans="2:5" ht="15.6" x14ac:dyDescent="0.3">
      <c r="B336" s="102"/>
      <c r="C336" s="103"/>
      <c r="D336" s="103"/>
      <c r="E336" s="108"/>
    </row>
    <row r="337" spans="2:5" ht="15.6" x14ac:dyDescent="0.3">
      <c r="B337" s="47"/>
      <c r="C337" s="104"/>
      <c r="D337" s="104"/>
      <c r="E337" s="109"/>
    </row>
    <row r="338" spans="2:5" ht="15.6" x14ac:dyDescent="0.3">
      <c r="B338" s="102"/>
      <c r="C338" s="103"/>
      <c r="D338" s="103"/>
      <c r="E338" s="108"/>
    </row>
    <row r="339" spans="2:5" ht="15.6" x14ac:dyDescent="0.3">
      <c r="B339" s="47"/>
      <c r="C339" s="104"/>
      <c r="D339" s="104"/>
      <c r="E339" s="109"/>
    </row>
    <row r="340" spans="2:5" ht="15.6" x14ac:dyDescent="0.3">
      <c r="B340" s="102"/>
      <c r="C340" s="103"/>
      <c r="D340" s="103"/>
      <c r="E340" s="108"/>
    </row>
    <row r="341" spans="2:5" ht="15.6" x14ac:dyDescent="0.3">
      <c r="B341" s="47"/>
      <c r="C341" s="104"/>
      <c r="D341" s="104"/>
      <c r="E341" s="109"/>
    </row>
    <row r="342" spans="2:5" ht="15.6" x14ac:dyDescent="0.3">
      <c r="B342" s="102"/>
      <c r="C342" s="103"/>
      <c r="D342" s="103"/>
      <c r="E342" s="108"/>
    </row>
    <row r="343" spans="2:5" ht="15.6" x14ac:dyDescent="0.3">
      <c r="B343" s="47"/>
      <c r="C343" s="104"/>
      <c r="D343" s="104"/>
      <c r="E343" s="109"/>
    </row>
    <row r="344" spans="2:5" ht="15.6" x14ac:dyDescent="0.3">
      <c r="B344" s="102"/>
      <c r="C344" s="103"/>
      <c r="D344" s="103"/>
      <c r="E344" s="108"/>
    </row>
    <row r="345" spans="2:5" ht="15.6" x14ac:dyDescent="0.3">
      <c r="B345" s="47"/>
      <c r="C345" s="104"/>
      <c r="D345" s="104"/>
      <c r="E345" s="109"/>
    </row>
    <row r="346" spans="2:5" ht="15.6" x14ac:dyDescent="0.3">
      <c r="B346" s="102"/>
      <c r="C346" s="103"/>
      <c r="D346" s="103"/>
      <c r="E346" s="108"/>
    </row>
    <row r="347" spans="2:5" ht="15.6" x14ac:dyDescent="0.3">
      <c r="B347" s="47"/>
      <c r="C347" s="104"/>
      <c r="D347" s="104"/>
      <c r="E347" s="109"/>
    </row>
    <row r="348" spans="2:5" ht="15.6" x14ac:dyDescent="0.3">
      <c r="B348" s="102"/>
      <c r="C348" s="103"/>
      <c r="D348" s="103"/>
      <c r="E348" s="108"/>
    </row>
    <row r="349" spans="2:5" ht="15.6" x14ac:dyDescent="0.3">
      <c r="B349" s="47"/>
      <c r="C349" s="104"/>
      <c r="D349" s="104"/>
      <c r="E349" s="109"/>
    </row>
    <row r="350" spans="2:5" ht="15.6" x14ac:dyDescent="0.3">
      <c r="B350" s="102"/>
      <c r="C350" s="103"/>
      <c r="D350" s="103"/>
      <c r="E350" s="108"/>
    </row>
    <row r="351" spans="2:5" ht="15.6" x14ac:dyDescent="0.3">
      <c r="B351" s="47"/>
      <c r="C351" s="104"/>
      <c r="D351" s="104"/>
      <c r="E351" s="109"/>
    </row>
    <row r="352" spans="2:5" ht="15.6" x14ac:dyDescent="0.3">
      <c r="B352" s="102"/>
      <c r="C352" s="103"/>
      <c r="D352" s="103"/>
      <c r="E352" s="108"/>
    </row>
    <row r="353" spans="2:5" ht="15.6" x14ac:dyDescent="0.3">
      <c r="B353" s="47"/>
      <c r="C353" s="104"/>
      <c r="D353" s="104"/>
      <c r="E353" s="109"/>
    </row>
    <row r="354" spans="2:5" ht="15.6" x14ac:dyDescent="0.3">
      <c r="B354" s="102"/>
      <c r="C354" s="103"/>
      <c r="D354" s="103"/>
      <c r="E354" s="108"/>
    </row>
    <row r="355" spans="2:5" ht="15.6" x14ac:dyDescent="0.3">
      <c r="B355" s="47"/>
      <c r="C355" s="104"/>
      <c r="D355" s="104"/>
      <c r="E355" s="109"/>
    </row>
    <row r="356" spans="2:5" ht="15.6" x14ac:dyDescent="0.3">
      <c r="B356" s="102"/>
      <c r="C356" s="103"/>
      <c r="D356" s="103"/>
      <c r="E356" s="108"/>
    </row>
    <row r="357" spans="2:5" ht="15.6" x14ac:dyDescent="0.3">
      <c r="B357" s="47"/>
      <c r="C357" s="104"/>
      <c r="D357" s="104"/>
      <c r="E357" s="109"/>
    </row>
    <row r="358" spans="2:5" ht="15.6" x14ac:dyDescent="0.3">
      <c r="B358" s="102"/>
      <c r="C358" s="103"/>
      <c r="D358" s="103"/>
      <c r="E358" s="108"/>
    </row>
    <row r="359" spans="2:5" ht="15.6" x14ac:dyDescent="0.3">
      <c r="B359" s="47"/>
      <c r="C359" s="104"/>
      <c r="D359" s="104"/>
      <c r="E359" s="109"/>
    </row>
    <row r="360" spans="2:5" ht="15.6" x14ac:dyDescent="0.3">
      <c r="B360" s="102"/>
      <c r="C360" s="103"/>
      <c r="D360" s="103"/>
      <c r="E360" s="108"/>
    </row>
    <row r="361" spans="2:5" ht="15.6" x14ac:dyDescent="0.3">
      <c r="B361" s="47"/>
      <c r="C361" s="104"/>
      <c r="D361" s="104"/>
      <c r="E361" s="109"/>
    </row>
    <row r="362" spans="2:5" ht="15.6" x14ac:dyDescent="0.3">
      <c r="B362" s="102"/>
      <c r="C362" s="103"/>
      <c r="D362" s="103"/>
      <c r="E362" s="108"/>
    </row>
    <row r="363" spans="2:5" ht="15.6" x14ac:dyDescent="0.3">
      <c r="B363" s="47"/>
      <c r="C363" s="104"/>
      <c r="D363" s="104"/>
      <c r="E363" s="109"/>
    </row>
    <row r="364" spans="2:5" ht="15.6" x14ac:dyDescent="0.3">
      <c r="B364" s="102"/>
      <c r="C364" s="103"/>
      <c r="D364" s="103"/>
      <c r="E364" s="108"/>
    </row>
    <row r="365" spans="2:5" ht="15.6" x14ac:dyDescent="0.3">
      <c r="B365" s="47"/>
      <c r="C365" s="104"/>
      <c r="D365" s="104"/>
      <c r="E365" s="109"/>
    </row>
    <row r="366" spans="2:5" ht="15.6" x14ac:dyDescent="0.3">
      <c r="B366" s="102"/>
      <c r="C366" s="103"/>
      <c r="D366" s="103"/>
      <c r="E366" s="108"/>
    </row>
    <row r="367" spans="2:5" ht="15.6" x14ac:dyDescent="0.3">
      <c r="B367" s="47"/>
      <c r="C367" s="104"/>
      <c r="D367" s="104"/>
      <c r="E367" s="109"/>
    </row>
    <row r="368" spans="2:5" ht="15.6" x14ac:dyDescent="0.3">
      <c r="B368" s="102"/>
      <c r="C368" s="103"/>
      <c r="D368" s="103"/>
      <c r="E368" s="108"/>
    </row>
    <row r="369" spans="2:5" ht="15.6" x14ac:dyDescent="0.3">
      <c r="B369" s="47"/>
      <c r="C369" s="104"/>
      <c r="D369" s="104"/>
      <c r="E369" s="109"/>
    </row>
    <row r="370" spans="2:5" ht="15.6" x14ac:dyDescent="0.3">
      <c r="B370" s="102"/>
      <c r="C370" s="103"/>
      <c r="D370" s="103"/>
      <c r="E370" s="108"/>
    </row>
    <row r="371" spans="2:5" ht="15.6" x14ac:dyDescent="0.3">
      <c r="B371" s="47"/>
      <c r="C371" s="104"/>
      <c r="D371" s="104"/>
      <c r="E371" s="109"/>
    </row>
    <row r="372" spans="2:5" ht="15.6" x14ac:dyDescent="0.3">
      <c r="B372" s="102"/>
      <c r="C372" s="103"/>
      <c r="D372" s="103"/>
      <c r="E372" s="108"/>
    </row>
    <row r="373" spans="2:5" ht="15.6" x14ac:dyDescent="0.3">
      <c r="B373" s="47"/>
      <c r="C373" s="104"/>
      <c r="D373" s="104"/>
      <c r="E373" s="109"/>
    </row>
    <row r="374" spans="2:5" ht="15.6" x14ac:dyDescent="0.3">
      <c r="B374" s="102"/>
      <c r="C374" s="103"/>
      <c r="D374" s="103"/>
      <c r="E374" s="108"/>
    </row>
    <row r="375" spans="2:5" ht="15.6" x14ac:dyDescent="0.3">
      <c r="B375" s="47"/>
      <c r="C375" s="104"/>
      <c r="D375" s="104"/>
      <c r="E375" s="109"/>
    </row>
    <row r="376" spans="2:5" ht="15.6" x14ac:dyDescent="0.3">
      <c r="B376" s="102"/>
      <c r="C376" s="103"/>
      <c r="D376" s="103"/>
      <c r="E376" s="108"/>
    </row>
    <row r="377" spans="2:5" ht="15.6" x14ac:dyDescent="0.3">
      <c r="B377" s="47"/>
      <c r="C377" s="104"/>
      <c r="D377" s="104"/>
      <c r="E377" s="109"/>
    </row>
    <row r="378" spans="2:5" ht="15.6" x14ac:dyDescent="0.3">
      <c r="B378" s="102"/>
      <c r="C378" s="103"/>
      <c r="D378" s="103"/>
      <c r="E378" s="108"/>
    </row>
    <row r="379" spans="2:5" ht="15.6" x14ac:dyDescent="0.3">
      <c r="B379" s="47"/>
      <c r="C379" s="104"/>
      <c r="D379" s="104"/>
      <c r="E379" s="109"/>
    </row>
    <row r="380" spans="2:5" ht="15.6" x14ac:dyDescent="0.3">
      <c r="B380" s="102"/>
      <c r="C380" s="103"/>
      <c r="D380" s="103"/>
      <c r="E380" s="108"/>
    </row>
    <row r="381" spans="2:5" ht="15.6" x14ac:dyDescent="0.3">
      <c r="B381" s="47"/>
      <c r="C381" s="104"/>
      <c r="D381" s="104"/>
      <c r="E381" s="109"/>
    </row>
    <row r="382" spans="2:5" ht="15.6" x14ac:dyDescent="0.3">
      <c r="B382" s="102"/>
      <c r="C382" s="103"/>
      <c r="D382" s="103"/>
      <c r="E382" s="108"/>
    </row>
    <row r="383" spans="2:5" ht="15.6" x14ac:dyDescent="0.3">
      <c r="B383" s="47"/>
      <c r="C383" s="104"/>
      <c r="D383" s="104"/>
      <c r="E383" s="109"/>
    </row>
    <row r="384" spans="2:5" ht="15.6" x14ac:dyDescent="0.3">
      <c r="B384" s="102"/>
      <c r="C384" s="103"/>
      <c r="D384" s="103"/>
      <c r="E384" s="108"/>
    </row>
    <row r="385" spans="2:5" ht="15.6" x14ac:dyDescent="0.3">
      <c r="B385" s="47"/>
      <c r="C385" s="104"/>
      <c r="D385" s="104"/>
      <c r="E385" s="109"/>
    </row>
    <row r="386" spans="2:5" ht="15.6" x14ac:dyDescent="0.3">
      <c r="B386" s="102"/>
      <c r="C386" s="103"/>
      <c r="D386" s="103"/>
      <c r="E386" s="108"/>
    </row>
    <row r="387" spans="2:5" ht="15.6" x14ac:dyDescent="0.3">
      <c r="B387" s="47"/>
      <c r="C387" s="104"/>
      <c r="D387" s="104"/>
      <c r="E387" s="109"/>
    </row>
    <row r="388" spans="2:5" ht="15.6" x14ac:dyDescent="0.3">
      <c r="B388" s="102"/>
      <c r="C388" s="103"/>
      <c r="D388" s="103"/>
      <c r="E388" s="108"/>
    </row>
    <row r="389" spans="2:5" ht="15.6" x14ac:dyDescent="0.3">
      <c r="B389" s="47"/>
      <c r="C389" s="104"/>
      <c r="D389" s="104"/>
      <c r="E389" s="109"/>
    </row>
    <row r="390" spans="2:5" ht="15.6" x14ac:dyDescent="0.3">
      <c r="B390" s="102"/>
      <c r="C390" s="103"/>
      <c r="D390" s="103"/>
      <c r="E390" s="108"/>
    </row>
    <row r="391" spans="2:5" ht="15.6" x14ac:dyDescent="0.3">
      <c r="B391" s="47"/>
      <c r="C391" s="104"/>
      <c r="D391" s="104"/>
      <c r="E391" s="109"/>
    </row>
    <row r="392" spans="2:5" ht="15.6" x14ac:dyDescent="0.3">
      <c r="B392" s="102"/>
      <c r="C392" s="103"/>
      <c r="D392" s="103"/>
      <c r="E392" s="108"/>
    </row>
    <row r="393" spans="2:5" ht="15.6" x14ac:dyDescent="0.3">
      <c r="B393" s="47"/>
      <c r="C393" s="104"/>
      <c r="D393" s="104"/>
      <c r="E393" s="109"/>
    </row>
    <row r="394" spans="2:5" ht="15.6" x14ac:dyDescent="0.3">
      <c r="B394" s="102"/>
      <c r="C394" s="103"/>
      <c r="D394" s="103"/>
      <c r="E394" s="108"/>
    </row>
    <row r="395" spans="2:5" ht="15.6" x14ac:dyDescent="0.3">
      <c r="B395" s="47"/>
      <c r="C395" s="104"/>
      <c r="D395" s="104"/>
      <c r="E395" s="109"/>
    </row>
    <row r="396" spans="2:5" ht="15.6" x14ac:dyDescent="0.3">
      <c r="B396" s="102"/>
      <c r="C396" s="103"/>
      <c r="D396" s="103"/>
      <c r="E396" s="108"/>
    </row>
    <row r="397" spans="2:5" ht="15.6" x14ac:dyDescent="0.3">
      <c r="B397" s="47"/>
      <c r="C397" s="104"/>
      <c r="D397" s="104"/>
      <c r="E397" s="109"/>
    </row>
    <row r="398" spans="2:5" ht="15.6" x14ac:dyDescent="0.3">
      <c r="B398" s="102"/>
      <c r="C398" s="103"/>
      <c r="D398" s="103"/>
      <c r="E398" s="108"/>
    </row>
    <row r="399" spans="2:5" ht="15.6" x14ac:dyDescent="0.3">
      <c r="B399" s="47"/>
      <c r="C399" s="104"/>
      <c r="D399" s="104"/>
      <c r="E399" s="109"/>
    </row>
    <row r="400" spans="2:5" ht="15.6" x14ac:dyDescent="0.3">
      <c r="B400" s="102"/>
      <c r="C400" s="103"/>
      <c r="D400" s="103"/>
      <c r="E400" s="108"/>
    </row>
    <row r="401" spans="2:5" ht="15.6" x14ac:dyDescent="0.3">
      <c r="B401" s="47"/>
      <c r="C401" s="104"/>
      <c r="D401" s="104"/>
      <c r="E401" s="109"/>
    </row>
    <row r="402" spans="2:5" ht="15.6" x14ac:dyDescent="0.3">
      <c r="B402" s="102"/>
      <c r="C402" s="103"/>
      <c r="D402" s="103"/>
      <c r="E402" s="108"/>
    </row>
    <row r="403" spans="2:5" ht="15.6" x14ac:dyDescent="0.3">
      <c r="B403" s="47"/>
      <c r="C403" s="104"/>
      <c r="D403" s="104"/>
      <c r="E403" s="109"/>
    </row>
    <row r="404" spans="2:5" ht="15.6" x14ac:dyDescent="0.3">
      <c r="B404" s="102"/>
      <c r="C404" s="103"/>
      <c r="D404" s="103"/>
      <c r="E404" s="108"/>
    </row>
    <row r="405" spans="2:5" ht="15.6" x14ac:dyDescent="0.3">
      <c r="B405" s="47"/>
      <c r="C405" s="104"/>
      <c r="D405" s="104"/>
      <c r="E405" s="109"/>
    </row>
    <row r="406" spans="2:5" ht="15.6" x14ac:dyDescent="0.3">
      <c r="B406" s="102"/>
      <c r="C406" s="103"/>
      <c r="D406" s="103"/>
      <c r="E406" s="108"/>
    </row>
    <row r="407" spans="2:5" ht="15.6" x14ac:dyDescent="0.3">
      <c r="B407" s="47"/>
      <c r="C407" s="104"/>
      <c r="D407" s="104"/>
      <c r="E407" s="109"/>
    </row>
    <row r="408" spans="2:5" ht="15.6" x14ac:dyDescent="0.3">
      <c r="B408" s="102"/>
      <c r="C408" s="103"/>
      <c r="D408" s="103"/>
      <c r="E408" s="108"/>
    </row>
    <row r="409" spans="2:5" ht="15.6" x14ac:dyDescent="0.3">
      <c r="B409" s="47"/>
      <c r="C409" s="104"/>
      <c r="D409" s="104"/>
      <c r="E409" s="109"/>
    </row>
    <row r="410" spans="2:5" ht="15.6" x14ac:dyDescent="0.3">
      <c r="B410" s="102"/>
      <c r="C410" s="103"/>
      <c r="D410" s="103"/>
      <c r="E410" s="108"/>
    </row>
    <row r="411" spans="2:5" ht="15.6" x14ac:dyDescent="0.3">
      <c r="B411" s="47"/>
      <c r="C411" s="104"/>
      <c r="D411" s="104"/>
      <c r="E411" s="109"/>
    </row>
    <row r="412" spans="2:5" ht="15.6" x14ac:dyDescent="0.3">
      <c r="B412" s="102"/>
      <c r="C412" s="103"/>
      <c r="D412" s="103"/>
      <c r="E412" s="108"/>
    </row>
    <row r="413" spans="2:5" ht="15.6" x14ac:dyDescent="0.3">
      <c r="B413" s="47"/>
      <c r="C413" s="104"/>
      <c r="D413" s="104"/>
      <c r="E413" s="109"/>
    </row>
    <row r="414" spans="2:5" ht="15.6" x14ac:dyDescent="0.3">
      <c r="B414" s="102"/>
      <c r="C414" s="103"/>
      <c r="D414" s="103"/>
      <c r="E414" s="108"/>
    </row>
    <row r="415" spans="2:5" ht="15.6" x14ac:dyDescent="0.3">
      <c r="B415" s="47"/>
      <c r="C415" s="104"/>
      <c r="D415" s="104"/>
      <c r="E415" s="109"/>
    </row>
    <row r="416" spans="2:5" ht="15.6" x14ac:dyDescent="0.3">
      <c r="B416" s="102"/>
      <c r="C416" s="103"/>
      <c r="D416" s="103"/>
      <c r="E416" s="108"/>
    </row>
    <row r="417" spans="2:5" ht="15.6" x14ac:dyDescent="0.3">
      <c r="B417" s="47"/>
      <c r="C417" s="104"/>
      <c r="D417" s="104"/>
      <c r="E417" s="109"/>
    </row>
    <row r="418" spans="2:5" ht="15.6" x14ac:dyDescent="0.3">
      <c r="B418" s="102"/>
      <c r="C418" s="103"/>
      <c r="D418" s="103"/>
      <c r="E418" s="108"/>
    </row>
    <row r="419" spans="2:5" ht="15.6" x14ac:dyDescent="0.3">
      <c r="B419" s="47"/>
      <c r="C419" s="104"/>
      <c r="D419" s="104"/>
      <c r="E419" s="109"/>
    </row>
    <row r="420" spans="2:5" ht="15.6" x14ac:dyDescent="0.3">
      <c r="B420" s="102"/>
      <c r="C420" s="103"/>
      <c r="D420" s="103"/>
      <c r="E420" s="108"/>
    </row>
    <row r="421" spans="2:5" ht="15.6" x14ac:dyDescent="0.3">
      <c r="B421" s="47"/>
      <c r="C421" s="104"/>
      <c r="D421" s="104"/>
      <c r="E421" s="109"/>
    </row>
    <row r="422" spans="2:5" ht="15.6" x14ac:dyDescent="0.3">
      <c r="B422" s="102"/>
      <c r="C422" s="103"/>
      <c r="D422" s="103"/>
      <c r="E422" s="108"/>
    </row>
    <row r="423" spans="2:5" ht="15.6" x14ac:dyDescent="0.3">
      <c r="B423" s="47"/>
      <c r="C423" s="104"/>
      <c r="D423" s="104"/>
      <c r="E423" s="109"/>
    </row>
    <row r="424" spans="2:5" ht="15.6" x14ac:dyDescent="0.3">
      <c r="B424" s="102"/>
      <c r="C424" s="103"/>
      <c r="D424" s="103"/>
      <c r="E424" s="108"/>
    </row>
    <row r="425" spans="2:5" ht="15.6" x14ac:dyDescent="0.3">
      <c r="B425" s="47"/>
      <c r="C425" s="104"/>
      <c r="D425" s="104"/>
      <c r="E425" s="109"/>
    </row>
    <row r="426" spans="2:5" ht="15.6" x14ac:dyDescent="0.3">
      <c r="B426" s="102"/>
      <c r="C426" s="103"/>
      <c r="D426" s="103"/>
      <c r="E426" s="108"/>
    </row>
    <row r="427" spans="2:5" ht="15.6" x14ac:dyDescent="0.3">
      <c r="B427" s="47"/>
      <c r="C427" s="104"/>
      <c r="D427" s="104"/>
      <c r="E427" s="109"/>
    </row>
    <row r="428" spans="2:5" ht="15.6" x14ac:dyDescent="0.3">
      <c r="B428" s="102"/>
      <c r="C428" s="103"/>
      <c r="D428" s="103"/>
      <c r="E428" s="108"/>
    </row>
    <row r="429" spans="2:5" ht="15.6" x14ac:dyDescent="0.3">
      <c r="B429" s="47"/>
      <c r="C429" s="104"/>
      <c r="D429" s="104"/>
      <c r="E429" s="109"/>
    </row>
    <row r="430" spans="2:5" ht="15.6" x14ac:dyDescent="0.3">
      <c r="B430" s="102"/>
      <c r="C430" s="103"/>
      <c r="D430" s="103"/>
      <c r="E430" s="108"/>
    </row>
    <row r="431" spans="2:5" ht="15.6" x14ac:dyDescent="0.3">
      <c r="B431" s="47"/>
      <c r="C431" s="104"/>
      <c r="D431" s="104"/>
      <c r="E431" s="109"/>
    </row>
    <row r="432" spans="2:5" ht="15.6" x14ac:dyDescent="0.3">
      <c r="B432" s="102"/>
      <c r="C432" s="103"/>
      <c r="D432" s="103"/>
      <c r="E432" s="108"/>
    </row>
    <row r="433" spans="2:5" ht="15.6" x14ac:dyDescent="0.3">
      <c r="B433" s="47"/>
      <c r="C433" s="104"/>
      <c r="D433" s="104"/>
      <c r="E433" s="109"/>
    </row>
    <row r="434" spans="2:5" ht="15.6" x14ac:dyDescent="0.3">
      <c r="B434" s="102"/>
      <c r="C434" s="103"/>
      <c r="D434" s="103"/>
      <c r="E434" s="108"/>
    </row>
    <row r="435" spans="2:5" ht="15.6" x14ac:dyDescent="0.3">
      <c r="B435" s="47"/>
      <c r="C435" s="104"/>
      <c r="D435" s="104"/>
      <c r="E435" s="109"/>
    </row>
    <row r="436" spans="2:5" ht="15.6" x14ac:dyDescent="0.3">
      <c r="B436" s="102"/>
      <c r="C436" s="103"/>
      <c r="D436" s="103"/>
      <c r="E436" s="108"/>
    </row>
    <row r="437" spans="2:5" ht="15.6" x14ac:dyDescent="0.3">
      <c r="B437" s="47"/>
      <c r="C437" s="104"/>
      <c r="D437" s="104"/>
      <c r="E437" s="109"/>
    </row>
    <row r="438" spans="2:5" ht="15.6" x14ac:dyDescent="0.3">
      <c r="B438" s="102"/>
      <c r="C438" s="103"/>
      <c r="D438" s="103"/>
      <c r="E438" s="108"/>
    </row>
    <row r="439" spans="2:5" ht="15.6" x14ac:dyDescent="0.3">
      <c r="B439" s="47"/>
      <c r="C439" s="104"/>
      <c r="D439" s="104"/>
      <c r="E439" s="109"/>
    </row>
    <row r="440" spans="2:5" ht="15.6" x14ac:dyDescent="0.3">
      <c r="B440" s="102"/>
      <c r="C440" s="103"/>
      <c r="D440" s="103"/>
      <c r="E440" s="108"/>
    </row>
    <row r="441" spans="2:5" ht="15.6" x14ac:dyDescent="0.3">
      <c r="B441" s="47"/>
      <c r="C441" s="104"/>
      <c r="D441" s="104"/>
      <c r="E441" s="109"/>
    </row>
    <row r="442" spans="2:5" ht="15.6" x14ac:dyDescent="0.3">
      <c r="B442" s="102"/>
      <c r="C442" s="103"/>
      <c r="D442" s="103"/>
      <c r="E442" s="108"/>
    </row>
    <row r="443" spans="2:5" ht="15.6" x14ac:dyDescent="0.3">
      <c r="B443" s="47"/>
      <c r="C443" s="104"/>
      <c r="D443" s="104"/>
      <c r="E443" s="109"/>
    </row>
    <row r="444" spans="2:5" ht="15.6" x14ac:dyDescent="0.3">
      <c r="B444" s="102"/>
      <c r="C444" s="103"/>
      <c r="D444" s="103"/>
      <c r="E444" s="108"/>
    </row>
    <row r="445" spans="2:5" ht="15.6" x14ac:dyDescent="0.3">
      <c r="B445" s="47"/>
      <c r="C445" s="104"/>
      <c r="D445" s="104"/>
      <c r="E445" s="109"/>
    </row>
    <row r="446" spans="2:5" ht="15.6" x14ac:dyDescent="0.3">
      <c r="B446" s="102"/>
      <c r="C446" s="103"/>
      <c r="D446" s="103"/>
      <c r="E446" s="108"/>
    </row>
    <row r="447" spans="2:5" ht="15.6" x14ac:dyDescent="0.3">
      <c r="B447" s="47"/>
      <c r="C447" s="104"/>
      <c r="D447" s="104"/>
      <c r="E447" s="109"/>
    </row>
    <row r="448" spans="2:5" ht="15.6" x14ac:dyDescent="0.3">
      <c r="B448" s="102"/>
      <c r="C448" s="103"/>
      <c r="D448" s="103"/>
      <c r="E448" s="108"/>
    </row>
    <row r="449" spans="2:5" ht="15.6" x14ac:dyDescent="0.3">
      <c r="B449" s="47"/>
      <c r="C449" s="104"/>
      <c r="D449" s="104"/>
      <c r="E449" s="109"/>
    </row>
    <row r="450" spans="2:5" ht="15.6" x14ac:dyDescent="0.3">
      <c r="B450" s="102"/>
      <c r="C450" s="103"/>
      <c r="D450" s="103"/>
      <c r="E450" s="108"/>
    </row>
    <row r="451" spans="2:5" ht="15.6" x14ac:dyDescent="0.3">
      <c r="B451" s="47"/>
      <c r="C451" s="104"/>
      <c r="D451" s="104"/>
      <c r="E451" s="109"/>
    </row>
    <row r="452" spans="2:5" ht="15.6" x14ac:dyDescent="0.3">
      <c r="B452" s="102"/>
      <c r="C452" s="103"/>
      <c r="D452" s="103"/>
      <c r="E452" s="108"/>
    </row>
    <row r="453" spans="2:5" ht="15.6" x14ac:dyDescent="0.3">
      <c r="B453" s="47"/>
      <c r="C453" s="104"/>
      <c r="D453" s="104"/>
      <c r="E453" s="109"/>
    </row>
    <row r="454" spans="2:5" ht="15.6" x14ac:dyDescent="0.3">
      <c r="B454" s="102"/>
      <c r="C454" s="103"/>
      <c r="D454" s="103"/>
      <c r="E454" s="108"/>
    </row>
    <row r="455" spans="2:5" ht="15.6" x14ac:dyDescent="0.3">
      <c r="B455" s="47"/>
      <c r="C455" s="104"/>
      <c r="D455" s="104"/>
      <c r="E455" s="109"/>
    </row>
    <row r="456" spans="2:5" ht="15.6" x14ac:dyDescent="0.3">
      <c r="B456" s="102"/>
      <c r="C456" s="103"/>
      <c r="D456" s="103"/>
      <c r="E456" s="108"/>
    </row>
    <row r="457" spans="2:5" ht="15.6" x14ac:dyDescent="0.3">
      <c r="B457" s="47"/>
      <c r="C457" s="104"/>
      <c r="D457" s="104"/>
      <c r="E457" s="109"/>
    </row>
    <row r="458" spans="2:5" ht="15.6" x14ac:dyDescent="0.3">
      <c r="B458" s="102"/>
      <c r="C458" s="103"/>
      <c r="D458" s="103"/>
      <c r="E458" s="108"/>
    </row>
    <row r="459" spans="2:5" ht="15.6" x14ac:dyDescent="0.3">
      <c r="B459" s="47"/>
      <c r="C459" s="104"/>
      <c r="D459" s="104"/>
      <c r="E459" s="109"/>
    </row>
    <row r="460" spans="2:5" ht="15.6" x14ac:dyDescent="0.3">
      <c r="B460" s="102"/>
      <c r="C460" s="103"/>
      <c r="D460" s="103"/>
      <c r="E460" s="108"/>
    </row>
    <row r="461" spans="2:5" ht="15.6" x14ac:dyDescent="0.3">
      <c r="B461" s="47"/>
      <c r="C461" s="104"/>
      <c r="D461" s="104"/>
      <c r="E461" s="109"/>
    </row>
    <row r="462" spans="2:5" ht="15.6" x14ac:dyDescent="0.3">
      <c r="B462" s="102"/>
      <c r="C462" s="103"/>
      <c r="D462" s="103"/>
      <c r="E462" s="108"/>
    </row>
    <row r="463" spans="2:5" ht="15.6" x14ac:dyDescent="0.3">
      <c r="B463" s="47"/>
      <c r="C463" s="104"/>
      <c r="D463" s="104"/>
      <c r="E463" s="109"/>
    </row>
    <row r="464" spans="2:5" ht="15.6" x14ac:dyDescent="0.3">
      <c r="B464" s="102"/>
      <c r="C464" s="103"/>
      <c r="D464" s="103"/>
      <c r="E464" s="108"/>
    </row>
    <row r="465" spans="2:5" ht="15.6" x14ac:dyDescent="0.3">
      <c r="B465" s="47"/>
      <c r="C465" s="104"/>
      <c r="D465" s="104"/>
      <c r="E465" s="109"/>
    </row>
    <row r="466" spans="2:5" ht="15.6" x14ac:dyDescent="0.3">
      <c r="B466" s="102"/>
      <c r="C466" s="103"/>
      <c r="D466" s="103"/>
      <c r="E466" s="108"/>
    </row>
    <row r="467" spans="2:5" ht="15.6" x14ac:dyDescent="0.3">
      <c r="B467" s="47"/>
      <c r="C467" s="104"/>
      <c r="D467" s="104"/>
      <c r="E467" s="109"/>
    </row>
    <row r="468" spans="2:5" ht="15.6" x14ac:dyDescent="0.3">
      <c r="B468" s="102"/>
      <c r="C468" s="103"/>
      <c r="D468" s="103"/>
      <c r="E468" s="108"/>
    </row>
    <row r="469" spans="2:5" ht="15.6" x14ac:dyDescent="0.3">
      <c r="B469" s="47"/>
      <c r="C469" s="104"/>
      <c r="D469" s="104"/>
      <c r="E469" s="109"/>
    </row>
    <row r="470" spans="2:5" ht="15.6" x14ac:dyDescent="0.3">
      <c r="B470" s="102"/>
      <c r="C470" s="103"/>
      <c r="D470" s="103"/>
      <c r="E470" s="108"/>
    </row>
    <row r="471" spans="2:5" ht="15.6" x14ac:dyDescent="0.3">
      <c r="B471" s="47"/>
      <c r="C471" s="104"/>
      <c r="D471" s="104"/>
      <c r="E471" s="109"/>
    </row>
    <row r="472" spans="2:5" ht="15.6" x14ac:dyDescent="0.3">
      <c r="B472" s="102"/>
      <c r="C472" s="103"/>
      <c r="D472" s="103"/>
      <c r="E472" s="108"/>
    </row>
    <row r="473" spans="2:5" ht="15.6" x14ac:dyDescent="0.3">
      <c r="B473" s="47"/>
      <c r="C473" s="104"/>
      <c r="D473" s="104"/>
      <c r="E473" s="109"/>
    </row>
    <row r="474" spans="2:5" ht="15.6" x14ac:dyDescent="0.3">
      <c r="B474" s="102"/>
      <c r="C474" s="103"/>
      <c r="D474" s="103"/>
      <c r="E474" s="108"/>
    </row>
    <row r="475" spans="2:5" ht="15.6" x14ac:dyDescent="0.3">
      <c r="B475" s="47"/>
      <c r="C475" s="104"/>
      <c r="D475" s="104"/>
      <c r="E475" s="109"/>
    </row>
    <row r="476" spans="2:5" ht="15.6" x14ac:dyDescent="0.3">
      <c r="B476" s="102"/>
      <c r="C476" s="103"/>
      <c r="D476" s="103"/>
      <c r="E476" s="108"/>
    </row>
    <row r="477" spans="2:5" ht="15.6" x14ac:dyDescent="0.3">
      <c r="B477" s="47"/>
      <c r="C477" s="104"/>
      <c r="D477" s="104"/>
      <c r="E477" s="109"/>
    </row>
    <row r="478" spans="2:5" ht="15.6" x14ac:dyDescent="0.3">
      <c r="B478" s="102"/>
      <c r="C478" s="103"/>
      <c r="D478" s="103"/>
      <c r="E478" s="108"/>
    </row>
    <row r="479" spans="2:5" ht="15.6" x14ac:dyDescent="0.3">
      <c r="B479" s="47"/>
      <c r="C479" s="104"/>
      <c r="D479" s="104"/>
      <c r="E479" s="109"/>
    </row>
    <row r="480" spans="2:5" ht="15.6" x14ac:dyDescent="0.3">
      <c r="B480" s="102"/>
      <c r="C480" s="103"/>
      <c r="D480" s="103"/>
      <c r="E480" s="108"/>
    </row>
    <row r="481" spans="2:5" ht="15.6" x14ac:dyDescent="0.3">
      <c r="B481" s="47"/>
      <c r="C481" s="104"/>
      <c r="D481" s="104"/>
      <c r="E481" s="109"/>
    </row>
    <row r="482" spans="2:5" ht="15.6" x14ac:dyDescent="0.3">
      <c r="B482" s="102"/>
      <c r="C482" s="103"/>
      <c r="D482" s="103"/>
      <c r="E482" s="108"/>
    </row>
    <row r="483" spans="2:5" ht="15.6" x14ac:dyDescent="0.3">
      <c r="B483" s="47"/>
      <c r="C483" s="104"/>
      <c r="D483" s="104"/>
      <c r="E483" s="109"/>
    </row>
    <row r="484" spans="2:5" ht="15.6" x14ac:dyDescent="0.3">
      <c r="B484" s="102"/>
      <c r="C484" s="103"/>
      <c r="D484" s="103"/>
      <c r="E484" s="108"/>
    </row>
    <row r="485" spans="2:5" ht="15.6" x14ac:dyDescent="0.3">
      <c r="B485" s="47"/>
      <c r="C485" s="104"/>
      <c r="D485" s="104"/>
      <c r="E485" s="109"/>
    </row>
    <row r="486" spans="2:5" ht="15.6" x14ac:dyDescent="0.3">
      <c r="B486" s="102"/>
      <c r="C486" s="103"/>
      <c r="D486" s="103"/>
      <c r="E486" s="108"/>
    </row>
    <row r="487" spans="2:5" ht="15.6" x14ac:dyDescent="0.3">
      <c r="B487" s="47"/>
      <c r="C487" s="104"/>
      <c r="D487" s="104"/>
      <c r="E487" s="109"/>
    </row>
    <row r="488" spans="2:5" ht="15.6" x14ac:dyDescent="0.3">
      <c r="B488" s="102"/>
      <c r="C488" s="103"/>
      <c r="D488" s="103"/>
      <c r="E488" s="108"/>
    </row>
    <row r="489" spans="2:5" ht="15.6" x14ac:dyDescent="0.3">
      <c r="B489" s="47"/>
      <c r="C489" s="104"/>
      <c r="D489" s="104"/>
      <c r="E489" s="109"/>
    </row>
    <row r="490" spans="2:5" ht="15.6" x14ac:dyDescent="0.3">
      <c r="B490" s="102"/>
      <c r="C490" s="103"/>
      <c r="D490" s="103"/>
      <c r="E490" s="108"/>
    </row>
    <row r="491" spans="2:5" ht="15.6" x14ac:dyDescent="0.3">
      <c r="B491" s="47"/>
      <c r="C491" s="104"/>
      <c r="D491" s="104"/>
      <c r="E491" s="109"/>
    </row>
    <row r="492" spans="2:5" ht="15.6" x14ac:dyDescent="0.3">
      <c r="B492" s="102"/>
      <c r="C492" s="103"/>
      <c r="D492" s="103"/>
      <c r="E492" s="108"/>
    </row>
    <row r="493" spans="2:5" ht="15.6" x14ac:dyDescent="0.3">
      <c r="B493" s="47"/>
      <c r="C493" s="104"/>
      <c r="D493" s="104"/>
      <c r="E493" s="109"/>
    </row>
    <row r="494" spans="2:5" ht="15.6" x14ac:dyDescent="0.3">
      <c r="B494" s="102"/>
      <c r="C494" s="103"/>
      <c r="D494" s="103"/>
      <c r="E494" s="108"/>
    </row>
    <row r="495" spans="2:5" ht="15.6" x14ac:dyDescent="0.3">
      <c r="B495" s="47"/>
      <c r="C495" s="104"/>
      <c r="D495" s="104"/>
      <c r="E495" s="109"/>
    </row>
    <row r="496" spans="2:5" ht="15.6" x14ac:dyDescent="0.3">
      <c r="B496" s="102"/>
      <c r="C496" s="103"/>
      <c r="D496" s="103"/>
      <c r="E496" s="108"/>
    </row>
    <row r="497" spans="2:5" ht="15.6" x14ac:dyDescent="0.3">
      <c r="B497" s="47"/>
      <c r="C497" s="104"/>
      <c r="D497" s="104"/>
      <c r="E497" s="109"/>
    </row>
    <row r="498" spans="2:5" ht="15.6" x14ac:dyDescent="0.3">
      <c r="B498" s="102"/>
      <c r="C498" s="103"/>
      <c r="D498" s="103"/>
      <c r="E498" s="108"/>
    </row>
    <row r="499" spans="2:5" ht="15.6" x14ac:dyDescent="0.3">
      <c r="B499" s="47"/>
      <c r="C499" s="104"/>
      <c r="D499" s="104"/>
      <c r="E499" s="109"/>
    </row>
    <row r="500" spans="2:5" ht="15.6" x14ac:dyDescent="0.3">
      <c r="B500" s="102"/>
      <c r="C500" s="103"/>
      <c r="D500" s="103"/>
      <c r="E500" s="108"/>
    </row>
    <row r="501" spans="2:5" ht="15.6" x14ac:dyDescent="0.3">
      <c r="B501" s="47"/>
      <c r="C501" s="104"/>
      <c r="D501" s="104"/>
      <c r="E501" s="109"/>
    </row>
    <row r="502" spans="2:5" ht="15.6" x14ac:dyDescent="0.3">
      <c r="B502" s="102"/>
      <c r="C502" s="103"/>
      <c r="D502" s="103"/>
      <c r="E502" s="108"/>
    </row>
    <row r="503" spans="2:5" ht="15.6" x14ac:dyDescent="0.3">
      <c r="B503" s="47"/>
      <c r="C503" s="104"/>
      <c r="D503" s="104"/>
      <c r="E503" s="109"/>
    </row>
    <row r="504" spans="2:5" ht="15.6" x14ac:dyDescent="0.3">
      <c r="B504" s="102"/>
      <c r="C504" s="103"/>
      <c r="D504" s="103"/>
      <c r="E504" s="108"/>
    </row>
    <row r="505" spans="2:5" ht="15.6" x14ac:dyDescent="0.3">
      <c r="B505" s="47"/>
      <c r="C505" s="104"/>
      <c r="D505" s="104"/>
      <c r="E505" s="109"/>
    </row>
    <row r="506" spans="2:5" ht="15.6" x14ac:dyDescent="0.3">
      <c r="B506" s="102"/>
      <c r="C506" s="103"/>
      <c r="D506" s="103"/>
      <c r="E506" s="108"/>
    </row>
    <row r="507" spans="2:5" ht="15.6" x14ac:dyDescent="0.3">
      <c r="B507" s="47"/>
      <c r="C507" s="104"/>
      <c r="D507" s="104"/>
      <c r="E507" s="109"/>
    </row>
    <row r="508" spans="2:5" ht="15.6" x14ac:dyDescent="0.3">
      <c r="B508" s="102"/>
      <c r="C508" s="103"/>
      <c r="D508" s="103"/>
      <c r="E508" s="108"/>
    </row>
    <row r="509" spans="2:5" ht="15.6" x14ac:dyDescent="0.3">
      <c r="B509" s="47"/>
      <c r="C509" s="104"/>
      <c r="D509" s="104"/>
      <c r="E509" s="109"/>
    </row>
    <row r="510" spans="2:5" ht="15.6" x14ac:dyDescent="0.3">
      <c r="B510" s="102"/>
      <c r="C510" s="103"/>
      <c r="D510" s="103"/>
      <c r="E510" s="108"/>
    </row>
    <row r="511" spans="2:5" ht="15.6" x14ac:dyDescent="0.3">
      <c r="B511" s="47"/>
      <c r="C511" s="104"/>
      <c r="D511" s="104"/>
      <c r="E511" s="109"/>
    </row>
    <row r="512" spans="2:5" ht="15.6" x14ac:dyDescent="0.3">
      <c r="B512" s="102"/>
      <c r="C512" s="103"/>
      <c r="D512" s="103"/>
      <c r="E512" s="108"/>
    </row>
    <row r="513" spans="2:5" ht="15.6" x14ac:dyDescent="0.3">
      <c r="B513" s="47"/>
      <c r="C513" s="104"/>
      <c r="D513" s="104"/>
      <c r="E513" s="109"/>
    </row>
    <row r="514" spans="2:5" ht="15.6" x14ac:dyDescent="0.3">
      <c r="B514" s="102"/>
      <c r="C514" s="103"/>
      <c r="D514" s="103"/>
      <c r="E514" s="108"/>
    </row>
    <row r="515" spans="2:5" ht="15.6" x14ac:dyDescent="0.3">
      <c r="B515" s="47"/>
      <c r="C515" s="104"/>
      <c r="D515" s="104"/>
      <c r="E515" s="109"/>
    </row>
    <row r="516" spans="2:5" ht="15.6" x14ac:dyDescent="0.3">
      <c r="B516" s="102"/>
      <c r="C516" s="103"/>
      <c r="D516" s="103"/>
      <c r="E516" s="108"/>
    </row>
    <row r="517" spans="2:5" ht="15.6" x14ac:dyDescent="0.3">
      <c r="B517" s="47"/>
      <c r="C517" s="104"/>
      <c r="D517" s="104"/>
      <c r="E517" s="109"/>
    </row>
    <row r="518" spans="2:5" ht="15.6" x14ac:dyDescent="0.3">
      <c r="B518" s="102"/>
      <c r="C518" s="103"/>
      <c r="D518" s="103"/>
      <c r="E518" s="108"/>
    </row>
    <row r="519" spans="2:5" ht="15.6" x14ac:dyDescent="0.3">
      <c r="B519" s="47"/>
      <c r="C519" s="104"/>
      <c r="D519" s="104"/>
      <c r="E519" s="109"/>
    </row>
    <row r="520" spans="2:5" ht="15.6" x14ac:dyDescent="0.3">
      <c r="B520" s="102"/>
      <c r="C520" s="103"/>
      <c r="D520" s="103"/>
      <c r="E520" s="108"/>
    </row>
    <row r="521" spans="2:5" ht="15.6" x14ac:dyDescent="0.3">
      <c r="B521" s="47"/>
      <c r="C521" s="104"/>
      <c r="D521" s="104"/>
      <c r="E521" s="109"/>
    </row>
    <row r="522" spans="2:5" ht="15.6" x14ac:dyDescent="0.3">
      <c r="B522" s="102"/>
      <c r="C522" s="103"/>
      <c r="D522" s="103"/>
      <c r="E522" s="108"/>
    </row>
    <row r="523" spans="2:5" ht="15.6" x14ac:dyDescent="0.3">
      <c r="B523" s="47"/>
      <c r="C523" s="104"/>
      <c r="D523" s="104"/>
      <c r="E523" s="109"/>
    </row>
    <row r="524" spans="2:5" ht="15.6" x14ac:dyDescent="0.3">
      <c r="B524" s="102"/>
      <c r="C524" s="103"/>
      <c r="D524" s="103"/>
      <c r="E524" s="108"/>
    </row>
    <row r="525" spans="2:5" ht="15.6" x14ac:dyDescent="0.3">
      <c r="B525" s="47"/>
      <c r="C525" s="104"/>
      <c r="D525" s="104"/>
      <c r="E525" s="109"/>
    </row>
    <row r="526" spans="2:5" ht="15.6" x14ac:dyDescent="0.3">
      <c r="B526" s="102"/>
      <c r="C526" s="103"/>
      <c r="D526" s="103"/>
      <c r="E526" s="108"/>
    </row>
    <row r="527" spans="2:5" ht="15.6" x14ac:dyDescent="0.3">
      <c r="B527" s="47"/>
      <c r="C527" s="104"/>
      <c r="D527" s="104"/>
      <c r="E527" s="109"/>
    </row>
    <row r="528" spans="2:5" ht="15.6" x14ac:dyDescent="0.3">
      <c r="B528" s="102"/>
      <c r="C528" s="103"/>
      <c r="D528" s="103"/>
      <c r="E528" s="108"/>
    </row>
    <row r="529" spans="2:5" ht="15.6" x14ac:dyDescent="0.3">
      <c r="B529" s="47"/>
      <c r="C529" s="104"/>
      <c r="D529" s="104"/>
      <c r="E529" s="109"/>
    </row>
    <row r="530" spans="2:5" ht="15.6" x14ac:dyDescent="0.3">
      <c r="B530" s="102"/>
      <c r="C530" s="103"/>
      <c r="D530" s="103"/>
      <c r="E530" s="108"/>
    </row>
    <row r="531" spans="2:5" ht="15.6" x14ac:dyDescent="0.3">
      <c r="B531" s="47"/>
      <c r="C531" s="104"/>
      <c r="D531" s="104"/>
      <c r="E531" s="109"/>
    </row>
    <row r="532" spans="2:5" ht="15.6" x14ac:dyDescent="0.3">
      <c r="B532" s="102"/>
      <c r="C532" s="103"/>
      <c r="D532" s="103"/>
      <c r="E532" s="108"/>
    </row>
    <row r="533" spans="2:5" ht="15.6" x14ac:dyDescent="0.3">
      <c r="B533" s="47"/>
      <c r="C533" s="104"/>
      <c r="D533" s="104"/>
      <c r="E533" s="109"/>
    </row>
    <row r="534" spans="2:5" ht="15.6" x14ac:dyDescent="0.3">
      <c r="B534" s="102"/>
      <c r="C534" s="103"/>
      <c r="D534" s="103"/>
      <c r="E534" s="108"/>
    </row>
    <row r="535" spans="2:5" ht="15.6" x14ac:dyDescent="0.3">
      <c r="B535" s="47"/>
      <c r="C535" s="104"/>
      <c r="D535" s="104"/>
      <c r="E535" s="109"/>
    </row>
    <row r="536" spans="2:5" ht="15.6" x14ac:dyDescent="0.3">
      <c r="B536" s="102"/>
      <c r="C536" s="103"/>
      <c r="D536" s="103"/>
      <c r="E536" s="108"/>
    </row>
    <row r="537" spans="2:5" ht="15.6" x14ac:dyDescent="0.3">
      <c r="B537" s="47"/>
      <c r="C537" s="104"/>
      <c r="D537" s="104"/>
      <c r="E537" s="109"/>
    </row>
    <row r="538" spans="2:5" ht="15.6" x14ac:dyDescent="0.3">
      <c r="B538" s="102"/>
      <c r="C538" s="103"/>
      <c r="D538" s="103"/>
      <c r="E538" s="108"/>
    </row>
    <row r="539" spans="2:5" ht="15.6" x14ac:dyDescent="0.3">
      <c r="B539" s="47"/>
      <c r="C539" s="104"/>
      <c r="D539" s="104"/>
      <c r="E539" s="109"/>
    </row>
    <row r="540" spans="2:5" ht="15.6" x14ac:dyDescent="0.3">
      <c r="B540" s="102"/>
      <c r="C540" s="103"/>
      <c r="D540" s="103"/>
      <c r="E540" s="108"/>
    </row>
    <row r="541" spans="2:5" ht="15.6" x14ac:dyDescent="0.3">
      <c r="B541" s="47"/>
      <c r="C541" s="104"/>
      <c r="D541" s="104"/>
      <c r="E541" s="109"/>
    </row>
    <row r="542" spans="2:5" ht="15.6" x14ac:dyDescent="0.3">
      <c r="B542" s="102"/>
      <c r="C542" s="103"/>
      <c r="D542" s="103"/>
      <c r="E542" s="108"/>
    </row>
    <row r="543" spans="2:5" ht="15.6" x14ac:dyDescent="0.3">
      <c r="B543" s="47"/>
      <c r="C543" s="104"/>
      <c r="D543" s="104"/>
      <c r="E543" s="109"/>
    </row>
    <row r="544" spans="2:5" ht="15.6" x14ac:dyDescent="0.3">
      <c r="B544" s="102"/>
      <c r="C544" s="103"/>
      <c r="D544" s="103"/>
      <c r="E544" s="108"/>
    </row>
    <row r="545" spans="2:5" ht="15.6" x14ac:dyDescent="0.3">
      <c r="B545" s="47"/>
      <c r="C545" s="104"/>
      <c r="D545" s="104"/>
      <c r="E545" s="109"/>
    </row>
    <row r="546" spans="2:5" ht="15.6" x14ac:dyDescent="0.3">
      <c r="B546" s="102"/>
      <c r="C546" s="103"/>
      <c r="D546" s="103"/>
      <c r="E546" s="108"/>
    </row>
    <row r="547" spans="2:5" ht="15.6" x14ac:dyDescent="0.3">
      <c r="B547" s="47"/>
      <c r="C547" s="104"/>
      <c r="D547" s="104"/>
      <c r="E547" s="109"/>
    </row>
    <row r="548" spans="2:5" ht="15.6" x14ac:dyDescent="0.3">
      <c r="B548" s="102"/>
      <c r="C548" s="103"/>
      <c r="D548" s="103"/>
      <c r="E548" s="108"/>
    </row>
    <row r="549" spans="2:5" ht="15.6" x14ac:dyDescent="0.3">
      <c r="B549" s="47"/>
      <c r="C549" s="104"/>
      <c r="D549" s="104"/>
      <c r="E549" s="109"/>
    </row>
    <row r="550" spans="2:5" ht="15.6" x14ac:dyDescent="0.3">
      <c r="B550" s="102"/>
      <c r="C550" s="103"/>
      <c r="D550" s="103"/>
      <c r="E550" s="108"/>
    </row>
    <row r="551" spans="2:5" ht="15.6" x14ac:dyDescent="0.3">
      <c r="B551" s="47"/>
      <c r="C551" s="104"/>
      <c r="D551" s="104"/>
      <c r="E551" s="109"/>
    </row>
    <row r="552" spans="2:5" ht="15.6" x14ac:dyDescent="0.3">
      <c r="B552" s="102"/>
      <c r="C552" s="103"/>
      <c r="D552" s="103"/>
      <c r="E552" s="108"/>
    </row>
    <row r="553" spans="2:5" ht="15.6" x14ac:dyDescent="0.3">
      <c r="B553" s="47"/>
      <c r="C553" s="104"/>
      <c r="D553" s="104"/>
      <c r="E553" s="109"/>
    </row>
    <row r="554" spans="2:5" ht="15.6" x14ac:dyDescent="0.3">
      <c r="B554" s="102"/>
      <c r="C554" s="103"/>
      <c r="D554" s="103"/>
      <c r="E554" s="108"/>
    </row>
    <row r="555" spans="2:5" ht="15.6" x14ac:dyDescent="0.3">
      <c r="B555" s="47"/>
      <c r="C555" s="104"/>
      <c r="D555" s="104"/>
      <c r="E555" s="109"/>
    </row>
    <row r="556" spans="2:5" ht="15.6" x14ac:dyDescent="0.3">
      <c r="B556" s="102"/>
      <c r="C556" s="103"/>
      <c r="D556" s="103"/>
      <c r="E556" s="108"/>
    </row>
    <row r="557" spans="2:5" ht="15.6" x14ac:dyDescent="0.3">
      <c r="B557" s="47"/>
      <c r="C557" s="104"/>
      <c r="D557" s="104"/>
      <c r="E557" s="109"/>
    </row>
    <row r="558" spans="2:5" ht="15.6" x14ac:dyDescent="0.3">
      <c r="B558" s="102"/>
      <c r="C558" s="103"/>
      <c r="D558" s="103"/>
      <c r="E558" s="108"/>
    </row>
    <row r="559" spans="2:5" ht="15.6" x14ac:dyDescent="0.3">
      <c r="B559" s="47"/>
      <c r="C559" s="104"/>
      <c r="D559" s="104"/>
      <c r="E559" s="109"/>
    </row>
    <row r="560" spans="2:5" ht="15.6" x14ac:dyDescent="0.3">
      <c r="B560" s="102"/>
      <c r="C560" s="103"/>
      <c r="D560" s="103"/>
      <c r="E560" s="108"/>
    </row>
    <row r="561" spans="2:5" ht="15.6" x14ac:dyDescent="0.3">
      <c r="B561" s="47"/>
      <c r="C561" s="104"/>
      <c r="D561" s="104"/>
      <c r="E561" s="109"/>
    </row>
    <row r="562" spans="2:5" ht="15.6" x14ac:dyDescent="0.3">
      <c r="B562" s="102"/>
      <c r="C562" s="103"/>
      <c r="D562" s="103"/>
      <c r="E562" s="108"/>
    </row>
    <row r="563" spans="2:5" ht="15.6" x14ac:dyDescent="0.3">
      <c r="B563" s="47"/>
      <c r="C563" s="104"/>
      <c r="D563" s="104"/>
      <c r="E563" s="109"/>
    </row>
    <row r="564" spans="2:5" ht="15.6" x14ac:dyDescent="0.3">
      <c r="B564" s="102"/>
      <c r="C564" s="103"/>
      <c r="D564" s="103"/>
      <c r="E564" s="108"/>
    </row>
    <row r="565" spans="2:5" ht="15.6" x14ac:dyDescent="0.3">
      <c r="B565" s="47"/>
      <c r="C565" s="104"/>
      <c r="D565" s="104"/>
      <c r="E565" s="109"/>
    </row>
    <row r="566" spans="2:5" ht="15.6" x14ac:dyDescent="0.3">
      <c r="B566" s="102"/>
      <c r="C566" s="103"/>
      <c r="D566" s="103"/>
      <c r="E566" s="108"/>
    </row>
    <row r="567" spans="2:5" ht="15.6" x14ac:dyDescent="0.3">
      <c r="B567" s="47"/>
      <c r="C567" s="104"/>
      <c r="D567" s="104"/>
      <c r="E567" s="109"/>
    </row>
    <row r="568" spans="2:5" ht="15.6" x14ac:dyDescent="0.3">
      <c r="B568" s="102"/>
      <c r="C568" s="103"/>
      <c r="D568" s="103"/>
      <c r="E568" s="108"/>
    </row>
    <row r="569" spans="2:5" ht="15.6" x14ac:dyDescent="0.3">
      <c r="B569" s="47"/>
      <c r="C569" s="104"/>
      <c r="D569" s="104"/>
      <c r="E569" s="109"/>
    </row>
    <row r="570" spans="2:5" ht="15.6" x14ac:dyDescent="0.3">
      <c r="B570" s="102"/>
      <c r="C570" s="103"/>
      <c r="D570" s="103"/>
      <c r="E570" s="108"/>
    </row>
    <row r="571" spans="2:5" ht="15.6" x14ac:dyDescent="0.3">
      <c r="B571" s="47"/>
      <c r="C571" s="104"/>
      <c r="D571" s="104"/>
      <c r="E571" s="109"/>
    </row>
    <row r="572" spans="2:5" ht="15.6" x14ac:dyDescent="0.3">
      <c r="B572" s="102"/>
      <c r="C572" s="103"/>
      <c r="D572" s="103"/>
      <c r="E572" s="108"/>
    </row>
    <row r="573" spans="2:5" ht="15.6" x14ac:dyDescent="0.3">
      <c r="B573" s="47"/>
      <c r="C573" s="104"/>
      <c r="D573" s="104"/>
      <c r="E573" s="109"/>
    </row>
    <row r="574" spans="2:5" ht="15.6" x14ac:dyDescent="0.3">
      <c r="B574" s="102"/>
      <c r="C574" s="103"/>
      <c r="D574" s="103"/>
      <c r="E574" s="108"/>
    </row>
    <row r="575" spans="2:5" ht="15.6" x14ac:dyDescent="0.3">
      <c r="B575" s="47"/>
      <c r="C575" s="104"/>
      <c r="D575" s="104"/>
      <c r="E575" s="109"/>
    </row>
    <row r="576" spans="2:5" ht="15.6" x14ac:dyDescent="0.3">
      <c r="B576" s="102"/>
      <c r="C576" s="103"/>
      <c r="D576" s="103"/>
      <c r="E576" s="108"/>
    </row>
    <row r="577" spans="2:5" ht="15.6" x14ac:dyDescent="0.3">
      <c r="B577" s="47"/>
      <c r="C577" s="104"/>
      <c r="D577" s="104"/>
      <c r="E577" s="109"/>
    </row>
    <row r="578" spans="2:5" ht="15.6" x14ac:dyDescent="0.3">
      <c r="B578" s="102"/>
      <c r="C578" s="103"/>
      <c r="D578" s="103"/>
      <c r="E578" s="108"/>
    </row>
    <row r="579" spans="2:5" ht="15.6" x14ac:dyDescent="0.3">
      <c r="B579" s="47"/>
      <c r="C579" s="104"/>
      <c r="D579" s="104"/>
      <c r="E579" s="109"/>
    </row>
    <row r="580" spans="2:5" ht="15.6" x14ac:dyDescent="0.3">
      <c r="B580" s="102"/>
      <c r="C580" s="103"/>
      <c r="D580" s="103"/>
      <c r="E580" s="108"/>
    </row>
    <row r="581" spans="2:5" ht="15.6" x14ac:dyDescent="0.3">
      <c r="B581" s="47"/>
      <c r="C581" s="104"/>
      <c r="D581" s="104"/>
      <c r="E581" s="109"/>
    </row>
    <row r="582" spans="2:5" ht="15.6" x14ac:dyDescent="0.3">
      <c r="B582" s="102"/>
      <c r="C582" s="103"/>
      <c r="D582" s="103"/>
      <c r="E582" s="108"/>
    </row>
    <row r="583" spans="2:5" ht="15.6" x14ac:dyDescent="0.3">
      <c r="B583" s="47"/>
      <c r="C583" s="104"/>
      <c r="D583" s="104"/>
      <c r="E583" s="109"/>
    </row>
    <row r="584" spans="2:5" ht="15.6" x14ac:dyDescent="0.3">
      <c r="B584" s="102"/>
      <c r="C584" s="103"/>
      <c r="D584" s="103"/>
      <c r="E584" s="108"/>
    </row>
    <row r="585" spans="2:5" ht="15.6" x14ac:dyDescent="0.3">
      <c r="B585" s="47"/>
      <c r="C585" s="104"/>
      <c r="D585" s="104"/>
      <c r="E585" s="109"/>
    </row>
    <row r="586" spans="2:5" ht="15.6" x14ac:dyDescent="0.3">
      <c r="B586" s="102"/>
      <c r="C586" s="103"/>
      <c r="D586" s="103"/>
      <c r="E586" s="108"/>
    </row>
    <row r="587" spans="2:5" ht="15.6" x14ac:dyDescent="0.3">
      <c r="B587" s="47"/>
      <c r="C587" s="104"/>
      <c r="D587" s="104"/>
      <c r="E587" s="109"/>
    </row>
    <row r="588" spans="2:5" ht="15.6" x14ac:dyDescent="0.3">
      <c r="B588" s="102"/>
      <c r="C588" s="103"/>
      <c r="D588" s="103"/>
      <c r="E588" s="108"/>
    </row>
    <row r="589" spans="2:5" ht="15.6" x14ac:dyDescent="0.3">
      <c r="B589" s="47"/>
      <c r="C589" s="104"/>
      <c r="D589" s="104"/>
      <c r="E589" s="109"/>
    </row>
    <row r="590" spans="2:5" ht="15.6" x14ac:dyDescent="0.3">
      <c r="B590" s="102"/>
      <c r="C590" s="103"/>
      <c r="D590" s="103"/>
      <c r="E590" s="108"/>
    </row>
    <row r="591" spans="2:5" ht="15.6" x14ac:dyDescent="0.3">
      <c r="B591" s="47"/>
      <c r="C591" s="104"/>
      <c r="D591" s="104"/>
      <c r="E591" s="109"/>
    </row>
    <row r="592" spans="2:5" ht="15.6" x14ac:dyDescent="0.3">
      <c r="B592" s="102"/>
      <c r="C592" s="103"/>
      <c r="D592" s="103"/>
      <c r="E592" s="108"/>
    </row>
    <row r="593" spans="2:5" ht="15.6" x14ac:dyDescent="0.3">
      <c r="B593" s="47"/>
      <c r="C593" s="104"/>
      <c r="D593" s="104"/>
      <c r="E593" s="109"/>
    </row>
    <row r="594" spans="2:5" ht="15.6" x14ac:dyDescent="0.3">
      <c r="B594" s="102"/>
      <c r="C594" s="103"/>
      <c r="D594" s="103"/>
      <c r="E594" s="108"/>
    </row>
    <row r="595" spans="2:5" ht="15.6" x14ac:dyDescent="0.3">
      <c r="B595" s="47"/>
      <c r="C595" s="104"/>
      <c r="D595" s="104"/>
      <c r="E595" s="109"/>
    </row>
    <row r="596" spans="2:5" ht="15.6" x14ac:dyDescent="0.3">
      <c r="B596" s="102"/>
      <c r="C596" s="103"/>
      <c r="D596" s="103"/>
      <c r="E596" s="108"/>
    </row>
    <row r="597" spans="2:5" ht="15.6" x14ac:dyDescent="0.3">
      <c r="B597" s="47"/>
      <c r="C597" s="104"/>
      <c r="D597" s="104"/>
      <c r="E597" s="109"/>
    </row>
    <row r="598" spans="2:5" ht="15.6" x14ac:dyDescent="0.3">
      <c r="B598" s="102"/>
      <c r="C598" s="103"/>
      <c r="D598" s="103"/>
      <c r="E598" s="108"/>
    </row>
    <row r="599" spans="2:5" ht="15.6" x14ac:dyDescent="0.3">
      <c r="B599" s="47"/>
      <c r="C599" s="104"/>
      <c r="D599" s="104"/>
      <c r="E599" s="109"/>
    </row>
    <row r="600" spans="2:5" ht="15.6" x14ac:dyDescent="0.3">
      <c r="B600" s="102"/>
      <c r="C600" s="103"/>
      <c r="D600" s="103"/>
      <c r="E600" s="108"/>
    </row>
    <row r="601" spans="2:5" ht="15.6" x14ac:dyDescent="0.3">
      <c r="B601" s="47"/>
      <c r="C601" s="104"/>
      <c r="D601" s="104"/>
      <c r="E601" s="109"/>
    </row>
    <row r="602" spans="2:5" ht="15.6" x14ac:dyDescent="0.3">
      <c r="B602" s="102"/>
      <c r="C602" s="103"/>
      <c r="D602" s="103"/>
      <c r="E602" s="108"/>
    </row>
    <row r="603" spans="2:5" ht="15.6" x14ac:dyDescent="0.3">
      <c r="B603" s="47"/>
      <c r="C603" s="104"/>
      <c r="D603" s="104"/>
      <c r="E603" s="109"/>
    </row>
    <row r="604" spans="2:5" ht="15.6" x14ac:dyDescent="0.3">
      <c r="B604" s="102"/>
      <c r="C604" s="103"/>
      <c r="D604" s="103"/>
      <c r="E604" s="108"/>
    </row>
    <row r="605" spans="2:5" ht="15.6" x14ac:dyDescent="0.3">
      <c r="B605" s="47"/>
      <c r="C605" s="104"/>
      <c r="D605" s="104"/>
      <c r="E605" s="109"/>
    </row>
    <row r="606" spans="2:5" ht="15.6" x14ac:dyDescent="0.3">
      <c r="B606" s="102"/>
      <c r="C606" s="103"/>
      <c r="D606" s="103"/>
      <c r="E606" s="108"/>
    </row>
    <row r="607" spans="2:5" ht="15.6" x14ac:dyDescent="0.3">
      <c r="B607" s="47"/>
      <c r="C607" s="104"/>
      <c r="D607" s="104"/>
      <c r="E607" s="109"/>
    </row>
    <row r="608" spans="2:5" ht="15.6" x14ac:dyDescent="0.3">
      <c r="B608" s="102"/>
      <c r="C608" s="103"/>
      <c r="D608" s="103"/>
      <c r="E608" s="108"/>
    </row>
    <row r="609" spans="2:5" ht="15.6" x14ac:dyDescent="0.3">
      <c r="B609" s="47"/>
      <c r="C609" s="104"/>
      <c r="D609" s="104"/>
      <c r="E609" s="109"/>
    </row>
    <row r="610" spans="2:5" ht="15.6" x14ac:dyDescent="0.3">
      <c r="B610" s="102"/>
      <c r="C610" s="103"/>
      <c r="D610" s="103"/>
      <c r="E610" s="108"/>
    </row>
    <row r="611" spans="2:5" ht="15.6" x14ac:dyDescent="0.3">
      <c r="B611" s="47"/>
      <c r="C611" s="104"/>
      <c r="D611" s="104"/>
      <c r="E611" s="109"/>
    </row>
    <row r="612" spans="2:5" ht="15.6" x14ac:dyDescent="0.3">
      <c r="B612" s="102"/>
      <c r="C612" s="103"/>
      <c r="D612" s="103"/>
      <c r="E612" s="108"/>
    </row>
    <row r="613" spans="2:5" ht="15.6" x14ac:dyDescent="0.3">
      <c r="B613" s="47"/>
      <c r="C613" s="104"/>
      <c r="D613" s="104"/>
      <c r="E613" s="109"/>
    </row>
    <row r="614" spans="2:5" ht="15.6" x14ac:dyDescent="0.3">
      <c r="B614" s="102"/>
      <c r="C614" s="103"/>
      <c r="D614" s="103"/>
      <c r="E614" s="108"/>
    </row>
    <row r="615" spans="2:5" ht="15.6" x14ac:dyDescent="0.3">
      <c r="B615" s="47"/>
      <c r="C615" s="104"/>
      <c r="D615" s="104"/>
      <c r="E615" s="109"/>
    </row>
    <row r="616" spans="2:5" ht="15.6" x14ac:dyDescent="0.3">
      <c r="B616" s="102"/>
      <c r="C616" s="103"/>
      <c r="D616" s="103"/>
      <c r="E616" s="108"/>
    </row>
    <row r="617" spans="2:5" ht="15.6" x14ac:dyDescent="0.3">
      <c r="B617" s="47"/>
      <c r="C617" s="104"/>
      <c r="D617" s="104"/>
      <c r="E617" s="109"/>
    </row>
    <row r="618" spans="2:5" ht="15.6" x14ac:dyDescent="0.3">
      <c r="B618" s="102"/>
      <c r="C618" s="103"/>
      <c r="D618" s="103"/>
      <c r="E618" s="108"/>
    </row>
    <row r="619" spans="2:5" ht="15.6" x14ac:dyDescent="0.3">
      <c r="B619" s="47"/>
      <c r="C619" s="104"/>
      <c r="D619" s="104"/>
      <c r="E619" s="109"/>
    </row>
    <row r="620" spans="2:5" ht="15.6" x14ac:dyDescent="0.3">
      <c r="B620" s="102"/>
      <c r="C620" s="103"/>
      <c r="D620" s="103"/>
      <c r="E620" s="108"/>
    </row>
    <row r="621" spans="2:5" ht="15.6" x14ac:dyDescent="0.3">
      <c r="B621" s="47"/>
      <c r="C621" s="104"/>
      <c r="D621" s="104"/>
      <c r="E621" s="109"/>
    </row>
    <row r="622" spans="2:5" ht="15.6" x14ac:dyDescent="0.3">
      <c r="B622" s="102"/>
      <c r="C622" s="103"/>
      <c r="D622" s="103"/>
      <c r="E622" s="108"/>
    </row>
    <row r="623" spans="2:5" ht="15.6" x14ac:dyDescent="0.3">
      <c r="B623" s="47"/>
      <c r="C623" s="104"/>
      <c r="D623" s="104"/>
      <c r="E623" s="109"/>
    </row>
    <row r="624" spans="2:5" ht="15.6" x14ac:dyDescent="0.3">
      <c r="B624" s="102"/>
      <c r="C624" s="103"/>
      <c r="D624" s="103"/>
      <c r="E624" s="108"/>
    </row>
    <row r="625" spans="2:5" ht="15.6" x14ac:dyDescent="0.3">
      <c r="B625" s="47"/>
      <c r="C625" s="104"/>
      <c r="D625" s="104"/>
      <c r="E625" s="109"/>
    </row>
    <row r="626" spans="2:5" ht="15.6" x14ac:dyDescent="0.3">
      <c r="B626" s="102"/>
      <c r="C626" s="103"/>
      <c r="D626" s="103"/>
      <c r="E626" s="108"/>
    </row>
    <row r="627" spans="2:5" ht="15.6" x14ac:dyDescent="0.3">
      <c r="B627" s="47"/>
      <c r="C627" s="104"/>
      <c r="D627" s="104"/>
      <c r="E627" s="109"/>
    </row>
    <row r="628" spans="2:5" ht="15.6" x14ac:dyDescent="0.3">
      <c r="B628" s="102"/>
      <c r="C628" s="103"/>
      <c r="D628" s="103"/>
      <c r="E628" s="108"/>
    </row>
    <row r="629" spans="2:5" ht="15.6" x14ac:dyDescent="0.3">
      <c r="B629" s="47"/>
      <c r="C629" s="104"/>
      <c r="D629" s="104"/>
      <c r="E629" s="109"/>
    </row>
    <row r="630" spans="2:5" ht="15.6" x14ac:dyDescent="0.3">
      <c r="B630" s="102"/>
      <c r="C630" s="103"/>
      <c r="D630" s="103"/>
      <c r="E630" s="108"/>
    </row>
    <row r="631" spans="2:5" ht="15.6" x14ac:dyDescent="0.3">
      <c r="B631" s="47"/>
      <c r="C631" s="104"/>
      <c r="D631" s="104"/>
      <c r="E631" s="109"/>
    </row>
    <row r="632" spans="2:5" ht="15.6" x14ac:dyDescent="0.3">
      <c r="B632" s="102"/>
      <c r="C632" s="103"/>
      <c r="D632" s="103"/>
      <c r="E632" s="108"/>
    </row>
    <row r="633" spans="2:5" ht="15.6" x14ac:dyDescent="0.3">
      <c r="B633" s="47"/>
      <c r="C633" s="104"/>
      <c r="D633" s="104"/>
      <c r="E633" s="109"/>
    </row>
    <row r="634" spans="2:5" ht="15.6" x14ac:dyDescent="0.3">
      <c r="B634" s="102"/>
      <c r="C634" s="103"/>
      <c r="D634" s="103"/>
      <c r="E634" s="108"/>
    </row>
    <row r="635" spans="2:5" ht="15.6" x14ac:dyDescent="0.3">
      <c r="B635" s="47"/>
      <c r="C635" s="104"/>
      <c r="D635" s="104"/>
      <c r="E635" s="109"/>
    </row>
    <row r="636" spans="2:5" ht="15.6" x14ac:dyDescent="0.3">
      <c r="B636" s="102"/>
      <c r="C636" s="103"/>
      <c r="D636" s="103"/>
      <c r="E636" s="108"/>
    </row>
    <row r="637" spans="2:5" ht="15.6" x14ac:dyDescent="0.3">
      <c r="B637" s="47"/>
      <c r="C637" s="104"/>
      <c r="D637" s="104"/>
      <c r="E637" s="109"/>
    </row>
    <row r="638" spans="2:5" ht="15.6" x14ac:dyDescent="0.3">
      <c r="B638" s="102"/>
      <c r="C638" s="103"/>
      <c r="D638" s="103"/>
      <c r="E638" s="108"/>
    </row>
    <row r="639" spans="2:5" ht="15.6" x14ac:dyDescent="0.3">
      <c r="B639" s="47"/>
      <c r="C639" s="104"/>
      <c r="D639" s="104"/>
      <c r="E639" s="109"/>
    </row>
    <row r="640" spans="2:5" ht="15.6" x14ac:dyDescent="0.3">
      <c r="B640" s="102"/>
      <c r="C640" s="103"/>
      <c r="D640" s="103"/>
      <c r="E640" s="108"/>
    </row>
    <row r="641" spans="2:5" ht="15.6" x14ac:dyDescent="0.3">
      <c r="B641" s="47"/>
      <c r="C641" s="104"/>
      <c r="D641" s="104"/>
      <c r="E641" s="109"/>
    </row>
    <row r="642" spans="2:5" ht="15.6" x14ac:dyDescent="0.3">
      <c r="B642" s="102"/>
      <c r="C642" s="103"/>
      <c r="D642" s="103"/>
      <c r="E642" s="108"/>
    </row>
    <row r="643" spans="2:5" ht="15.6" x14ac:dyDescent="0.3">
      <c r="B643" s="47"/>
      <c r="C643" s="104"/>
      <c r="D643" s="104"/>
      <c r="E643" s="109"/>
    </row>
    <row r="644" spans="2:5" ht="15.6" x14ac:dyDescent="0.3">
      <c r="B644" s="102"/>
      <c r="C644" s="103"/>
      <c r="D644" s="103"/>
      <c r="E644" s="108"/>
    </row>
    <row r="645" spans="2:5" ht="15.6" x14ac:dyDescent="0.3">
      <c r="B645" s="47"/>
      <c r="C645" s="104"/>
      <c r="D645" s="104"/>
      <c r="E645" s="109"/>
    </row>
    <row r="646" spans="2:5" ht="15.6" x14ac:dyDescent="0.3">
      <c r="B646" s="102"/>
      <c r="C646" s="103"/>
      <c r="D646" s="103"/>
      <c r="E646" s="108"/>
    </row>
    <row r="647" spans="2:5" ht="15.6" x14ac:dyDescent="0.3">
      <c r="B647" s="47"/>
      <c r="C647" s="104"/>
      <c r="D647" s="104"/>
      <c r="E647" s="109"/>
    </row>
    <row r="648" spans="2:5" ht="15.6" x14ac:dyDescent="0.3">
      <c r="B648" s="102"/>
      <c r="C648" s="103"/>
      <c r="D648" s="103"/>
      <c r="E648" s="108"/>
    </row>
    <row r="649" spans="2:5" ht="15.6" x14ac:dyDescent="0.3">
      <c r="B649" s="47"/>
      <c r="C649" s="104"/>
      <c r="D649" s="104"/>
      <c r="E649" s="109"/>
    </row>
    <row r="650" spans="2:5" ht="15.6" x14ac:dyDescent="0.3">
      <c r="B650" s="102"/>
      <c r="C650" s="103"/>
      <c r="D650" s="103"/>
      <c r="E650" s="108"/>
    </row>
    <row r="651" spans="2:5" ht="15.6" x14ac:dyDescent="0.3">
      <c r="B651" s="47"/>
      <c r="C651" s="104"/>
      <c r="D651" s="104"/>
      <c r="E651" s="109"/>
    </row>
    <row r="652" spans="2:5" ht="15.6" x14ac:dyDescent="0.3">
      <c r="B652" s="102"/>
      <c r="C652" s="103"/>
      <c r="D652" s="103"/>
      <c r="E652" s="108"/>
    </row>
    <row r="653" spans="2:5" ht="15.6" x14ac:dyDescent="0.3">
      <c r="B653" s="47"/>
      <c r="C653" s="104"/>
      <c r="D653" s="104"/>
      <c r="E653" s="109"/>
    </row>
    <row r="654" spans="2:5" ht="15.6" x14ac:dyDescent="0.3">
      <c r="B654" s="102"/>
      <c r="C654" s="103"/>
      <c r="D654" s="103"/>
      <c r="E654" s="108"/>
    </row>
    <row r="655" spans="2:5" ht="15.6" x14ac:dyDescent="0.3">
      <c r="B655" s="47"/>
      <c r="C655" s="104"/>
      <c r="D655" s="104"/>
      <c r="E655" s="109"/>
    </row>
    <row r="656" spans="2:5" ht="15.6" x14ac:dyDescent="0.3">
      <c r="B656" s="102"/>
      <c r="C656" s="103"/>
      <c r="D656" s="103"/>
      <c r="E656" s="108"/>
    </row>
    <row r="657" spans="2:5" ht="15.6" x14ac:dyDescent="0.3">
      <c r="B657" s="47"/>
      <c r="C657" s="104"/>
      <c r="D657" s="104"/>
      <c r="E657" s="109"/>
    </row>
    <row r="658" spans="2:5" ht="15.6" x14ac:dyDescent="0.3">
      <c r="B658" s="102"/>
      <c r="C658" s="103"/>
      <c r="D658" s="103"/>
      <c r="E658" s="108"/>
    </row>
    <row r="659" spans="2:5" ht="15.6" x14ac:dyDescent="0.3">
      <c r="B659" s="47"/>
      <c r="C659" s="104"/>
      <c r="D659" s="104"/>
      <c r="E659" s="109"/>
    </row>
    <row r="660" spans="2:5" ht="15.6" x14ac:dyDescent="0.3">
      <c r="B660" s="102"/>
      <c r="C660" s="103"/>
      <c r="D660" s="103"/>
      <c r="E660" s="108"/>
    </row>
    <row r="661" spans="2:5" ht="15.6" x14ac:dyDescent="0.3">
      <c r="B661" s="47"/>
      <c r="C661" s="104"/>
      <c r="D661" s="104"/>
      <c r="E661" s="109"/>
    </row>
    <row r="662" spans="2:5" ht="15.6" x14ac:dyDescent="0.3">
      <c r="B662" s="102"/>
      <c r="C662" s="103"/>
      <c r="D662" s="103"/>
      <c r="E662" s="108"/>
    </row>
    <row r="663" spans="2:5" ht="15.6" x14ac:dyDescent="0.3">
      <c r="B663" s="47"/>
      <c r="C663" s="104"/>
      <c r="D663" s="104"/>
      <c r="E663" s="109"/>
    </row>
    <row r="664" spans="2:5" ht="15.6" x14ac:dyDescent="0.3">
      <c r="B664" s="102"/>
      <c r="C664" s="103"/>
      <c r="D664" s="103"/>
      <c r="E664" s="108"/>
    </row>
    <row r="665" spans="2:5" ht="15.6" x14ac:dyDescent="0.3">
      <c r="B665" s="47"/>
      <c r="C665" s="104"/>
      <c r="D665" s="104"/>
      <c r="E665" s="109"/>
    </row>
    <row r="666" spans="2:5" ht="15.6" x14ac:dyDescent="0.3">
      <c r="B666" s="102"/>
      <c r="C666" s="103"/>
      <c r="D666" s="103"/>
      <c r="E666" s="108"/>
    </row>
    <row r="667" spans="2:5" ht="15.6" x14ac:dyDescent="0.3">
      <c r="B667" s="47"/>
      <c r="C667" s="104"/>
      <c r="D667" s="104"/>
      <c r="E667" s="109"/>
    </row>
    <row r="668" spans="2:5" ht="15.6" x14ac:dyDescent="0.3">
      <c r="B668" s="102"/>
      <c r="C668" s="103"/>
      <c r="D668" s="103"/>
      <c r="E668" s="108"/>
    </row>
    <row r="669" spans="2:5" ht="15.6" x14ac:dyDescent="0.3">
      <c r="B669" s="47"/>
      <c r="C669" s="104"/>
      <c r="D669" s="104"/>
      <c r="E669" s="109"/>
    </row>
    <row r="670" spans="2:5" ht="15.6" x14ac:dyDescent="0.3">
      <c r="B670" s="102"/>
      <c r="C670" s="103"/>
      <c r="D670" s="103"/>
      <c r="E670" s="108"/>
    </row>
    <row r="671" spans="2:5" ht="15.6" x14ac:dyDescent="0.3">
      <c r="B671" s="47"/>
      <c r="C671" s="104"/>
      <c r="D671" s="104"/>
      <c r="E671" s="109"/>
    </row>
    <row r="672" spans="2:5" ht="15.6" x14ac:dyDescent="0.3">
      <c r="B672" s="102"/>
      <c r="C672" s="103"/>
      <c r="D672" s="103"/>
      <c r="E672" s="108"/>
    </row>
    <row r="673" spans="2:5" ht="15.6" x14ac:dyDescent="0.3">
      <c r="B673" s="47"/>
      <c r="C673" s="104"/>
      <c r="D673" s="104"/>
      <c r="E673" s="109"/>
    </row>
    <row r="674" spans="2:5" ht="15.6" x14ac:dyDescent="0.3">
      <c r="B674" s="102"/>
      <c r="C674" s="103"/>
      <c r="D674" s="103"/>
      <c r="E674" s="108"/>
    </row>
    <row r="675" spans="2:5" ht="15.6" x14ac:dyDescent="0.3">
      <c r="B675" s="47"/>
      <c r="C675" s="104"/>
      <c r="D675" s="104"/>
      <c r="E675" s="109"/>
    </row>
    <row r="676" spans="2:5" ht="15.6" x14ac:dyDescent="0.3">
      <c r="B676" s="102"/>
      <c r="C676" s="103"/>
      <c r="D676" s="103"/>
      <c r="E676" s="108"/>
    </row>
    <row r="677" spans="2:5" ht="15.6" x14ac:dyDescent="0.3">
      <c r="B677" s="47"/>
      <c r="C677" s="104"/>
      <c r="D677" s="104"/>
      <c r="E677" s="109"/>
    </row>
    <row r="678" spans="2:5" ht="15.6" x14ac:dyDescent="0.3">
      <c r="B678" s="102"/>
      <c r="C678" s="103"/>
      <c r="D678" s="103"/>
      <c r="E678" s="108"/>
    </row>
    <row r="679" spans="2:5" ht="15.6" x14ac:dyDescent="0.3">
      <c r="B679" s="47"/>
      <c r="C679" s="104"/>
      <c r="D679" s="104"/>
      <c r="E679" s="109"/>
    </row>
    <row r="680" spans="2:5" ht="15.6" x14ac:dyDescent="0.3">
      <c r="B680" s="102"/>
      <c r="C680" s="103"/>
      <c r="D680" s="103"/>
      <c r="E680" s="108"/>
    </row>
    <row r="681" spans="2:5" ht="15.6" x14ac:dyDescent="0.3">
      <c r="B681" s="47"/>
      <c r="C681" s="104"/>
      <c r="D681" s="104"/>
      <c r="E681" s="109"/>
    </row>
    <row r="682" spans="2:5" ht="15.6" x14ac:dyDescent="0.3">
      <c r="B682" s="102"/>
      <c r="C682" s="103"/>
      <c r="D682" s="103"/>
      <c r="E682" s="108"/>
    </row>
    <row r="683" spans="2:5" ht="15.6" x14ac:dyDescent="0.3">
      <c r="B683" s="47"/>
      <c r="C683" s="104"/>
      <c r="D683" s="104"/>
      <c r="E683" s="109"/>
    </row>
    <row r="684" spans="2:5" ht="15.6" x14ac:dyDescent="0.3">
      <c r="B684" s="102"/>
      <c r="C684" s="103"/>
      <c r="D684" s="103"/>
      <c r="E684" s="108"/>
    </row>
    <row r="685" spans="2:5" ht="15.6" x14ac:dyDescent="0.3">
      <c r="B685" s="47"/>
      <c r="C685" s="104"/>
      <c r="D685" s="104"/>
      <c r="E685" s="109"/>
    </row>
    <row r="686" spans="2:5" ht="15.6" x14ac:dyDescent="0.3">
      <c r="B686" s="102"/>
      <c r="C686" s="103"/>
      <c r="D686" s="103"/>
      <c r="E686" s="108"/>
    </row>
    <row r="687" spans="2:5" ht="15.6" x14ac:dyDescent="0.3">
      <c r="B687" s="47"/>
      <c r="C687" s="104"/>
      <c r="D687" s="104"/>
      <c r="E687" s="109"/>
    </row>
    <row r="688" spans="2:5" ht="15.6" x14ac:dyDescent="0.3">
      <c r="B688" s="102"/>
      <c r="C688" s="103"/>
      <c r="D688" s="103"/>
      <c r="E688" s="108"/>
    </row>
    <row r="689" spans="2:5" ht="15.6" x14ac:dyDescent="0.3">
      <c r="B689" s="47"/>
      <c r="C689" s="104"/>
      <c r="D689" s="104"/>
      <c r="E689" s="109"/>
    </row>
    <row r="690" spans="2:5" ht="15.6" x14ac:dyDescent="0.3">
      <c r="B690" s="102"/>
      <c r="C690" s="103"/>
      <c r="D690" s="103"/>
      <c r="E690" s="108"/>
    </row>
    <row r="691" spans="2:5" ht="15.6" x14ac:dyDescent="0.3">
      <c r="B691" s="47"/>
      <c r="C691" s="104"/>
      <c r="D691" s="104"/>
      <c r="E691" s="109"/>
    </row>
    <row r="692" spans="2:5" ht="15.6" x14ac:dyDescent="0.3">
      <c r="B692" s="102"/>
      <c r="C692" s="103"/>
      <c r="D692" s="103"/>
      <c r="E692" s="108"/>
    </row>
    <row r="693" spans="2:5" ht="15.6" x14ac:dyDescent="0.3">
      <c r="B693" s="47"/>
      <c r="C693" s="104"/>
      <c r="D693" s="104"/>
      <c r="E693" s="109"/>
    </row>
    <row r="694" spans="2:5" ht="15.6" x14ac:dyDescent="0.3">
      <c r="B694" s="102"/>
      <c r="C694" s="103"/>
      <c r="D694" s="103"/>
      <c r="E694" s="108"/>
    </row>
    <row r="695" spans="2:5" ht="15.6" x14ac:dyDescent="0.3">
      <c r="B695" s="47"/>
      <c r="C695" s="104"/>
      <c r="D695" s="104"/>
      <c r="E695" s="109"/>
    </row>
    <row r="696" spans="2:5" ht="15.6" x14ac:dyDescent="0.3">
      <c r="B696" s="102"/>
      <c r="C696" s="103"/>
      <c r="D696" s="103"/>
      <c r="E696" s="108"/>
    </row>
    <row r="697" spans="2:5" ht="15.6" x14ac:dyDescent="0.3">
      <c r="B697" s="47"/>
      <c r="C697" s="104"/>
      <c r="D697" s="104"/>
      <c r="E697" s="109"/>
    </row>
    <row r="698" spans="2:5" ht="15.6" x14ac:dyDescent="0.3">
      <c r="B698" s="102"/>
      <c r="C698" s="103"/>
      <c r="D698" s="103"/>
      <c r="E698" s="108"/>
    </row>
    <row r="699" spans="2:5" ht="15.6" x14ac:dyDescent="0.3">
      <c r="B699" s="47"/>
      <c r="C699" s="104"/>
      <c r="D699" s="104"/>
      <c r="E699" s="109"/>
    </row>
    <row r="700" spans="2:5" ht="15.6" x14ac:dyDescent="0.3">
      <c r="B700" s="102"/>
      <c r="C700" s="103"/>
      <c r="D700" s="103"/>
      <c r="E700" s="108"/>
    </row>
    <row r="701" spans="2:5" ht="15.6" x14ac:dyDescent="0.3">
      <c r="B701" s="47"/>
      <c r="C701" s="104"/>
      <c r="D701" s="104"/>
      <c r="E701" s="109"/>
    </row>
    <row r="702" spans="2:5" ht="15.6" x14ac:dyDescent="0.3">
      <c r="B702" s="102"/>
      <c r="C702" s="103"/>
      <c r="D702" s="103"/>
      <c r="E702" s="108"/>
    </row>
    <row r="703" spans="2:5" ht="15.6" x14ac:dyDescent="0.3">
      <c r="B703" s="47"/>
      <c r="C703" s="104"/>
      <c r="D703" s="104"/>
      <c r="E703" s="109"/>
    </row>
    <row r="704" spans="2:5" ht="15.6" x14ac:dyDescent="0.3">
      <c r="B704" s="102"/>
      <c r="C704" s="103"/>
      <c r="D704" s="103"/>
      <c r="E704" s="108"/>
    </row>
    <row r="705" spans="2:5" ht="15.6" x14ac:dyDescent="0.3">
      <c r="B705" s="47"/>
      <c r="C705" s="104"/>
      <c r="D705" s="104"/>
      <c r="E705" s="109"/>
    </row>
    <row r="706" spans="2:5" ht="15.6" x14ac:dyDescent="0.3">
      <c r="B706" s="102"/>
      <c r="C706" s="103"/>
      <c r="D706" s="103"/>
      <c r="E706" s="108"/>
    </row>
    <row r="707" spans="2:5" ht="15.6" x14ac:dyDescent="0.3">
      <c r="B707" s="47"/>
      <c r="C707" s="104"/>
      <c r="D707" s="104"/>
      <c r="E707" s="109"/>
    </row>
    <row r="708" spans="2:5" ht="15.6" x14ac:dyDescent="0.3">
      <c r="B708" s="102"/>
      <c r="C708" s="103"/>
      <c r="D708" s="103"/>
      <c r="E708" s="108"/>
    </row>
    <row r="709" spans="2:5" ht="15.6" x14ac:dyDescent="0.3">
      <c r="B709" s="47"/>
      <c r="C709" s="104"/>
      <c r="D709" s="104"/>
      <c r="E709" s="109"/>
    </row>
    <row r="710" spans="2:5" ht="15.6" x14ac:dyDescent="0.3">
      <c r="B710" s="102"/>
      <c r="C710" s="103"/>
      <c r="D710" s="103"/>
      <c r="E710" s="108"/>
    </row>
    <row r="711" spans="2:5" ht="15.6" x14ac:dyDescent="0.3">
      <c r="B711" s="47"/>
      <c r="C711" s="104"/>
      <c r="D711" s="104"/>
      <c r="E711" s="109"/>
    </row>
    <row r="712" spans="2:5" ht="15.6" x14ac:dyDescent="0.3">
      <c r="B712" s="102"/>
      <c r="C712" s="103"/>
      <c r="D712" s="103"/>
      <c r="E712" s="108"/>
    </row>
    <row r="713" spans="2:5" ht="15.6" x14ac:dyDescent="0.3">
      <c r="B713" s="47"/>
      <c r="C713" s="104"/>
      <c r="D713" s="104"/>
      <c r="E713" s="109"/>
    </row>
    <row r="714" spans="2:5" ht="15.6" x14ac:dyDescent="0.3">
      <c r="B714" s="102"/>
      <c r="C714" s="103"/>
      <c r="D714" s="103"/>
      <c r="E714" s="108"/>
    </row>
    <row r="715" spans="2:5" ht="15.6" x14ac:dyDescent="0.3">
      <c r="B715" s="47"/>
      <c r="C715" s="104"/>
      <c r="D715" s="104"/>
      <c r="E715" s="109"/>
    </row>
    <row r="716" spans="2:5" ht="15.6" x14ac:dyDescent="0.3">
      <c r="B716" s="102"/>
      <c r="C716" s="103"/>
      <c r="D716" s="103"/>
      <c r="E716" s="108"/>
    </row>
    <row r="717" spans="2:5" ht="15.6" x14ac:dyDescent="0.3">
      <c r="B717" s="47"/>
      <c r="C717" s="104"/>
      <c r="D717" s="104"/>
      <c r="E717" s="109"/>
    </row>
    <row r="718" spans="2:5" ht="15.6" x14ac:dyDescent="0.3">
      <c r="B718" s="102"/>
      <c r="C718" s="103"/>
      <c r="D718" s="103"/>
      <c r="E718" s="108"/>
    </row>
    <row r="719" spans="2:5" ht="15.6" x14ac:dyDescent="0.3">
      <c r="B719" s="47"/>
      <c r="C719" s="104"/>
      <c r="D719" s="104"/>
      <c r="E719" s="109"/>
    </row>
    <row r="720" spans="2:5" ht="15.6" x14ac:dyDescent="0.3">
      <c r="B720" s="102"/>
      <c r="C720" s="103"/>
      <c r="D720" s="103"/>
      <c r="E720" s="108"/>
    </row>
    <row r="721" spans="2:5" ht="15.6" x14ac:dyDescent="0.3">
      <c r="B721" s="47"/>
      <c r="C721" s="104"/>
      <c r="D721" s="104"/>
      <c r="E721" s="109"/>
    </row>
    <row r="722" spans="2:5" ht="15.6" x14ac:dyDescent="0.3">
      <c r="B722" s="102"/>
      <c r="C722" s="103"/>
      <c r="D722" s="103"/>
      <c r="E722" s="108"/>
    </row>
    <row r="723" spans="2:5" ht="15.6" x14ac:dyDescent="0.3">
      <c r="B723" s="47"/>
      <c r="C723" s="104"/>
      <c r="D723" s="104"/>
      <c r="E723" s="109"/>
    </row>
    <row r="724" spans="2:5" ht="15.6" x14ac:dyDescent="0.3">
      <c r="B724" s="102"/>
      <c r="C724" s="103"/>
      <c r="D724" s="103"/>
      <c r="E724" s="108"/>
    </row>
    <row r="725" spans="2:5" ht="15.6" x14ac:dyDescent="0.3">
      <c r="B725" s="47"/>
      <c r="C725" s="104"/>
      <c r="D725" s="104"/>
      <c r="E725" s="109"/>
    </row>
    <row r="726" spans="2:5" ht="15.6" x14ac:dyDescent="0.3">
      <c r="B726" s="102"/>
      <c r="C726" s="103"/>
      <c r="D726" s="103"/>
      <c r="E726" s="108"/>
    </row>
    <row r="727" spans="2:5" ht="15.6" x14ac:dyDescent="0.3">
      <c r="B727" s="47"/>
      <c r="C727" s="104"/>
      <c r="D727" s="104"/>
      <c r="E727" s="109"/>
    </row>
    <row r="728" spans="2:5" ht="15.6" x14ac:dyDescent="0.3">
      <c r="B728" s="102"/>
      <c r="C728" s="103"/>
      <c r="D728" s="103"/>
      <c r="E728" s="108"/>
    </row>
    <row r="729" spans="2:5" ht="15.6" x14ac:dyDescent="0.3">
      <c r="B729" s="47"/>
      <c r="C729" s="104"/>
      <c r="D729" s="104"/>
      <c r="E729" s="109"/>
    </row>
    <row r="730" spans="2:5" ht="15.6" x14ac:dyDescent="0.3">
      <c r="B730" s="102"/>
      <c r="C730" s="103"/>
      <c r="D730" s="103"/>
      <c r="E730" s="108"/>
    </row>
    <row r="731" spans="2:5" ht="15.6" x14ac:dyDescent="0.3">
      <c r="B731" s="47"/>
      <c r="C731" s="104"/>
      <c r="D731" s="104"/>
      <c r="E731" s="109"/>
    </row>
    <row r="732" spans="2:5" ht="15.6" x14ac:dyDescent="0.3">
      <c r="B732" s="102"/>
      <c r="C732" s="103"/>
      <c r="D732" s="103"/>
      <c r="E732" s="108"/>
    </row>
    <row r="733" spans="2:5" ht="15.6" x14ac:dyDescent="0.3">
      <c r="B733" s="47"/>
      <c r="C733" s="104"/>
      <c r="D733" s="104"/>
      <c r="E733" s="109"/>
    </row>
    <row r="734" spans="2:5" ht="15.6" x14ac:dyDescent="0.3">
      <c r="B734" s="102"/>
      <c r="C734" s="103"/>
      <c r="D734" s="103"/>
      <c r="E734" s="108"/>
    </row>
    <row r="735" spans="2:5" ht="15.6" x14ac:dyDescent="0.3">
      <c r="B735" s="47"/>
      <c r="C735" s="104"/>
      <c r="D735" s="104"/>
      <c r="E735" s="109"/>
    </row>
    <row r="736" spans="2:5" ht="15.6" x14ac:dyDescent="0.3">
      <c r="B736" s="102"/>
      <c r="C736" s="103"/>
      <c r="D736" s="103"/>
      <c r="E736" s="108"/>
    </row>
    <row r="737" spans="2:5" ht="15.6" x14ac:dyDescent="0.3">
      <c r="B737" s="47"/>
      <c r="C737" s="104"/>
      <c r="D737" s="104"/>
      <c r="E737" s="109"/>
    </row>
    <row r="738" spans="2:5" ht="15.6" x14ac:dyDescent="0.3">
      <c r="B738" s="102"/>
      <c r="C738" s="103"/>
      <c r="D738" s="103"/>
      <c r="E738" s="108"/>
    </row>
    <row r="739" spans="2:5" ht="15.6" x14ac:dyDescent="0.3">
      <c r="B739" s="47"/>
      <c r="C739" s="104"/>
      <c r="D739" s="104"/>
      <c r="E739" s="109"/>
    </row>
    <row r="740" spans="2:5" ht="15.6" x14ac:dyDescent="0.3">
      <c r="B740" s="102"/>
      <c r="C740" s="103"/>
      <c r="D740" s="103"/>
      <c r="E740" s="108"/>
    </row>
    <row r="741" spans="2:5" ht="15.6" x14ac:dyDescent="0.3">
      <c r="B741" s="47"/>
      <c r="C741" s="104"/>
      <c r="D741" s="104"/>
      <c r="E741" s="109"/>
    </row>
    <row r="742" spans="2:5" ht="15.6" x14ac:dyDescent="0.3">
      <c r="B742" s="102"/>
      <c r="C742" s="103"/>
      <c r="D742" s="103"/>
      <c r="E742" s="108"/>
    </row>
    <row r="743" spans="2:5" ht="15.6" x14ac:dyDescent="0.3">
      <c r="B743" s="47"/>
      <c r="C743" s="104"/>
      <c r="D743" s="104"/>
      <c r="E743" s="109"/>
    </row>
    <row r="744" spans="2:5" ht="15.6" x14ac:dyDescent="0.3">
      <c r="B744" s="102"/>
      <c r="C744" s="103"/>
      <c r="D744" s="103"/>
      <c r="E744" s="108"/>
    </row>
    <row r="745" spans="2:5" ht="15.6" x14ac:dyDescent="0.3">
      <c r="B745" s="47"/>
      <c r="C745" s="104"/>
      <c r="D745" s="104"/>
      <c r="E745" s="109"/>
    </row>
    <row r="746" spans="2:5" ht="15.6" x14ac:dyDescent="0.3">
      <c r="B746" s="102"/>
      <c r="C746" s="103"/>
      <c r="D746" s="103"/>
      <c r="E746" s="108"/>
    </row>
    <row r="747" spans="2:5" ht="15.6" x14ac:dyDescent="0.3">
      <c r="B747" s="47"/>
      <c r="C747" s="104"/>
      <c r="D747" s="104"/>
      <c r="E747" s="109"/>
    </row>
    <row r="748" spans="2:5" ht="15.6" x14ac:dyDescent="0.3">
      <c r="B748" s="102"/>
      <c r="C748" s="103"/>
      <c r="D748" s="103"/>
      <c r="E748" s="108"/>
    </row>
    <row r="749" spans="2:5" ht="15.6" x14ac:dyDescent="0.3">
      <c r="B749" s="47"/>
      <c r="C749" s="104"/>
      <c r="D749" s="104"/>
      <c r="E749" s="109"/>
    </row>
    <row r="750" spans="2:5" ht="15.6" x14ac:dyDescent="0.3">
      <c r="B750" s="102"/>
      <c r="C750" s="103"/>
      <c r="D750" s="103"/>
      <c r="E750" s="108"/>
    </row>
    <row r="751" spans="2:5" ht="15.6" x14ac:dyDescent="0.3">
      <c r="B751" s="47"/>
      <c r="C751" s="104"/>
      <c r="D751" s="104"/>
      <c r="E751" s="109"/>
    </row>
    <row r="752" spans="2:5" ht="15.6" x14ac:dyDescent="0.3">
      <c r="B752" s="102"/>
      <c r="C752" s="103"/>
      <c r="D752" s="103"/>
      <c r="E752" s="108"/>
    </row>
    <row r="753" spans="2:5" ht="15.6" x14ac:dyDescent="0.3">
      <c r="B753" s="47"/>
      <c r="C753" s="104"/>
      <c r="D753" s="104"/>
      <c r="E753" s="109"/>
    </row>
    <row r="754" spans="2:5" ht="15.6" x14ac:dyDescent="0.3">
      <c r="B754" s="102"/>
      <c r="C754" s="103"/>
      <c r="D754" s="103"/>
      <c r="E754" s="108"/>
    </row>
    <row r="755" spans="2:5" ht="15.6" x14ac:dyDescent="0.3">
      <c r="B755" s="47"/>
      <c r="C755" s="104"/>
      <c r="D755" s="104"/>
      <c r="E755" s="109"/>
    </row>
    <row r="756" spans="2:5" ht="15.6" x14ac:dyDescent="0.3">
      <c r="B756" s="102"/>
      <c r="C756" s="103"/>
      <c r="D756" s="103"/>
      <c r="E756" s="108"/>
    </row>
    <row r="757" spans="2:5" ht="15.6" x14ac:dyDescent="0.3">
      <c r="B757" s="47"/>
      <c r="C757" s="104"/>
      <c r="D757" s="104"/>
      <c r="E757" s="109"/>
    </row>
    <row r="758" spans="2:5" ht="15.6" x14ac:dyDescent="0.3">
      <c r="B758" s="102"/>
      <c r="C758" s="103"/>
      <c r="D758" s="103"/>
      <c r="E758" s="108"/>
    </row>
    <row r="759" spans="2:5" ht="15.6" x14ac:dyDescent="0.3">
      <c r="B759" s="47"/>
      <c r="C759" s="104"/>
      <c r="D759" s="104"/>
      <c r="E759" s="109"/>
    </row>
    <row r="760" spans="2:5" ht="15.6" x14ac:dyDescent="0.3">
      <c r="B760" s="102"/>
      <c r="C760" s="103"/>
      <c r="D760" s="103"/>
      <c r="E760" s="108"/>
    </row>
    <row r="761" spans="2:5" ht="15.6" x14ac:dyDescent="0.3">
      <c r="B761" s="47"/>
      <c r="C761" s="104"/>
      <c r="D761" s="104"/>
      <c r="E761" s="109"/>
    </row>
    <row r="762" spans="2:5" ht="15.6" x14ac:dyDescent="0.3">
      <c r="B762" s="102"/>
      <c r="C762" s="103"/>
      <c r="D762" s="103"/>
      <c r="E762" s="108"/>
    </row>
    <row r="763" spans="2:5" ht="15.6" x14ac:dyDescent="0.3">
      <c r="B763" s="47"/>
      <c r="C763" s="104"/>
      <c r="D763" s="104"/>
      <c r="E763" s="109"/>
    </row>
    <row r="764" spans="2:5" ht="15.6" x14ac:dyDescent="0.3">
      <c r="B764" s="102"/>
      <c r="C764" s="103"/>
      <c r="D764" s="103"/>
      <c r="E764" s="108"/>
    </row>
    <row r="765" spans="2:5" ht="15.6" x14ac:dyDescent="0.3">
      <c r="B765" s="47"/>
      <c r="C765" s="104"/>
      <c r="D765" s="104"/>
      <c r="E765" s="109"/>
    </row>
    <row r="766" spans="2:5" ht="15.6" x14ac:dyDescent="0.3">
      <c r="B766" s="102"/>
      <c r="C766" s="103"/>
      <c r="D766" s="103"/>
      <c r="E766" s="108"/>
    </row>
    <row r="767" spans="2:5" ht="15.6" x14ac:dyDescent="0.3">
      <c r="B767" s="47"/>
      <c r="C767" s="104"/>
      <c r="D767" s="104"/>
      <c r="E767" s="109"/>
    </row>
    <row r="768" spans="2:5" ht="15.6" x14ac:dyDescent="0.3">
      <c r="B768" s="102"/>
      <c r="C768" s="103"/>
      <c r="D768" s="103"/>
      <c r="E768" s="108"/>
    </row>
    <row r="769" spans="2:5" ht="15.6" x14ac:dyDescent="0.3">
      <c r="B769" s="47"/>
      <c r="C769" s="104"/>
      <c r="D769" s="104"/>
      <c r="E769" s="109"/>
    </row>
    <row r="770" spans="2:5" ht="15.6" x14ac:dyDescent="0.3">
      <c r="B770" s="102"/>
      <c r="C770" s="103"/>
      <c r="D770" s="103"/>
      <c r="E770" s="108"/>
    </row>
    <row r="771" spans="2:5" ht="15.6" x14ac:dyDescent="0.3">
      <c r="B771" s="47"/>
      <c r="C771" s="104"/>
      <c r="D771" s="104"/>
      <c r="E771" s="109"/>
    </row>
    <row r="772" spans="2:5" ht="15.6" x14ac:dyDescent="0.3">
      <c r="B772" s="102"/>
      <c r="C772" s="103"/>
      <c r="D772" s="103"/>
      <c r="E772" s="108"/>
    </row>
    <row r="773" spans="2:5" ht="15.6" x14ac:dyDescent="0.3">
      <c r="B773" s="47"/>
      <c r="C773" s="104"/>
      <c r="D773" s="104"/>
      <c r="E773" s="109"/>
    </row>
    <row r="774" spans="2:5" ht="15.6" x14ac:dyDescent="0.3">
      <c r="B774" s="102"/>
      <c r="C774" s="103"/>
      <c r="D774" s="103"/>
      <c r="E774" s="108"/>
    </row>
    <row r="775" spans="2:5" ht="15.6" x14ac:dyDescent="0.3">
      <c r="B775" s="47"/>
      <c r="C775" s="104"/>
      <c r="D775" s="104"/>
      <c r="E775" s="109"/>
    </row>
    <row r="776" spans="2:5" ht="15.6" x14ac:dyDescent="0.3">
      <c r="B776" s="102"/>
      <c r="C776" s="103"/>
      <c r="D776" s="103"/>
      <c r="E776" s="108"/>
    </row>
    <row r="777" spans="2:5" ht="15.6" x14ac:dyDescent="0.3">
      <c r="B777" s="47"/>
      <c r="C777" s="104"/>
      <c r="D777" s="104"/>
      <c r="E777" s="109"/>
    </row>
    <row r="778" spans="2:5" ht="15.6" x14ac:dyDescent="0.3">
      <c r="B778" s="102"/>
      <c r="C778" s="103"/>
      <c r="D778" s="103"/>
      <c r="E778" s="108"/>
    </row>
    <row r="779" spans="2:5" ht="15.6" x14ac:dyDescent="0.3">
      <c r="B779" s="47"/>
      <c r="C779" s="104"/>
      <c r="D779" s="104"/>
      <c r="E779" s="109"/>
    </row>
    <row r="780" spans="2:5" ht="15.6" x14ac:dyDescent="0.3">
      <c r="B780" s="102"/>
      <c r="C780" s="103"/>
      <c r="D780" s="103"/>
      <c r="E780" s="108"/>
    </row>
    <row r="781" spans="2:5" ht="15.6" x14ac:dyDescent="0.3">
      <c r="B781" s="47"/>
      <c r="C781" s="104"/>
      <c r="D781" s="104"/>
      <c r="E781" s="109"/>
    </row>
    <row r="782" spans="2:5" ht="15.6" x14ac:dyDescent="0.3">
      <c r="B782" s="102"/>
      <c r="C782" s="103"/>
      <c r="D782" s="103"/>
      <c r="E782" s="108"/>
    </row>
    <row r="783" spans="2:5" ht="15.6" x14ac:dyDescent="0.3">
      <c r="B783" s="47"/>
      <c r="C783" s="104"/>
      <c r="D783" s="104"/>
      <c r="E783" s="109"/>
    </row>
    <row r="784" spans="2:5" ht="15.6" x14ac:dyDescent="0.3">
      <c r="B784" s="102"/>
      <c r="C784" s="103"/>
      <c r="D784" s="103"/>
      <c r="E784" s="108"/>
    </row>
    <row r="785" spans="2:5" ht="15.6" x14ac:dyDescent="0.3">
      <c r="B785" s="47"/>
      <c r="C785" s="104"/>
      <c r="D785" s="104"/>
      <c r="E785" s="109"/>
    </row>
    <row r="786" spans="2:5" ht="15.6" x14ac:dyDescent="0.3">
      <c r="B786" s="102"/>
      <c r="C786" s="103"/>
      <c r="D786" s="103"/>
      <c r="E786" s="108"/>
    </row>
    <row r="787" spans="2:5" ht="15.6" x14ac:dyDescent="0.3">
      <c r="B787" s="47"/>
      <c r="C787" s="104"/>
      <c r="D787" s="104"/>
      <c r="E787" s="109"/>
    </row>
    <row r="788" spans="2:5" ht="15.6" x14ac:dyDescent="0.3">
      <c r="B788" s="102"/>
      <c r="C788" s="103"/>
      <c r="D788" s="103"/>
      <c r="E788" s="108"/>
    </row>
    <row r="789" spans="2:5" ht="15.6" x14ac:dyDescent="0.3">
      <c r="B789" s="47"/>
      <c r="C789" s="104"/>
      <c r="D789" s="104"/>
      <c r="E789" s="109"/>
    </row>
    <row r="790" spans="2:5" ht="15.6" x14ac:dyDescent="0.3">
      <c r="B790" s="102"/>
      <c r="C790" s="103"/>
      <c r="D790" s="103"/>
      <c r="E790" s="108"/>
    </row>
    <row r="791" spans="2:5" ht="15.6" x14ac:dyDescent="0.3">
      <c r="B791" s="47"/>
      <c r="C791" s="104"/>
      <c r="D791" s="104"/>
      <c r="E791" s="109"/>
    </row>
    <row r="792" spans="2:5" ht="15.6" x14ac:dyDescent="0.3">
      <c r="B792" s="102"/>
      <c r="C792" s="103"/>
      <c r="D792" s="103"/>
      <c r="E792" s="108"/>
    </row>
    <row r="793" spans="2:5" ht="15.6" x14ac:dyDescent="0.3">
      <c r="B793" s="47"/>
      <c r="C793" s="104"/>
      <c r="D793" s="104"/>
      <c r="E793" s="109"/>
    </row>
    <row r="794" spans="2:5" ht="15.6" x14ac:dyDescent="0.3">
      <c r="B794" s="102"/>
      <c r="C794" s="103"/>
      <c r="D794" s="103"/>
      <c r="E794" s="108"/>
    </row>
    <row r="795" spans="2:5" ht="15.6" x14ac:dyDescent="0.3">
      <c r="B795" s="47"/>
      <c r="C795" s="104"/>
      <c r="D795" s="104"/>
      <c r="E795" s="109"/>
    </row>
    <row r="796" spans="2:5" ht="15.6" x14ac:dyDescent="0.3">
      <c r="B796" s="102"/>
      <c r="C796" s="103"/>
      <c r="D796" s="103"/>
      <c r="E796" s="108"/>
    </row>
    <row r="797" spans="2:5" ht="15.6" x14ac:dyDescent="0.3">
      <c r="B797" s="47"/>
      <c r="C797" s="104"/>
      <c r="D797" s="104"/>
      <c r="E797" s="109"/>
    </row>
    <row r="798" spans="2:5" ht="15.6" x14ac:dyDescent="0.3">
      <c r="B798" s="102"/>
      <c r="C798" s="103"/>
      <c r="D798" s="103"/>
      <c r="E798" s="108"/>
    </row>
    <row r="799" spans="2:5" ht="15.6" x14ac:dyDescent="0.3">
      <c r="B799" s="47"/>
      <c r="C799" s="104"/>
      <c r="D799" s="104"/>
      <c r="E799" s="109"/>
    </row>
    <row r="800" spans="2:5" ht="15.6" x14ac:dyDescent="0.3">
      <c r="B800" s="102"/>
      <c r="C800" s="103"/>
      <c r="D800" s="103"/>
      <c r="E800" s="108"/>
    </row>
    <row r="801" spans="2:5" ht="15.6" x14ac:dyDescent="0.3">
      <c r="B801" s="47"/>
      <c r="C801" s="104"/>
      <c r="D801" s="104"/>
      <c r="E801" s="109"/>
    </row>
    <row r="802" spans="2:5" ht="15.6" x14ac:dyDescent="0.3">
      <c r="B802" s="102"/>
      <c r="C802" s="103"/>
      <c r="D802" s="103"/>
      <c r="E802" s="108"/>
    </row>
    <row r="803" spans="2:5" ht="15.6" x14ac:dyDescent="0.3">
      <c r="B803" s="47"/>
      <c r="C803" s="104"/>
      <c r="D803" s="104"/>
      <c r="E803" s="109"/>
    </row>
    <row r="804" spans="2:5" ht="15.6" x14ac:dyDescent="0.3">
      <c r="B804" s="102"/>
      <c r="C804" s="103"/>
      <c r="D804" s="103"/>
      <c r="E804" s="108"/>
    </row>
    <row r="805" spans="2:5" ht="15.6" x14ac:dyDescent="0.3">
      <c r="B805" s="47"/>
      <c r="C805" s="104"/>
      <c r="D805" s="104"/>
      <c r="E805" s="109"/>
    </row>
    <row r="806" spans="2:5" ht="15.6" x14ac:dyDescent="0.3">
      <c r="B806" s="102"/>
      <c r="C806" s="103"/>
      <c r="D806" s="103"/>
      <c r="E806" s="108"/>
    </row>
    <row r="807" spans="2:5" ht="15.6" x14ac:dyDescent="0.3">
      <c r="B807" s="47"/>
      <c r="C807" s="104"/>
      <c r="D807" s="104"/>
      <c r="E807" s="109"/>
    </row>
    <row r="808" spans="2:5" ht="15.6" x14ac:dyDescent="0.3">
      <c r="B808" s="102"/>
      <c r="C808" s="103"/>
      <c r="D808" s="103"/>
      <c r="E808" s="108"/>
    </row>
    <row r="809" spans="2:5" ht="15.6" x14ac:dyDescent="0.3">
      <c r="B809" s="47"/>
      <c r="C809" s="104"/>
      <c r="D809" s="104"/>
      <c r="E809" s="109"/>
    </row>
    <row r="810" spans="2:5" ht="15.6" x14ac:dyDescent="0.3">
      <c r="B810" s="102"/>
      <c r="C810" s="103"/>
      <c r="D810" s="103"/>
      <c r="E810" s="108"/>
    </row>
    <row r="811" spans="2:5" ht="15.6" x14ac:dyDescent="0.3">
      <c r="B811" s="47"/>
      <c r="C811" s="104"/>
      <c r="D811" s="104"/>
      <c r="E811" s="109"/>
    </row>
    <row r="812" spans="2:5" ht="15.6" x14ac:dyDescent="0.3">
      <c r="B812" s="102"/>
      <c r="C812" s="103"/>
      <c r="D812" s="103"/>
      <c r="E812" s="108"/>
    </row>
    <row r="813" spans="2:5" ht="15.6" x14ac:dyDescent="0.3">
      <c r="B813" s="47"/>
      <c r="C813" s="104"/>
      <c r="D813" s="104"/>
      <c r="E813" s="109"/>
    </row>
    <row r="814" spans="2:5" ht="15.6" x14ac:dyDescent="0.3">
      <c r="B814" s="102"/>
      <c r="C814" s="103"/>
      <c r="D814" s="103"/>
      <c r="E814" s="108"/>
    </row>
    <row r="815" spans="2:5" ht="15.6" x14ac:dyDescent="0.3">
      <c r="B815" s="47"/>
      <c r="C815" s="104"/>
      <c r="D815" s="104"/>
      <c r="E815" s="109"/>
    </row>
    <row r="816" spans="2:5" ht="15.6" x14ac:dyDescent="0.3">
      <c r="B816" s="102"/>
      <c r="C816" s="103"/>
      <c r="D816" s="103"/>
      <c r="E816" s="108"/>
    </row>
    <row r="817" spans="2:5" ht="15.6" x14ac:dyDescent="0.3">
      <c r="B817" s="47"/>
      <c r="C817" s="104"/>
      <c r="D817" s="104"/>
      <c r="E817" s="109"/>
    </row>
    <row r="818" spans="2:5" ht="15.6" x14ac:dyDescent="0.3">
      <c r="B818" s="102"/>
      <c r="C818" s="103"/>
      <c r="D818" s="103"/>
      <c r="E818" s="108"/>
    </row>
    <row r="819" spans="2:5" ht="15.6" x14ac:dyDescent="0.3">
      <c r="B819" s="47"/>
      <c r="C819" s="104"/>
      <c r="D819" s="104"/>
      <c r="E819" s="109"/>
    </row>
    <row r="820" spans="2:5" ht="15.6" x14ac:dyDescent="0.3">
      <c r="B820" s="102"/>
      <c r="C820" s="103"/>
      <c r="D820" s="103"/>
      <c r="E820" s="108"/>
    </row>
    <row r="821" spans="2:5" ht="15.6" x14ac:dyDescent="0.3">
      <c r="B821" s="47"/>
      <c r="C821" s="104"/>
      <c r="D821" s="104"/>
      <c r="E821" s="109"/>
    </row>
    <row r="822" spans="2:5" ht="15.6" x14ac:dyDescent="0.3">
      <c r="B822" s="102"/>
      <c r="C822" s="103"/>
      <c r="D822" s="103"/>
      <c r="E822" s="108"/>
    </row>
    <row r="823" spans="2:5" ht="15.6" x14ac:dyDescent="0.3">
      <c r="B823" s="47"/>
      <c r="C823" s="104"/>
      <c r="D823" s="104"/>
      <c r="E823" s="109"/>
    </row>
    <row r="824" spans="2:5" ht="15.6" x14ac:dyDescent="0.3">
      <c r="B824" s="102"/>
      <c r="C824" s="103"/>
      <c r="D824" s="103"/>
      <c r="E824" s="108"/>
    </row>
    <row r="825" spans="2:5" ht="15.6" x14ac:dyDescent="0.3">
      <c r="B825" s="47"/>
      <c r="C825" s="104"/>
      <c r="D825" s="104"/>
      <c r="E825" s="109"/>
    </row>
    <row r="826" spans="2:5" ht="15.6" x14ac:dyDescent="0.3">
      <c r="B826" s="102"/>
      <c r="C826" s="103"/>
      <c r="D826" s="103"/>
      <c r="E826" s="108"/>
    </row>
    <row r="827" spans="2:5" ht="15.6" x14ac:dyDescent="0.3">
      <c r="B827" s="47"/>
      <c r="C827" s="104"/>
      <c r="D827" s="104"/>
      <c r="E827" s="109"/>
    </row>
    <row r="828" spans="2:5" ht="15.6" x14ac:dyDescent="0.3">
      <c r="B828" s="102"/>
      <c r="C828" s="103"/>
      <c r="D828" s="103"/>
      <c r="E828" s="108"/>
    </row>
    <row r="829" spans="2:5" ht="15.6" x14ac:dyDescent="0.3">
      <c r="B829" s="47"/>
      <c r="C829" s="104"/>
      <c r="D829" s="104"/>
      <c r="E829" s="109"/>
    </row>
    <row r="830" spans="2:5" ht="15.6" x14ac:dyDescent="0.3">
      <c r="B830" s="102"/>
      <c r="C830" s="103"/>
      <c r="D830" s="103"/>
      <c r="E830" s="108"/>
    </row>
    <row r="831" spans="2:5" ht="15.6" x14ac:dyDescent="0.3">
      <c r="B831" s="47"/>
      <c r="C831" s="104"/>
      <c r="D831" s="104"/>
      <c r="E831" s="109"/>
    </row>
    <row r="832" spans="2:5" ht="15.6" x14ac:dyDescent="0.3">
      <c r="B832" s="102"/>
      <c r="C832" s="103"/>
      <c r="D832" s="103"/>
      <c r="E832" s="108"/>
    </row>
    <row r="833" spans="2:5" ht="15.6" x14ac:dyDescent="0.3">
      <c r="B833" s="47"/>
      <c r="C833" s="104"/>
      <c r="D833" s="104"/>
      <c r="E833" s="109"/>
    </row>
    <row r="834" spans="2:5" ht="15.6" x14ac:dyDescent="0.3">
      <c r="B834" s="102"/>
      <c r="C834" s="103"/>
      <c r="D834" s="103"/>
      <c r="E834" s="108"/>
    </row>
    <row r="835" spans="2:5" ht="15.6" x14ac:dyDescent="0.3">
      <c r="B835" s="47"/>
      <c r="C835" s="104"/>
      <c r="D835" s="104"/>
      <c r="E835" s="109"/>
    </row>
    <row r="836" spans="2:5" ht="15.6" x14ac:dyDescent="0.3">
      <c r="B836" s="102"/>
      <c r="C836" s="103"/>
      <c r="D836" s="103"/>
      <c r="E836" s="108"/>
    </row>
    <row r="837" spans="2:5" ht="15.6" x14ac:dyDescent="0.3">
      <c r="B837" s="47"/>
      <c r="C837" s="104"/>
      <c r="D837" s="104"/>
      <c r="E837" s="109"/>
    </row>
    <row r="838" spans="2:5" ht="15.6" x14ac:dyDescent="0.3">
      <c r="B838" s="102"/>
      <c r="C838" s="103"/>
      <c r="D838" s="103"/>
      <c r="E838" s="108"/>
    </row>
    <row r="839" spans="2:5" ht="15.6" x14ac:dyDescent="0.3">
      <c r="B839" s="47"/>
      <c r="C839" s="104"/>
      <c r="D839" s="104"/>
      <c r="E839" s="109"/>
    </row>
    <row r="840" spans="2:5" ht="15.6" x14ac:dyDescent="0.3">
      <c r="B840" s="102"/>
      <c r="C840" s="103"/>
      <c r="D840" s="103"/>
      <c r="E840" s="108"/>
    </row>
    <row r="841" spans="2:5" ht="15.6" x14ac:dyDescent="0.3">
      <c r="B841" s="47"/>
      <c r="C841" s="104"/>
      <c r="D841" s="104"/>
      <c r="E841" s="109"/>
    </row>
    <row r="842" spans="2:5" ht="15.6" x14ac:dyDescent="0.3">
      <c r="B842" s="102"/>
      <c r="C842" s="103"/>
      <c r="D842" s="103"/>
      <c r="E842" s="108"/>
    </row>
    <row r="843" spans="2:5" ht="15.6" x14ac:dyDescent="0.3">
      <c r="B843" s="47"/>
      <c r="C843" s="104"/>
      <c r="D843" s="104"/>
      <c r="E843" s="109"/>
    </row>
    <row r="844" spans="2:5" ht="15.6" x14ac:dyDescent="0.3">
      <c r="B844" s="102"/>
      <c r="C844" s="103"/>
      <c r="D844" s="103"/>
      <c r="E844" s="108"/>
    </row>
    <row r="845" spans="2:5" ht="15.6" x14ac:dyDescent="0.3">
      <c r="B845" s="47"/>
      <c r="C845" s="104"/>
      <c r="D845" s="104"/>
      <c r="E845" s="109"/>
    </row>
    <row r="846" spans="2:5" ht="15.6" x14ac:dyDescent="0.3">
      <c r="B846" s="102"/>
      <c r="C846" s="103"/>
      <c r="D846" s="103"/>
      <c r="E846" s="108"/>
    </row>
    <row r="847" spans="2:5" ht="15.6" x14ac:dyDescent="0.3">
      <c r="B847" s="47"/>
      <c r="C847" s="104"/>
      <c r="D847" s="104"/>
      <c r="E847" s="109"/>
    </row>
    <row r="848" spans="2:5" ht="15.6" x14ac:dyDescent="0.3">
      <c r="B848" s="102"/>
      <c r="C848" s="103"/>
      <c r="D848" s="103"/>
      <c r="E848" s="108"/>
    </row>
    <row r="849" spans="2:5" ht="15.6" x14ac:dyDescent="0.3">
      <c r="B849" s="47"/>
      <c r="C849" s="104"/>
      <c r="D849" s="104"/>
      <c r="E849" s="109"/>
    </row>
    <row r="850" spans="2:5" ht="15.6" x14ac:dyDescent="0.3">
      <c r="B850" s="102"/>
      <c r="C850" s="103"/>
      <c r="D850" s="103"/>
      <c r="E850" s="108"/>
    </row>
    <row r="851" spans="2:5" ht="15.6" x14ac:dyDescent="0.3">
      <c r="B851" s="47"/>
      <c r="C851" s="104"/>
      <c r="D851" s="104"/>
      <c r="E851" s="109"/>
    </row>
    <row r="852" spans="2:5" ht="15.6" x14ac:dyDescent="0.3">
      <c r="B852" s="102"/>
      <c r="C852" s="103"/>
      <c r="D852" s="103"/>
      <c r="E852" s="108"/>
    </row>
    <row r="853" spans="2:5" ht="15.6" x14ac:dyDescent="0.3">
      <c r="B853" s="47"/>
      <c r="C853" s="104"/>
      <c r="D853" s="104"/>
      <c r="E853" s="109"/>
    </row>
    <row r="854" spans="2:5" ht="15.6" x14ac:dyDescent="0.3">
      <c r="B854" s="102"/>
      <c r="C854" s="103"/>
      <c r="D854" s="103"/>
      <c r="E854" s="108"/>
    </row>
    <row r="855" spans="2:5" ht="15.6" x14ac:dyDescent="0.3">
      <c r="B855" s="47"/>
      <c r="C855" s="104"/>
      <c r="D855" s="104"/>
      <c r="E855" s="109"/>
    </row>
    <row r="856" spans="2:5" ht="15.6" x14ac:dyDescent="0.3">
      <c r="B856" s="102"/>
      <c r="C856" s="103"/>
      <c r="D856" s="103"/>
      <c r="E856" s="108"/>
    </row>
    <row r="857" spans="2:5" ht="15.6" x14ac:dyDescent="0.3">
      <c r="B857" s="47"/>
      <c r="C857" s="104"/>
      <c r="D857" s="104"/>
      <c r="E857" s="109"/>
    </row>
    <row r="858" spans="2:5" ht="15.6" x14ac:dyDescent="0.3">
      <c r="B858" s="102"/>
      <c r="C858" s="103"/>
      <c r="D858" s="103"/>
      <c r="E858" s="108"/>
    </row>
    <row r="859" spans="2:5" ht="15.6" x14ac:dyDescent="0.3">
      <c r="B859" s="47"/>
      <c r="C859" s="104"/>
      <c r="D859" s="104"/>
      <c r="E859" s="109"/>
    </row>
    <row r="860" spans="2:5" ht="15.6" x14ac:dyDescent="0.3">
      <c r="B860" s="102"/>
      <c r="C860" s="103"/>
      <c r="D860" s="103"/>
      <c r="E860" s="108"/>
    </row>
    <row r="861" spans="2:5" ht="15.6" x14ac:dyDescent="0.3">
      <c r="B861" s="47"/>
      <c r="C861" s="104"/>
      <c r="D861" s="104"/>
      <c r="E861" s="109"/>
    </row>
    <row r="862" spans="2:5" ht="15.6" x14ac:dyDescent="0.3">
      <c r="B862" s="102"/>
      <c r="C862" s="103"/>
      <c r="D862" s="103"/>
      <c r="E862" s="108"/>
    </row>
    <row r="863" spans="2:5" ht="15.6" x14ac:dyDescent="0.3">
      <c r="B863" s="47"/>
      <c r="C863" s="104"/>
      <c r="D863" s="104"/>
      <c r="E863" s="109"/>
    </row>
    <row r="864" spans="2:5" ht="15.6" x14ac:dyDescent="0.3">
      <c r="B864" s="102"/>
      <c r="C864" s="103"/>
      <c r="D864" s="103"/>
      <c r="E864" s="108"/>
    </row>
    <row r="865" spans="2:5" ht="15.6" x14ac:dyDescent="0.3">
      <c r="B865" s="47"/>
      <c r="C865" s="104"/>
      <c r="D865" s="104"/>
      <c r="E865" s="109"/>
    </row>
    <row r="866" spans="2:5" ht="15.6" x14ac:dyDescent="0.3">
      <c r="B866" s="102"/>
      <c r="C866" s="103"/>
      <c r="D866" s="103"/>
      <c r="E866" s="108"/>
    </row>
    <row r="867" spans="2:5" ht="15.6" x14ac:dyDescent="0.3">
      <c r="B867" s="47"/>
      <c r="C867" s="104"/>
      <c r="D867" s="104"/>
      <c r="E867" s="109"/>
    </row>
    <row r="868" spans="2:5" ht="15.6" x14ac:dyDescent="0.3">
      <c r="B868" s="102"/>
      <c r="C868" s="103"/>
      <c r="D868" s="103"/>
      <c r="E868" s="108"/>
    </row>
    <row r="869" spans="2:5" ht="15.6" x14ac:dyDescent="0.3">
      <c r="B869" s="47"/>
      <c r="C869" s="104"/>
      <c r="D869" s="104"/>
      <c r="E869" s="109"/>
    </row>
    <row r="870" spans="2:5" ht="15.6" x14ac:dyDescent="0.3">
      <c r="B870" s="102"/>
      <c r="C870" s="103"/>
      <c r="D870" s="103"/>
      <c r="E870" s="108"/>
    </row>
    <row r="871" spans="2:5" ht="15.6" x14ac:dyDescent="0.3">
      <c r="B871" s="47"/>
      <c r="C871" s="104"/>
      <c r="D871" s="104"/>
      <c r="E871" s="109"/>
    </row>
    <row r="872" spans="2:5" ht="15.6" x14ac:dyDescent="0.3">
      <c r="B872" s="102"/>
      <c r="C872" s="103"/>
      <c r="D872" s="103"/>
      <c r="E872" s="108"/>
    </row>
    <row r="873" spans="2:5" ht="15.6" x14ac:dyDescent="0.3">
      <c r="B873" s="47"/>
      <c r="C873" s="104"/>
      <c r="D873" s="104"/>
      <c r="E873" s="109"/>
    </row>
    <row r="874" spans="2:5" ht="15.6" x14ac:dyDescent="0.3">
      <c r="B874" s="102"/>
      <c r="C874" s="103"/>
      <c r="D874" s="103"/>
      <c r="E874" s="108"/>
    </row>
    <row r="875" spans="2:5" ht="15.6" x14ac:dyDescent="0.3">
      <c r="B875" s="47"/>
      <c r="C875" s="104"/>
      <c r="D875" s="104"/>
      <c r="E875" s="109"/>
    </row>
    <row r="876" spans="2:5" ht="15.6" x14ac:dyDescent="0.3">
      <c r="B876" s="102"/>
      <c r="C876" s="103"/>
      <c r="D876" s="103"/>
      <c r="E876" s="108"/>
    </row>
    <row r="877" spans="2:5" ht="15.6" x14ac:dyDescent="0.3">
      <c r="B877" s="47"/>
      <c r="C877" s="104"/>
      <c r="D877" s="104"/>
      <c r="E877" s="109"/>
    </row>
    <row r="878" spans="2:5" ht="15.6" x14ac:dyDescent="0.3">
      <c r="B878" s="102"/>
      <c r="C878" s="103"/>
      <c r="D878" s="103"/>
      <c r="E878" s="108"/>
    </row>
    <row r="879" spans="2:5" ht="15.6" x14ac:dyDescent="0.3">
      <c r="B879" s="47"/>
      <c r="C879" s="104"/>
      <c r="D879" s="104"/>
      <c r="E879" s="109"/>
    </row>
    <row r="880" spans="2:5" ht="15.6" x14ac:dyDescent="0.3">
      <c r="B880" s="102"/>
      <c r="C880" s="103"/>
      <c r="D880" s="103"/>
      <c r="E880" s="108"/>
    </row>
    <row r="881" spans="2:5" ht="15.6" x14ac:dyDescent="0.3">
      <c r="B881" s="47"/>
      <c r="C881" s="104"/>
      <c r="D881" s="104"/>
      <c r="E881" s="109"/>
    </row>
    <row r="882" spans="2:5" ht="15.6" x14ac:dyDescent="0.3">
      <c r="B882" s="102"/>
      <c r="C882" s="103"/>
      <c r="D882" s="103"/>
      <c r="E882" s="108"/>
    </row>
    <row r="883" spans="2:5" ht="15.6" x14ac:dyDescent="0.3">
      <c r="B883" s="47"/>
      <c r="C883" s="104"/>
      <c r="D883" s="104"/>
      <c r="E883" s="109"/>
    </row>
    <row r="884" spans="2:5" ht="15.6" x14ac:dyDescent="0.3">
      <c r="B884" s="102"/>
      <c r="C884" s="103"/>
      <c r="D884" s="103"/>
      <c r="E884" s="108"/>
    </row>
    <row r="885" spans="2:5" ht="15.6" x14ac:dyDescent="0.3">
      <c r="B885" s="47"/>
      <c r="C885" s="104"/>
      <c r="D885" s="104"/>
      <c r="E885" s="109"/>
    </row>
    <row r="886" spans="2:5" ht="15.6" x14ac:dyDescent="0.3">
      <c r="B886" s="102"/>
      <c r="C886" s="103"/>
      <c r="D886" s="103"/>
      <c r="E886" s="108"/>
    </row>
    <row r="887" spans="2:5" ht="15.6" x14ac:dyDescent="0.3">
      <c r="B887" s="47"/>
      <c r="C887" s="104"/>
      <c r="D887" s="104"/>
      <c r="E887" s="109"/>
    </row>
    <row r="888" spans="2:5" ht="15.6" x14ac:dyDescent="0.3">
      <c r="B888" s="102"/>
      <c r="C888" s="103"/>
      <c r="D888" s="103"/>
      <c r="E888" s="108"/>
    </row>
    <row r="889" spans="2:5" ht="15.6" x14ac:dyDescent="0.3">
      <c r="B889" s="47"/>
      <c r="C889" s="104"/>
      <c r="D889" s="104"/>
      <c r="E889" s="109"/>
    </row>
    <row r="890" spans="2:5" ht="15.6" x14ac:dyDescent="0.3">
      <c r="B890" s="102"/>
      <c r="C890" s="103"/>
      <c r="D890" s="103"/>
      <c r="E890" s="108"/>
    </row>
    <row r="891" spans="2:5" ht="15.6" x14ac:dyDescent="0.3">
      <c r="B891" s="47"/>
      <c r="C891" s="104"/>
      <c r="D891" s="104"/>
      <c r="E891" s="109"/>
    </row>
    <row r="892" spans="2:5" ht="15.6" x14ac:dyDescent="0.3">
      <c r="B892" s="102"/>
      <c r="C892" s="103"/>
      <c r="D892" s="103"/>
      <c r="E892" s="108"/>
    </row>
    <row r="893" spans="2:5" ht="15.6" x14ac:dyDescent="0.3">
      <c r="B893" s="47"/>
      <c r="C893" s="104"/>
      <c r="D893" s="104"/>
      <c r="E893" s="109"/>
    </row>
    <row r="894" spans="2:5" ht="15.6" x14ac:dyDescent="0.3">
      <c r="B894" s="102"/>
      <c r="C894" s="103"/>
      <c r="D894" s="103"/>
      <c r="E894" s="108"/>
    </row>
    <row r="895" spans="2:5" ht="15.6" x14ac:dyDescent="0.3">
      <c r="B895" s="47"/>
      <c r="C895" s="104"/>
      <c r="D895" s="104"/>
      <c r="E895" s="109"/>
    </row>
    <row r="896" spans="2:5" ht="15.6" x14ac:dyDescent="0.3">
      <c r="B896" s="102"/>
      <c r="C896" s="103"/>
      <c r="D896" s="103"/>
      <c r="E896" s="108"/>
    </row>
    <row r="897" spans="2:5" ht="15.6" x14ac:dyDescent="0.3">
      <c r="B897" s="47"/>
      <c r="C897" s="104"/>
      <c r="D897" s="104"/>
      <c r="E897" s="109"/>
    </row>
    <row r="898" spans="2:5" ht="15.6" x14ac:dyDescent="0.3">
      <c r="B898" s="102"/>
      <c r="C898" s="103"/>
      <c r="D898" s="103"/>
      <c r="E898" s="108"/>
    </row>
    <row r="899" spans="2:5" ht="15.6" x14ac:dyDescent="0.3">
      <c r="B899" s="47"/>
      <c r="C899" s="104"/>
      <c r="D899" s="104"/>
      <c r="E899" s="109"/>
    </row>
    <row r="900" spans="2:5" ht="15.6" x14ac:dyDescent="0.3">
      <c r="B900" s="102"/>
      <c r="C900" s="103"/>
      <c r="D900" s="103"/>
      <c r="E900" s="108"/>
    </row>
    <row r="901" spans="2:5" ht="15.6" x14ac:dyDescent="0.3">
      <c r="B901" s="47"/>
      <c r="C901" s="104"/>
      <c r="D901" s="104"/>
      <c r="E901" s="109"/>
    </row>
    <row r="902" spans="2:5" ht="15.6" x14ac:dyDescent="0.3">
      <c r="B902" s="102"/>
      <c r="C902" s="103"/>
      <c r="D902" s="103"/>
      <c r="E902" s="108"/>
    </row>
    <row r="903" spans="2:5" ht="15.6" x14ac:dyDescent="0.3">
      <c r="B903" s="47"/>
      <c r="C903" s="104"/>
      <c r="D903" s="104"/>
      <c r="E903" s="109"/>
    </row>
    <row r="904" spans="2:5" ht="15.6" x14ac:dyDescent="0.3">
      <c r="B904" s="102"/>
      <c r="C904" s="103"/>
      <c r="D904" s="103"/>
      <c r="E904" s="108"/>
    </row>
    <row r="905" spans="2:5" ht="15.6" x14ac:dyDescent="0.3">
      <c r="B905" s="47"/>
      <c r="C905" s="104"/>
      <c r="D905" s="104"/>
      <c r="E905" s="109"/>
    </row>
    <row r="906" spans="2:5" ht="15.6" x14ac:dyDescent="0.3">
      <c r="B906" s="102"/>
      <c r="C906" s="103"/>
      <c r="D906" s="103"/>
      <c r="E906" s="108"/>
    </row>
    <row r="907" spans="2:5" ht="15.6" x14ac:dyDescent="0.3">
      <c r="B907" s="47"/>
      <c r="C907" s="104"/>
      <c r="D907" s="104"/>
      <c r="E907" s="109"/>
    </row>
    <row r="908" spans="2:5" ht="15.6" x14ac:dyDescent="0.3">
      <c r="B908" s="102"/>
      <c r="C908" s="103"/>
      <c r="D908" s="103"/>
      <c r="E908" s="108"/>
    </row>
    <row r="909" spans="2:5" ht="15.6" x14ac:dyDescent="0.3">
      <c r="B909" s="47"/>
      <c r="C909" s="104"/>
      <c r="D909" s="104"/>
      <c r="E909" s="109"/>
    </row>
    <row r="910" spans="2:5" ht="15.6" x14ac:dyDescent="0.3">
      <c r="B910" s="102"/>
      <c r="C910" s="103"/>
      <c r="D910" s="103"/>
      <c r="E910" s="108"/>
    </row>
    <row r="911" spans="2:5" ht="15.6" x14ac:dyDescent="0.3">
      <c r="B911" s="47"/>
      <c r="C911" s="104"/>
      <c r="D911" s="104"/>
      <c r="E911" s="109"/>
    </row>
    <row r="912" spans="2:5" ht="15.6" x14ac:dyDescent="0.3">
      <c r="B912" s="102"/>
      <c r="C912" s="103"/>
      <c r="D912" s="103"/>
      <c r="E912" s="108"/>
    </row>
    <row r="913" spans="2:5" ht="15.6" x14ac:dyDescent="0.3">
      <c r="B913" s="47"/>
      <c r="C913" s="104"/>
      <c r="D913" s="104"/>
      <c r="E913" s="109"/>
    </row>
    <row r="914" spans="2:5" ht="15.6" x14ac:dyDescent="0.3">
      <c r="B914" s="102"/>
      <c r="C914" s="103"/>
      <c r="D914" s="103"/>
      <c r="E914" s="108"/>
    </row>
    <row r="915" spans="2:5" ht="15.6" x14ac:dyDescent="0.3">
      <c r="B915" s="47"/>
      <c r="C915" s="104"/>
      <c r="D915" s="104"/>
      <c r="E915" s="109"/>
    </row>
    <row r="916" spans="2:5" ht="15.6" x14ac:dyDescent="0.3">
      <c r="B916" s="102"/>
      <c r="C916" s="103"/>
      <c r="D916" s="103"/>
      <c r="E916" s="108"/>
    </row>
    <row r="917" spans="2:5" ht="15.6" x14ac:dyDescent="0.3">
      <c r="B917" s="47"/>
      <c r="C917" s="104"/>
      <c r="D917" s="104"/>
      <c r="E917" s="109"/>
    </row>
    <row r="918" spans="2:5" ht="15.6" x14ac:dyDescent="0.3">
      <c r="B918" s="102"/>
      <c r="C918" s="103"/>
      <c r="D918" s="103"/>
      <c r="E918" s="108"/>
    </row>
    <row r="919" spans="2:5" ht="15.6" x14ac:dyDescent="0.3">
      <c r="B919" s="47"/>
      <c r="C919" s="104"/>
      <c r="D919" s="104"/>
      <c r="E919" s="109"/>
    </row>
    <row r="920" spans="2:5" ht="15.6" x14ac:dyDescent="0.3">
      <c r="B920" s="102"/>
      <c r="C920" s="103"/>
      <c r="D920" s="103"/>
      <c r="E920" s="108"/>
    </row>
    <row r="921" spans="2:5" ht="15.6" x14ac:dyDescent="0.3">
      <c r="B921" s="47"/>
      <c r="C921" s="104"/>
      <c r="D921" s="104"/>
      <c r="E921" s="109"/>
    </row>
    <row r="922" spans="2:5" ht="15.6" x14ac:dyDescent="0.3">
      <c r="B922" s="102"/>
      <c r="C922" s="103"/>
      <c r="D922" s="103"/>
      <c r="E922" s="108"/>
    </row>
    <row r="923" spans="2:5" ht="15.6" x14ac:dyDescent="0.3">
      <c r="B923" s="47"/>
      <c r="C923" s="104"/>
      <c r="D923" s="104"/>
      <c r="E923" s="109"/>
    </row>
    <row r="924" spans="2:5" ht="15.6" x14ac:dyDescent="0.3">
      <c r="B924" s="102"/>
      <c r="C924" s="103"/>
      <c r="D924" s="103"/>
      <c r="E924" s="108"/>
    </row>
    <row r="925" spans="2:5" ht="15.6" x14ac:dyDescent="0.3">
      <c r="B925" s="47"/>
      <c r="C925" s="104"/>
      <c r="D925" s="104"/>
      <c r="E925" s="109"/>
    </row>
    <row r="926" spans="2:5" ht="15.6" x14ac:dyDescent="0.3">
      <c r="B926" s="102"/>
      <c r="C926" s="103"/>
      <c r="D926" s="103"/>
      <c r="E926" s="108"/>
    </row>
    <row r="927" spans="2:5" ht="15.6" x14ac:dyDescent="0.3">
      <c r="B927" s="47"/>
      <c r="C927" s="104"/>
      <c r="D927" s="104"/>
      <c r="E927" s="109"/>
    </row>
    <row r="928" spans="2:5" ht="15.6" x14ac:dyDescent="0.3">
      <c r="B928" s="102"/>
      <c r="C928" s="103"/>
      <c r="D928" s="103"/>
      <c r="E928" s="108"/>
    </row>
    <row r="929" spans="2:5" ht="15.6" x14ac:dyDescent="0.3">
      <c r="B929" s="47"/>
      <c r="C929" s="104"/>
      <c r="D929" s="104"/>
      <c r="E929" s="109"/>
    </row>
    <row r="930" spans="2:5" ht="15.6" x14ac:dyDescent="0.3">
      <c r="B930" s="102"/>
      <c r="C930" s="103"/>
      <c r="D930" s="103"/>
      <c r="E930" s="108"/>
    </row>
    <row r="931" spans="2:5" ht="15.6" x14ac:dyDescent="0.3">
      <c r="B931" s="47"/>
      <c r="C931" s="104"/>
      <c r="D931" s="104"/>
      <c r="E931" s="109"/>
    </row>
    <row r="932" spans="2:5" ht="15.6" x14ac:dyDescent="0.3">
      <c r="B932" s="102"/>
      <c r="C932" s="103"/>
      <c r="D932" s="103"/>
      <c r="E932" s="108"/>
    </row>
    <row r="933" spans="2:5" ht="15.6" x14ac:dyDescent="0.3">
      <c r="B933" s="47"/>
      <c r="C933" s="104"/>
      <c r="D933" s="104"/>
      <c r="E933" s="109"/>
    </row>
    <row r="934" spans="2:5" ht="15.6" x14ac:dyDescent="0.3">
      <c r="B934" s="102"/>
      <c r="C934" s="103"/>
      <c r="D934" s="103"/>
      <c r="E934" s="108"/>
    </row>
    <row r="935" spans="2:5" ht="15.6" x14ac:dyDescent="0.3">
      <c r="B935" s="47"/>
      <c r="C935" s="104"/>
      <c r="D935" s="104"/>
      <c r="E935" s="109"/>
    </row>
    <row r="936" spans="2:5" ht="15.6" x14ac:dyDescent="0.3">
      <c r="B936" s="102"/>
      <c r="C936" s="103"/>
      <c r="D936" s="103"/>
      <c r="E936" s="108"/>
    </row>
    <row r="937" spans="2:5" ht="15.6" x14ac:dyDescent="0.3">
      <c r="B937" s="47"/>
      <c r="C937" s="104"/>
      <c r="D937" s="104"/>
      <c r="E937" s="109"/>
    </row>
    <row r="938" spans="2:5" ht="15.6" x14ac:dyDescent="0.3">
      <c r="B938" s="102"/>
      <c r="C938" s="103"/>
      <c r="D938" s="103"/>
      <c r="E938" s="108"/>
    </row>
    <row r="939" spans="2:5" ht="15.6" x14ac:dyDescent="0.3">
      <c r="B939" s="47"/>
      <c r="C939" s="104"/>
      <c r="D939" s="104"/>
      <c r="E939" s="109"/>
    </row>
    <row r="940" spans="2:5" ht="15.6" x14ac:dyDescent="0.3">
      <c r="B940" s="102"/>
      <c r="C940" s="103"/>
      <c r="D940" s="103"/>
      <c r="E940" s="108"/>
    </row>
    <row r="941" spans="2:5" ht="15.6" x14ac:dyDescent="0.3">
      <c r="B941" s="47"/>
      <c r="C941" s="104"/>
      <c r="D941" s="104"/>
      <c r="E941" s="109"/>
    </row>
    <row r="942" spans="2:5" ht="15.6" x14ac:dyDescent="0.3">
      <c r="B942" s="102"/>
      <c r="C942" s="103"/>
      <c r="D942" s="103"/>
      <c r="E942" s="108"/>
    </row>
    <row r="943" spans="2:5" ht="15.6" x14ac:dyDescent="0.3">
      <c r="B943" s="47"/>
      <c r="C943" s="104"/>
      <c r="D943" s="104"/>
      <c r="E943" s="109"/>
    </row>
    <row r="944" spans="2:5" ht="15.6" x14ac:dyDescent="0.3">
      <c r="B944" s="102"/>
      <c r="C944" s="103"/>
      <c r="D944" s="103"/>
      <c r="E944" s="108"/>
    </row>
    <row r="945" spans="2:5" ht="15.6" x14ac:dyDescent="0.3">
      <c r="B945" s="47"/>
      <c r="C945" s="104"/>
      <c r="D945" s="104"/>
      <c r="E945" s="109"/>
    </row>
    <row r="946" spans="2:5" ht="15.6" x14ac:dyDescent="0.3">
      <c r="B946" s="102"/>
      <c r="C946" s="103"/>
      <c r="D946" s="103"/>
      <c r="E946" s="108"/>
    </row>
    <row r="947" spans="2:5" ht="15.6" x14ac:dyDescent="0.3">
      <c r="B947" s="47"/>
      <c r="C947" s="104"/>
      <c r="D947" s="104"/>
      <c r="E947" s="109"/>
    </row>
    <row r="948" spans="2:5" ht="15.6" x14ac:dyDescent="0.3">
      <c r="B948" s="102"/>
      <c r="C948" s="103"/>
      <c r="D948" s="103"/>
      <c r="E948" s="108"/>
    </row>
    <row r="949" spans="2:5" ht="15.6" x14ac:dyDescent="0.3">
      <c r="B949" s="47"/>
      <c r="C949" s="104"/>
      <c r="D949" s="104"/>
      <c r="E949" s="109"/>
    </row>
    <row r="950" spans="2:5" ht="15.6" x14ac:dyDescent="0.3">
      <c r="B950" s="102"/>
      <c r="C950" s="103"/>
      <c r="D950" s="103"/>
      <c r="E950" s="108"/>
    </row>
    <row r="951" spans="2:5" ht="15.6" x14ac:dyDescent="0.3">
      <c r="B951" s="47"/>
      <c r="C951" s="104"/>
      <c r="D951" s="104"/>
      <c r="E951" s="109"/>
    </row>
    <row r="952" spans="2:5" ht="15.6" x14ac:dyDescent="0.3">
      <c r="B952" s="102"/>
      <c r="C952" s="103"/>
      <c r="D952" s="103"/>
      <c r="E952" s="108"/>
    </row>
    <row r="953" spans="2:5" ht="15.6" x14ac:dyDescent="0.3">
      <c r="B953" s="47"/>
      <c r="C953" s="104"/>
      <c r="D953" s="104"/>
      <c r="E953" s="109"/>
    </row>
    <row r="954" spans="2:5" ht="15.6" x14ac:dyDescent="0.3">
      <c r="B954" s="102"/>
      <c r="C954" s="103"/>
      <c r="D954" s="103"/>
      <c r="E954" s="108"/>
    </row>
    <row r="955" spans="2:5" ht="15.6" x14ac:dyDescent="0.3">
      <c r="B955" s="47"/>
      <c r="C955" s="104"/>
      <c r="D955" s="104"/>
      <c r="E955" s="109"/>
    </row>
    <row r="956" spans="2:5" ht="15.6" x14ac:dyDescent="0.3">
      <c r="B956" s="102"/>
      <c r="C956" s="103"/>
      <c r="D956" s="103"/>
      <c r="E956" s="108"/>
    </row>
    <row r="957" spans="2:5" ht="15.6" x14ac:dyDescent="0.3">
      <c r="B957" s="47"/>
      <c r="C957" s="104"/>
      <c r="D957" s="104"/>
      <c r="E957" s="109"/>
    </row>
    <row r="958" spans="2:5" ht="15.6" x14ac:dyDescent="0.3">
      <c r="B958" s="102"/>
      <c r="C958" s="103"/>
      <c r="D958" s="103"/>
      <c r="E958" s="108"/>
    </row>
    <row r="959" spans="2:5" ht="15.6" x14ac:dyDescent="0.3">
      <c r="B959" s="47"/>
      <c r="C959" s="104"/>
      <c r="D959" s="104"/>
      <c r="E959" s="109"/>
    </row>
    <row r="960" spans="2:5" ht="15.6" x14ac:dyDescent="0.3">
      <c r="B960" s="102"/>
      <c r="C960" s="103"/>
      <c r="D960" s="103"/>
      <c r="E960" s="108"/>
    </row>
    <row r="961" spans="2:5" ht="15.6" x14ac:dyDescent="0.3">
      <c r="B961" s="47"/>
      <c r="C961" s="104"/>
      <c r="D961" s="104"/>
      <c r="E961" s="109"/>
    </row>
    <row r="962" spans="2:5" ht="15.6" x14ac:dyDescent="0.3">
      <c r="B962" s="102"/>
      <c r="C962" s="103"/>
      <c r="D962" s="103"/>
      <c r="E962" s="108"/>
    </row>
    <row r="963" spans="2:5" ht="15.6" x14ac:dyDescent="0.3">
      <c r="B963" s="47"/>
      <c r="C963" s="104"/>
      <c r="D963" s="104"/>
      <c r="E963" s="109"/>
    </row>
    <row r="964" spans="2:5" ht="15.6" x14ac:dyDescent="0.3">
      <c r="B964" s="102"/>
      <c r="C964" s="103"/>
      <c r="D964" s="103"/>
      <c r="E964" s="108"/>
    </row>
    <row r="965" spans="2:5" ht="15.6" x14ac:dyDescent="0.3">
      <c r="B965" s="47"/>
      <c r="C965" s="104"/>
      <c r="D965" s="104"/>
      <c r="E965" s="109"/>
    </row>
    <row r="966" spans="2:5" ht="15.6" x14ac:dyDescent="0.3">
      <c r="B966" s="102"/>
      <c r="C966" s="103"/>
      <c r="D966" s="103"/>
      <c r="E966" s="108"/>
    </row>
    <row r="967" spans="2:5" ht="15.6" x14ac:dyDescent="0.3">
      <c r="B967" s="47"/>
      <c r="C967" s="104"/>
      <c r="D967" s="104"/>
      <c r="E967" s="109"/>
    </row>
    <row r="968" spans="2:5" ht="15.6" x14ac:dyDescent="0.3">
      <c r="B968" s="102"/>
      <c r="C968" s="103"/>
      <c r="D968" s="103"/>
      <c r="E968" s="108"/>
    </row>
    <row r="969" spans="2:5" ht="15.6" x14ac:dyDescent="0.3">
      <c r="B969" s="47"/>
      <c r="C969" s="104"/>
      <c r="D969" s="104"/>
      <c r="E969" s="109"/>
    </row>
    <row r="970" spans="2:5" ht="15.6" x14ac:dyDescent="0.3">
      <c r="B970" s="102"/>
      <c r="C970" s="103"/>
      <c r="D970" s="103"/>
      <c r="E970" s="108"/>
    </row>
    <row r="971" spans="2:5" ht="15.6" x14ac:dyDescent="0.3">
      <c r="B971" s="47"/>
      <c r="C971" s="104"/>
      <c r="D971" s="104"/>
      <c r="E971" s="109"/>
    </row>
    <row r="972" spans="2:5" ht="15.6" x14ac:dyDescent="0.3">
      <c r="B972" s="102"/>
      <c r="C972" s="103"/>
      <c r="D972" s="103"/>
      <c r="E972" s="108"/>
    </row>
    <row r="973" spans="2:5" ht="15.6" x14ac:dyDescent="0.3">
      <c r="B973" s="47"/>
      <c r="C973" s="104"/>
      <c r="D973" s="104"/>
      <c r="E973" s="109"/>
    </row>
    <row r="974" spans="2:5" ht="15.6" x14ac:dyDescent="0.3">
      <c r="B974" s="102"/>
      <c r="C974" s="103"/>
      <c r="D974" s="103"/>
      <c r="E974" s="108"/>
    </row>
    <row r="975" spans="2:5" ht="15.6" x14ac:dyDescent="0.3">
      <c r="B975" s="47"/>
      <c r="C975" s="104"/>
      <c r="D975" s="104"/>
      <c r="E975" s="109"/>
    </row>
    <row r="976" spans="2:5" ht="15.6" x14ac:dyDescent="0.3">
      <c r="B976" s="102"/>
      <c r="C976" s="103"/>
      <c r="D976" s="103"/>
      <c r="E976" s="108"/>
    </row>
    <row r="977" spans="2:5" ht="15.6" x14ac:dyDescent="0.3">
      <c r="B977" s="47"/>
      <c r="C977" s="104"/>
      <c r="D977" s="104"/>
      <c r="E977" s="109"/>
    </row>
    <row r="978" spans="2:5" ht="15.6" x14ac:dyDescent="0.3">
      <c r="B978" s="102"/>
      <c r="C978" s="103"/>
      <c r="D978" s="103"/>
      <c r="E978" s="108"/>
    </row>
    <row r="979" spans="2:5" ht="15.6" x14ac:dyDescent="0.3">
      <c r="B979" s="47"/>
      <c r="C979" s="104"/>
      <c r="D979" s="104"/>
      <c r="E979" s="109"/>
    </row>
    <row r="980" spans="2:5" ht="15.6" x14ac:dyDescent="0.3">
      <c r="B980" s="102"/>
      <c r="C980" s="103"/>
      <c r="D980" s="103"/>
      <c r="E980" s="108"/>
    </row>
    <row r="981" spans="2:5" ht="15.6" x14ac:dyDescent="0.3">
      <c r="B981" s="47"/>
      <c r="C981" s="104"/>
      <c r="D981" s="104"/>
      <c r="E981" s="109"/>
    </row>
    <row r="982" spans="2:5" ht="15.6" x14ac:dyDescent="0.3">
      <c r="B982" s="102"/>
      <c r="C982" s="103"/>
      <c r="D982" s="103"/>
      <c r="E982" s="108"/>
    </row>
    <row r="983" spans="2:5" ht="15.6" x14ac:dyDescent="0.3">
      <c r="B983" s="47"/>
      <c r="C983" s="104"/>
      <c r="D983" s="104"/>
      <c r="E983" s="109"/>
    </row>
    <row r="984" spans="2:5" ht="15.6" x14ac:dyDescent="0.3">
      <c r="B984" s="102"/>
      <c r="C984" s="103"/>
      <c r="D984" s="103"/>
      <c r="E984" s="108"/>
    </row>
    <row r="985" spans="2:5" ht="15.6" x14ac:dyDescent="0.3">
      <c r="B985" s="47"/>
      <c r="C985" s="104"/>
      <c r="D985" s="104"/>
      <c r="E985" s="109"/>
    </row>
    <row r="986" spans="2:5" ht="15.6" x14ac:dyDescent="0.3">
      <c r="B986" s="102"/>
      <c r="C986" s="103"/>
      <c r="D986" s="103"/>
      <c r="E986" s="108"/>
    </row>
    <row r="987" spans="2:5" ht="15.6" x14ac:dyDescent="0.3">
      <c r="B987" s="47"/>
      <c r="C987" s="104"/>
      <c r="D987" s="104"/>
      <c r="E987" s="109"/>
    </row>
    <row r="988" spans="2:5" ht="15.6" x14ac:dyDescent="0.3">
      <c r="B988" s="102"/>
      <c r="C988" s="103"/>
      <c r="D988" s="103"/>
      <c r="E988" s="108"/>
    </row>
    <row r="989" spans="2:5" ht="15.6" x14ac:dyDescent="0.3">
      <c r="B989" s="47"/>
      <c r="C989" s="104"/>
      <c r="D989" s="104"/>
      <c r="E989" s="109"/>
    </row>
    <row r="990" spans="2:5" ht="15.6" x14ac:dyDescent="0.3">
      <c r="B990" s="102"/>
      <c r="C990" s="103"/>
      <c r="D990" s="103"/>
      <c r="E990" s="108"/>
    </row>
    <row r="991" spans="2:5" ht="15.6" x14ac:dyDescent="0.3">
      <c r="B991" s="47"/>
      <c r="C991" s="104"/>
      <c r="D991" s="104"/>
      <c r="E991" s="109"/>
    </row>
    <row r="992" spans="2:5" ht="15.6" x14ac:dyDescent="0.3">
      <c r="B992" s="102"/>
      <c r="C992" s="103"/>
      <c r="D992" s="103"/>
      <c r="E992" s="108"/>
    </row>
    <row r="993" spans="2:5" ht="15.6" x14ac:dyDescent="0.3">
      <c r="B993" s="47"/>
      <c r="C993" s="104"/>
      <c r="D993" s="104"/>
      <c r="E993" s="109"/>
    </row>
    <row r="994" spans="2:5" ht="15.6" x14ac:dyDescent="0.3">
      <c r="B994" s="102"/>
      <c r="C994" s="103"/>
      <c r="D994" s="103"/>
      <c r="E994" s="108"/>
    </row>
    <row r="995" spans="2:5" ht="15.6" x14ac:dyDescent="0.3">
      <c r="B995" s="47"/>
      <c r="C995" s="104"/>
      <c r="D995" s="104"/>
      <c r="E995" s="109"/>
    </row>
    <row r="996" spans="2:5" ht="15.6" x14ac:dyDescent="0.3">
      <c r="B996" s="102"/>
      <c r="C996" s="103"/>
      <c r="D996" s="103"/>
      <c r="E996" s="108"/>
    </row>
    <row r="997" spans="2:5" ht="15.6" x14ac:dyDescent="0.3">
      <c r="B997" s="47"/>
      <c r="C997" s="104"/>
      <c r="D997" s="104"/>
      <c r="E997" s="109"/>
    </row>
    <row r="998" spans="2:5" ht="15.6" x14ac:dyDescent="0.3">
      <c r="B998" s="102"/>
      <c r="C998" s="103"/>
      <c r="D998" s="103"/>
      <c r="E998" s="108"/>
    </row>
    <row r="999" spans="2:5" ht="15.6" x14ac:dyDescent="0.3">
      <c r="B999" s="47"/>
      <c r="C999" s="104"/>
      <c r="D999" s="104"/>
      <c r="E999" s="109"/>
    </row>
    <row r="1000" spans="2:5" ht="15.6" x14ac:dyDescent="0.3">
      <c r="B1000" s="102"/>
      <c r="C1000" s="103"/>
      <c r="D1000" s="103"/>
      <c r="E1000" s="108"/>
    </row>
    <row r="1001" spans="2:5" ht="15.6" x14ac:dyDescent="0.3">
      <c r="B1001" s="47"/>
      <c r="C1001" s="104"/>
      <c r="D1001" s="104"/>
      <c r="E1001" s="109"/>
    </row>
    <row r="1002" spans="2:5" ht="15.6" x14ac:dyDescent="0.3">
      <c r="B1002" s="102"/>
      <c r="C1002" s="103"/>
      <c r="D1002" s="103"/>
      <c r="E1002" s="108"/>
    </row>
    <row r="1003" spans="2:5" ht="15.6" x14ac:dyDescent="0.3">
      <c r="B1003" s="47"/>
      <c r="C1003" s="104"/>
      <c r="D1003" s="104"/>
      <c r="E1003" s="109"/>
    </row>
    <row r="1004" spans="2:5" ht="15.6" x14ac:dyDescent="0.3">
      <c r="B1004" s="102"/>
      <c r="C1004" s="103"/>
      <c r="D1004" s="103"/>
      <c r="E1004" s="108"/>
    </row>
    <row r="1005" spans="2:5" ht="15.6" x14ac:dyDescent="0.3">
      <c r="B1005" s="47"/>
      <c r="C1005" s="104"/>
      <c r="D1005" s="104"/>
      <c r="E1005" s="109"/>
    </row>
    <row r="1006" spans="2:5" ht="15.6" x14ac:dyDescent="0.3">
      <c r="B1006" s="102"/>
      <c r="C1006" s="103"/>
      <c r="D1006" s="103"/>
      <c r="E1006" s="108"/>
    </row>
    <row r="1007" spans="2:5" ht="15.6" x14ac:dyDescent="0.3">
      <c r="B1007" s="47"/>
      <c r="C1007" s="104"/>
      <c r="D1007" s="104"/>
      <c r="E1007" s="109"/>
    </row>
    <row r="1008" spans="2:5" ht="15.6" x14ac:dyDescent="0.3">
      <c r="B1008" s="102"/>
      <c r="C1008" s="103"/>
      <c r="D1008" s="103"/>
      <c r="E1008" s="108"/>
    </row>
    <row r="1009" spans="2:5" ht="15.6" x14ac:dyDescent="0.3">
      <c r="B1009" s="47"/>
      <c r="C1009" s="104"/>
      <c r="D1009" s="104"/>
      <c r="E1009" s="109"/>
    </row>
    <row r="1010" spans="2:5" ht="15.6" x14ac:dyDescent="0.3">
      <c r="B1010" s="102"/>
      <c r="C1010" s="103"/>
      <c r="D1010" s="103"/>
      <c r="E1010" s="108"/>
    </row>
    <row r="1011" spans="2:5" ht="15.6" x14ac:dyDescent="0.3">
      <c r="B1011" s="47"/>
      <c r="C1011" s="104"/>
      <c r="D1011" s="104"/>
      <c r="E1011" s="109"/>
    </row>
    <row r="1012" spans="2:5" ht="15.6" x14ac:dyDescent="0.3">
      <c r="B1012" s="102"/>
      <c r="C1012" s="103"/>
      <c r="D1012" s="103"/>
      <c r="E1012" s="108"/>
    </row>
    <row r="1013" spans="2:5" ht="15.6" x14ac:dyDescent="0.3">
      <c r="B1013" s="47"/>
      <c r="C1013" s="104"/>
      <c r="D1013" s="104"/>
      <c r="E1013" s="109"/>
    </row>
    <row r="1014" spans="2:5" ht="15.6" x14ac:dyDescent="0.3">
      <c r="B1014" s="102"/>
      <c r="C1014" s="103"/>
      <c r="D1014" s="103"/>
      <c r="E1014" s="108"/>
    </row>
    <row r="1015" spans="2:5" ht="15.6" x14ac:dyDescent="0.3">
      <c r="B1015" s="47"/>
      <c r="C1015" s="104"/>
      <c r="D1015" s="104"/>
      <c r="E1015" s="109"/>
    </row>
    <row r="1016" spans="2:5" ht="15.6" x14ac:dyDescent="0.3">
      <c r="B1016" s="102"/>
      <c r="C1016" s="103"/>
      <c r="D1016" s="103"/>
      <c r="E1016" s="108"/>
    </row>
    <row r="1017" spans="2:5" ht="15.6" x14ac:dyDescent="0.3">
      <c r="B1017" s="47"/>
      <c r="C1017" s="104"/>
      <c r="D1017" s="104"/>
      <c r="E1017" s="109"/>
    </row>
    <row r="1018" spans="2:5" ht="15.6" x14ac:dyDescent="0.3">
      <c r="B1018" s="102"/>
      <c r="C1018" s="103"/>
      <c r="D1018" s="103"/>
      <c r="E1018" s="108"/>
    </row>
    <row r="1019" spans="2:5" ht="15.6" x14ac:dyDescent="0.3">
      <c r="B1019" s="47"/>
      <c r="C1019" s="104"/>
      <c r="D1019" s="104"/>
      <c r="E1019" s="109"/>
    </row>
    <row r="1020" spans="2:5" ht="15.6" x14ac:dyDescent="0.3">
      <c r="B1020" s="102"/>
      <c r="C1020" s="103"/>
      <c r="D1020" s="103"/>
      <c r="E1020" s="108"/>
    </row>
    <row r="1021" spans="2:5" ht="15.6" x14ac:dyDescent="0.3">
      <c r="B1021" s="47"/>
      <c r="C1021" s="104"/>
      <c r="D1021" s="104"/>
      <c r="E1021" s="109"/>
    </row>
    <row r="1022" spans="2:5" ht="15.6" x14ac:dyDescent="0.3">
      <c r="B1022" s="102"/>
      <c r="C1022" s="103"/>
      <c r="D1022" s="103"/>
      <c r="E1022" s="108"/>
    </row>
    <row r="1023" spans="2:5" ht="15.6" x14ac:dyDescent="0.3">
      <c r="B1023" s="47"/>
      <c r="C1023" s="104"/>
      <c r="D1023" s="104"/>
      <c r="E1023" s="109"/>
    </row>
    <row r="1024" spans="2:5" ht="15.6" x14ac:dyDescent="0.3">
      <c r="B1024" s="102"/>
      <c r="C1024" s="103"/>
      <c r="D1024" s="103"/>
      <c r="E1024" s="108"/>
    </row>
    <row r="1025" spans="2:5" ht="15.6" x14ac:dyDescent="0.3">
      <c r="B1025" s="47"/>
      <c r="C1025" s="104"/>
      <c r="D1025" s="104"/>
      <c r="E1025" s="109"/>
    </row>
    <row r="1026" spans="2:5" ht="15.6" x14ac:dyDescent="0.3">
      <c r="B1026" s="102"/>
      <c r="C1026" s="103"/>
      <c r="D1026" s="103"/>
      <c r="E1026" s="108"/>
    </row>
    <row r="1027" spans="2:5" ht="15.6" x14ac:dyDescent="0.3">
      <c r="B1027" s="47"/>
      <c r="C1027" s="104"/>
      <c r="D1027" s="104"/>
      <c r="E1027" s="109"/>
    </row>
    <row r="1028" spans="2:5" ht="15.6" x14ac:dyDescent="0.3">
      <c r="B1028" s="102"/>
      <c r="C1028" s="103"/>
      <c r="D1028" s="103"/>
      <c r="E1028" s="108"/>
    </row>
    <row r="1029" spans="2:5" ht="15.6" x14ac:dyDescent="0.3">
      <c r="B1029" s="47"/>
      <c r="C1029" s="104"/>
      <c r="D1029" s="104"/>
      <c r="E1029" s="109"/>
    </row>
    <row r="1030" spans="2:5" ht="15.6" x14ac:dyDescent="0.3">
      <c r="B1030" s="102"/>
      <c r="C1030" s="103"/>
      <c r="D1030" s="103"/>
      <c r="E1030" s="108"/>
    </row>
    <row r="1031" spans="2:5" ht="15.6" x14ac:dyDescent="0.3">
      <c r="B1031" s="47"/>
      <c r="C1031" s="104"/>
      <c r="D1031" s="104"/>
      <c r="E1031" s="109"/>
    </row>
    <row r="1032" spans="2:5" ht="15.6" x14ac:dyDescent="0.3">
      <c r="B1032" s="102"/>
      <c r="C1032" s="103"/>
      <c r="D1032" s="103"/>
      <c r="E1032" s="108"/>
    </row>
    <row r="1033" spans="2:5" ht="15.6" x14ac:dyDescent="0.3">
      <c r="B1033" s="47"/>
      <c r="C1033" s="104"/>
      <c r="D1033" s="104"/>
      <c r="E1033" s="109"/>
    </row>
    <row r="1034" spans="2:5" ht="15.6" x14ac:dyDescent="0.3">
      <c r="B1034" s="102"/>
      <c r="C1034" s="103"/>
      <c r="D1034" s="103"/>
      <c r="E1034" s="108"/>
    </row>
    <row r="1035" spans="2:5" ht="15.6" x14ac:dyDescent="0.3">
      <c r="B1035" s="47"/>
      <c r="C1035" s="104"/>
      <c r="D1035" s="104"/>
      <c r="E1035" s="109"/>
    </row>
    <row r="1036" spans="2:5" ht="15.6" x14ac:dyDescent="0.3">
      <c r="B1036" s="102"/>
      <c r="C1036" s="103"/>
      <c r="D1036" s="103"/>
      <c r="E1036" s="108"/>
    </row>
    <row r="1037" spans="2:5" ht="15.6" x14ac:dyDescent="0.3">
      <c r="B1037" s="47"/>
      <c r="C1037" s="104"/>
      <c r="D1037" s="104"/>
      <c r="E1037" s="109"/>
    </row>
    <row r="1038" spans="2:5" ht="15.6" x14ac:dyDescent="0.3">
      <c r="B1038" s="102"/>
      <c r="C1038" s="103"/>
      <c r="D1038" s="103"/>
      <c r="E1038" s="108"/>
    </row>
    <row r="1039" spans="2:5" ht="15.6" x14ac:dyDescent="0.3">
      <c r="B1039" s="47"/>
      <c r="C1039" s="104"/>
      <c r="D1039" s="104"/>
      <c r="E1039" s="109"/>
    </row>
    <row r="1040" spans="2:5" ht="15.6" x14ac:dyDescent="0.3">
      <c r="B1040" s="102"/>
      <c r="C1040" s="103"/>
      <c r="D1040" s="103"/>
      <c r="E1040" s="108"/>
    </row>
    <row r="1041" spans="2:5" ht="15.6" x14ac:dyDescent="0.3">
      <c r="B1041" s="47"/>
      <c r="C1041" s="104"/>
      <c r="D1041" s="104"/>
      <c r="E1041" s="109"/>
    </row>
    <row r="1042" spans="2:5" ht="15.6" x14ac:dyDescent="0.3">
      <c r="B1042" s="102"/>
      <c r="C1042" s="103"/>
      <c r="D1042" s="103"/>
      <c r="E1042" s="108"/>
    </row>
    <row r="1043" spans="2:5" ht="15.6" x14ac:dyDescent="0.3">
      <c r="B1043" s="47"/>
      <c r="C1043" s="104"/>
      <c r="D1043" s="104"/>
      <c r="E1043" s="109"/>
    </row>
    <row r="1044" spans="2:5" ht="15.6" x14ac:dyDescent="0.3">
      <c r="B1044" s="102"/>
      <c r="C1044" s="103"/>
      <c r="D1044" s="103"/>
      <c r="E1044" s="108"/>
    </row>
    <row r="1045" spans="2:5" ht="15.6" x14ac:dyDescent="0.3">
      <c r="B1045" s="47"/>
      <c r="C1045" s="104"/>
      <c r="D1045" s="104"/>
      <c r="E1045" s="109"/>
    </row>
    <row r="1046" spans="2:5" ht="15.6" x14ac:dyDescent="0.3">
      <c r="B1046" s="102"/>
      <c r="C1046" s="103"/>
      <c r="D1046" s="103"/>
      <c r="E1046" s="108"/>
    </row>
    <row r="1047" spans="2:5" ht="15.6" x14ac:dyDescent="0.3">
      <c r="B1047" s="47"/>
      <c r="C1047" s="104"/>
      <c r="D1047" s="104"/>
      <c r="E1047" s="109"/>
    </row>
    <row r="1048" spans="2:5" ht="15.6" x14ac:dyDescent="0.3">
      <c r="B1048" s="102"/>
      <c r="C1048" s="103"/>
      <c r="D1048" s="103"/>
      <c r="E1048" s="108"/>
    </row>
    <row r="1049" spans="2:5" ht="15.6" x14ac:dyDescent="0.3">
      <c r="B1049" s="47"/>
      <c r="C1049" s="104"/>
      <c r="D1049" s="104"/>
      <c r="E1049" s="109"/>
    </row>
    <row r="1050" spans="2:5" ht="15.6" x14ac:dyDescent="0.3">
      <c r="B1050" s="102"/>
      <c r="C1050" s="103"/>
      <c r="D1050" s="103"/>
      <c r="E1050" s="108"/>
    </row>
    <row r="1051" spans="2:5" ht="15.6" x14ac:dyDescent="0.3">
      <c r="B1051" s="47"/>
      <c r="C1051" s="104"/>
      <c r="D1051" s="104"/>
      <c r="E1051" s="109"/>
    </row>
    <row r="1052" spans="2:5" ht="15.6" x14ac:dyDescent="0.3">
      <c r="B1052" s="102"/>
      <c r="C1052" s="103"/>
      <c r="D1052" s="103"/>
      <c r="E1052" s="108"/>
    </row>
    <row r="1053" spans="2:5" ht="15.6" x14ac:dyDescent="0.3">
      <c r="B1053" s="47"/>
      <c r="C1053" s="104"/>
      <c r="D1053" s="104"/>
      <c r="E1053" s="109"/>
    </row>
    <row r="1054" spans="2:5" ht="15.6" x14ac:dyDescent="0.3">
      <c r="B1054" s="102"/>
      <c r="C1054" s="103"/>
      <c r="D1054" s="103"/>
      <c r="E1054" s="108"/>
    </row>
    <row r="1055" spans="2:5" ht="15.6" x14ac:dyDescent="0.3">
      <c r="B1055" s="47"/>
      <c r="C1055" s="104"/>
      <c r="D1055" s="104"/>
      <c r="E1055" s="109"/>
    </row>
    <row r="1056" spans="2:5" ht="15.6" x14ac:dyDescent="0.3">
      <c r="B1056" s="102"/>
      <c r="C1056" s="103"/>
      <c r="D1056" s="103"/>
      <c r="E1056" s="108"/>
    </row>
    <row r="1057" spans="2:5" ht="15.6" x14ac:dyDescent="0.3">
      <c r="B1057" s="47"/>
      <c r="C1057" s="104"/>
      <c r="D1057" s="104"/>
      <c r="E1057" s="109"/>
    </row>
    <row r="1058" spans="2:5" ht="15.6" x14ac:dyDescent="0.3">
      <c r="B1058" s="102"/>
      <c r="C1058" s="103"/>
      <c r="D1058" s="103"/>
      <c r="E1058" s="108"/>
    </row>
    <row r="1059" spans="2:5" ht="15.6" x14ac:dyDescent="0.3">
      <c r="B1059" s="47"/>
      <c r="C1059" s="104"/>
      <c r="D1059" s="104"/>
      <c r="E1059" s="109"/>
    </row>
    <row r="1060" spans="2:5" ht="15.6" x14ac:dyDescent="0.3">
      <c r="B1060" s="102"/>
      <c r="C1060" s="103"/>
      <c r="D1060" s="103"/>
      <c r="E1060" s="108"/>
    </row>
    <row r="1061" spans="2:5" ht="15.6" x14ac:dyDescent="0.3">
      <c r="B1061" s="47"/>
      <c r="C1061" s="104"/>
      <c r="D1061" s="104"/>
      <c r="E1061" s="109"/>
    </row>
    <row r="1062" spans="2:5" ht="15.6" x14ac:dyDescent="0.3">
      <c r="B1062" s="102"/>
      <c r="C1062" s="103"/>
      <c r="D1062" s="103"/>
      <c r="E1062" s="108"/>
    </row>
    <row r="1063" spans="2:5" ht="15.6" x14ac:dyDescent="0.3">
      <c r="B1063" s="47"/>
      <c r="C1063" s="104"/>
      <c r="D1063" s="104"/>
      <c r="E1063" s="109"/>
    </row>
    <row r="1064" spans="2:5" ht="15.6" x14ac:dyDescent="0.3">
      <c r="B1064" s="102"/>
      <c r="C1064" s="103"/>
      <c r="D1064" s="103"/>
      <c r="E1064" s="108"/>
    </row>
    <row r="1065" spans="2:5" ht="15.6" x14ac:dyDescent="0.3">
      <c r="B1065" s="47"/>
      <c r="C1065" s="104"/>
      <c r="D1065" s="104"/>
      <c r="E1065" s="109"/>
    </row>
    <row r="1066" spans="2:5" ht="15.6" x14ac:dyDescent="0.3">
      <c r="B1066" s="102"/>
      <c r="C1066" s="103"/>
      <c r="D1066" s="103"/>
      <c r="E1066" s="108"/>
    </row>
    <row r="1067" spans="2:5" ht="15.6" x14ac:dyDescent="0.3">
      <c r="B1067" s="47"/>
      <c r="C1067" s="104"/>
      <c r="D1067" s="104"/>
      <c r="E1067" s="109"/>
    </row>
    <row r="1068" spans="2:5" ht="15.6" x14ac:dyDescent="0.3">
      <c r="B1068" s="102"/>
      <c r="C1068" s="103"/>
      <c r="D1068" s="103"/>
      <c r="E1068" s="108"/>
    </row>
    <row r="1069" spans="2:5" ht="15.6" x14ac:dyDescent="0.3">
      <c r="B1069" s="47"/>
      <c r="C1069" s="104"/>
      <c r="D1069" s="104"/>
      <c r="E1069" s="109"/>
    </row>
    <row r="1070" spans="2:5" ht="15.6" x14ac:dyDescent="0.3">
      <c r="B1070" s="102"/>
      <c r="C1070" s="103"/>
      <c r="D1070" s="103"/>
      <c r="E1070" s="108"/>
    </row>
    <row r="1071" spans="2:5" ht="15.6" x14ac:dyDescent="0.3">
      <c r="B1071" s="50"/>
      <c r="C1071" s="110"/>
      <c r="D1071" s="110"/>
      <c r="E1071" s="111"/>
    </row>
    <row r="1072" spans="2:5" x14ac:dyDescent="0.3">
      <c r="B1072" s="11"/>
    </row>
    <row r="1073" spans="2:2" x14ac:dyDescent="0.3">
      <c r="B1073" s="11"/>
    </row>
    <row r="1074" spans="2:2" x14ac:dyDescent="0.3">
      <c r="B1074" s="11"/>
    </row>
    <row r="1075" spans="2:2" x14ac:dyDescent="0.3">
      <c r="B1075" s="11"/>
    </row>
    <row r="1076" spans="2:2" x14ac:dyDescent="0.3">
      <c r="B1076" s="11"/>
    </row>
    <row r="1077" spans="2:2" x14ac:dyDescent="0.3">
      <c r="B1077" s="11"/>
    </row>
    <row r="1078" spans="2:2" x14ac:dyDescent="0.3">
      <c r="B1078" s="11"/>
    </row>
    <row r="1079" spans="2:2" x14ac:dyDescent="0.3">
      <c r="B1079" s="11"/>
    </row>
    <row r="1080" spans="2:2" x14ac:dyDescent="0.3">
      <c r="B1080" s="11"/>
    </row>
    <row r="1081" spans="2:2" x14ac:dyDescent="0.3">
      <c r="B1081" s="11"/>
    </row>
    <row r="1082" spans="2:2" x14ac:dyDescent="0.3">
      <c r="B1082" s="11"/>
    </row>
    <row r="1083" spans="2:2" x14ac:dyDescent="0.3">
      <c r="B1083" s="11"/>
    </row>
    <row r="1084" spans="2:2" x14ac:dyDescent="0.3">
      <c r="B1084" s="11"/>
    </row>
    <row r="1085" spans="2:2" x14ac:dyDescent="0.3">
      <c r="B1085" s="11"/>
    </row>
    <row r="1086" spans="2:2" x14ac:dyDescent="0.3">
      <c r="B1086" s="11"/>
    </row>
    <row r="1087" spans="2:2" x14ac:dyDescent="0.3">
      <c r="B1087" s="11"/>
    </row>
    <row r="1088" spans="2:2" x14ac:dyDescent="0.3">
      <c r="B1088" s="11"/>
    </row>
    <row r="1089" spans="2:2" x14ac:dyDescent="0.3">
      <c r="B1089" s="11"/>
    </row>
    <row r="1090" spans="2:2" x14ac:dyDescent="0.3">
      <c r="B1090" s="11"/>
    </row>
    <row r="1091" spans="2:2" x14ac:dyDescent="0.3">
      <c r="B1091" s="11"/>
    </row>
    <row r="1092" spans="2:2" x14ac:dyDescent="0.3">
      <c r="B1092" s="11"/>
    </row>
    <row r="1093" spans="2:2" x14ac:dyDescent="0.3">
      <c r="B1093" s="11"/>
    </row>
    <row r="1094" spans="2:2" x14ac:dyDescent="0.3">
      <c r="B1094" s="11"/>
    </row>
    <row r="1095" spans="2:2" x14ac:dyDescent="0.3">
      <c r="B1095" s="11"/>
    </row>
    <row r="1096" spans="2:2" x14ac:dyDescent="0.3">
      <c r="B1096" s="11"/>
    </row>
    <row r="1097" spans="2:2" x14ac:dyDescent="0.3">
      <c r="B1097" s="11"/>
    </row>
    <row r="1098" spans="2:2" x14ac:dyDescent="0.3">
      <c r="B1098" s="11"/>
    </row>
    <row r="1099" spans="2:2" x14ac:dyDescent="0.3">
      <c r="B1099" s="11"/>
    </row>
    <row r="1100" spans="2:2" x14ac:dyDescent="0.3">
      <c r="B1100" s="11"/>
    </row>
    <row r="1101" spans="2:2" x14ac:dyDescent="0.3">
      <c r="B1101" s="11"/>
    </row>
    <row r="1102" spans="2:2" x14ac:dyDescent="0.3">
      <c r="B1102" s="11"/>
    </row>
    <row r="1103" spans="2:2" x14ac:dyDescent="0.3">
      <c r="B1103" s="11"/>
    </row>
    <row r="1104" spans="2:2" x14ac:dyDescent="0.3">
      <c r="B1104" s="11"/>
    </row>
    <row r="1105" spans="2:2" x14ac:dyDescent="0.3">
      <c r="B1105" s="11"/>
    </row>
    <row r="1106" spans="2:2" x14ac:dyDescent="0.3">
      <c r="B1106" s="11"/>
    </row>
    <row r="1107" spans="2:2" x14ac:dyDescent="0.3">
      <c r="B1107" s="11"/>
    </row>
    <row r="1108" spans="2:2" x14ac:dyDescent="0.3">
      <c r="B1108" s="11"/>
    </row>
    <row r="1109" spans="2:2" x14ac:dyDescent="0.3">
      <c r="B1109" s="11"/>
    </row>
    <row r="1110" spans="2:2" x14ac:dyDescent="0.3">
      <c r="B1110" s="11"/>
    </row>
    <row r="1111" spans="2:2" x14ac:dyDescent="0.3">
      <c r="B1111" s="11"/>
    </row>
    <row r="1112" spans="2:2" x14ac:dyDescent="0.3">
      <c r="B1112" s="11"/>
    </row>
    <row r="1113" spans="2:2" x14ac:dyDescent="0.3">
      <c r="B1113" s="11"/>
    </row>
    <row r="1114" spans="2:2" x14ac:dyDescent="0.3">
      <c r="B1114" s="11"/>
    </row>
    <row r="1115" spans="2:2" x14ac:dyDescent="0.3">
      <c r="B1115" s="11"/>
    </row>
    <row r="1116" spans="2:2" x14ac:dyDescent="0.3">
      <c r="B1116" s="11"/>
    </row>
    <row r="1117" spans="2:2" x14ac:dyDescent="0.3">
      <c r="B1117" s="11"/>
    </row>
    <row r="1118" spans="2:2" x14ac:dyDescent="0.3">
      <c r="B1118" s="11"/>
    </row>
    <row r="1119" spans="2:2" x14ac:dyDescent="0.3">
      <c r="B1119" s="11"/>
    </row>
    <row r="1120" spans="2:2" x14ac:dyDescent="0.3">
      <c r="B1120" s="11"/>
    </row>
    <row r="1121" spans="2:2" x14ac:dyDescent="0.3">
      <c r="B1121" s="11"/>
    </row>
    <row r="1122" spans="2:2" x14ac:dyDescent="0.3">
      <c r="B1122" s="11"/>
    </row>
    <row r="1123" spans="2:2" x14ac:dyDescent="0.3">
      <c r="B1123" s="11"/>
    </row>
    <row r="1124" spans="2:2" x14ac:dyDescent="0.3">
      <c r="B1124" s="11"/>
    </row>
    <row r="1125" spans="2:2" x14ac:dyDescent="0.3">
      <c r="B1125" s="11"/>
    </row>
    <row r="1126" spans="2:2" x14ac:dyDescent="0.3">
      <c r="B1126" s="11"/>
    </row>
    <row r="1127" spans="2:2" x14ac:dyDescent="0.3">
      <c r="B1127" s="11"/>
    </row>
    <row r="1128" spans="2:2" x14ac:dyDescent="0.3">
      <c r="B1128" s="11"/>
    </row>
    <row r="1129" spans="2:2" x14ac:dyDescent="0.3">
      <c r="B1129" s="11"/>
    </row>
    <row r="1130" spans="2:2" x14ac:dyDescent="0.3">
      <c r="B1130" s="11"/>
    </row>
    <row r="1131" spans="2:2" x14ac:dyDescent="0.3">
      <c r="B1131" s="11"/>
    </row>
    <row r="1132" spans="2:2" x14ac:dyDescent="0.3">
      <c r="B1132" s="11"/>
    </row>
    <row r="1133" spans="2:2" x14ac:dyDescent="0.3">
      <c r="B1133" s="11"/>
    </row>
    <row r="1134" spans="2:2" x14ac:dyDescent="0.3">
      <c r="B1134" s="11"/>
    </row>
    <row r="1135" spans="2:2" x14ac:dyDescent="0.3">
      <c r="B1135" s="11"/>
    </row>
    <row r="1136" spans="2:2" x14ac:dyDescent="0.3">
      <c r="B1136" s="11"/>
    </row>
    <row r="1137" spans="2:2" x14ac:dyDescent="0.3">
      <c r="B1137" s="11"/>
    </row>
    <row r="1138" spans="2:2" x14ac:dyDescent="0.3">
      <c r="B1138" s="11"/>
    </row>
    <row r="1139" spans="2:2" x14ac:dyDescent="0.3">
      <c r="B1139" s="11"/>
    </row>
    <row r="1140" spans="2:2" x14ac:dyDescent="0.3">
      <c r="B1140" s="11"/>
    </row>
    <row r="1141" spans="2:2" x14ac:dyDescent="0.3">
      <c r="B1141" s="11"/>
    </row>
    <row r="1142" spans="2:2" x14ac:dyDescent="0.3">
      <c r="B1142" s="11"/>
    </row>
    <row r="1143" spans="2:2" x14ac:dyDescent="0.3">
      <c r="B1143" s="11"/>
    </row>
    <row r="1144" spans="2:2" x14ac:dyDescent="0.3">
      <c r="B1144" s="11"/>
    </row>
    <row r="1145" spans="2:2" x14ac:dyDescent="0.3">
      <c r="B1145" s="11"/>
    </row>
    <row r="1146" spans="2:2" x14ac:dyDescent="0.3">
      <c r="B1146" s="11"/>
    </row>
    <row r="1147" spans="2:2" x14ac:dyDescent="0.3">
      <c r="B1147" s="11"/>
    </row>
    <row r="1148" spans="2:2" x14ac:dyDescent="0.3">
      <c r="B1148" s="11"/>
    </row>
    <row r="1149" spans="2:2" x14ac:dyDescent="0.3">
      <c r="B1149" s="11"/>
    </row>
    <row r="1150" spans="2:2" x14ac:dyDescent="0.3">
      <c r="B1150" s="11"/>
    </row>
    <row r="1151" spans="2:2" x14ac:dyDescent="0.3">
      <c r="B1151" s="11"/>
    </row>
    <row r="1152" spans="2:2" x14ac:dyDescent="0.3">
      <c r="B1152" s="11"/>
    </row>
    <row r="1153" spans="2:2" x14ac:dyDescent="0.3">
      <c r="B1153" s="11"/>
    </row>
    <row r="1154" spans="2:2" x14ac:dyDescent="0.3">
      <c r="B1154" s="11"/>
    </row>
    <row r="1155" spans="2:2" x14ac:dyDescent="0.3">
      <c r="B1155" s="11"/>
    </row>
    <row r="1156" spans="2:2" x14ac:dyDescent="0.3">
      <c r="B1156" s="11"/>
    </row>
    <row r="1157" spans="2:2" x14ac:dyDescent="0.3">
      <c r="B1157" s="11"/>
    </row>
    <row r="1158" spans="2:2" x14ac:dyDescent="0.3">
      <c r="B1158" s="11"/>
    </row>
    <row r="1159" spans="2:2" x14ac:dyDescent="0.3">
      <c r="B1159" s="11"/>
    </row>
    <row r="1160" spans="2:2" x14ac:dyDescent="0.3">
      <c r="B1160" s="11"/>
    </row>
    <row r="1161" spans="2:2" x14ac:dyDescent="0.3">
      <c r="B1161" s="11"/>
    </row>
    <row r="1162" spans="2:2" x14ac:dyDescent="0.3">
      <c r="B1162" s="11"/>
    </row>
    <row r="1163" spans="2:2" x14ac:dyDescent="0.3">
      <c r="B1163" s="11"/>
    </row>
    <row r="1164" spans="2:2" x14ac:dyDescent="0.3">
      <c r="B1164" s="11"/>
    </row>
    <row r="1165" spans="2:2" x14ac:dyDescent="0.3">
      <c r="B1165" s="11"/>
    </row>
    <row r="1166" spans="2:2" x14ac:dyDescent="0.3">
      <c r="B1166" s="11"/>
    </row>
    <row r="1167" spans="2:2" x14ac:dyDescent="0.3">
      <c r="B1167" s="11"/>
    </row>
    <row r="1168" spans="2:2" x14ac:dyDescent="0.3">
      <c r="B1168" s="11"/>
    </row>
    <row r="1169" spans="2:2" x14ac:dyDescent="0.3">
      <c r="B1169" s="11"/>
    </row>
    <row r="1170" spans="2:2" x14ac:dyDescent="0.3">
      <c r="B1170" s="11"/>
    </row>
    <row r="1171" spans="2:2" x14ac:dyDescent="0.3">
      <c r="B1171" s="11"/>
    </row>
    <row r="1172" spans="2:2" x14ac:dyDescent="0.3">
      <c r="B1172" s="11"/>
    </row>
    <row r="1173" spans="2:2" x14ac:dyDescent="0.3">
      <c r="B1173" s="11"/>
    </row>
    <row r="1174" spans="2:2" x14ac:dyDescent="0.3">
      <c r="B1174" s="11"/>
    </row>
    <row r="1175" spans="2:2" x14ac:dyDescent="0.3">
      <c r="B1175" s="11"/>
    </row>
    <row r="1176" spans="2:2" x14ac:dyDescent="0.3">
      <c r="B1176" s="11"/>
    </row>
    <row r="1177" spans="2:2" x14ac:dyDescent="0.3">
      <c r="B1177" s="11"/>
    </row>
    <row r="1178" spans="2:2" x14ac:dyDescent="0.3">
      <c r="B1178" s="11"/>
    </row>
    <row r="1179" spans="2:2" x14ac:dyDescent="0.3">
      <c r="B1179" s="11"/>
    </row>
    <row r="1180" spans="2:2" x14ac:dyDescent="0.3">
      <c r="B1180" s="11"/>
    </row>
    <row r="1181" spans="2:2" x14ac:dyDescent="0.3">
      <c r="B1181" s="11"/>
    </row>
    <row r="1182" spans="2:2" x14ac:dyDescent="0.3">
      <c r="B1182" s="11"/>
    </row>
    <row r="1183" spans="2:2" x14ac:dyDescent="0.3">
      <c r="B1183" s="11"/>
    </row>
    <row r="1184" spans="2:2" x14ac:dyDescent="0.3">
      <c r="B1184" s="11"/>
    </row>
    <row r="1185" spans="2:2" x14ac:dyDescent="0.3">
      <c r="B1185" s="11"/>
    </row>
    <row r="1186" spans="2:2" x14ac:dyDescent="0.3">
      <c r="B1186" s="11"/>
    </row>
    <row r="1187" spans="2:2" x14ac:dyDescent="0.3">
      <c r="B1187" s="11"/>
    </row>
    <row r="1188" spans="2:2" x14ac:dyDescent="0.3">
      <c r="B1188" s="11"/>
    </row>
    <row r="1189" spans="2:2" x14ac:dyDescent="0.3">
      <c r="B1189" s="11"/>
    </row>
    <row r="1190" spans="2:2" x14ac:dyDescent="0.3">
      <c r="B1190" s="11"/>
    </row>
    <row r="1191" spans="2:2" x14ac:dyDescent="0.3">
      <c r="B1191" s="11"/>
    </row>
    <row r="1192" spans="2:2" x14ac:dyDescent="0.3">
      <c r="B1192" s="11"/>
    </row>
    <row r="1193" spans="2:2" x14ac:dyDescent="0.3">
      <c r="B1193" s="11"/>
    </row>
    <row r="1194" spans="2:2" x14ac:dyDescent="0.3">
      <c r="B1194" s="11"/>
    </row>
    <row r="1195" spans="2:2" x14ac:dyDescent="0.3">
      <c r="B1195" s="11"/>
    </row>
    <row r="1196" spans="2:2" x14ac:dyDescent="0.3">
      <c r="B1196" s="11"/>
    </row>
    <row r="1197" spans="2:2" x14ac:dyDescent="0.3">
      <c r="B1197" s="11"/>
    </row>
    <row r="1198" spans="2:2" x14ac:dyDescent="0.3">
      <c r="B1198" s="11"/>
    </row>
    <row r="1199" spans="2:2" x14ac:dyDescent="0.3">
      <c r="B1199" s="11"/>
    </row>
    <row r="1200" spans="2:2" x14ac:dyDescent="0.3">
      <c r="B1200" s="11"/>
    </row>
    <row r="1201" spans="2:2" x14ac:dyDescent="0.3">
      <c r="B1201" s="11"/>
    </row>
    <row r="1202" spans="2:2" x14ac:dyDescent="0.3">
      <c r="B1202" s="11"/>
    </row>
    <row r="1203" spans="2:2" x14ac:dyDescent="0.3">
      <c r="B1203" s="11"/>
    </row>
    <row r="1204" spans="2:2" x14ac:dyDescent="0.3">
      <c r="B1204" s="11"/>
    </row>
    <row r="1205" spans="2:2" x14ac:dyDescent="0.3">
      <c r="B1205" s="11"/>
    </row>
    <row r="1206" spans="2:2" x14ac:dyDescent="0.3">
      <c r="B1206" s="11"/>
    </row>
    <row r="1207" spans="2:2" x14ac:dyDescent="0.3">
      <c r="B1207" s="11"/>
    </row>
    <row r="1208" spans="2:2" x14ac:dyDescent="0.3">
      <c r="B1208" s="11"/>
    </row>
    <row r="1209" spans="2:2" x14ac:dyDescent="0.3">
      <c r="B1209" s="11"/>
    </row>
    <row r="1210" spans="2:2" x14ac:dyDescent="0.3">
      <c r="B1210" s="11"/>
    </row>
    <row r="1211" spans="2:2" x14ac:dyDescent="0.3">
      <c r="B1211" s="11"/>
    </row>
    <row r="1212" spans="2:2" x14ac:dyDescent="0.3">
      <c r="B1212" s="11"/>
    </row>
    <row r="1213" spans="2:2" x14ac:dyDescent="0.3">
      <c r="B1213" s="11"/>
    </row>
    <row r="1214" spans="2:2" x14ac:dyDescent="0.3">
      <c r="B1214" s="11"/>
    </row>
    <row r="1215" spans="2:2" x14ac:dyDescent="0.3">
      <c r="B1215" s="11"/>
    </row>
    <row r="1216" spans="2:2" x14ac:dyDescent="0.3">
      <c r="B1216" s="11"/>
    </row>
    <row r="1217" spans="2:2" x14ac:dyDescent="0.3">
      <c r="B1217" s="11"/>
    </row>
    <row r="1218" spans="2:2" x14ac:dyDescent="0.3">
      <c r="B1218" s="11"/>
    </row>
    <row r="1219" spans="2:2" x14ac:dyDescent="0.3">
      <c r="B1219" s="11"/>
    </row>
    <row r="1220" spans="2:2" x14ac:dyDescent="0.3">
      <c r="B1220" s="11"/>
    </row>
    <row r="1221" spans="2:2" x14ac:dyDescent="0.3">
      <c r="B1221" s="11"/>
    </row>
    <row r="1222" spans="2:2" x14ac:dyDescent="0.3">
      <c r="B1222" s="11"/>
    </row>
    <row r="1223" spans="2:2" x14ac:dyDescent="0.3">
      <c r="B1223" s="11"/>
    </row>
    <row r="1224" spans="2:2" x14ac:dyDescent="0.3">
      <c r="B1224" s="11"/>
    </row>
    <row r="1225" spans="2:2" x14ac:dyDescent="0.3">
      <c r="B1225" s="11"/>
    </row>
    <row r="1226" spans="2:2" x14ac:dyDescent="0.3">
      <c r="B1226" s="11"/>
    </row>
    <row r="1227" spans="2:2" x14ac:dyDescent="0.3">
      <c r="B1227" s="11"/>
    </row>
    <row r="1228" spans="2:2" x14ac:dyDescent="0.3">
      <c r="B1228" s="11"/>
    </row>
    <row r="1229" spans="2:2" x14ac:dyDescent="0.3">
      <c r="B1229" s="11"/>
    </row>
    <row r="1230" spans="2:2" x14ac:dyDescent="0.3">
      <c r="B1230" s="11"/>
    </row>
    <row r="1231" spans="2:2" x14ac:dyDescent="0.3">
      <c r="B1231" s="11"/>
    </row>
    <row r="1232" spans="2:2" x14ac:dyDescent="0.3">
      <c r="B1232" s="11"/>
    </row>
    <row r="1233" spans="2:2" x14ac:dyDescent="0.3">
      <c r="B1233" s="11"/>
    </row>
    <row r="1234" spans="2:2" x14ac:dyDescent="0.3">
      <c r="B1234" s="11"/>
    </row>
    <row r="1235" spans="2:2" x14ac:dyDescent="0.3">
      <c r="B1235" s="11"/>
    </row>
    <row r="1236" spans="2:2" x14ac:dyDescent="0.3">
      <c r="B1236" s="11"/>
    </row>
    <row r="1237" spans="2:2" x14ac:dyDescent="0.3">
      <c r="B1237" s="11"/>
    </row>
    <row r="1238" spans="2:2" x14ac:dyDescent="0.3">
      <c r="B1238" s="11"/>
    </row>
    <row r="1239" spans="2:2" x14ac:dyDescent="0.3">
      <c r="B1239" s="11"/>
    </row>
    <row r="1240" spans="2:2" x14ac:dyDescent="0.3">
      <c r="B1240" s="11"/>
    </row>
    <row r="1241" spans="2:2" x14ac:dyDescent="0.3">
      <c r="B1241" s="11"/>
    </row>
    <row r="1242" spans="2:2" x14ac:dyDescent="0.3">
      <c r="B1242" s="11"/>
    </row>
    <row r="1243" spans="2:2" x14ac:dyDescent="0.3">
      <c r="B1243" s="11"/>
    </row>
    <row r="1244" spans="2:2" x14ac:dyDescent="0.3">
      <c r="B1244" s="11"/>
    </row>
    <row r="1245" spans="2:2" x14ac:dyDescent="0.3">
      <c r="B1245" s="11"/>
    </row>
    <row r="1246" spans="2:2" x14ac:dyDescent="0.3">
      <c r="B1246" s="11"/>
    </row>
    <row r="1247" spans="2:2" x14ac:dyDescent="0.3">
      <c r="B1247" s="11"/>
    </row>
    <row r="1248" spans="2:2" x14ac:dyDescent="0.3">
      <c r="B1248" s="11"/>
    </row>
    <row r="1249" spans="2:2" x14ac:dyDescent="0.3">
      <c r="B1249" s="11"/>
    </row>
    <row r="1250" spans="2:2" x14ac:dyDescent="0.3">
      <c r="B1250" s="11"/>
    </row>
    <row r="1251" spans="2:2" x14ac:dyDescent="0.3">
      <c r="B1251" s="11"/>
    </row>
    <row r="1252" spans="2:2" x14ac:dyDescent="0.3">
      <c r="B1252" s="11"/>
    </row>
    <row r="1253" spans="2:2" x14ac:dyDescent="0.3">
      <c r="B1253" s="11"/>
    </row>
    <row r="1254" spans="2:2" x14ac:dyDescent="0.3">
      <c r="B1254" s="11"/>
    </row>
    <row r="1255" spans="2:2" x14ac:dyDescent="0.3">
      <c r="B1255" s="11"/>
    </row>
    <row r="1256" spans="2:2" x14ac:dyDescent="0.3">
      <c r="B1256" s="11"/>
    </row>
    <row r="1257" spans="2:2" x14ac:dyDescent="0.3">
      <c r="B1257" s="11"/>
    </row>
    <row r="1258" spans="2:2" x14ac:dyDescent="0.3">
      <c r="B1258" s="11"/>
    </row>
    <row r="1259" spans="2:2" x14ac:dyDescent="0.3">
      <c r="B1259" s="11"/>
    </row>
    <row r="1260" spans="2:2" x14ac:dyDescent="0.3">
      <c r="B1260" s="11"/>
    </row>
    <row r="1261" spans="2:2" x14ac:dyDescent="0.3">
      <c r="B1261" s="11"/>
    </row>
    <row r="1262" spans="2:2" x14ac:dyDescent="0.3">
      <c r="B1262" s="11"/>
    </row>
    <row r="1263" spans="2:2" x14ac:dyDescent="0.3">
      <c r="B1263" s="11"/>
    </row>
    <row r="1264" spans="2:2" x14ac:dyDescent="0.3">
      <c r="B1264" s="11"/>
    </row>
    <row r="1265" spans="2:2" x14ac:dyDescent="0.3">
      <c r="B1265" s="11"/>
    </row>
    <row r="1266" spans="2:2" x14ac:dyDescent="0.3">
      <c r="B1266" s="11"/>
    </row>
    <row r="1267" spans="2:2" x14ac:dyDescent="0.3">
      <c r="B1267" s="11"/>
    </row>
    <row r="1268" spans="2:2" x14ac:dyDescent="0.3">
      <c r="B1268" s="11"/>
    </row>
    <row r="1269" spans="2:2" x14ac:dyDescent="0.3">
      <c r="B1269" s="11"/>
    </row>
    <row r="1270" spans="2:2" x14ac:dyDescent="0.3">
      <c r="B1270" s="11"/>
    </row>
    <row r="1271" spans="2:2" x14ac:dyDescent="0.3">
      <c r="B1271" s="11"/>
    </row>
    <row r="1272" spans="2:2" x14ac:dyDescent="0.3">
      <c r="B1272" s="11"/>
    </row>
    <row r="1273" spans="2:2" x14ac:dyDescent="0.3">
      <c r="B1273" s="11"/>
    </row>
    <row r="1274" spans="2:2" x14ac:dyDescent="0.3">
      <c r="B1274" s="11"/>
    </row>
    <row r="1275" spans="2:2" x14ac:dyDescent="0.3">
      <c r="B1275" s="11"/>
    </row>
    <row r="1276" spans="2:2" x14ac:dyDescent="0.3">
      <c r="B1276" s="11"/>
    </row>
    <row r="1277" spans="2:2" x14ac:dyDescent="0.3">
      <c r="B1277" s="11"/>
    </row>
    <row r="1278" spans="2:2" x14ac:dyDescent="0.3">
      <c r="B1278" s="11"/>
    </row>
    <row r="1279" spans="2:2" x14ac:dyDescent="0.3">
      <c r="B1279" s="11"/>
    </row>
    <row r="1280" spans="2:2" x14ac:dyDescent="0.3">
      <c r="B1280" s="11"/>
    </row>
    <row r="1281" spans="2:2" x14ac:dyDescent="0.3">
      <c r="B1281" s="11"/>
    </row>
    <row r="1282" spans="2:2" x14ac:dyDescent="0.3">
      <c r="B1282" s="11"/>
    </row>
    <row r="1283" spans="2:2" x14ac:dyDescent="0.3">
      <c r="B1283" s="11"/>
    </row>
    <row r="1284" spans="2:2" x14ac:dyDescent="0.3">
      <c r="B1284" s="11"/>
    </row>
    <row r="1285" spans="2:2" x14ac:dyDescent="0.3">
      <c r="B1285" s="11"/>
    </row>
    <row r="1286" spans="2:2" x14ac:dyDescent="0.3">
      <c r="B1286" s="11"/>
    </row>
    <row r="1287" spans="2:2" x14ac:dyDescent="0.3">
      <c r="B1287" s="11"/>
    </row>
    <row r="1288" spans="2:2" x14ac:dyDescent="0.3">
      <c r="B1288" s="11"/>
    </row>
    <row r="1289" spans="2:2" x14ac:dyDescent="0.3">
      <c r="B1289" s="11"/>
    </row>
    <row r="1290" spans="2:2" x14ac:dyDescent="0.3">
      <c r="B1290" s="11"/>
    </row>
    <row r="1291" spans="2:2" x14ac:dyDescent="0.3">
      <c r="B1291" s="11"/>
    </row>
    <row r="1292" spans="2:2" x14ac:dyDescent="0.3">
      <c r="B1292" s="11"/>
    </row>
    <row r="1293" spans="2:2" x14ac:dyDescent="0.3">
      <c r="B1293" s="11"/>
    </row>
    <row r="1294" spans="2:2" x14ac:dyDescent="0.3">
      <c r="B1294" s="11"/>
    </row>
    <row r="1295" spans="2:2" x14ac:dyDescent="0.3">
      <c r="B1295" s="11"/>
    </row>
    <row r="1296" spans="2:2" x14ac:dyDescent="0.3">
      <c r="B1296" s="11"/>
    </row>
    <row r="1297" spans="2:2" x14ac:dyDescent="0.3">
      <c r="B1297" s="11"/>
    </row>
    <row r="1298" spans="2:2" x14ac:dyDescent="0.3">
      <c r="B1298" s="11"/>
    </row>
    <row r="1299" spans="2:2" x14ac:dyDescent="0.3">
      <c r="B1299" s="11"/>
    </row>
    <row r="1300" spans="2:2" x14ac:dyDescent="0.3">
      <c r="B1300" s="11"/>
    </row>
    <row r="1301" spans="2:2" x14ac:dyDescent="0.3">
      <c r="B1301" s="11"/>
    </row>
    <row r="1302" spans="2:2" x14ac:dyDescent="0.3">
      <c r="B1302" s="11"/>
    </row>
    <row r="1303" spans="2:2" x14ac:dyDescent="0.3">
      <c r="B1303" s="11"/>
    </row>
    <row r="1304" spans="2:2" x14ac:dyDescent="0.3">
      <c r="B1304" s="11"/>
    </row>
    <row r="1305" spans="2:2" x14ac:dyDescent="0.3">
      <c r="B1305" s="11"/>
    </row>
    <row r="1306" spans="2:2" x14ac:dyDescent="0.3">
      <c r="B1306" s="11"/>
    </row>
    <row r="1307" spans="2:2" x14ac:dyDescent="0.3">
      <c r="B1307" s="11"/>
    </row>
    <row r="1308" spans="2:2" x14ac:dyDescent="0.3">
      <c r="B1308" s="11"/>
    </row>
    <row r="1309" spans="2:2" x14ac:dyDescent="0.3">
      <c r="B1309" s="11"/>
    </row>
    <row r="1310" spans="2:2" x14ac:dyDescent="0.3">
      <c r="B1310" s="11"/>
    </row>
    <row r="1311" spans="2:2" x14ac:dyDescent="0.3">
      <c r="B1311" s="11"/>
    </row>
  </sheetData>
  <mergeCells count="1">
    <mergeCell ref="B7:E7"/>
  </mergeCells>
  <conditionalFormatting sqref="D1">
    <cfRule type="expression" dxfId="1" priority="1">
      <formula>OR($C$3="Volume",$C$3="Volume Médio",$C$3="Negócios Médio",$C$3="Negócios")</formula>
    </cfRule>
    <cfRule type="expression" dxfId="0" priority="2">
      <formula>$C$3="P/VPA Atual"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D10:E270" xr:uid="{1A8C040E-816C-4842-9E3B-55D89B8E738B}">
      <formula1>FALSE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Lâmina</vt:lpstr>
      <vt:lpstr>Comparativo</vt:lpstr>
      <vt:lpstr>Base Gráfico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Orismilton Silva</dc:creator>
  <cp:lastModifiedBy>Milton Santiago</cp:lastModifiedBy>
  <dcterms:created xsi:type="dcterms:W3CDTF">2023-02-07T19:29:02Z</dcterms:created>
  <dcterms:modified xsi:type="dcterms:W3CDTF">2024-09-26T17:28:43Z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1411838221</vt:lpwstr>
  </property>
  <property fmtid="{D5CDD505-2E9C-101B-9397-08002B2CF9AE}" pid="3" name="EcoUpdateMessage">
    <vt:lpwstr>2024/09/26-17:17:01</vt:lpwstr>
  </property>
  <property fmtid="{D5CDD505-2E9C-101B-9397-08002B2CF9AE}" pid="4" name="EcoUpdateStatus">
    <vt:lpwstr>2024-09-25=BRA:St,ME,Fd,TP;USA:St;ARG:St,ME,Fd,TP;MEX:St,ME,Fd,TP;CHL:St,ME,Fd;COL:St,ME;PER:St,ME|2024-09-26=USA:ME;SAU:St|2022-10-17=USA:TP|2021-11-17=CHL:TP|2014-02-26=VEN:St|2002-11-08=JPN:St|2024-09-09=GBR:St,ME|2016-08-18=NNN:St|2024-09-23=COL:Fd|2024-09-24=PER:Fd,TP|2007-01-31=ESP:St|2003-01-29=CHN:St|2003-01-28=TWN:St|2003-01-30=HKG:St;KOR:St|2023-01-19=OTH:St|2024-06-30=PAN:St|2024-06-24=SAU:ME</vt:lpwstr>
  </property>
</Properties>
</file>