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4 - Debêntures\"/>
    </mc:Choice>
  </mc:AlternateContent>
  <xr:revisionPtr revIDLastSave="0" documentId="13_ncr:1_{95109B37-D24D-4D9E-A6AC-6B4AF962CC03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Debêntures IPCA-Spread" sheetId="4" r:id="rId1"/>
    <sheet name="Balanço Patrimonial" sheetId="23" r:id="rId2"/>
    <sheet name="DRE" sheetId="21" r:id="rId3"/>
    <sheet name="Análise Fundamentalista" sheetId="20" r:id="rId4"/>
    <sheet name="Base" sheetId="22" r:id="rId5"/>
  </sheets>
  <definedNames>
    <definedName name="_ECO_RANGE_ID03f14968bff2463c914750f4322859e3" localSheetId="3" hidden="1">'Análise Fundamentalista'!$D$15:$D$29</definedName>
    <definedName name="_ECO_RANGE_ID0690e6026c8d4095b4dc7e37b8978669" localSheetId="2" hidden="1">DRE!$C$10:$C$214</definedName>
    <definedName name="_ECO_RANGE_ID0912d327a05b4426a208a1fde30ef162" localSheetId="3" hidden="1">'Análise Fundamentalista'!$Y$15:$Y$29</definedName>
    <definedName name="_ECO_RANGE_ID09915c0ed76a4b959b2dd47d589b1f07" localSheetId="0" hidden="1">'Debêntures IPCA-Spread'!$BW$9:$BW$504</definedName>
    <definedName name="_ECO_RANGE_ID09a593dbd5e84bf6975fa4cfcd58c624" localSheetId="0" hidden="1">'Debêntures IPCA-Spread'!$U$9:$U$504</definedName>
    <definedName name="_ECO_RANGE_ID09b842f6966f432db98500a0d12b1058" localSheetId="1" hidden="1">'Balanço Patrimonial'!$Y$10:$Y$214</definedName>
    <definedName name="_ECO_RANGE_ID0a0c39896dbf413791559999fd5cb4dc" localSheetId="0" hidden="1">'Debêntures IPCA-Spread'!$AK$9:$AK$504</definedName>
    <definedName name="_ECO_RANGE_ID0a9eab1ac16449458fbac42523f426f1" localSheetId="3" hidden="1">'Análise Fundamentalista'!$T$15:$T$29</definedName>
    <definedName name="_ECO_RANGE_ID0e792b8fe0e04c6ba404c6eb2a848b62" localSheetId="3" hidden="1">'Análise Fundamentalista'!$K$15:$K$29</definedName>
    <definedName name="_ECO_RANGE_ID0ef9305433e2424d980eaa5de5ec8a50" localSheetId="3" hidden="1">'Análise Fundamentalista'!$S$15:$S$29</definedName>
    <definedName name="_ECO_RANGE_ID0fdb860517494be0bba8ecd6054b3919" localSheetId="3" hidden="1">'Análise Fundamentalista'!$I$15:$I$29</definedName>
    <definedName name="_ECO_RANGE_ID1048d58e243949c1bb44afb07cc5a067" localSheetId="1" hidden="1">'Balanço Patrimonial'!$J$10:$J$214</definedName>
    <definedName name="_ECO_RANGE_ID11bd293a19984e858e2e823ba171692e" localSheetId="0" hidden="1">'Debêntures IPCA-Spread'!$CD$9:$CD$504</definedName>
    <definedName name="_ECO_RANGE_ID11ea9f408c6a434a9984155540397d08" localSheetId="1" hidden="1">'Balanço Patrimonial'!$C$10:$C$214</definedName>
    <definedName name="_ECO_RANGE_ID165de9eebc8247a89975e88af59debde" localSheetId="0" hidden="1">'Debêntures IPCA-Spread'!$AS$9:$AS$504</definedName>
    <definedName name="_ECO_RANGE_ID16dffec1c023445687e166f40b19779d" localSheetId="2" hidden="1">DRE!$BB$10:$BB$214</definedName>
    <definedName name="_ECO_RANGE_ID1a3227a72eea40c2b0563033d13ef9e2" localSheetId="0" hidden="1">'Debêntures IPCA-Spread'!$M$9:$M$504</definedName>
    <definedName name="_ECO_RANGE_ID1dad67d1fdb84b30b6eee1d51bcdee11" localSheetId="0" hidden="1">'Debêntures IPCA-Spread'!$BQ$9:$BQ$504</definedName>
    <definedName name="_ECO_RANGE_ID2026172f6368483ab3a2ae9ee8a3c5eb" localSheetId="0" hidden="1">'Debêntures IPCA-Spread'!$X$9:$X$504</definedName>
    <definedName name="_ECO_RANGE_ID23ac7789bc604bb7a4b0c260b12544bf" localSheetId="0" hidden="1">'Debêntures IPCA-Spread'!$AY$9:$AY$504</definedName>
    <definedName name="_ECO_RANGE_ID243942787170434f986c5d37f7258d18" localSheetId="1" hidden="1">'Balanço Patrimonial'!$G$10:$G$214</definedName>
    <definedName name="_ECO_RANGE_ID25ad3bb92b2f4d96b17c0a92307b5adf" localSheetId="2" hidden="1">DRE!$BE$10:$BE$214</definedName>
    <definedName name="_ECO_RANGE_ID25d763142e634ede9611de6785b4abd6" localSheetId="1" hidden="1">'Balanço Patrimonial'!$L$10:$L$214</definedName>
    <definedName name="_ECO_RANGE_ID2a2e6d804268434a9074acf716bcb868" localSheetId="0" hidden="1">'Debêntures IPCA-Spread'!$CC$9:$CC$504</definedName>
    <definedName name="_ECO_RANGE_ID2abfc6c3e67e438380d57b3496951f92" localSheetId="0" hidden="1">'Debêntures IPCA-Spread'!$BG$9:$BG$504</definedName>
    <definedName name="_ECO_RANGE_ID2ce4944075a24ec78be690620988454c" localSheetId="0" hidden="1">'Debêntures IPCA-Spread'!$BS$9:$BS$504</definedName>
    <definedName name="_ECO_RANGE_ID31919106541242ba8bd0e1ee0fb5131a" localSheetId="2" hidden="1">DRE!$X$10:$X$214</definedName>
    <definedName name="_ECO_RANGE_ID342244f3a496455cad0dd7c98391296a" localSheetId="1" hidden="1">'Balanço Patrimonial'!$P$10:$P$214</definedName>
    <definedName name="_ECO_RANGE_ID342e102033484a46a28738501414cbad" localSheetId="2" hidden="1">DRE!$AD$10:$AD$214</definedName>
    <definedName name="_ECO_RANGE_ID36f0699ff4d24221b80ea9249d132787" localSheetId="2" hidden="1">DRE!$AS$10:$AS$214</definedName>
    <definedName name="_ECO_RANGE_ID3824c7fb0bf94b0580011c4d062c27af" localSheetId="2" hidden="1">DRE!$AB$10:$AB$214</definedName>
    <definedName name="_ECO_RANGE_ID3bcf3f7266c54d89985c45b5fed873da" localSheetId="0" hidden="1">'Debêntures IPCA-Spread'!$V$9:$V$504</definedName>
    <definedName name="_ECO_RANGE_ID3bed3b5540664369bfb17fd2fe234b1c" localSheetId="1" hidden="1">'Balanço Patrimonial'!$B$10:$B$214</definedName>
    <definedName name="_ECO_RANGE_ID3f749a50646d4288a83c333892b232b0" localSheetId="2" hidden="1">DRE!$S$10:$S$214</definedName>
    <definedName name="_ECO_RANGE_ID40739bcae0c847749f0736933c292ee0" localSheetId="3" hidden="1">'Análise Fundamentalista'!$L$15:$L$29</definedName>
    <definedName name="_ECO_RANGE_ID40f4d2fb84134e069a39a559f8c3e355" localSheetId="0" hidden="1">'Debêntures IPCA-Spread'!$BC$9:$BC$504</definedName>
    <definedName name="_ECO_RANGE_ID424983d7809943aab7df06d80e8268ef" localSheetId="2" hidden="1">DRE!$Q$10:$Q$214</definedName>
    <definedName name="_ECO_RANGE_ID43fa02e04d82483bae5c337fc300c2ef" localSheetId="0" hidden="1">'Debêntures IPCA-Spread'!$G$9:$G$504</definedName>
    <definedName name="_ECO_RANGE_ID440b44e5758c424c8ed72c394497ae0a" localSheetId="2" hidden="1">DRE!$O$10:$O$214</definedName>
    <definedName name="_ECO_RANGE_ID4643dedabcc449579963b2e80a4f998d" localSheetId="2" hidden="1">DRE!$BM$10:$BM$214</definedName>
    <definedName name="_ECO_RANGE_ID490b7fec49ce46ff8ee50708459783d0" localSheetId="3" hidden="1">'Análise Fundamentalista'!$G$15:$G$29</definedName>
    <definedName name="_ECO_RANGE_ID4989bd0427ea4719af7a14cc7586c3df" localSheetId="1" hidden="1">'Balanço Patrimonial'!$AH$10:$AH$214</definedName>
    <definedName name="_ECO_RANGE_ID4b1744d876b94ac4b915e8a00e04a0ae" localSheetId="2" hidden="1">DRE!$AF$10:$AF$214</definedName>
    <definedName name="_ECO_RANGE_ID4d039e8ecf034462b3c83d1ebd222de3" localSheetId="1" hidden="1">'Balanço Patrimonial'!$U$10:$U$214</definedName>
    <definedName name="_ECO_RANGE_ID4f1b4c40fb524ee793fe5d08c6ae6b7a" localSheetId="2" hidden="1">DRE!$AN$10:$AN$214</definedName>
    <definedName name="_ECO_RANGE_ID4f44e89f9d784d53a8b7f86454394bd6" localSheetId="2" hidden="1">DRE!$AT$10:$AT$214</definedName>
    <definedName name="_ECO_RANGE_ID4f991f3ea97048a7a21208df58983522" localSheetId="3" hidden="1">'Análise Fundamentalista'!$R$15:$R$29</definedName>
    <definedName name="_ECO_RANGE_ID4fc90c72bec043aaaf5a417cc764ec0b" localSheetId="0" hidden="1">'Debêntures IPCA-Spread'!$AC$9:$AC$504</definedName>
    <definedName name="_ECO_RANGE_ID50e3c590ac4a4e6981ebe5acad5df5a4" localSheetId="2" hidden="1">DRE!$Z$10:$Z$214</definedName>
    <definedName name="_ECO_RANGE_ID5298228a91214b438f8ce0203fe16221" localSheetId="1" hidden="1">'Balanço Patrimonial'!$F$10:$F$200</definedName>
    <definedName name="_ECO_RANGE_ID53e8c09d67fb42c29be6a76f02d42139" localSheetId="0" hidden="1">'Debêntures IPCA-Spread'!$AL$9:$AL$504</definedName>
    <definedName name="_ECO_RANGE_ID542e0813dda3426face5131ea6f72f53" localSheetId="2" hidden="1">DRE!$AX$10:$AX$214</definedName>
    <definedName name="_ECO_RANGE_ID548fd9e946e548f2af8d575acf819f9b" localSheetId="0" hidden="1">'Debêntures IPCA-Spread'!$AE$9:$AE$504</definedName>
    <definedName name="_ECO_RANGE_ID54c763d4aa1747a2a46fb5cb699e1185" localSheetId="1" hidden="1">'Balanço Patrimonial'!$D$10:$D$214</definedName>
    <definedName name="_ECO_RANGE_ID5618c00d150742388eb34b1c3f1d7aca" localSheetId="2" hidden="1">DRE!$W$10:$W$214</definedName>
    <definedName name="_ECO_RANGE_ID563c95827c6247d2bf1daeb540abf06a" localSheetId="2" hidden="1">DRE!$BL$10:$BL$214</definedName>
    <definedName name="_ECO_RANGE_ID58d735e7c69641baa0deda18fb0771cd" localSheetId="2" hidden="1">DRE!$B$10:$B$214</definedName>
    <definedName name="_ECO_RANGE_ID5a1ce8e9f558465f99c53d50dcd23e57" localSheetId="0" hidden="1">'Debêntures IPCA-Spread'!$BR$9:$BR$504</definedName>
    <definedName name="_ECO_RANGE_ID5a1e46b0eb1c42be8e107aafd230351c" localSheetId="2" hidden="1">DRE!$L$10:$L$214</definedName>
    <definedName name="_ECO_RANGE_ID5b340867065b4fd18697f9c358eea919" localSheetId="0" hidden="1">'Debêntures IPCA-Spread'!$B$9:$B$504</definedName>
    <definedName name="_ECO_RANGE_ID5bfe240a96cd4288bed36ff046cad70d" localSheetId="0" hidden="1">'Debêntures IPCA-Spread'!$H$9:$H$504</definedName>
    <definedName name="_ECO_RANGE_ID5c0495e0c78e47bdba3a7557c5c5f83b" localSheetId="0" hidden="1">'Debêntures IPCA-Spread'!$Q$9:$Q$504</definedName>
    <definedName name="_ECO_RANGE_ID5cad73099bea4933aec4342f7d2f32b5" localSheetId="1" hidden="1">'Balanço Patrimonial'!$Q$10:$Q$214</definedName>
    <definedName name="_ECO_RANGE_ID6122229e89414210bee9400c7da1e80d" localSheetId="3" hidden="1">'Análise Fundamentalista'!$M$15:$M$29</definedName>
    <definedName name="_ECO_RANGE_ID61aab78d1d724c5da8eea6d1b28d6b43" localSheetId="0" hidden="1">'Debêntures IPCA-Spread'!$R$9:$R$504</definedName>
    <definedName name="_ECO_RANGE_ID6218ea01d89c4082930150f7b86caece" localSheetId="0" hidden="1">'Debêntures IPCA-Spread'!$BX$9:$BX$504</definedName>
    <definedName name="_ECO_RANGE_ID64f3b341fe804357860501385d82e84a" localSheetId="2" hidden="1">DRE!$BI$10:$BI$214</definedName>
    <definedName name="_ECO_RANGE_ID655db9e48e194dcd85f1e2e88b426303" localSheetId="2" hidden="1">DRE!$AO$10:$AO$214</definedName>
    <definedName name="_ECO_RANGE_ID67db574f57e74b468bfdc76d44c627cf" localSheetId="1" hidden="1">'Balanço Patrimonial'!$V$10:$V$214</definedName>
    <definedName name="_ECO_RANGE_ID6cacc43081c141dcb247b4eb98949f00" localSheetId="2" hidden="1">DRE!$I$10:$I$214</definedName>
    <definedName name="_ECO_RANGE_ID6ce01f42d052426c8dbaaf6ebcd43b31" localSheetId="2" hidden="1">DRE!$BF$10:$BF$214</definedName>
    <definedName name="_ECO_RANGE_ID6f360d3cb2b24e81baf45671f16faa88" localSheetId="0" hidden="1">'Debêntures IPCA-Spread'!$BK$9:$BK$504</definedName>
    <definedName name="_ECO_RANGE_ID7049b61ac86c4058aa86653dbf5fb82a" localSheetId="0" hidden="1">'Debêntures IPCA-Spread'!$AG$9:$AG$504</definedName>
    <definedName name="_ECO_RANGE_ID720a6dbf7e11499bb4303471d876a996" localSheetId="0" hidden="1">'Debêntures IPCA-Spread'!$BI$9:$BI$504</definedName>
    <definedName name="_ECO_RANGE_ID7297785b32294090bf1abe16cfbc0c39" localSheetId="1" hidden="1">'Balanço Patrimonial'!$T$10:$T$214</definedName>
    <definedName name="_ECO_RANGE_ID7411160402a742e292f2d40d49169c64" localSheetId="4" hidden="1">Base!$E$5:$E$19</definedName>
    <definedName name="_ECO_RANGE_ID741a4db02f9047899a77a298dad8f9fe" localSheetId="1" hidden="1">'Balanço Patrimonial'!$AF$10:$AF$214</definedName>
    <definedName name="_ECO_RANGE_ID7456f459a8e942fba91eb6afd5afc937" localSheetId="0" hidden="1">'Debêntures IPCA-Spread'!$BZ$9:$BZ$504</definedName>
    <definedName name="_ECO_RANGE_ID763710e645704e22a13426be4fdbedeb" localSheetId="1" hidden="1">'Balanço Patrimonial'!$E$10:$E$200</definedName>
    <definedName name="_ECO_RANGE_ID7638169a08ca4d58b6b02d3fc4e97e68" localSheetId="2" hidden="1">DRE!$BD$10:$BD$214</definedName>
    <definedName name="_ECO_RANGE_ID777b712ab5c94878bf9b5c33b5a6ced3" localSheetId="0" hidden="1">'Debêntures IPCA-Spread'!$W$9:$W$504</definedName>
    <definedName name="_ECO_RANGE_ID7a357ca9bc4c455494ad1db9df23cd99" localSheetId="2" hidden="1">DRE!$E$10:$E$200</definedName>
    <definedName name="_ECO_RANGE_ID7af795047f6245cb89212f0573a6c9a5" localSheetId="0" hidden="1">'Debêntures IPCA-Spread'!$AB$9:$AB$504</definedName>
    <definedName name="_ECO_RANGE_ID7dcd4574ee224ddb847bb7a4657d29dd" localSheetId="1" hidden="1">'Balanço Patrimonial'!$R$10:$R$214</definedName>
    <definedName name="_ECO_RANGE_ID7f1e3eab3fe040a7b9a9be5b2afeaedf" localSheetId="2" hidden="1">DRE!$BJ$10:$BJ$214</definedName>
    <definedName name="_ECO_RANGE_ID81d87df7a99b4078a1df1efc5700c00a" localSheetId="0" hidden="1">'Debêntures IPCA-Spread'!$BO$9:$BO$504</definedName>
    <definedName name="_ECO_RANGE_ID82cf0d23a1d34ba3807ee39108db516a" localSheetId="0" hidden="1">'Debêntures IPCA-Spread'!$BE$9:$BE$504</definedName>
    <definedName name="_ECO_RANGE_ID834e479d41b34b5fabc66a8aafbe7ef1" localSheetId="1" hidden="1">'Balanço Patrimonial'!$K$10:$K$214</definedName>
    <definedName name="_ECO_RANGE_ID83582414faf74640ac49eba0aea6801b" localSheetId="0" hidden="1">'Debêntures IPCA-Spread'!$P$9:$P$504</definedName>
    <definedName name="_ECO_RANGE_ID863ac0c3549542d1acad73837d518526" localSheetId="0" hidden="1">'Debêntures IPCA-Spread'!$I$9:$I$504</definedName>
    <definedName name="_ECO_RANGE_ID8b0c2814601e4bbe9a0dd53a38a82b03" localSheetId="3" hidden="1">'Análise Fundamentalista'!$Z$15:$Z$29</definedName>
    <definedName name="_ECO_RANGE_ID8b2d1b3b3c8e4ef0baec4177c73d03c2" localSheetId="3" hidden="1">'Análise Fundamentalista'!$N$15:$N$29</definedName>
    <definedName name="_ECO_RANGE_ID8bb3e5cd54e24b11ab70f5210fd43c3e" localSheetId="0" hidden="1">'Debêntures IPCA-Spread'!$BY$9:$BY$504</definedName>
    <definedName name="_ECO_RANGE_ID8e49d32997e34175bb5b68ee1a347c2c" localSheetId="0" hidden="1">'Debêntures IPCA-Spread'!$BT$9:$BT$504</definedName>
    <definedName name="_ECO_RANGE_ID927ef654f2d04a77964946e4f3f81d1c" localSheetId="2" hidden="1">DRE!$J$10:$J$214</definedName>
    <definedName name="_ECO_RANGE_ID937cd7e2c7324c5189b67400d41d6944" localSheetId="3" hidden="1">'Análise Fundamentalista'!$U$15:$U$29</definedName>
    <definedName name="_ECO_RANGE_ID97a620ce91b447acbcf8b502cc18612a" localSheetId="2" hidden="1">DRE!$AI$10:$AI$214</definedName>
    <definedName name="_ECO_RANGE_ID99339278668b4af885d3c96ccc16e4d9" localSheetId="2" hidden="1">DRE!$AA$10:$AA$214</definedName>
    <definedName name="_ECO_RANGE_ID9cb858c4ddcf4a66b94ecd6518f8ba6e" localSheetId="3" hidden="1">'Análise Fundamentalista'!$C$14</definedName>
    <definedName name="_ECO_RANGE_ID9d03f1be527b46fe928d33a2aad412b6" localSheetId="3" hidden="1">'Análise Fundamentalista'!$E$15:$E$29</definedName>
    <definedName name="_ECO_RANGE_ID9de6e29b28bb41cca9adfca02a5a6f2d" localSheetId="0" hidden="1">'Debêntures IPCA-Spread'!$E$9:$E$504</definedName>
    <definedName name="_ECO_RANGE_IDa0da0bb1b49d4e09acbaea394e31ded8" localSheetId="2" hidden="1">DRE!$BH$10:$BH$214</definedName>
    <definedName name="_ECO_RANGE_IDa170c63d4def47679bfb7e392eeacd58" localSheetId="0" hidden="1">'Debêntures IPCA-Spread'!$F$9:$F$504</definedName>
    <definedName name="_ECO_RANGE_IDa2b82f61b2184fecb38d83dbd7ae20d1" localSheetId="3" hidden="1">'Análise Fundamentalista'!$P$15:$P$29</definedName>
    <definedName name="_ECO_RANGE_IDa3e3201e42094ecea9fd375ec60e7e1b" localSheetId="3" hidden="1">'Análise Fundamentalista'!$Q$15:$Q$29</definedName>
    <definedName name="_ECO_RANGE_IDa3ec2d29b4ee44a298b51c2faebba07f" localSheetId="2" hidden="1">DRE!$BA$10:$BA$214</definedName>
    <definedName name="_ECO_RANGE_IDa4ec370a850e4c07b46a7ce19cb58cc2" localSheetId="0" hidden="1">'Debêntures IPCA-Spread'!$AH$9:$AH$504</definedName>
    <definedName name="_ECO_RANGE_IDa5282341a2c34b3cab96819c000a1e65" localSheetId="1" hidden="1">'Balanço Patrimonial'!$N$10:$N$214</definedName>
    <definedName name="_ECO_RANGE_IDa53c4db93a21404abd4b37f7748a7bc6" localSheetId="0" hidden="1">'Debêntures IPCA-Spread'!$BA$9:$BA$504</definedName>
    <definedName name="_ECO_RANGE_IDa5507e9354124cc6a119691e0093088c" localSheetId="0" hidden="1">'Debêntures IPCA-Spread'!$AM$9:$AM$504</definedName>
    <definedName name="_ECO_RANGE_IDa6cb678834614352bc78d2075686e70d" localSheetId="0" hidden="1">'Debêntures IPCA-Spread'!$Y$9:$Y$504</definedName>
    <definedName name="_ECO_RANGE_IDa6da1c4b9e4640d6bf2df4a209890117" localSheetId="0" hidden="1">'Debêntures IPCA-Spread'!$K$9:$K$504</definedName>
    <definedName name="_ECO_RANGE_IDa8e4a5f7034c4b75aa2888e1e8808c70" localSheetId="1" hidden="1">'Balanço Patrimonial'!$AA$10:$AA$214</definedName>
    <definedName name="_ECO_RANGE_IDa95bd074ac0946f0aab0db53dd9d665a" localSheetId="0" hidden="1">'Debêntures IPCA-Spread'!$CE$9:$CE$504</definedName>
    <definedName name="_ECO_RANGE_IDa98b3a5bdf124a6999148651c255c695" localSheetId="3" hidden="1">'Análise Fundamentalista'!$V$15:$V$29</definedName>
    <definedName name="_ECO_RANGE_IDaa161e2e24914c9e9a34f9843dc09a04" localSheetId="0" hidden="1">'Debêntures IPCA-Spread'!$CB$9:$CB$504</definedName>
    <definedName name="_ECO_RANGE_IDaad8982f7d8c42b4bd89b9d54728e142" localSheetId="3" hidden="1">'Análise Fundamentalista'!$O$15:$O$29</definedName>
    <definedName name="_ECO_RANGE_IDab86a645c4494fc2a2cd37adb6a21095" localSheetId="1" hidden="1">'Balanço Patrimonial'!$H$10:$H$214</definedName>
    <definedName name="_ECO_RANGE_IDac4418eeb2d6494c9717fef18ee03ce5" localSheetId="0" hidden="1">'Debêntures IPCA-Spread'!$AI$9:$AI$504</definedName>
    <definedName name="_ECO_RANGE_IDad8cd00a046a44208c8324c7bc6403d9" localSheetId="0" hidden="1">'Debêntures IPCA-Spread'!$BP$9:$BP$504</definedName>
    <definedName name="_ECO_RANGE_IDae9f1aac58544a5bb72e8f6abc62de46" localSheetId="2" hidden="1">DRE!$AE$10:$AE$214</definedName>
    <definedName name="_ECO_RANGE_IDb02e2cc5dbba452b8bc26d1d95930451" localSheetId="1" hidden="1">'Balanço Patrimonial'!$AJ$10:$AJ$214</definedName>
    <definedName name="_ECO_RANGE_IDb36520524a744629878657778716b353" localSheetId="1" hidden="1">'Balanço Patrimonial'!$AD$10:$AD$214</definedName>
    <definedName name="_ECO_RANGE_IDb4a038f0e27b47dcbc2ec4dab5542bca" localSheetId="0" hidden="1">'Debêntures IPCA-Spread'!$J$9:$J$504</definedName>
    <definedName name="_ECO_RANGE_IDb4e4d0e7d48c4076ad1b7a25ae631d66" localSheetId="2" hidden="1">DRE!$AP$10:$AP$214</definedName>
    <definedName name="_ECO_RANGE_IDb55065b66d1440e1993d06701a24a395" localSheetId="2" hidden="1">DRE!$AG$10:$AG$214</definedName>
    <definedName name="_ECO_RANGE_IDb81f95ac73c2453483471b9f05a80a6c" localSheetId="1" hidden="1">'Balanço Patrimonial'!$AG$10:$AG$214</definedName>
    <definedName name="_ECO_RANGE_IDb8f22b7b888d46f19957751a570218ab" localSheetId="2" hidden="1">DRE!$H$10:$H$214</definedName>
    <definedName name="_ECO_RANGE_IDbaf9d19da7754552b78bd0b4bbb8b0a4" localSheetId="3" hidden="1">'Análise Fundamentalista'!$J$15:$J$29</definedName>
    <definedName name="_ECO_RANGE_IDbb828435e00d407392803d1d5c3ddc99" localSheetId="2" hidden="1">DRE!$N$10:$N$214</definedName>
    <definedName name="_ECO_RANGE_IDbd259b3a157245bc8fe7a7b9d0aaace4" localSheetId="2" hidden="1">DRE!$BN$10:$BN$214</definedName>
    <definedName name="_ECO_RANGE_IDbf9d200b36664f3c9ec64780383371c2" localSheetId="1" hidden="1">'Balanço Patrimonial'!$X$10:$X$214</definedName>
    <definedName name="_ECO_RANGE_IDc08a0755e5c740ccb01db4ba6fb0c853" localSheetId="2" hidden="1">DRE!$AZ$10:$AZ$214</definedName>
    <definedName name="_ECO_RANGE_IDc25d5438ccd0406184947d88b5152d6a" localSheetId="1" hidden="1">'Balanço Patrimonial'!$M$10:$M$214</definedName>
    <definedName name="_ECO_RANGE_IDc375c452b3ad46a3b673262f797de15d" localSheetId="0" hidden="1">'Debêntures IPCA-Spread'!$L$9:$L$504</definedName>
    <definedName name="_ECO_RANGE_IDc4650beeb36d49cda7e1448dab9d0c5d" localSheetId="1" hidden="1">'Balanço Patrimonial'!$W$10:$W$214</definedName>
    <definedName name="_ECO_RANGE_IDc56ec3e236094ee1ba979c2e95dc5e72" localSheetId="2" hidden="1">DRE!$AW$10:$AW$214</definedName>
    <definedName name="_ECO_RANGE_IDc5890c6575b541b396cf63e1319aea2b" localSheetId="1" hidden="1">'Balanço Patrimonial'!$O$10:$O$214</definedName>
    <definedName name="_ECO_RANGE_IDc695ab4258224d2bb37ee84302da7357" localSheetId="0" hidden="1">'Debêntures IPCA-Spread'!$AQ$9:$AQ$504</definedName>
    <definedName name="_ECO_RANGE_IDc7b5931b1b8947f0850b0237d7c605ab" localSheetId="2" hidden="1">DRE!$U$10:$U$214</definedName>
    <definedName name="_ECO_RANGE_IDc85464ad20864f89aef69a5cc93cdc81" localSheetId="0" hidden="1">'Debêntures IPCA-Spread'!$BV$9:$BV$504</definedName>
    <definedName name="_ECO_RANGE_IDcb7a61deffd4483ca7d16032007bd7ab" localSheetId="0" hidden="1">'Debêntures IPCA-Spread'!$C$9:$C$504</definedName>
    <definedName name="_ECO_RANGE_IDcc23f1d906cd4357ad0fc1b595278d08" localSheetId="0" hidden="1">'Debêntures IPCA-Spread'!$CA$9:$CA$504</definedName>
    <definedName name="_ECO_RANGE_IDcd24aae571c74fbba9c35efc76fd5527" localSheetId="0" hidden="1">'Debêntures IPCA-Spread'!$T$9:$T$504</definedName>
    <definedName name="_ECO_RANGE_IDce91d12870d44739a5700053d80d0b1f" localSheetId="2" hidden="1">DRE!$M$10:$M$214</definedName>
    <definedName name="_ECO_RANGE_IDcfdc2fc56bee4b44b767323f8a6be14f" localSheetId="2" hidden="1">DRE!$AR$10:$AR$214</definedName>
    <definedName name="_ECO_RANGE_IDd0fbcca697d1476cab85fe601a5bbfda" localSheetId="2" hidden="1">DRE!$AV$10:$AV$214</definedName>
    <definedName name="_ECO_RANGE_IDd1c535536143482a96d50d59a8d72a56" localSheetId="2" hidden="1">DRE!$D$10:$D$214</definedName>
    <definedName name="_ECO_RANGE_IDd29136b2ecfd4cc1b92515748c662440" localSheetId="1" hidden="1">'Balanço Patrimonial'!$AC$10:$AC$214</definedName>
    <definedName name="_ECO_RANGE_IDd50f86f5091a4f92a8eec5f57a34c1b1" localSheetId="0" hidden="1">'Debêntures IPCA-Spread'!$N$9:$N$504</definedName>
    <definedName name="_ECO_RANGE_IDd54e5fc313c84e35b8c34eb5b699f43d" localSheetId="0" hidden="1">'Debêntures IPCA-Spread'!$AU$9:$AU$504</definedName>
    <definedName name="_ECO_RANGE_IDd68dbab95b4449ebb9e08f9fca07e8fe" localSheetId="3" hidden="1">'Análise Fundamentalista'!$B$15:$C$29</definedName>
    <definedName name="_ECO_RANGE_IDd6ff2e8951f44da0a315b3433b9a2b65" localSheetId="2" hidden="1">DRE!$V$10:$V$214</definedName>
    <definedName name="_ECO_RANGE_IDd7fa200978194bfebca5831c8f0f4c06" localSheetId="4" hidden="1">Base!$F$5:$F$19</definedName>
    <definedName name="_ECO_RANGE_IDd833b5f20e6c4786850f0ae95e406541" localSheetId="0" hidden="1">'Debêntures IPCA-Spread'!$AW$9:$AW$504</definedName>
    <definedName name="_ECO_RANGE_IDd9cd9d85286641d097c36939b0a0d202" localSheetId="1" hidden="1">'Balanço Patrimonial'!$AI$10:$AI$214</definedName>
    <definedName name="_ECO_RANGE_IDdb0144ecff8e498dbdffbdbab971b138" localSheetId="2" hidden="1">DRE!$AM$10:$AM$214</definedName>
    <definedName name="_ECO_RANGE_IDdcba2f0c784c479a83cc9f7a449013b2" localSheetId="3" hidden="1">'Análise Fundamentalista'!$AA$15:$AA$29</definedName>
    <definedName name="_ECO_RANGE_IDdce9b7b9c41044ad8acc2d0c66187dd7" localSheetId="3" hidden="1">'Análise Fundamentalista'!$AB$15:$AB$29</definedName>
    <definedName name="_ECO_RANGE_IDdd642d1033e24a12bcd62b5916be75d5" localSheetId="0" hidden="1">'Debêntures IPCA-Spread'!$AO$9:$AO$504</definedName>
    <definedName name="_ECO_RANGE_IDddd56c41d2674046af9c06ae3864ded9" localSheetId="0" hidden="1">'Debêntures IPCA-Spread'!$BU$9:$BU$504</definedName>
    <definedName name="_ECO_RANGE_IDde177c0ccf3b402f8ff10270049749c9" localSheetId="3" hidden="1">'Análise Fundamentalista'!$F$15:$F$29</definedName>
    <definedName name="_ECO_RANGE_IDdf1c633b260143a38e9dc2ccab45f06f" localSheetId="1" hidden="1">'Balanço Patrimonial'!$AE$10:$AE$214</definedName>
    <definedName name="_ECO_RANGE_IDe3da0ada1044488f91b75cbad4a00f1e" localSheetId="3" hidden="1">'Análise Fundamentalista'!$AC$15:$AC$29</definedName>
    <definedName name="_ECO_RANGE_IDe4c082f5d375460ca0bf93be8d253d95" localSheetId="2" hidden="1">DRE!$AK$10:$AK$214</definedName>
    <definedName name="_ECO_RANGE_IDe864ad49b7444c7fad52c92e195bc83b" localSheetId="0" hidden="1">'Debêntures IPCA-Spread'!$S$9:$S$504</definedName>
    <definedName name="_ECO_RANGE_IDe8b1b2559cfb49d19c056010a27186ce" localSheetId="2" hidden="1">DRE!$AJ$10:$AJ$214</definedName>
    <definedName name="_ECO_RANGE_IDebd75e09250a4a1b98ad05cff8087a64" localSheetId="0" hidden="1">'Debêntures IPCA-Spread'!$BN$9:$BN$504</definedName>
    <definedName name="_ECO_RANGE_IDec59663d8caf42be8f615107daff3b0c" localSheetId="0" hidden="1">'Debêntures IPCA-Spread'!$D$9:$D$504</definedName>
    <definedName name="_ECO_RANGE_IDef59d36cf8854f819b9a98803256ceb8" localSheetId="1" hidden="1">'Balanço Patrimonial'!$I$10:$I$214</definedName>
    <definedName name="_ECO_RANGE_IDf433b830ec9e47ab867d87a89fdbc3ac" localSheetId="0" hidden="1">'Debêntures IPCA-Spread'!$AF$9:$AF$504</definedName>
    <definedName name="_ECO_RANGE_IDf561fea964524d1496374f7ddeaa8a1d" localSheetId="1" hidden="1">'Balanço Patrimonial'!$AB$10:$AB$214</definedName>
    <definedName name="_ECO_RANGE_IDf7116d7525414b3a88ee284e716e9f28" localSheetId="2" hidden="1">DRE!$R$10:$R$214</definedName>
    <definedName name="_ECO_RANGE_IDf8feeb45185f499f8be393c25319156d" localSheetId="4" hidden="1">Base!$G$5:$G$19</definedName>
    <definedName name="_ECO_RANGE_IDfae9379161e44d27883c338525a5ec0a" localSheetId="0" hidden="1">'Debêntures IPCA-Spread'!$O$9:$O$504</definedName>
    <definedName name="_ECO_RANGE_IDfe9d4d20e9db4fb49c77f7943f032748" localSheetId="2" hidden="1">DRE!$G$10:$G$214</definedName>
    <definedName name="_ECO_RANGE_IDfee88f0c67ac41f091543259b198c7a9" localSheetId="0" hidden="1">'Debêntures IPCA-Spread'!$BM$9:$BM$504</definedName>
    <definedName name="_xlnm._FilterDatabase" localSheetId="3" hidden="1">'Análise Fundamentalista'!$B$2:$C$8</definedName>
    <definedName name="_xlnm._FilterDatabase" localSheetId="2" hidden="1">DRE!$B$2:$C$5</definedName>
    <definedName name="Codigos">OFFSET('Debêntures IPCA-Spread'!$C$9,0,0,COUNTA('Debêntures IPCA-Spread'!$C:$C)-4)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1" l="1"/>
  <c r="D9" i="21"/>
  <c r="D9" i="23"/>
  <c r="C9" i="23"/>
  <c r="BJ569" i="4" l="1"/>
  <c r="BJ568" i="4"/>
  <c r="BJ567" i="4"/>
  <c r="BJ566" i="4"/>
  <c r="BJ565" i="4"/>
  <c r="BJ564" i="4"/>
  <c r="BJ563" i="4"/>
  <c r="BJ562" i="4"/>
  <c r="BJ561" i="4"/>
  <c r="BJ560" i="4"/>
  <c r="BJ559" i="4"/>
  <c r="BJ558" i="4"/>
  <c r="BJ557" i="4"/>
  <c r="BJ556" i="4"/>
  <c r="BJ555" i="4"/>
  <c r="BJ554" i="4"/>
  <c r="BJ553" i="4"/>
  <c r="BJ552" i="4"/>
  <c r="BJ551" i="4"/>
  <c r="BJ550" i="4"/>
  <c r="BJ549" i="4"/>
  <c r="BJ548" i="4"/>
  <c r="BJ547" i="4"/>
  <c r="BJ546" i="4"/>
  <c r="BJ545" i="4"/>
  <c r="BJ544" i="4"/>
  <c r="BJ543" i="4"/>
  <c r="BJ542" i="4"/>
  <c r="BJ541" i="4"/>
  <c r="BJ540" i="4"/>
  <c r="BJ539" i="4"/>
  <c r="BJ538" i="4"/>
  <c r="BJ537" i="4"/>
  <c r="BJ536" i="4"/>
  <c r="BJ535" i="4"/>
  <c r="BJ534" i="4"/>
  <c r="BJ533" i="4"/>
  <c r="BJ532" i="4"/>
  <c r="BJ531" i="4"/>
  <c r="BJ530" i="4"/>
  <c r="BJ529" i="4"/>
  <c r="BJ528" i="4"/>
  <c r="BJ527" i="4"/>
  <c r="BJ526" i="4"/>
  <c r="BJ525" i="4"/>
  <c r="BJ524" i="4"/>
  <c r="BJ523" i="4"/>
  <c r="BJ522" i="4"/>
  <c r="BJ521" i="4"/>
  <c r="BJ520" i="4"/>
  <c r="BJ519" i="4"/>
  <c r="BJ518" i="4"/>
  <c r="BJ517" i="4"/>
  <c r="BJ516" i="4"/>
  <c r="BJ515" i="4"/>
  <c r="BJ514" i="4"/>
  <c r="BJ513" i="4"/>
  <c r="BJ512" i="4"/>
  <c r="BJ511" i="4"/>
  <c r="BJ510" i="4"/>
  <c r="BJ509" i="4"/>
  <c r="BJ508" i="4"/>
  <c r="BJ507" i="4"/>
  <c r="BJ506" i="4"/>
  <c r="BJ505" i="4"/>
  <c r="BJ504" i="4"/>
  <c r="BJ503" i="4"/>
  <c r="BJ502" i="4"/>
  <c r="BJ501" i="4"/>
  <c r="BJ500" i="4"/>
  <c r="BJ499" i="4"/>
  <c r="BH569" i="4"/>
  <c r="BH568" i="4"/>
  <c r="BH567" i="4"/>
  <c r="BH566" i="4"/>
  <c r="BH565" i="4"/>
  <c r="BH564" i="4"/>
  <c r="BH563" i="4"/>
  <c r="BH562" i="4"/>
  <c r="BH561" i="4"/>
  <c r="BH560" i="4"/>
  <c r="BH559" i="4"/>
  <c r="BH558" i="4"/>
  <c r="BH557" i="4"/>
  <c r="BH556" i="4"/>
  <c r="BH555" i="4"/>
  <c r="BH554" i="4"/>
  <c r="BH553" i="4"/>
  <c r="BH552" i="4"/>
  <c r="BH551" i="4"/>
  <c r="BH550" i="4"/>
  <c r="BH549" i="4"/>
  <c r="BH548" i="4"/>
  <c r="BH547" i="4"/>
  <c r="BH546" i="4"/>
  <c r="BH545" i="4"/>
  <c r="BH544" i="4"/>
  <c r="BH543" i="4"/>
  <c r="BH542" i="4"/>
  <c r="BH541" i="4"/>
  <c r="BH540" i="4"/>
  <c r="BH539" i="4"/>
  <c r="BH538" i="4"/>
  <c r="BH537" i="4"/>
  <c r="BH536" i="4"/>
  <c r="BH535" i="4"/>
  <c r="BH534" i="4"/>
  <c r="BH533" i="4"/>
  <c r="BH532" i="4"/>
  <c r="BH531" i="4"/>
  <c r="BH530" i="4"/>
  <c r="BH529" i="4"/>
  <c r="BH528" i="4"/>
  <c r="BH527" i="4"/>
  <c r="BH526" i="4"/>
  <c r="BH525" i="4"/>
  <c r="BH524" i="4"/>
  <c r="BH523" i="4"/>
  <c r="BH522" i="4"/>
  <c r="BH521" i="4"/>
  <c r="BH520" i="4"/>
  <c r="BH519" i="4"/>
  <c r="BH518" i="4"/>
  <c r="BH517" i="4"/>
  <c r="BH516" i="4"/>
  <c r="BH515" i="4"/>
  <c r="BH514" i="4"/>
  <c r="BH513" i="4"/>
  <c r="BH512" i="4"/>
  <c r="BH511" i="4"/>
  <c r="BH510" i="4"/>
  <c r="BH509" i="4"/>
  <c r="BH508" i="4"/>
  <c r="BH507" i="4"/>
  <c r="BH506" i="4"/>
  <c r="BH505" i="4"/>
  <c r="BH504" i="4"/>
  <c r="BH503" i="4"/>
  <c r="BH502" i="4"/>
  <c r="BH501" i="4"/>
  <c r="BH500" i="4"/>
  <c r="BF569" i="4"/>
  <c r="BF568" i="4"/>
  <c r="BF567" i="4"/>
  <c r="BF566" i="4"/>
  <c r="BF565" i="4"/>
  <c r="BF564" i="4"/>
  <c r="BF563" i="4"/>
  <c r="BF562" i="4"/>
  <c r="BF561" i="4"/>
  <c r="BF560" i="4"/>
  <c r="BF559" i="4"/>
  <c r="BF558" i="4"/>
  <c r="BF557" i="4"/>
  <c r="BF556" i="4"/>
  <c r="BF555" i="4"/>
  <c r="BF554" i="4"/>
  <c r="BF553" i="4"/>
  <c r="BF552" i="4"/>
  <c r="BF551" i="4"/>
  <c r="BF550" i="4"/>
  <c r="BF549" i="4"/>
  <c r="BF548" i="4"/>
  <c r="BF547" i="4"/>
  <c r="BF546" i="4"/>
  <c r="BF545" i="4"/>
  <c r="BF544" i="4"/>
  <c r="BF543" i="4"/>
  <c r="BF542" i="4"/>
  <c r="BF541" i="4"/>
  <c r="BF540" i="4"/>
  <c r="BF539" i="4"/>
  <c r="BF538" i="4"/>
  <c r="BF537" i="4"/>
  <c r="BF536" i="4"/>
  <c r="BF535" i="4"/>
  <c r="BF534" i="4"/>
  <c r="BF533" i="4"/>
  <c r="BF532" i="4"/>
  <c r="BF531" i="4"/>
  <c r="BF530" i="4"/>
  <c r="BF529" i="4"/>
  <c r="BF528" i="4"/>
  <c r="BF527" i="4"/>
  <c r="BF526" i="4"/>
  <c r="BF525" i="4"/>
  <c r="BF524" i="4"/>
  <c r="BF523" i="4"/>
  <c r="BF522" i="4"/>
  <c r="BF521" i="4"/>
  <c r="BF520" i="4"/>
  <c r="BF519" i="4"/>
  <c r="BF518" i="4"/>
  <c r="BF517" i="4"/>
  <c r="BF516" i="4"/>
  <c r="BF515" i="4"/>
  <c r="BF514" i="4"/>
  <c r="BF513" i="4"/>
  <c r="BF512" i="4"/>
  <c r="BF511" i="4"/>
  <c r="BF510" i="4"/>
  <c r="BF509" i="4"/>
  <c r="BF508" i="4"/>
  <c r="BF507" i="4"/>
  <c r="BF506" i="4"/>
  <c r="BF505" i="4"/>
  <c r="BF504" i="4"/>
  <c r="BF503" i="4"/>
  <c r="BF502" i="4"/>
  <c r="BF501" i="4"/>
  <c r="BF500" i="4"/>
  <c r="BD569" i="4"/>
  <c r="BD568" i="4"/>
  <c r="BD567" i="4"/>
  <c r="BD566" i="4"/>
  <c r="BD565" i="4"/>
  <c r="BD564" i="4"/>
  <c r="BD563" i="4"/>
  <c r="BD562" i="4"/>
  <c r="BD561" i="4"/>
  <c r="BD560" i="4"/>
  <c r="BD559" i="4"/>
  <c r="BD558" i="4"/>
  <c r="BD557" i="4"/>
  <c r="BD556" i="4"/>
  <c r="BD555" i="4"/>
  <c r="BD554" i="4"/>
  <c r="BD553" i="4"/>
  <c r="BD552" i="4"/>
  <c r="BD551" i="4"/>
  <c r="BD550" i="4"/>
  <c r="BD549" i="4"/>
  <c r="BD548" i="4"/>
  <c r="BD547" i="4"/>
  <c r="BD546" i="4"/>
  <c r="BD545" i="4"/>
  <c r="BD544" i="4"/>
  <c r="BD543" i="4"/>
  <c r="BD542" i="4"/>
  <c r="BD541" i="4"/>
  <c r="BD540" i="4"/>
  <c r="BD539" i="4"/>
  <c r="BD538" i="4"/>
  <c r="BD537" i="4"/>
  <c r="BD536" i="4"/>
  <c r="BD535" i="4"/>
  <c r="BD534" i="4"/>
  <c r="BD533" i="4"/>
  <c r="BD532" i="4"/>
  <c r="BD531" i="4"/>
  <c r="BD530" i="4"/>
  <c r="BD529" i="4"/>
  <c r="BD528" i="4"/>
  <c r="BD527" i="4"/>
  <c r="BD526" i="4"/>
  <c r="BD525" i="4"/>
  <c r="BD524" i="4"/>
  <c r="BD523" i="4"/>
  <c r="BD522" i="4"/>
  <c r="BD521" i="4"/>
  <c r="BD520" i="4"/>
  <c r="BD519" i="4"/>
  <c r="BD518" i="4"/>
  <c r="BD517" i="4"/>
  <c r="BD516" i="4"/>
  <c r="BD515" i="4"/>
  <c r="BD514" i="4"/>
  <c r="BD513" i="4"/>
  <c r="BD512" i="4"/>
  <c r="BD511" i="4"/>
  <c r="BD510" i="4"/>
  <c r="BD509" i="4"/>
  <c r="BD508" i="4"/>
  <c r="BD507" i="4"/>
  <c r="BD506" i="4"/>
  <c r="BD505" i="4"/>
  <c r="BD502" i="4"/>
  <c r="BD501" i="4"/>
  <c r="BB569" i="4"/>
  <c r="BB568" i="4"/>
  <c r="BB567" i="4"/>
  <c r="BB566" i="4"/>
  <c r="BB565" i="4"/>
  <c r="BB564" i="4"/>
  <c r="BB563" i="4"/>
  <c r="BB562" i="4"/>
  <c r="BB561" i="4"/>
  <c r="BB560" i="4"/>
  <c r="BB559" i="4"/>
  <c r="BB558" i="4"/>
  <c r="BB557" i="4"/>
  <c r="BB556" i="4"/>
  <c r="BB555" i="4"/>
  <c r="BB554" i="4"/>
  <c r="BB553" i="4"/>
  <c r="BB552" i="4"/>
  <c r="BB551" i="4"/>
  <c r="BB550" i="4"/>
  <c r="BB549" i="4"/>
  <c r="BB548" i="4"/>
  <c r="BB547" i="4"/>
  <c r="BB546" i="4"/>
  <c r="BB545" i="4"/>
  <c r="BB544" i="4"/>
  <c r="BB543" i="4"/>
  <c r="BB542" i="4"/>
  <c r="BB541" i="4"/>
  <c r="BB540" i="4"/>
  <c r="BB539" i="4"/>
  <c r="BB538" i="4"/>
  <c r="BB537" i="4"/>
  <c r="BB536" i="4"/>
  <c r="BB535" i="4"/>
  <c r="BB534" i="4"/>
  <c r="BB533" i="4"/>
  <c r="BB532" i="4"/>
  <c r="BB531" i="4"/>
  <c r="BB530" i="4"/>
  <c r="BB529" i="4"/>
  <c r="BB528" i="4"/>
  <c r="BB527" i="4"/>
  <c r="BB526" i="4"/>
  <c r="BB525" i="4"/>
  <c r="BB524" i="4"/>
  <c r="BB523" i="4"/>
  <c r="BB522" i="4"/>
  <c r="BB521" i="4"/>
  <c r="BB520" i="4"/>
  <c r="BB519" i="4"/>
  <c r="BB518" i="4"/>
  <c r="BB517" i="4"/>
  <c r="BB516" i="4"/>
  <c r="BB515" i="4"/>
  <c r="BB514" i="4"/>
  <c r="BB513" i="4"/>
  <c r="BB512" i="4"/>
  <c r="BB511" i="4"/>
  <c r="BB510" i="4"/>
  <c r="BB509" i="4"/>
  <c r="BB508" i="4"/>
  <c r="BB507" i="4"/>
  <c r="BB506" i="4"/>
  <c r="BB505" i="4"/>
  <c r="BB502" i="4"/>
  <c r="BB501" i="4"/>
  <c r="AZ569" i="4"/>
  <c r="AZ568" i="4"/>
  <c r="AZ567" i="4"/>
  <c r="AZ566" i="4"/>
  <c r="AZ565" i="4"/>
  <c r="AZ564" i="4"/>
  <c r="AZ563" i="4"/>
  <c r="AZ562" i="4"/>
  <c r="AZ561" i="4"/>
  <c r="AZ560" i="4"/>
  <c r="AZ559" i="4"/>
  <c r="AZ558" i="4"/>
  <c r="AZ557" i="4"/>
  <c r="AZ556" i="4"/>
  <c r="AZ555" i="4"/>
  <c r="AZ554" i="4"/>
  <c r="AZ553" i="4"/>
  <c r="AZ552" i="4"/>
  <c r="AZ551" i="4"/>
  <c r="AZ550" i="4"/>
  <c r="AZ549" i="4"/>
  <c r="AZ548" i="4"/>
  <c r="AZ547" i="4"/>
  <c r="AZ546" i="4"/>
  <c r="AZ545" i="4"/>
  <c r="AZ544" i="4"/>
  <c r="AZ543" i="4"/>
  <c r="AZ542" i="4"/>
  <c r="AZ541" i="4"/>
  <c r="AZ540" i="4"/>
  <c r="AZ539" i="4"/>
  <c r="AZ538" i="4"/>
  <c r="AZ537" i="4"/>
  <c r="AZ536" i="4"/>
  <c r="AZ535" i="4"/>
  <c r="AZ534" i="4"/>
  <c r="AZ533" i="4"/>
  <c r="AZ532" i="4"/>
  <c r="AZ531" i="4"/>
  <c r="AZ530" i="4"/>
  <c r="AZ529" i="4"/>
  <c r="AZ528" i="4"/>
  <c r="AZ527" i="4"/>
  <c r="AZ526" i="4"/>
  <c r="AZ525" i="4"/>
  <c r="AZ524" i="4"/>
  <c r="AZ523" i="4"/>
  <c r="AZ522" i="4"/>
  <c r="AZ521" i="4"/>
  <c r="AZ520" i="4"/>
  <c r="AZ519" i="4"/>
  <c r="AZ518" i="4"/>
  <c r="AZ517" i="4"/>
  <c r="AZ516" i="4"/>
  <c r="AZ515" i="4"/>
  <c r="AZ514" i="4"/>
  <c r="AZ513" i="4"/>
  <c r="AZ512" i="4"/>
  <c r="AZ511" i="4"/>
  <c r="AZ510" i="4"/>
  <c r="AZ509" i="4"/>
  <c r="AZ508" i="4"/>
  <c r="AZ507" i="4"/>
  <c r="AZ506" i="4"/>
  <c r="AZ505" i="4"/>
  <c r="AZ502" i="4"/>
  <c r="AX569" i="4"/>
  <c r="AX568" i="4"/>
  <c r="AX567" i="4"/>
  <c r="AX566" i="4"/>
  <c r="AX565" i="4"/>
  <c r="AX564" i="4"/>
  <c r="AX563" i="4"/>
  <c r="AX562" i="4"/>
  <c r="AX561" i="4"/>
  <c r="AX560" i="4"/>
  <c r="AX559" i="4"/>
  <c r="AX558" i="4"/>
  <c r="AX557" i="4"/>
  <c r="AX556" i="4"/>
  <c r="AX555" i="4"/>
  <c r="AX554" i="4"/>
  <c r="AX553" i="4"/>
  <c r="AX552" i="4"/>
  <c r="AX551" i="4"/>
  <c r="AX550" i="4"/>
  <c r="AX549" i="4"/>
  <c r="AX548" i="4"/>
  <c r="AX547" i="4"/>
  <c r="AX546" i="4"/>
  <c r="AX545" i="4"/>
  <c r="AX544" i="4"/>
  <c r="AX543" i="4"/>
  <c r="AX542" i="4"/>
  <c r="AX541" i="4"/>
  <c r="AX540" i="4"/>
  <c r="AX539" i="4"/>
  <c r="AX538" i="4"/>
  <c r="AX537" i="4"/>
  <c r="AX536" i="4"/>
  <c r="AX535" i="4"/>
  <c r="AX534" i="4"/>
  <c r="AX533" i="4"/>
  <c r="AX532" i="4"/>
  <c r="AX531" i="4"/>
  <c r="AX530" i="4"/>
  <c r="AX529" i="4"/>
  <c r="AX528" i="4"/>
  <c r="AX527" i="4"/>
  <c r="AX526" i="4"/>
  <c r="AX525" i="4"/>
  <c r="AX524" i="4"/>
  <c r="AX523" i="4"/>
  <c r="AX522" i="4"/>
  <c r="AX521" i="4"/>
  <c r="AX520" i="4"/>
  <c r="AX519" i="4"/>
  <c r="AX518" i="4"/>
  <c r="AX517" i="4"/>
  <c r="AX516" i="4"/>
  <c r="AX515" i="4"/>
  <c r="AX514" i="4"/>
  <c r="AX513" i="4"/>
  <c r="AX512" i="4"/>
  <c r="AX511" i="4"/>
  <c r="AX510" i="4"/>
  <c r="AX509" i="4"/>
  <c r="AX508" i="4"/>
  <c r="AX507" i="4"/>
  <c r="AX506" i="4"/>
  <c r="AX505" i="4"/>
  <c r="AV569" i="4"/>
  <c r="AV568" i="4"/>
  <c r="AV567" i="4"/>
  <c r="AV566" i="4"/>
  <c r="AV565" i="4"/>
  <c r="AV564" i="4"/>
  <c r="AV563" i="4"/>
  <c r="AV562" i="4"/>
  <c r="AV561" i="4"/>
  <c r="AV560" i="4"/>
  <c r="AV559" i="4"/>
  <c r="AV558" i="4"/>
  <c r="AV557" i="4"/>
  <c r="AV556" i="4"/>
  <c r="AV555" i="4"/>
  <c r="AV554" i="4"/>
  <c r="AV553" i="4"/>
  <c r="AV552" i="4"/>
  <c r="AV551" i="4"/>
  <c r="AV550" i="4"/>
  <c r="AV549" i="4"/>
  <c r="AV548" i="4"/>
  <c r="AV547" i="4"/>
  <c r="AV546" i="4"/>
  <c r="AV545" i="4"/>
  <c r="AV544" i="4"/>
  <c r="AV543" i="4"/>
  <c r="AV542" i="4"/>
  <c r="AV541" i="4"/>
  <c r="AV540" i="4"/>
  <c r="AV539" i="4"/>
  <c r="AV538" i="4"/>
  <c r="AV537" i="4"/>
  <c r="AV536" i="4"/>
  <c r="AV535" i="4"/>
  <c r="AV534" i="4"/>
  <c r="AV533" i="4"/>
  <c r="AV532" i="4"/>
  <c r="AV531" i="4"/>
  <c r="AV530" i="4"/>
  <c r="AV529" i="4"/>
  <c r="AV528" i="4"/>
  <c r="AV527" i="4"/>
  <c r="AV526" i="4"/>
  <c r="AV525" i="4"/>
  <c r="AV524" i="4"/>
  <c r="AV523" i="4"/>
  <c r="AV522" i="4"/>
  <c r="AV521" i="4"/>
  <c r="AV520" i="4"/>
  <c r="AV519" i="4"/>
  <c r="AV518" i="4"/>
  <c r="AV517" i="4"/>
  <c r="AV516" i="4"/>
  <c r="AV515" i="4"/>
  <c r="AV514" i="4"/>
  <c r="AV513" i="4"/>
  <c r="AV512" i="4"/>
  <c r="AV511" i="4"/>
  <c r="AV510" i="4"/>
  <c r="AV509" i="4"/>
  <c r="AV508" i="4"/>
  <c r="AV507" i="4"/>
  <c r="AV506" i="4"/>
  <c r="AV505" i="4"/>
  <c r="AT569" i="4"/>
  <c r="AT568" i="4"/>
  <c r="AT567" i="4"/>
  <c r="AT566" i="4"/>
  <c r="AT565" i="4"/>
  <c r="AT564" i="4"/>
  <c r="AT563" i="4"/>
  <c r="AT562" i="4"/>
  <c r="AT561" i="4"/>
  <c r="AT560" i="4"/>
  <c r="AT559" i="4"/>
  <c r="AT558" i="4"/>
  <c r="AT557" i="4"/>
  <c r="AT556" i="4"/>
  <c r="AT555" i="4"/>
  <c r="AT554" i="4"/>
  <c r="AT553" i="4"/>
  <c r="AT552" i="4"/>
  <c r="AT551" i="4"/>
  <c r="AT550" i="4"/>
  <c r="AT549" i="4"/>
  <c r="AT548" i="4"/>
  <c r="AT547" i="4"/>
  <c r="AT546" i="4"/>
  <c r="AT545" i="4"/>
  <c r="AT544" i="4"/>
  <c r="AT543" i="4"/>
  <c r="AT542" i="4"/>
  <c r="AT541" i="4"/>
  <c r="AT540" i="4"/>
  <c r="AT539" i="4"/>
  <c r="AT538" i="4"/>
  <c r="AT537" i="4"/>
  <c r="AT536" i="4"/>
  <c r="AT535" i="4"/>
  <c r="AT534" i="4"/>
  <c r="AT533" i="4"/>
  <c r="AT532" i="4"/>
  <c r="AT531" i="4"/>
  <c r="AT530" i="4"/>
  <c r="AT529" i="4"/>
  <c r="AT528" i="4"/>
  <c r="AT527" i="4"/>
  <c r="AT526" i="4"/>
  <c r="AT525" i="4"/>
  <c r="AT524" i="4"/>
  <c r="AT523" i="4"/>
  <c r="AT522" i="4"/>
  <c r="AT521" i="4"/>
  <c r="AT520" i="4"/>
  <c r="AT519" i="4"/>
  <c r="AT518" i="4"/>
  <c r="AT517" i="4"/>
  <c r="AT516" i="4"/>
  <c r="AT515" i="4"/>
  <c r="AT514" i="4"/>
  <c r="AT513" i="4"/>
  <c r="AT512" i="4"/>
  <c r="AT511" i="4"/>
  <c r="AT510" i="4"/>
  <c r="AT509" i="4"/>
  <c r="AT508" i="4"/>
  <c r="AT507" i="4"/>
  <c r="AT506" i="4"/>
  <c r="AT505" i="4"/>
  <c r="AT502" i="4"/>
  <c r="AR569" i="4"/>
  <c r="AR568" i="4"/>
  <c r="AR567" i="4"/>
  <c r="AR566" i="4"/>
  <c r="AR565" i="4"/>
  <c r="AR564" i="4"/>
  <c r="AR563" i="4"/>
  <c r="AR562" i="4"/>
  <c r="AR561" i="4"/>
  <c r="AR560" i="4"/>
  <c r="AR559" i="4"/>
  <c r="AR558" i="4"/>
  <c r="AR557" i="4"/>
  <c r="AR556" i="4"/>
  <c r="AR555" i="4"/>
  <c r="AR554" i="4"/>
  <c r="AR553" i="4"/>
  <c r="AR552" i="4"/>
  <c r="AR551" i="4"/>
  <c r="AR550" i="4"/>
  <c r="AR549" i="4"/>
  <c r="AR548" i="4"/>
  <c r="AR547" i="4"/>
  <c r="AR546" i="4"/>
  <c r="AR545" i="4"/>
  <c r="AR544" i="4"/>
  <c r="AR543" i="4"/>
  <c r="AR542" i="4"/>
  <c r="AR541" i="4"/>
  <c r="AR540" i="4"/>
  <c r="AR539" i="4"/>
  <c r="AR538" i="4"/>
  <c r="AR537" i="4"/>
  <c r="AR536" i="4"/>
  <c r="AR535" i="4"/>
  <c r="AR534" i="4"/>
  <c r="AR533" i="4"/>
  <c r="AR532" i="4"/>
  <c r="AR531" i="4"/>
  <c r="AR530" i="4"/>
  <c r="AR529" i="4"/>
  <c r="AR528" i="4"/>
  <c r="AR527" i="4"/>
  <c r="AR526" i="4"/>
  <c r="AR525" i="4"/>
  <c r="AR524" i="4"/>
  <c r="AR523" i="4"/>
  <c r="AR522" i="4"/>
  <c r="AR521" i="4"/>
  <c r="AR520" i="4"/>
  <c r="AR519" i="4"/>
  <c r="AR518" i="4"/>
  <c r="AR517" i="4"/>
  <c r="AR516" i="4"/>
  <c r="AR515" i="4"/>
  <c r="AR514" i="4"/>
  <c r="AR513" i="4"/>
  <c r="AR512" i="4"/>
  <c r="AR511" i="4"/>
  <c r="AR510" i="4"/>
  <c r="AR509" i="4"/>
  <c r="AR508" i="4"/>
  <c r="AR507" i="4"/>
  <c r="AR506" i="4"/>
  <c r="AR505" i="4"/>
  <c r="AP569" i="4"/>
  <c r="AP568" i="4"/>
  <c r="AP567" i="4"/>
  <c r="AP566" i="4"/>
  <c r="AP565" i="4"/>
  <c r="AP564" i="4"/>
  <c r="AP563" i="4"/>
  <c r="AP562" i="4"/>
  <c r="AP561" i="4"/>
  <c r="AP560" i="4"/>
  <c r="AP559" i="4"/>
  <c r="AP558" i="4"/>
  <c r="AP557" i="4"/>
  <c r="AP556" i="4"/>
  <c r="AP555" i="4"/>
  <c r="AP554" i="4"/>
  <c r="AP553" i="4"/>
  <c r="AP552" i="4"/>
  <c r="AP551" i="4"/>
  <c r="AP550" i="4"/>
  <c r="AP549" i="4"/>
  <c r="AP548" i="4"/>
  <c r="AP547" i="4"/>
  <c r="AP546" i="4"/>
  <c r="AP545" i="4"/>
  <c r="AP544" i="4"/>
  <c r="AP543" i="4"/>
  <c r="AP542" i="4"/>
  <c r="AP541" i="4"/>
  <c r="AP540" i="4"/>
  <c r="AP539" i="4"/>
  <c r="AP538" i="4"/>
  <c r="AP537" i="4"/>
  <c r="AP536" i="4"/>
  <c r="AP535" i="4"/>
  <c r="AP534" i="4"/>
  <c r="AP533" i="4"/>
  <c r="AP532" i="4"/>
  <c r="AP531" i="4"/>
  <c r="AP530" i="4"/>
  <c r="AP529" i="4"/>
  <c r="AP528" i="4"/>
  <c r="AP527" i="4"/>
  <c r="AP526" i="4"/>
  <c r="AP525" i="4"/>
  <c r="AP524" i="4"/>
  <c r="AP523" i="4"/>
  <c r="AP522" i="4"/>
  <c r="AP521" i="4"/>
  <c r="AP520" i="4"/>
  <c r="AP519" i="4"/>
  <c r="AP518" i="4"/>
  <c r="AP517" i="4"/>
  <c r="AP516" i="4"/>
  <c r="AP515" i="4"/>
  <c r="AP514" i="4"/>
  <c r="AP513" i="4"/>
  <c r="AP512" i="4"/>
  <c r="AP511" i="4"/>
  <c r="AP510" i="4"/>
  <c r="AP509" i="4"/>
  <c r="AP508" i="4"/>
  <c r="AP507" i="4"/>
  <c r="AP506" i="4"/>
  <c r="AP505" i="4"/>
  <c r="AJ569" i="4"/>
  <c r="AJ568" i="4"/>
  <c r="AJ567" i="4"/>
  <c r="AJ566" i="4"/>
  <c r="AJ565" i="4"/>
  <c r="AJ564" i="4"/>
  <c r="AJ563" i="4"/>
  <c r="AJ562" i="4"/>
  <c r="AJ561" i="4"/>
  <c r="AJ560" i="4"/>
  <c r="AJ559" i="4"/>
  <c r="AJ558" i="4"/>
  <c r="AJ557" i="4"/>
  <c r="AJ556" i="4"/>
  <c r="AJ555" i="4"/>
  <c r="AJ554" i="4"/>
  <c r="AJ553" i="4"/>
  <c r="AJ552" i="4"/>
  <c r="AJ551" i="4"/>
  <c r="AJ550" i="4"/>
  <c r="AJ549" i="4"/>
  <c r="AJ548" i="4"/>
  <c r="AJ547" i="4"/>
  <c r="AJ546" i="4"/>
  <c r="AJ545" i="4"/>
  <c r="AJ544" i="4"/>
  <c r="AJ543" i="4"/>
  <c r="AJ542" i="4"/>
  <c r="AJ541" i="4"/>
  <c r="AJ540" i="4"/>
  <c r="AJ539" i="4"/>
  <c r="AJ538" i="4"/>
  <c r="AJ537" i="4"/>
  <c r="AJ536" i="4"/>
  <c r="AJ535" i="4"/>
  <c r="AJ534" i="4"/>
  <c r="AJ533" i="4"/>
  <c r="AJ532" i="4"/>
  <c r="AJ531" i="4"/>
  <c r="AJ530" i="4"/>
  <c r="AJ529" i="4"/>
  <c r="AJ528" i="4"/>
  <c r="AJ527" i="4"/>
  <c r="AJ526" i="4"/>
  <c r="AJ525" i="4"/>
  <c r="AJ524" i="4"/>
  <c r="AJ523" i="4"/>
  <c r="AJ522" i="4"/>
  <c r="AJ521" i="4"/>
  <c r="AJ520" i="4"/>
  <c r="AJ519" i="4"/>
  <c r="AJ518" i="4"/>
  <c r="AJ517" i="4"/>
  <c r="AJ516" i="4"/>
  <c r="AJ515" i="4"/>
  <c r="AJ514" i="4"/>
  <c r="AJ513" i="4"/>
  <c r="AJ512" i="4"/>
  <c r="AJ511" i="4"/>
  <c r="AJ510" i="4"/>
  <c r="AJ509" i="4"/>
  <c r="AJ508" i="4"/>
  <c r="AJ507" i="4"/>
  <c r="AJ506" i="4"/>
  <c r="AJ505" i="4"/>
  <c r="AJ504" i="4"/>
  <c r="AJ503" i="4"/>
  <c r="AJ502" i="4"/>
  <c r="AJ501" i="4"/>
  <c r="AJ500" i="4"/>
  <c r="AJ499" i="4"/>
  <c r="Y8" i="4"/>
  <c r="Q8" i="4"/>
  <c r="I8" i="4"/>
  <c r="H8" i="4"/>
  <c r="X8" i="4"/>
  <c r="P8" i="4"/>
  <c r="R8" i="4"/>
  <c r="W8" i="4"/>
  <c r="O8" i="4"/>
  <c r="G8" i="4"/>
  <c r="U8" i="4"/>
  <c r="V8" i="4"/>
  <c r="N8" i="4"/>
  <c r="F8" i="4"/>
  <c r="M8" i="4"/>
  <c r="E8" i="4"/>
  <c r="AB8" i="4"/>
  <c r="J8" i="4"/>
  <c r="T8" i="4"/>
  <c r="L8" i="4"/>
  <c r="D8" i="4"/>
  <c r="S8" i="4"/>
  <c r="K8" i="4"/>
  <c r="C8" i="4"/>
  <c r="BJ498" i="4" l="1"/>
  <c r="BJ497" i="4"/>
  <c r="BJ496" i="4"/>
  <c r="BJ495" i="4"/>
  <c r="BJ494" i="4"/>
  <c r="BJ493" i="4"/>
  <c r="BJ492" i="4"/>
  <c r="BJ491" i="4"/>
  <c r="BJ490" i="4"/>
  <c r="BJ489" i="4"/>
  <c r="BJ488" i="4"/>
  <c r="BJ487" i="4"/>
  <c r="BJ484" i="4"/>
  <c r="BJ483" i="4"/>
  <c r="BJ482" i="4"/>
  <c r="BJ481" i="4"/>
  <c r="BJ480" i="4"/>
  <c r="BJ479" i="4"/>
  <c r="BJ478" i="4"/>
  <c r="BJ477" i="4"/>
  <c r="BJ476" i="4"/>
  <c r="BJ475" i="4"/>
  <c r="BJ474" i="4"/>
  <c r="BJ473" i="4"/>
  <c r="BJ472" i="4"/>
  <c r="BJ471" i="4"/>
  <c r="BJ470" i="4"/>
  <c r="BJ469" i="4"/>
  <c r="BJ468" i="4"/>
  <c r="BJ467" i="4"/>
  <c r="BJ466" i="4"/>
  <c r="BJ465" i="4"/>
  <c r="BJ462" i="4"/>
  <c r="BJ461" i="4"/>
  <c r="BJ460" i="4"/>
  <c r="BJ459" i="4"/>
  <c r="BJ458" i="4"/>
  <c r="BJ457" i="4"/>
  <c r="BJ456" i="4"/>
  <c r="BJ455" i="4"/>
  <c r="BJ454" i="4"/>
  <c r="BJ453" i="4"/>
  <c r="BJ452" i="4"/>
  <c r="BJ451" i="4"/>
  <c r="BJ450" i="4"/>
  <c r="BJ447" i="4"/>
  <c r="BJ446" i="4"/>
  <c r="BJ445" i="4"/>
  <c r="BJ444" i="4"/>
  <c r="BJ443" i="4"/>
  <c r="BJ442" i="4"/>
  <c r="BJ441" i="4"/>
  <c r="BJ440" i="4"/>
  <c r="BJ439" i="4"/>
  <c r="BJ438" i="4"/>
  <c r="BJ436" i="4"/>
  <c r="BJ435" i="4"/>
  <c r="BJ434" i="4"/>
  <c r="BJ433" i="4"/>
  <c r="BJ432" i="4"/>
  <c r="BJ431" i="4"/>
  <c r="BJ430" i="4"/>
  <c r="BJ428" i="4"/>
  <c r="BJ427" i="4"/>
  <c r="BJ426" i="4"/>
  <c r="BJ425" i="4"/>
  <c r="BJ424" i="4"/>
  <c r="BJ423" i="4"/>
  <c r="BJ422" i="4"/>
  <c r="BJ421" i="4"/>
  <c r="BJ420" i="4"/>
  <c r="BJ416" i="4"/>
  <c r="BJ415" i="4"/>
  <c r="BJ414" i="4"/>
  <c r="BJ413" i="4"/>
  <c r="BJ412" i="4"/>
  <c r="BJ411" i="4"/>
  <c r="BJ410" i="4"/>
  <c r="BJ409" i="4"/>
  <c r="BJ408" i="4"/>
  <c r="BJ407" i="4"/>
  <c r="BJ405" i="4"/>
  <c r="BJ404" i="4"/>
  <c r="BJ403" i="4"/>
  <c r="BJ402" i="4"/>
  <c r="BJ401" i="4"/>
  <c r="BJ400" i="4"/>
  <c r="BJ399" i="4"/>
  <c r="BJ398" i="4"/>
  <c r="BJ397" i="4"/>
  <c r="BJ396" i="4"/>
  <c r="BJ395" i="4"/>
  <c r="BJ394" i="4"/>
  <c r="BJ393" i="4"/>
  <c r="BJ392" i="4"/>
  <c r="BJ391" i="4"/>
  <c r="BJ390" i="4"/>
  <c r="BJ388" i="4"/>
  <c r="BJ387" i="4"/>
  <c r="BJ386" i="4"/>
  <c r="BJ385" i="4"/>
  <c r="BJ382" i="4"/>
  <c r="BJ378" i="4"/>
  <c r="BJ376" i="4"/>
  <c r="BJ374" i="4"/>
  <c r="BJ373" i="4"/>
  <c r="BJ372" i="4"/>
  <c r="BJ370" i="4"/>
  <c r="BJ368" i="4"/>
  <c r="BJ367" i="4"/>
  <c r="BJ366" i="4"/>
  <c r="BJ363" i="4"/>
  <c r="BJ362" i="4"/>
  <c r="BJ358" i="4"/>
  <c r="BJ357" i="4"/>
  <c r="BJ356" i="4"/>
  <c r="BJ355" i="4"/>
  <c r="BJ354" i="4"/>
  <c r="BJ353" i="4"/>
  <c r="BJ351" i="4"/>
  <c r="BJ350" i="4"/>
  <c r="BJ349" i="4"/>
  <c r="BJ345" i="4"/>
  <c r="BJ344" i="4"/>
  <c r="BJ343" i="4"/>
  <c r="BJ342" i="4"/>
  <c r="BJ341" i="4"/>
  <c r="BJ340" i="4"/>
  <c r="BJ339" i="4"/>
  <c r="BJ338" i="4"/>
  <c r="BJ337" i="4"/>
  <c r="BJ336" i="4"/>
  <c r="BJ334" i="4"/>
  <c r="BJ333" i="4"/>
  <c r="BJ332" i="4"/>
  <c r="BJ331" i="4"/>
  <c r="BJ330" i="4"/>
  <c r="BJ329" i="4"/>
  <c r="BJ328" i="4"/>
  <c r="BJ327" i="4"/>
  <c r="BJ326" i="4"/>
  <c r="BJ325" i="4"/>
  <c r="BJ324" i="4"/>
  <c r="BJ323" i="4"/>
  <c r="BJ322" i="4"/>
  <c r="BJ321" i="4"/>
  <c r="BJ320" i="4"/>
  <c r="BJ319" i="4"/>
  <c r="BJ318" i="4"/>
  <c r="BJ317" i="4"/>
  <c r="BJ316" i="4"/>
  <c r="BJ314" i="4"/>
  <c r="BJ313" i="4"/>
  <c r="BJ312" i="4"/>
  <c r="BJ310" i="4"/>
  <c r="BJ305" i="4"/>
  <c r="BJ304" i="4"/>
  <c r="BJ303" i="4"/>
  <c r="BJ302" i="4"/>
  <c r="BJ301" i="4"/>
  <c r="BJ299" i="4"/>
  <c r="BJ297" i="4"/>
  <c r="BJ296" i="4"/>
  <c r="BJ293" i="4"/>
  <c r="BJ290" i="4"/>
  <c r="BJ288" i="4"/>
  <c r="BJ287" i="4"/>
  <c r="BJ286" i="4"/>
  <c r="BJ285" i="4"/>
  <c r="BJ284" i="4"/>
  <c r="BJ283" i="4"/>
  <c r="BJ278" i="4"/>
  <c r="BJ277" i="4"/>
  <c r="BJ276" i="4"/>
  <c r="BJ275" i="4"/>
  <c r="BJ274" i="4"/>
  <c r="BJ272" i="4"/>
  <c r="BJ270" i="4"/>
  <c r="BJ269" i="4"/>
  <c r="BJ268" i="4"/>
  <c r="BJ267" i="4"/>
  <c r="BJ266" i="4"/>
  <c r="BJ265" i="4"/>
  <c r="BJ263" i="4"/>
  <c r="BJ262" i="4"/>
  <c r="BJ260" i="4"/>
  <c r="BJ258" i="4"/>
  <c r="BJ257" i="4"/>
  <c r="BJ256" i="4"/>
  <c r="BJ255" i="4"/>
  <c r="BJ254" i="4"/>
  <c r="BJ249" i="4"/>
  <c r="BJ248" i="4"/>
  <c r="BJ247" i="4"/>
  <c r="BJ246" i="4"/>
  <c r="BJ245" i="4"/>
  <c r="BJ243" i="4"/>
  <c r="BJ242" i="4"/>
  <c r="BJ241" i="4"/>
  <c r="BJ240" i="4"/>
  <c r="BJ239" i="4"/>
  <c r="BJ238" i="4"/>
  <c r="BJ237" i="4"/>
  <c r="BJ236" i="4"/>
  <c r="BJ235" i="4"/>
  <c r="BJ231" i="4"/>
  <c r="BJ230" i="4"/>
  <c r="BJ229" i="4"/>
  <c r="BJ227" i="4"/>
  <c r="BJ226" i="4"/>
  <c r="BJ225" i="4"/>
  <c r="BJ223" i="4"/>
  <c r="BJ222" i="4"/>
  <c r="BJ221" i="4"/>
  <c r="BJ219" i="4"/>
  <c r="BJ218" i="4"/>
  <c r="BJ217" i="4"/>
  <c r="BJ216" i="4"/>
  <c r="BJ215" i="4"/>
  <c r="BJ210" i="4"/>
  <c r="BJ208" i="4"/>
  <c r="BJ207" i="4"/>
  <c r="BJ206" i="4"/>
  <c r="BJ201" i="4"/>
  <c r="BH498" i="4"/>
  <c r="BH497" i="4"/>
  <c r="BH496" i="4"/>
  <c r="BH495" i="4"/>
  <c r="BH494" i="4"/>
  <c r="BH493" i="4"/>
  <c r="BH491" i="4"/>
  <c r="BH490" i="4"/>
  <c r="BH488" i="4"/>
  <c r="BH487" i="4"/>
  <c r="BH484" i="4"/>
  <c r="BH483" i="4"/>
  <c r="BH482" i="4"/>
  <c r="BH481" i="4"/>
  <c r="BH480" i="4"/>
  <c r="BH479" i="4"/>
  <c r="BH478" i="4"/>
  <c r="BH477" i="4"/>
  <c r="BH476" i="4"/>
  <c r="BH475" i="4"/>
  <c r="BH474" i="4"/>
  <c r="BH473" i="4"/>
  <c r="BH472" i="4"/>
  <c r="BH471" i="4"/>
  <c r="BH470" i="4"/>
  <c r="BH469" i="4"/>
  <c r="BH468" i="4"/>
  <c r="BH467" i="4"/>
  <c r="BH466" i="4"/>
  <c r="BH462" i="4"/>
  <c r="BH460" i="4"/>
  <c r="BH459" i="4"/>
  <c r="BH458" i="4"/>
  <c r="BH457" i="4"/>
  <c r="BH456" i="4"/>
  <c r="BH455" i="4"/>
  <c r="BH454" i="4"/>
  <c r="BH453" i="4"/>
  <c r="BH452" i="4"/>
  <c r="BH451" i="4"/>
  <c r="BH447" i="4"/>
  <c r="BH446" i="4"/>
  <c r="BH445" i="4"/>
  <c r="BH444" i="4"/>
  <c r="BH443" i="4"/>
  <c r="BH442" i="4"/>
  <c r="BH441" i="4"/>
  <c r="BH440" i="4"/>
  <c r="BH439" i="4"/>
  <c r="BH438" i="4"/>
  <c r="BH436" i="4"/>
  <c r="BH435" i="4"/>
  <c r="BH434" i="4"/>
  <c r="BH431" i="4"/>
  <c r="BH430" i="4"/>
  <c r="BH428" i="4"/>
  <c r="BH427" i="4"/>
  <c r="BH426" i="4"/>
  <c r="BH424" i="4"/>
  <c r="BH423" i="4"/>
  <c r="BH422" i="4"/>
  <c r="BH416" i="4"/>
  <c r="BH415" i="4"/>
  <c r="BH414" i="4"/>
  <c r="BH413" i="4"/>
  <c r="BH412" i="4"/>
  <c r="BH411" i="4"/>
  <c r="BH410" i="4"/>
  <c r="BH405" i="4"/>
  <c r="BH404" i="4"/>
  <c r="BH403" i="4"/>
  <c r="BH402" i="4"/>
  <c r="BH401" i="4"/>
  <c r="BH400" i="4"/>
  <c r="BH399" i="4"/>
  <c r="BH398" i="4"/>
  <c r="BH397" i="4"/>
  <c r="BH396" i="4"/>
  <c r="BH395" i="4"/>
  <c r="BH394" i="4"/>
  <c r="BH393" i="4"/>
  <c r="BH390" i="4"/>
  <c r="BH388" i="4"/>
  <c r="BH387" i="4"/>
  <c r="BH382" i="4"/>
  <c r="BH378" i="4"/>
  <c r="BH376" i="4"/>
  <c r="BH374" i="4"/>
  <c r="BH373" i="4"/>
  <c r="BH372" i="4"/>
  <c r="BH370" i="4"/>
  <c r="BH368" i="4"/>
  <c r="BH367" i="4"/>
  <c r="BH366" i="4"/>
  <c r="BH363" i="4"/>
  <c r="BH362" i="4"/>
  <c r="BH358" i="4"/>
  <c r="BH357" i="4"/>
  <c r="BH356" i="4"/>
  <c r="BH355" i="4"/>
  <c r="BH354" i="4"/>
  <c r="BH353" i="4"/>
  <c r="BH351" i="4"/>
  <c r="BH350" i="4"/>
  <c r="BH345" i="4"/>
  <c r="BH344" i="4"/>
  <c r="BH343" i="4"/>
  <c r="BH342" i="4"/>
  <c r="BH341" i="4"/>
  <c r="BH338" i="4"/>
  <c r="BH337" i="4"/>
  <c r="BH336" i="4"/>
  <c r="BH333" i="4"/>
  <c r="BH332" i="4"/>
  <c r="BH331" i="4"/>
  <c r="BH330" i="4"/>
  <c r="BH329" i="4"/>
  <c r="BH328" i="4"/>
  <c r="BH327" i="4"/>
  <c r="BH326" i="4"/>
  <c r="BH322" i="4"/>
  <c r="BH321" i="4"/>
  <c r="BH320" i="4"/>
  <c r="BH319" i="4"/>
  <c r="BH318" i="4"/>
  <c r="BH317" i="4"/>
  <c r="BH316" i="4"/>
  <c r="BH314" i="4"/>
  <c r="BH312" i="4"/>
  <c r="BH310" i="4"/>
  <c r="BH305" i="4"/>
  <c r="BH293" i="4"/>
  <c r="BH290" i="4"/>
  <c r="BH288" i="4"/>
  <c r="BH287" i="4"/>
  <c r="BH278" i="4"/>
  <c r="BH277" i="4"/>
  <c r="BH274" i="4"/>
  <c r="BH270" i="4"/>
  <c r="BH266" i="4"/>
  <c r="BH263" i="4"/>
  <c r="BH262" i="4"/>
  <c r="BH257" i="4"/>
  <c r="BH255" i="4"/>
  <c r="BH254" i="4"/>
  <c r="BH249" i="4"/>
  <c r="BH247" i="4"/>
  <c r="BH246" i="4"/>
  <c r="BH243" i="4"/>
  <c r="BH242" i="4"/>
  <c r="BH241" i="4"/>
  <c r="BH238" i="4"/>
  <c r="BH237" i="4"/>
  <c r="BH229" i="4"/>
  <c r="BH223" i="4"/>
  <c r="BH222" i="4"/>
  <c r="BH221" i="4"/>
  <c r="BH218" i="4"/>
  <c r="BH216" i="4"/>
  <c r="BH215" i="4"/>
  <c r="BH210" i="4"/>
  <c r="BH201" i="4"/>
  <c r="BF497" i="4"/>
  <c r="BF496" i="4"/>
  <c r="BF495" i="4"/>
  <c r="BF494" i="4"/>
  <c r="BF493" i="4"/>
  <c r="BF491" i="4"/>
  <c r="BF490" i="4"/>
  <c r="BF488" i="4"/>
  <c r="BF487" i="4"/>
  <c r="BF484" i="4"/>
  <c r="BF479" i="4"/>
  <c r="BF478" i="4"/>
  <c r="BF477" i="4"/>
  <c r="BF476" i="4"/>
  <c r="BF475" i="4"/>
  <c r="BF474" i="4"/>
  <c r="BF473" i="4"/>
  <c r="BF472" i="4"/>
  <c r="BF471" i="4"/>
  <c r="BF470" i="4"/>
  <c r="BF469" i="4"/>
  <c r="BF468" i="4"/>
  <c r="BF467" i="4"/>
  <c r="BF462" i="4"/>
  <c r="BF460" i="4"/>
  <c r="BF459" i="4"/>
  <c r="BF458" i="4"/>
  <c r="BF457" i="4"/>
  <c r="BF456" i="4"/>
  <c r="BF455" i="4"/>
  <c r="BF454" i="4"/>
  <c r="BF453" i="4"/>
  <c r="BF452" i="4"/>
  <c r="BF451" i="4"/>
  <c r="BF447" i="4"/>
  <c r="BF446" i="4"/>
  <c r="BF445" i="4"/>
  <c r="BF444" i="4"/>
  <c r="BF443" i="4"/>
  <c r="BF442" i="4"/>
  <c r="BF441" i="4"/>
  <c r="BF440" i="4"/>
  <c r="BF439" i="4"/>
  <c r="BF438" i="4"/>
  <c r="BF436" i="4"/>
  <c r="BF431" i="4"/>
  <c r="BF430" i="4"/>
  <c r="BF428" i="4"/>
  <c r="BF424" i="4"/>
  <c r="BF423" i="4"/>
  <c r="BF422" i="4"/>
  <c r="BF416" i="4"/>
  <c r="BF415" i="4"/>
  <c r="BF414" i="4"/>
  <c r="BF405" i="4"/>
  <c r="BF404" i="4"/>
  <c r="BF403" i="4"/>
  <c r="BF402" i="4"/>
  <c r="BF401" i="4"/>
  <c r="BF400" i="4"/>
  <c r="BF399" i="4"/>
  <c r="BF398" i="4"/>
  <c r="BF397" i="4"/>
  <c r="BF396" i="4"/>
  <c r="BF395" i="4"/>
  <c r="BF394" i="4"/>
  <c r="BF388" i="4"/>
  <c r="BF382" i="4"/>
  <c r="BF378" i="4"/>
  <c r="BF376" i="4"/>
  <c r="BF373" i="4"/>
  <c r="BF372" i="4"/>
  <c r="BF370" i="4"/>
  <c r="BF363" i="4"/>
  <c r="BF358" i="4"/>
  <c r="BF356" i="4"/>
  <c r="BF355" i="4"/>
  <c r="BF354" i="4"/>
  <c r="BF353" i="4"/>
  <c r="BF351" i="4"/>
  <c r="BF350" i="4"/>
  <c r="BF345" i="4"/>
  <c r="BF343" i="4"/>
  <c r="BF342" i="4"/>
  <c r="BF341" i="4"/>
  <c r="BF338" i="4"/>
  <c r="BF337" i="4"/>
  <c r="BF336" i="4"/>
  <c r="BF333" i="4"/>
  <c r="BF332" i="4"/>
  <c r="BF331" i="4"/>
  <c r="BF329" i="4"/>
  <c r="BF328" i="4"/>
  <c r="BF322" i="4"/>
  <c r="BF321" i="4"/>
  <c r="BF320" i="4"/>
  <c r="BF319" i="4"/>
  <c r="BF314" i="4"/>
  <c r="BF312" i="4"/>
  <c r="BF310" i="4"/>
  <c r="BF305" i="4"/>
  <c r="BF293" i="4"/>
  <c r="BF290" i="4"/>
  <c r="BF288" i="4"/>
  <c r="BF287" i="4"/>
  <c r="BF278" i="4"/>
  <c r="BF277" i="4"/>
  <c r="BF274" i="4"/>
  <c r="BF266" i="4"/>
  <c r="BF257" i="4"/>
  <c r="BF255" i="4"/>
  <c r="BF254" i="4"/>
  <c r="BF249" i="4"/>
  <c r="BF243" i="4"/>
  <c r="BF242" i="4"/>
  <c r="BF238" i="4"/>
  <c r="BF229" i="4"/>
  <c r="BF215" i="4"/>
  <c r="BF210" i="4"/>
  <c r="BF201" i="4"/>
  <c r="BD497" i="4"/>
  <c r="BD496" i="4"/>
  <c r="BD495" i="4"/>
  <c r="BD494" i="4"/>
  <c r="BD491" i="4"/>
  <c r="BD490" i="4"/>
  <c r="BD474" i="4"/>
  <c r="BD473" i="4"/>
  <c r="BD472" i="4"/>
  <c r="BD471" i="4"/>
  <c r="BD470" i="4"/>
  <c r="BD469" i="4"/>
  <c r="BD462" i="4"/>
  <c r="BD459" i="4"/>
  <c r="BD458" i="4"/>
  <c r="BD457" i="4"/>
  <c r="BD447" i="4"/>
  <c r="BD446" i="4"/>
  <c r="BD445" i="4"/>
  <c r="BD444" i="4"/>
  <c r="BD442" i="4"/>
  <c r="BD441" i="4"/>
  <c r="BD440" i="4"/>
  <c r="BD439" i="4"/>
  <c r="BD438" i="4"/>
  <c r="BD424" i="4"/>
  <c r="BD416" i="4"/>
  <c r="BD415" i="4"/>
  <c r="BD414" i="4"/>
  <c r="BD405" i="4"/>
  <c r="BD404" i="4"/>
  <c r="BD403" i="4"/>
  <c r="BD402" i="4"/>
  <c r="BD398" i="4"/>
  <c r="BD397" i="4"/>
  <c r="BD396" i="4"/>
  <c r="BD382" i="4"/>
  <c r="BD378" i="4"/>
  <c r="BD372" i="4"/>
  <c r="BD370" i="4"/>
  <c r="BD358" i="4"/>
  <c r="BD356" i="4"/>
  <c r="BD354" i="4"/>
  <c r="BD353" i="4"/>
  <c r="BD342" i="4"/>
  <c r="BD341" i="4"/>
  <c r="BD338" i="4"/>
  <c r="BD337" i="4"/>
  <c r="BD333" i="4"/>
  <c r="BD328" i="4"/>
  <c r="BD322" i="4"/>
  <c r="BD321" i="4"/>
  <c r="BD305" i="4"/>
  <c r="BD293" i="4"/>
  <c r="BD290" i="4"/>
  <c r="BD274" i="4"/>
  <c r="BD266" i="4"/>
  <c r="BD257" i="4"/>
  <c r="BD255" i="4"/>
  <c r="BD254" i="4"/>
  <c r="BD243" i="4"/>
  <c r="BD242" i="4"/>
  <c r="BD229" i="4"/>
  <c r="BB497" i="4"/>
  <c r="BB495" i="4"/>
  <c r="BB491" i="4"/>
  <c r="BB490" i="4"/>
  <c r="BB473" i="4"/>
  <c r="BB471" i="4"/>
  <c r="BB470" i="4"/>
  <c r="BB469" i="4"/>
  <c r="BB459" i="4"/>
  <c r="BB458" i="4"/>
  <c r="BB457" i="4"/>
  <c r="BB447" i="4"/>
  <c r="BB444" i="4"/>
  <c r="BB442" i="4"/>
  <c r="BB441" i="4"/>
  <c r="BB424" i="4"/>
  <c r="BB416" i="4"/>
  <c r="BB415" i="4"/>
  <c r="BB414" i="4"/>
  <c r="BB405" i="4"/>
  <c r="BB404" i="4"/>
  <c r="BB403" i="4"/>
  <c r="BB402" i="4"/>
  <c r="BB398" i="4"/>
  <c r="BB397" i="4"/>
  <c r="BB358" i="4"/>
  <c r="BB342" i="4"/>
  <c r="BB341" i="4"/>
  <c r="BB340" i="4"/>
  <c r="BB322" i="4"/>
  <c r="BB293" i="4"/>
  <c r="BB254" i="4"/>
  <c r="AZ497" i="4"/>
  <c r="AZ495" i="4"/>
  <c r="AZ491" i="4"/>
  <c r="AZ490" i="4"/>
  <c r="AZ473" i="4"/>
  <c r="AZ471" i="4"/>
  <c r="AZ442" i="4"/>
  <c r="AZ441" i="4"/>
  <c r="AZ424" i="4"/>
  <c r="AZ416" i="4"/>
  <c r="AZ405" i="4"/>
  <c r="AZ404" i="4"/>
  <c r="AZ403" i="4"/>
  <c r="AZ402" i="4"/>
  <c r="AZ342" i="4"/>
  <c r="AZ341" i="4"/>
  <c r="AZ340" i="4"/>
  <c r="AZ322" i="4"/>
  <c r="AX497" i="4"/>
  <c r="AX491" i="4"/>
  <c r="AX490" i="4"/>
  <c r="AX473" i="4"/>
  <c r="AX471" i="4"/>
  <c r="AX424" i="4"/>
  <c r="AX416" i="4"/>
  <c r="AX405" i="4"/>
  <c r="AX404" i="4"/>
  <c r="AV497" i="4"/>
  <c r="AV491" i="4"/>
  <c r="AV490" i="4"/>
  <c r="AV473" i="4"/>
  <c r="AV471" i="4"/>
  <c r="AV424" i="4"/>
  <c r="AV416" i="4"/>
  <c r="AT497" i="4"/>
  <c r="AT495" i="4"/>
  <c r="AT491" i="4"/>
  <c r="AT490" i="4"/>
  <c r="AT473" i="4"/>
  <c r="AT471" i="4"/>
  <c r="AT442" i="4"/>
  <c r="AT441" i="4"/>
  <c r="AT424" i="4"/>
  <c r="AT416" i="4"/>
  <c r="AT405" i="4"/>
  <c r="AT404" i="4"/>
  <c r="AT403" i="4"/>
  <c r="AT402" i="4"/>
  <c r="AT398" i="4"/>
  <c r="AT358" i="4"/>
  <c r="AT342" i="4"/>
  <c r="AT341" i="4"/>
  <c r="AT340" i="4"/>
  <c r="AT322" i="4"/>
  <c r="AR497" i="4"/>
  <c r="AR491" i="4"/>
  <c r="AR490" i="4"/>
  <c r="AR471" i="4"/>
  <c r="AR424" i="4"/>
  <c r="AR416" i="4"/>
  <c r="AP497" i="4"/>
  <c r="AP491" i="4"/>
  <c r="AP490" i="4"/>
  <c r="AP471" i="4"/>
  <c r="AP424" i="4"/>
  <c r="AP416" i="4"/>
  <c r="AJ498" i="4"/>
  <c r="AJ497" i="4"/>
  <c r="AJ496" i="4"/>
  <c r="AJ495" i="4"/>
  <c r="AJ494" i="4"/>
  <c r="AJ493" i="4"/>
  <c r="AJ492" i="4"/>
  <c r="AJ491" i="4"/>
  <c r="AJ490" i="4"/>
  <c r="AJ489" i="4"/>
  <c r="AJ488" i="4"/>
  <c r="AJ487" i="4"/>
  <c r="AJ486" i="4"/>
  <c r="AJ485" i="4"/>
  <c r="AJ484" i="4"/>
  <c r="AJ483" i="4"/>
  <c r="AJ482" i="4"/>
  <c r="AJ481" i="4"/>
  <c r="AJ480" i="4"/>
  <c r="AJ479" i="4"/>
  <c r="AJ478" i="4"/>
  <c r="AJ477" i="4"/>
  <c r="AJ476" i="4"/>
  <c r="AJ475" i="4"/>
  <c r="AJ474" i="4"/>
  <c r="AJ473" i="4"/>
  <c r="AJ472" i="4"/>
  <c r="AJ471" i="4"/>
  <c r="AJ470" i="4"/>
  <c r="AJ469" i="4"/>
  <c r="AJ468" i="4"/>
  <c r="AJ467" i="4"/>
  <c r="AJ466" i="4"/>
  <c r="AJ465" i="4"/>
  <c r="AJ464" i="4"/>
  <c r="AJ463" i="4"/>
  <c r="AJ462" i="4"/>
  <c r="AJ461" i="4"/>
  <c r="AJ460" i="4"/>
  <c r="AJ459" i="4"/>
  <c r="AJ458" i="4"/>
  <c r="AJ457" i="4"/>
  <c r="AJ456" i="4"/>
  <c r="AJ455" i="4"/>
  <c r="AJ454" i="4"/>
  <c r="AJ453" i="4"/>
  <c r="AJ452" i="4"/>
  <c r="AJ451" i="4"/>
  <c r="AJ450" i="4"/>
  <c r="AJ449" i="4"/>
  <c r="AJ448" i="4"/>
  <c r="AJ447" i="4"/>
  <c r="AJ446" i="4"/>
  <c r="AJ445" i="4"/>
  <c r="AJ444" i="4"/>
  <c r="AJ443" i="4"/>
  <c r="AJ442" i="4"/>
  <c r="AJ441" i="4"/>
  <c r="AJ440" i="4"/>
  <c r="AJ439" i="4"/>
  <c r="AJ438" i="4"/>
  <c r="AJ437" i="4"/>
  <c r="AJ436" i="4"/>
  <c r="AJ435" i="4"/>
  <c r="AJ434" i="4"/>
  <c r="AJ433" i="4"/>
  <c r="AJ432" i="4"/>
  <c r="AJ431" i="4"/>
  <c r="AJ430" i="4"/>
  <c r="AJ429" i="4"/>
  <c r="AJ428" i="4"/>
  <c r="AJ427" i="4"/>
  <c r="AJ426" i="4"/>
  <c r="AJ425" i="4"/>
  <c r="AJ424" i="4"/>
  <c r="AJ423" i="4"/>
  <c r="AJ422" i="4"/>
  <c r="AJ421" i="4"/>
  <c r="AJ420" i="4"/>
  <c r="AJ419" i="4"/>
  <c r="AJ418" i="4"/>
  <c r="AJ417" i="4"/>
  <c r="AJ416" i="4"/>
  <c r="AJ415" i="4"/>
  <c r="AJ414" i="4"/>
  <c r="AJ413" i="4"/>
  <c r="AJ412" i="4"/>
  <c r="AJ411" i="4"/>
  <c r="AJ410" i="4"/>
  <c r="AJ409" i="4"/>
  <c r="AJ408" i="4"/>
  <c r="AJ407" i="4"/>
  <c r="AJ406" i="4"/>
  <c r="AJ405" i="4"/>
  <c r="AJ404" i="4"/>
  <c r="AJ403" i="4"/>
  <c r="AJ402" i="4"/>
  <c r="AJ401" i="4"/>
  <c r="AJ400" i="4"/>
  <c r="AJ399" i="4"/>
  <c r="AJ398" i="4"/>
  <c r="AJ397" i="4"/>
  <c r="AJ396" i="4"/>
  <c r="AJ395" i="4"/>
  <c r="AJ394" i="4"/>
  <c r="AJ393" i="4"/>
  <c r="AJ392" i="4"/>
  <c r="AJ391" i="4"/>
  <c r="AJ390" i="4"/>
  <c r="AJ389" i="4"/>
  <c r="AJ388" i="4"/>
  <c r="AJ387" i="4"/>
  <c r="AJ386" i="4"/>
  <c r="AJ385" i="4"/>
  <c r="AJ384" i="4"/>
  <c r="AJ383" i="4"/>
  <c r="AJ382" i="4"/>
  <c r="AJ381" i="4"/>
  <c r="AJ380" i="4"/>
  <c r="AJ379" i="4"/>
  <c r="AJ378" i="4"/>
  <c r="AJ377" i="4"/>
  <c r="AJ376" i="4"/>
  <c r="AJ375" i="4"/>
  <c r="AJ374" i="4"/>
  <c r="AJ373" i="4"/>
  <c r="AJ372" i="4"/>
  <c r="AJ371" i="4"/>
  <c r="AJ370" i="4"/>
  <c r="AJ369" i="4"/>
  <c r="AJ368" i="4"/>
  <c r="AJ367" i="4"/>
  <c r="AJ366" i="4"/>
  <c r="AJ365" i="4"/>
  <c r="AJ364" i="4"/>
  <c r="AJ363" i="4"/>
  <c r="AJ362" i="4"/>
  <c r="AJ361" i="4"/>
  <c r="AJ360" i="4"/>
  <c r="AJ359" i="4"/>
  <c r="AJ358" i="4"/>
  <c r="AJ357" i="4"/>
  <c r="AJ356" i="4"/>
  <c r="AJ355" i="4"/>
  <c r="AJ354" i="4"/>
  <c r="AJ353" i="4"/>
  <c r="AJ352" i="4"/>
  <c r="AJ351" i="4"/>
  <c r="AJ350" i="4"/>
  <c r="AJ349" i="4"/>
  <c r="AJ348" i="4"/>
  <c r="AJ347" i="4"/>
  <c r="AJ346" i="4"/>
  <c r="AJ345" i="4"/>
  <c r="AJ344" i="4"/>
  <c r="AJ343" i="4"/>
  <c r="AJ342" i="4"/>
  <c r="AJ341" i="4"/>
  <c r="AJ340" i="4"/>
  <c r="AJ339" i="4"/>
  <c r="AJ338" i="4"/>
  <c r="AJ337" i="4"/>
  <c r="AJ336" i="4"/>
  <c r="AJ335" i="4"/>
  <c r="AJ334" i="4"/>
  <c r="AJ333" i="4"/>
  <c r="AJ332" i="4"/>
  <c r="AJ331" i="4"/>
  <c r="AJ330" i="4"/>
  <c r="AJ329" i="4"/>
  <c r="AJ328" i="4"/>
  <c r="AJ327" i="4"/>
  <c r="AJ326" i="4"/>
  <c r="AJ325" i="4"/>
  <c r="AJ324" i="4"/>
  <c r="AJ323" i="4"/>
  <c r="AJ322" i="4"/>
  <c r="AJ321" i="4"/>
  <c r="AJ320" i="4"/>
  <c r="AJ319" i="4"/>
  <c r="AJ318" i="4"/>
  <c r="AJ317" i="4"/>
  <c r="AJ316" i="4"/>
  <c r="AJ315" i="4"/>
  <c r="AJ314" i="4"/>
  <c r="AJ313" i="4"/>
  <c r="AJ312" i="4"/>
  <c r="AJ311" i="4"/>
  <c r="AJ310" i="4"/>
  <c r="AJ309" i="4"/>
  <c r="AJ308" i="4"/>
  <c r="AJ307" i="4"/>
  <c r="AJ306" i="4"/>
  <c r="AJ305" i="4"/>
  <c r="AJ304" i="4"/>
  <c r="AJ303" i="4"/>
  <c r="AJ302" i="4"/>
  <c r="AJ301" i="4"/>
  <c r="AJ300" i="4"/>
  <c r="AJ299" i="4"/>
  <c r="AJ298" i="4"/>
  <c r="AJ297" i="4"/>
  <c r="AJ296" i="4"/>
  <c r="AJ295" i="4"/>
  <c r="AJ294" i="4"/>
  <c r="AJ293" i="4"/>
  <c r="AJ292" i="4"/>
  <c r="AJ291" i="4"/>
  <c r="AJ290" i="4"/>
  <c r="AJ289" i="4"/>
  <c r="AJ288" i="4"/>
  <c r="AJ287" i="4"/>
  <c r="AJ286" i="4"/>
  <c r="AJ285" i="4"/>
  <c r="AJ284" i="4"/>
  <c r="AJ283" i="4"/>
  <c r="AJ282" i="4"/>
  <c r="AJ281" i="4"/>
  <c r="AJ280" i="4"/>
  <c r="AJ279" i="4"/>
  <c r="AJ278" i="4"/>
  <c r="AJ277" i="4"/>
  <c r="AJ276" i="4"/>
  <c r="AJ275" i="4"/>
  <c r="AJ274" i="4"/>
  <c r="AJ273" i="4"/>
  <c r="AJ272" i="4"/>
  <c r="AJ271" i="4"/>
  <c r="AJ270" i="4"/>
  <c r="AJ269" i="4"/>
  <c r="AJ268" i="4"/>
  <c r="AJ267" i="4"/>
  <c r="AJ266" i="4"/>
  <c r="AJ265" i="4"/>
  <c r="AJ264" i="4"/>
  <c r="AJ263" i="4"/>
  <c r="AJ262" i="4"/>
  <c r="AJ261" i="4"/>
  <c r="AJ260" i="4"/>
  <c r="AJ259" i="4"/>
  <c r="AJ258" i="4"/>
  <c r="AJ257" i="4"/>
  <c r="AJ256" i="4"/>
  <c r="AJ255" i="4"/>
  <c r="AJ254" i="4"/>
  <c r="AJ253" i="4"/>
  <c r="AJ252" i="4"/>
  <c r="AJ251" i="4"/>
  <c r="AJ250" i="4"/>
  <c r="AJ249" i="4"/>
  <c r="AJ248" i="4"/>
  <c r="AJ247" i="4"/>
  <c r="AJ246" i="4"/>
  <c r="AJ245" i="4"/>
  <c r="AJ244" i="4"/>
  <c r="AJ243" i="4"/>
  <c r="AJ242" i="4"/>
  <c r="AJ241" i="4"/>
  <c r="AJ240" i="4"/>
  <c r="AJ239" i="4"/>
  <c r="AJ238" i="4"/>
  <c r="AJ237" i="4"/>
  <c r="AJ236" i="4"/>
  <c r="AJ235" i="4"/>
  <c r="AJ234" i="4"/>
  <c r="AJ233" i="4"/>
  <c r="AJ232" i="4"/>
  <c r="AJ231" i="4"/>
  <c r="AJ230" i="4"/>
  <c r="AJ229" i="4"/>
  <c r="AJ228" i="4"/>
  <c r="AJ227" i="4"/>
  <c r="AJ226" i="4"/>
  <c r="AJ225" i="4"/>
  <c r="AJ224" i="4"/>
  <c r="AJ223" i="4"/>
  <c r="AJ222" i="4"/>
  <c r="AJ221" i="4"/>
  <c r="AJ220" i="4"/>
  <c r="AJ219" i="4"/>
  <c r="AJ218" i="4"/>
  <c r="AJ217" i="4"/>
  <c r="AJ216" i="4"/>
  <c r="AJ215" i="4"/>
  <c r="AJ214" i="4"/>
  <c r="AJ213" i="4"/>
  <c r="AJ212" i="4"/>
  <c r="AJ211" i="4"/>
  <c r="AJ210" i="4"/>
  <c r="AJ209" i="4"/>
  <c r="AJ208" i="4"/>
  <c r="AJ207" i="4"/>
  <c r="AJ206" i="4"/>
  <c r="AJ205" i="4"/>
  <c r="AJ204" i="4"/>
  <c r="AJ203" i="4"/>
  <c r="AJ202" i="4"/>
  <c r="AJ201" i="4"/>
  <c r="F4" i="22"/>
  <c r="C5" i="20"/>
  <c r="B9" i="23"/>
  <c r="E4" i="22"/>
  <c r="C2" i="4"/>
  <c r="C3" i="20"/>
  <c r="AL8" i="4"/>
  <c r="AC8" i="4"/>
  <c r="AM8" i="4"/>
  <c r="BC8" i="4"/>
  <c r="BP8" i="4"/>
  <c r="BX8" i="4"/>
  <c r="AE8" i="4"/>
  <c r="AO8" i="4"/>
  <c r="BE8" i="4"/>
  <c r="BQ8" i="4"/>
  <c r="BY8" i="4"/>
  <c r="BO8" i="4"/>
  <c r="AQ8" i="4"/>
  <c r="BR8" i="4"/>
  <c r="BZ8" i="4"/>
  <c r="AG8" i="4"/>
  <c r="AS8" i="4"/>
  <c r="BI8" i="4"/>
  <c r="BS8" i="4"/>
  <c r="CA8" i="4"/>
  <c r="AF8" i="4"/>
  <c r="BG8" i="4"/>
  <c r="AH8" i="4"/>
  <c r="AU8" i="4"/>
  <c r="BK8" i="4"/>
  <c r="BT8" i="4"/>
  <c r="CB8" i="4"/>
  <c r="BA8" i="4"/>
  <c r="AW8" i="4"/>
  <c r="BU8" i="4"/>
  <c r="CC8" i="4"/>
  <c r="AI8" i="4"/>
  <c r="BM8" i="4"/>
  <c r="AK8" i="4"/>
  <c r="AY8" i="4"/>
  <c r="BN8" i="4"/>
  <c r="BV8" i="4"/>
  <c r="CD8" i="4"/>
  <c r="BW8" i="4"/>
  <c r="CE8" i="4"/>
  <c r="C4" i="20" l="1"/>
  <c r="V14" i="20"/>
  <c r="D14" i="20"/>
  <c r="Y14" i="20"/>
  <c r="R14" i="20"/>
  <c r="AS6" i="4"/>
  <c r="AO6" i="4"/>
  <c r="L14" i="20"/>
  <c r="BA6" i="4"/>
  <c r="BK6" i="4"/>
  <c r="BG6" i="4"/>
  <c r="AU6" i="4"/>
  <c r="BC6" i="4"/>
  <c r="Q14" i="20"/>
  <c r="BE6" i="4"/>
  <c r="S14" i="20"/>
  <c r="O14" i="20"/>
  <c r="AW6" i="4"/>
  <c r="AQ6" i="4"/>
  <c r="T14" i="20"/>
  <c r="B9" i="21"/>
  <c r="G14" i="20"/>
  <c r="E14" i="20"/>
  <c r="F14" i="20"/>
  <c r="AY6" i="4"/>
  <c r="P14" i="20"/>
  <c r="AB14" i="20"/>
  <c r="U14" i="20"/>
  <c r="N14" i="20"/>
  <c r="BI6" i="4"/>
  <c r="B8" i="4"/>
  <c r="M14" i="20"/>
  <c r="B14" i="20"/>
  <c r="AZ500" i="4" l="1"/>
  <c r="AZ499" i="4"/>
  <c r="AZ501" i="4"/>
  <c r="AZ504" i="4"/>
  <c r="AZ503" i="4"/>
  <c r="AR504" i="4"/>
  <c r="AR503" i="4"/>
  <c r="AR502" i="4"/>
  <c r="AR501" i="4"/>
  <c r="AR500" i="4"/>
  <c r="AR499" i="4"/>
  <c r="AX499" i="4"/>
  <c r="AX500" i="4"/>
  <c r="AX504" i="4"/>
  <c r="AX503" i="4"/>
  <c r="AX502" i="4"/>
  <c r="AX501" i="4"/>
  <c r="BF499" i="4"/>
  <c r="BD500" i="4"/>
  <c r="BD499" i="4"/>
  <c r="BD503" i="4"/>
  <c r="BD504" i="4"/>
  <c r="AV504" i="4"/>
  <c r="AV503" i="4"/>
  <c r="AV499" i="4"/>
  <c r="AV502" i="4"/>
  <c r="AV501" i="4"/>
  <c r="AV500" i="4"/>
  <c r="BH499" i="4"/>
  <c r="BB500" i="4"/>
  <c r="BB499" i="4"/>
  <c r="BB504" i="4"/>
  <c r="BB503" i="4"/>
  <c r="AP503" i="4"/>
  <c r="AP504" i="4"/>
  <c r="AP502" i="4"/>
  <c r="AP501" i="4"/>
  <c r="AP500" i="4"/>
  <c r="AP499" i="4"/>
  <c r="AT504" i="4"/>
  <c r="AT503" i="4"/>
  <c r="AT501" i="4"/>
  <c r="AT500" i="4"/>
  <c r="AT499" i="4"/>
  <c r="BF485" i="4"/>
  <c r="BF461" i="4"/>
  <c r="BF437" i="4"/>
  <c r="BF429" i="4"/>
  <c r="BF421" i="4"/>
  <c r="BF413" i="4"/>
  <c r="BF374" i="4"/>
  <c r="BF366" i="4"/>
  <c r="BF313" i="4"/>
  <c r="BF300" i="4"/>
  <c r="BF264" i="4"/>
  <c r="BF235" i="4"/>
  <c r="BF492" i="4"/>
  <c r="BF420" i="4"/>
  <c r="BF412" i="4"/>
  <c r="BF385" i="4"/>
  <c r="BF365" i="4"/>
  <c r="BF352" i="4"/>
  <c r="BF340" i="4"/>
  <c r="BF263" i="4"/>
  <c r="BF247" i="4"/>
  <c r="BF234" i="4"/>
  <c r="BF483" i="4"/>
  <c r="BF435" i="4"/>
  <c r="BF427" i="4"/>
  <c r="BF419" i="4"/>
  <c r="BF411" i="4"/>
  <c r="BF383" i="4"/>
  <c r="BF364" i="4"/>
  <c r="BF311" i="4"/>
  <c r="BF262" i="4"/>
  <c r="BF246" i="4"/>
  <c r="BF498" i="4"/>
  <c r="BF482" i="4"/>
  <c r="BF466" i="4"/>
  <c r="BF450" i="4"/>
  <c r="BF434" i="4"/>
  <c r="BF426" i="4"/>
  <c r="BF418" i="4"/>
  <c r="BF410" i="4"/>
  <c r="BF371" i="4"/>
  <c r="BF270" i="4"/>
  <c r="BF258" i="4"/>
  <c r="BF245" i="4"/>
  <c r="BF224" i="4"/>
  <c r="BF489" i="4"/>
  <c r="BF481" i="4"/>
  <c r="BF465" i="4"/>
  <c r="BF449" i="4"/>
  <c r="BF433" i="4"/>
  <c r="BF425" i="4"/>
  <c r="BF417" i="4"/>
  <c r="BF409" i="4"/>
  <c r="BF392" i="4"/>
  <c r="BF308" i="4"/>
  <c r="BF269" i="4"/>
  <c r="BF375" i="4"/>
  <c r="BF480" i="4"/>
  <c r="BF464" i="4"/>
  <c r="BF448" i="4"/>
  <c r="BF432" i="4"/>
  <c r="BF408" i="4"/>
  <c r="BF391" i="4"/>
  <c r="BF377" i="4"/>
  <c r="BF369" i="4"/>
  <c r="BF344" i="4"/>
  <c r="BF335" i="4"/>
  <c r="BF307" i="4"/>
  <c r="BF286" i="4"/>
  <c r="BF268" i="4"/>
  <c r="BF256" i="4"/>
  <c r="BF463" i="4"/>
  <c r="BF407" i="4"/>
  <c r="BF390" i="4"/>
  <c r="BF368" i="4"/>
  <c r="BF306" i="4"/>
  <c r="BF285" i="4"/>
  <c r="BF267" i="4"/>
  <c r="BF406" i="4"/>
  <c r="BF237" i="4"/>
  <c r="BF486" i="4"/>
  <c r="BF389" i="4"/>
  <c r="BF367" i="4"/>
  <c r="BF281" i="4"/>
  <c r="BH492" i="4"/>
  <c r="BH420" i="4"/>
  <c r="BH377" i="4"/>
  <c r="BH369" i="4"/>
  <c r="BH307" i="4"/>
  <c r="BH298" i="4"/>
  <c r="BH281" i="4"/>
  <c r="BH267" i="4"/>
  <c r="BH419" i="4"/>
  <c r="BH306" i="4"/>
  <c r="BH279" i="4"/>
  <c r="BH256" i="4"/>
  <c r="BH224" i="4"/>
  <c r="BH450" i="4"/>
  <c r="BH418" i="4"/>
  <c r="BH386" i="4"/>
  <c r="BH375" i="4"/>
  <c r="BH335" i="4"/>
  <c r="BH264" i="4"/>
  <c r="BH489" i="4"/>
  <c r="BH465" i="4"/>
  <c r="BH449" i="4"/>
  <c r="BH433" i="4"/>
  <c r="BH425" i="4"/>
  <c r="BH417" i="4"/>
  <c r="BH409" i="4"/>
  <c r="BH385" i="4"/>
  <c r="BH313" i="4"/>
  <c r="BH304" i="4"/>
  <c r="BH464" i="4"/>
  <c r="BH448" i="4"/>
  <c r="BH432" i="4"/>
  <c r="BH408" i="4"/>
  <c r="BH392" i="4"/>
  <c r="BH384" i="4"/>
  <c r="BH365" i="4"/>
  <c r="BH303" i="4"/>
  <c r="BH463" i="4"/>
  <c r="BH407" i="4"/>
  <c r="BH391" i="4"/>
  <c r="BH383" i="4"/>
  <c r="BH364" i="4"/>
  <c r="BH311" i="4"/>
  <c r="BH302" i="4"/>
  <c r="BH286" i="4"/>
  <c r="BH261" i="4"/>
  <c r="BH235" i="4"/>
  <c r="BH486" i="4"/>
  <c r="BH406" i="4"/>
  <c r="BH371" i="4"/>
  <c r="BH352" i="4"/>
  <c r="BH340" i="4"/>
  <c r="BH300" i="4"/>
  <c r="BH285" i="4"/>
  <c r="BH269" i="4"/>
  <c r="BH260" i="4"/>
  <c r="BH234" i="4"/>
  <c r="BH485" i="4"/>
  <c r="BH461" i="4"/>
  <c r="BH437" i="4"/>
  <c r="BH429" i="4"/>
  <c r="BH421" i="4"/>
  <c r="BH389" i="4"/>
  <c r="BH308" i="4"/>
  <c r="BH299" i="4"/>
  <c r="BH283" i="4"/>
  <c r="BH268" i="4"/>
  <c r="BH258" i="4"/>
  <c r="BH245" i="4"/>
  <c r="BH231" i="4"/>
  <c r="BB489" i="4"/>
  <c r="BB481" i="4"/>
  <c r="BB465" i="4"/>
  <c r="BB449" i="4"/>
  <c r="BB433" i="4"/>
  <c r="BB425" i="4"/>
  <c r="BB417" i="4"/>
  <c r="BB409" i="4"/>
  <c r="BB401" i="4"/>
  <c r="BB367" i="4"/>
  <c r="BB224" i="4"/>
  <c r="BB496" i="4"/>
  <c r="BB488" i="4"/>
  <c r="BB480" i="4"/>
  <c r="BB472" i="4"/>
  <c r="BB464" i="4"/>
  <c r="BB456" i="4"/>
  <c r="BB448" i="4"/>
  <c r="BB440" i="4"/>
  <c r="BB432" i="4"/>
  <c r="BB408" i="4"/>
  <c r="BB400" i="4"/>
  <c r="BB366" i="4"/>
  <c r="BB321" i="4"/>
  <c r="BB487" i="4"/>
  <c r="BB479" i="4"/>
  <c r="BB463" i="4"/>
  <c r="BB455" i="4"/>
  <c r="BB439" i="4"/>
  <c r="BB431" i="4"/>
  <c r="BB423" i="4"/>
  <c r="BB407" i="4"/>
  <c r="BB399" i="4"/>
  <c r="BB308" i="4"/>
  <c r="BB345" i="4"/>
  <c r="BB494" i="4"/>
  <c r="BB486" i="4"/>
  <c r="BB478" i="4"/>
  <c r="BB462" i="4"/>
  <c r="BB454" i="4"/>
  <c r="BB446" i="4"/>
  <c r="BB438" i="4"/>
  <c r="BB430" i="4"/>
  <c r="BB422" i="4"/>
  <c r="BB406" i="4"/>
  <c r="BB493" i="4"/>
  <c r="BB485" i="4"/>
  <c r="BB477" i="4"/>
  <c r="BB461" i="4"/>
  <c r="BB453" i="4"/>
  <c r="BB445" i="4"/>
  <c r="BB437" i="4"/>
  <c r="BB429" i="4"/>
  <c r="BB421" i="4"/>
  <c r="BB413" i="4"/>
  <c r="BB344" i="4"/>
  <c r="BB281" i="4"/>
  <c r="BB474" i="4"/>
  <c r="BB418" i="4"/>
  <c r="BB368" i="4"/>
  <c r="BB492" i="4"/>
  <c r="BB484" i="4"/>
  <c r="BB476" i="4"/>
  <c r="BB468" i="4"/>
  <c r="BB460" i="4"/>
  <c r="BB452" i="4"/>
  <c r="BB436" i="4"/>
  <c r="BB428" i="4"/>
  <c r="BB420" i="4"/>
  <c r="BB412" i="4"/>
  <c r="BB389" i="4"/>
  <c r="BB269" i="4"/>
  <c r="BB450" i="4"/>
  <c r="BB426" i="4"/>
  <c r="BB410" i="4"/>
  <c r="BB247" i="4"/>
  <c r="BB483" i="4"/>
  <c r="BB475" i="4"/>
  <c r="BB467" i="4"/>
  <c r="BB451" i="4"/>
  <c r="BB443" i="4"/>
  <c r="BB435" i="4"/>
  <c r="BB427" i="4"/>
  <c r="BB419" i="4"/>
  <c r="BB411" i="4"/>
  <c r="BB385" i="4"/>
  <c r="BB498" i="4"/>
  <c r="BB482" i="4"/>
  <c r="BB434" i="4"/>
  <c r="BB466" i="4"/>
  <c r="AP498" i="4"/>
  <c r="AP482" i="4"/>
  <c r="AP474" i="4"/>
  <c r="AP466" i="4"/>
  <c r="AP458" i="4"/>
  <c r="AP450" i="4"/>
  <c r="AP442" i="4"/>
  <c r="AP434" i="4"/>
  <c r="AP426" i="4"/>
  <c r="AP418" i="4"/>
  <c r="AP410" i="4"/>
  <c r="AP402" i="4"/>
  <c r="AP322" i="4"/>
  <c r="AP487" i="4"/>
  <c r="AP455" i="4"/>
  <c r="AP423" i="4"/>
  <c r="AP399" i="4"/>
  <c r="AP475" i="4"/>
  <c r="AP427" i="4"/>
  <c r="AP489" i="4"/>
  <c r="AP481" i="4"/>
  <c r="AP473" i="4"/>
  <c r="AP465" i="4"/>
  <c r="AP457" i="4"/>
  <c r="AP449" i="4"/>
  <c r="AP441" i="4"/>
  <c r="AP433" i="4"/>
  <c r="AP425" i="4"/>
  <c r="AP417" i="4"/>
  <c r="AP409" i="4"/>
  <c r="AP401" i="4"/>
  <c r="AP321" i="4"/>
  <c r="AP495" i="4"/>
  <c r="AP463" i="4"/>
  <c r="AP439" i="4"/>
  <c r="AP415" i="4"/>
  <c r="AP483" i="4"/>
  <c r="AP467" i="4"/>
  <c r="AP435" i="4"/>
  <c r="AP496" i="4"/>
  <c r="AP488" i="4"/>
  <c r="AP480" i="4"/>
  <c r="AP472" i="4"/>
  <c r="AP464" i="4"/>
  <c r="AP456" i="4"/>
  <c r="AP448" i="4"/>
  <c r="AP440" i="4"/>
  <c r="AP432" i="4"/>
  <c r="AP408" i="4"/>
  <c r="AP400" i="4"/>
  <c r="AP308" i="4"/>
  <c r="AP479" i="4"/>
  <c r="AP447" i="4"/>
  <c r="AP431" i="4"/>
  <c r="AP407" i="4"/>
  <c r="AP451" i="4"/>
  <c r="AP403" i="4"/>
  <c r="AP494" i="4"/>
  <c r="AP486" i="4"/>
  <c r="AP478" i="4"/>
  <c r="AP470" i="4"/>
  <c r="AP462" i="4"/>
  <c r="AP454" i="4"/>
  <c r="AP446" i="4"/>
  <c r="AP438" i="4"/>
  <c r="AP430" i="4"/>
  <c r="AP422" i="4"/>
  <c r="AP414" i="4"/>
  <c r="AP406" i="4"/>
  <c r="AP398" i="4"/>
  <c r="AP419" i="4"/>
  <c r="AP366" i="4"/>
  <c r="AP493" i="4"/>
  <c r="AP485" i="4"/>
  <c r="AP477" i="4"/>
  <c r="AP469" i="4"/>
  <c r="AP461" i="4"/>
  <c r="AP453" i="4"/>
  <c r="AP445" i="4"/>
  <c r="AP437" i="4"/>
  <c r="AP429" i="4"/>
  <c r="AP421" i="4"/>
  <c r="AP413" i="4"/>
  <c r="AP405" i="4"/>
  <c r="AP397" i="4"/>
  <c r="AP443" i="4"/>
  <c r="AP492" i="4"/>
  <c r="AP484" i="4"/>
  <c r="AP476" i="4"/>
  <c r="AP468" i="4"/>
  <c r="AP460" i="4"/>
  <c r="AP452" i="4"/>
  <c r="AP444" i="4"/>
  <c r="AP436" i="4"/>
  <c r="AP428" i="4"/>
  <c r="AP420" i="4"/>
  <c r="AP412" i="4"/>
  <c r="AP404" i="4"/>
  <c r="AP385" i="4"/>
  <c r="AP459" i="4"/>
  <c r="AP411" i="4"/>
  <c r="AT494" i="4"/>
  <c r="AT486" i="4"/>
  <c r="AT478" i="4"/>
  <c r="AT470" i="4"/>
  <c r="AT462" i="4"/>
  <c r="AT454" i="4"/>
  <c r="AT446" i="4"/>
  <c r="AT438" i="4"/>
  <c r="AT430" i="4"/>
  <c r="AT422" i="4"/>
  <c r="AT414" i="4"/>
  <c r="AT406" i="4"/>
  <c r="AT344" i="4"/>
  <c r="AT247" i="4"/>
  <c r="AT483" i="4"/>
  <c r="AT451" i="4"/>
  <c r="AT419" i="4"/>
  <c r="AT385" i="4"/>
  <c r="AT407" i="4"/>
  <c r="AT493" i="4"/>
  <c r="AT485" i="4"/>
  <c r="AT477" i="4"/>
  <c r="AT469" i="4"/>
  <c r="AT461" i="4"/>
  <c r="AT453" i="4"/>
  <c r="AT445" i="4"/>
  <c r="AT437" i="4"/>
  <c r="AT429" i="4"/>
  <c r="AT421" i="4"/>
  <c r="AT413" i="4"/>
  <c r="AT397" i="4"/>
  <c r="AT467" i="4"/>
  <c r="AT443" i="4"/>
  <c r="AT435" i="4"/>
  <c r="AT439" i="4"/>
  <c r="AT492" i="4"/>
  <c r="AT484" i="4"/>
  <c r="AT476" i="4"/>
  <c r="AT468" i="4"/>
  <c r="AT460" i="4"/>
  <c r="AT452" i="4"/>
  <c r="AT444" i="4"/>
  <c r="AT436" i="4"/>
  <c r="AT428" i="4"/>
  <c r="AT420" i="4"/>
  <c r="AT412" i="4"/>
  <c r="AT389" i="4"/>
  <c r="AT475" i="4"/>
  <c r="AT459" i="4"/>
  <c r="AT427" i="4"/>
  <c r="AT411" i="4"/>
  <c r="AT431" i="4"/>
  <c r="AT498" i="4"/>
  <c r="AT482" i="4"/>
  <c r="AT474" i="4"/>
  <c r="AT466" i="4"/>
  <c r="AT458" i="4"/>
  <c r="AT450" i="4"/>
  <c r="AT434" i="4"/>
  <c r="AT426" i="4"/>
  <c r="AT418" i="4"/>
  <c r="AT410" i="4"/>
  <c r="AT368" i="4"/>
  <c r="AT463" i="4"/>
  <c r="AT489" i="4"/>
  <c r="AT481" i="4"/>
  <c r="AT465" i="4"/>
  <c r="AT457" i="4"/>
  <c r="AT449" i="4"/>
  <c r="AT433" i="4"/>
  <c r="AT425" i="4"/>
  <c r="AT417" i="4"/>
  <c r="AT409" i="4"/>
  <c r="AT401" i="4"/>
  <c r="AT366" i="4"/>
  <c r="AT321" i="4"/>
  <c r="AT455" i="4"/>
  <c r="AT415" i="4"/>
  <c r="AT345" i="4"/>
  <c r="AT496" i="4"/>
  <c r="AT488" i="4"/>
  <c r="AT480" i="4"/>
  <c r="AT472" i="4"/>
  <c r="AT464" i="4"/>
  <c r="AT456" i="4"/>
  <c r="AT448" i="4"/>
  <c r="AT440" i="4"/>
  <c r="AT432" i="4"/>
  <c r="AT408" i="4"/>
  <c r="AT400" i="4"/>
  <c r="AT308" i="4"/>
  <c r="AT487" i="4"/>
  <c r="AT447" i="4"/>
  <c r="AT423" i="4"/>
  <c r="AT399" i="4"/>
  <c r="AT269" i="4"/>
  <c r="AT479" i="4"/>
  <c r="BJ419" i="4"/>
  <c r="BJ315" i="4"/>
  <c r="BJ306" i="4"/>
  <c r="BJ298" i="4"/>
  <c r="BJ359" i="4"/>
  <c r="BJ418" i="4"/>
  <c r="BJ375" i="4"/>
  <c r="BJ264" i="4"/>
  <c r="BJ224" i="4"/>
  <c r="BJ449" i="4"/>
  <c r="BJ417" i="4"/>
  <c r="BJ234" i="4"/>
  <c r="BJ213" i="4"/>
  <c r="BJ377" i="4"/>
  <c r="BJ464" i="4"/>
  <c r="BJ448" i="4"/>
  <c r="BJ384" i="4"/>
  <c r="BJ365" i="4"/>
  <c r="BJ281" i="4"/>
  <c r="BJ463" i="4"/>
  <c r="BJ383" i="4"/>
  <c r="BJ364" i="4"/>
  <c r="BJ335" i="4"/>
  <c r="BJ311" i="4"/>
  <c r="BJ279" i="4"/>
  <c r="BJ261" i="4"/>
  <c r="BJ209" i="4"/>
  <c r="BJ307" i="4"/>
  <c r="BJ486" i="4"/>
  <c r="BJ406" i="4"/>
  <c r="BJ371" i="4"/>
  <c r="BJ369" i="4"/>
  <c r="BJ485" i="4"/>
  <c r="BJ437" i="4"/>
  <c r="BJ429" i="4"/>
  <c r="BJ389" i="4"/>
  <c r="BJ352" i="4"/>
  <c r="BJ308" i="4"/>
  <c r="BJ300" i="4"/>
  <c r="BJ259" i="4"/>
  <c r="AZ498" i="4"/>
  <c r="AZ482" i="4"/>
  <c r="AZ474" i="4"/>
  <c r="AZ466" i="4"/>
  <c r="AZ458" i="4"/>
  <c r="AZ450" i="4"/>
  <c r="AZ434" i="4"/>
  <c r="AZ426" i="4"/>
  <c r="AZ418" i="4"/>
  <c r="AZ410" i="4"/>
  <c r="AZ368" i="4"/>
  <c r="AZ475" i="4"/>
  <c r="AZ427" i="4"/>
  <c r="AZ489" i="4"/>
  <c r="AZ481" i="4"/>
  <c r="AZ465" i="4"/>
  <c r="AZ457" i="4"/>
  <c r="AZ449" i="4"/>
  <c r="AZ433" i="4"/>
  <c r="AZ425" i="4"/>
  <c r="AZ417" i="4"/>
  <c r="AZ409" i="4"/>
  <c r="AZ401" i="4"/>
  <c r="AZ366" i="4"/>
  <c r="AZ321" i="4"/>
  <c r="AZ451" i="4"/>
  <c r="AZ385" i="4"/>
  <c r="AZ496" i="4"/>
  <c r="AZ488" i="4"/>
  <c r="AZ480" i="4"/>
  <c r="AZ472" i="4"/>
  <c r="AZ464" i="4"/>
  <c r="AZ456" i="4"/>
  <c r="AZ448" i="4"/>
  <c r="AZ440" i="4"/>
  <c r="AZ432" i="4"/>
  <c r="AZ408" i="4"/>
  <c r="AZ400" i="4"/>
  <c r="AZ358" i="4"/>
  <c r="AZ308" i="4"/>
  <c r="AZ459" i="4"/>
  <c r="AZ487" i="4"/>
  <c r="AZ479" i="4"/>
  <c r="AZ463" i="4"/>
  <c r="AZ455" i="4"/>
  <c r="AZ447" i="4"/>
  <c r="AZ439" i="4"/>
  <c r="AZ431" i="4"/>
  <c r="AZ423" i="4"/>
  <c r="AZ415" i="4"/>
  <c r="AZ407" i="4"/>
  <c r="AZ399" i="4"/>
  <c r="AZ345" i="4"/>
  <c r="AZ269" i="4"/>
  <c r="AZ467" i="4"/>
  <c r="AZ411" i="4"/>
  <c r="AZ494" i="4"/>
  <c r="AZ486" i="4"/>
  <c r="AZ478" i="4"/>
  <c r="AZ470" i="4"/>
  <c r="AZ462" i="4"/>
  <c r="AZ454" i="4"/>
  <c r="AZ446" i="4"/>
  <c r="AZ438" i="4"/>
  <c r="AZ430" i="4"/>
  <c r="AZ422" i="4"/>
  <c r="AZ414" i="4"/>
  <c r="AZ406" i="4"/>
  <c r="AZ398" i="4"/>
  <c r="AZ344" i="4"/>
  <c r="AZ419" i="4"/>
  <c r="AZ493" i="4"/>
  <c r="AZ485" i="4"/>
  <c r="AZ477" i="4"/>
  <c r="AZ469" i="4"/>
  <c r="AZ461" i="4"/>
  <c r="AZ453" i="4"/>
  <c r="AZ445" i="4"/>
  <c r="AZ437" i="4"/>
  <c r="AZ429" i="4"/>
  <c r="AZ421" i="4"/>
  <c r="AZ413" i="4"/>
  <c r="AZ397" i="4"/>
  <c r="AZ483" i="4"/>
  <c r="AZ435" i="4"/>
  <c r="AZ492" i="4"/>
  <c r="AZ484" i="4"/>
  <c r="AZ476" i="4"/>
  <c r="AZ468" i="4"/>
  <c r="AZ460" i="4"/>
  <c r="AZ452" i="4"/>
  <c r="AZ444" i="4"/>
  <c r="AZ436" i="4"/>
  <c r="AZ428" i="4"/>
  <c r="AZ420" i="4"/>
  <c r="AZ412" i="4"/>
  <c r="AZ389" i="4"/>
  <c r="AZ443" i="4"/>
  <c r="AR483" i="4"/>
  <c r="AR475" i="4"/>
  <c r="AR467" i="4"/>
  <c r="AR459" i="4"/>
  <c r="AR451" i="4"/>
  <c r="AR443" i="4"/>
  <c r="AR435" i="4"/>
  <c r="AR427" i="4"/>
  <c r="AR419" i="4"/>
  <c r="AR411" i="4"/>
  <c r="AR403" i="4"/>
  <c r="AR366" i="4"/>
  <c r="AR476" i="4"/>
  <c r="AR436" i="4"/>
  <c r="AR498" i="4"/>
  <c r="AR482" i="4"/>
  <c r="AR474" i="4"/>
  <c r="AR466" i="4"/>
  <c r="AR458" i="4"/>
  <c r="AR450" i="4"/>
  <c r="AR442" i="4"/>
  <c r="AR434" i="4"/>
  <c r="AR426" i="4"/>
  <c r="AR418" i="4"/>
  <c r="AR410" i="4"/>
  <c r="AR402" i="4"/>
  <c r="AR322" i="4"/>
  <c r="AR484" i="4"/>
  <c r="AR452" i="4"/>
  <c r="AR404" i="4"/>
  <c r="AR489" i="4"/>
  <c r="AR481" i="4"/>
  <c r="AR473" i="4"/>
  <c r="AR465" i="4"/>
  <c r="AR457" i="4"/>
  <c r="AR449" i="4"/>
  <c r="AR441" i="4"/>
  <c r="AR433" i="4"/>
  <c r="AR425" i="4"/>
  <c r="AR417" i="4"/>
  <c r="AR409" i="4"/>
  <c r="AR401" i="4"/>
  <c r="AR321" i="4"/>
  <c r="AR460" i="4"/>
  <c r="AR412" i="4"/>
  <c r="AR496" i="4"/>
  <c r="AR488" i="4"/>
  <c r="AR480" i="4"/>
  <c r="AR472" i="4"/>
  <c r="AR464" i="4"/>
  <c r="AR456" i="4"/>
  <c r="AR448" i="4"/>
  <c r="AR440" i="4"/>
  <c r="AR432" i="4"/>
  <c r="AR408" i="4"/>
  <c r="AR400" i="4"/>
  <c r="AR308" i="4"/>
  <c r="AR495" i="4"/>
  <c r="AR487" i="4"/>
  <c r="AR479" i="4"/>
  <c r="AR463" i="4"/>
  <c r="AR455" i="4"/>
  <c r="AR447" i="4"/>
  <c r="AR439" i="4"/>
  <c r="AR431" i="4"/>
  <c r="AR423" i="4"/>
  <c r="AR415" i="4"/>
  <c r="AR407" i="4"/>
  <c r="AR399" i="4"/>
  <c r="AR468" i="4"/>
  <c r="AR420" i="4"/>
  <c r="AR494" i="4"/>
  <c r="AR486" i="4"/>
  <c r="AR478" i="4"/>
  <c r="AR470" i="4"/>
  <c r="AR462" i="4"/>
  <c r="AR454" i="4"/>
  <c r="AR446" i="4"/>
  <c r="AR438" i="4"/>
  <c r="AR430" i="4"/>
  <c r="AR422" i="4"/>
  <c r="AR414" i="4"/>
  <c r="AR406" i="4"/>
  <c r="AR398" i="4"/>
  <c r="AR428" i="4"/>
  <c r="AR493" i="4"/>
  <c r="AR485" i="4"/>
  <c r="AR477" i="4"/>
  <c r="AR469" i="4"/>
  <c r="AR461" i="4"/>
  <c r="AR453" i="4"/>
  <c r="AR445" i="4"/>
  <c r="AR437" i="4"/>
  <c r="AR429" i="4"/>
  <c r="AR421" i="4"/>
  <c r="AR413" i="4"/>
  <c r="AR405" i="4"/>
  <c r="AR397" i="4"/>
  <c r="AR492" i="4"/>
  <c r="AR444" i="4"/>
  <c r="AR385" i="4"/>
  <c r="AX495" i="4"/>
  <c r="AX487" i="4"/>
  <c r="AX479" i="4"/>
  <c r="AX463" i="4"/>
  <c r="AX455" i="4"/>
  <c r="AX447" i="4"/>
  <c r="AX439" i="4"/>
  <c r="AX431" i="4"/>
  <c r="AX423" i="4"/>
  <c r="AX415" i="4"/>
  <c r="AX407" i="4"/>
  <c r="AX399" i="4"/>
  <c r="AX341" i="4"/>
  <c r="AX488" i="4"/>
  <c r="AX448" i="4"/>
  <c r="AX342" i="4"/>
  <c r="AX494" i="4"/>
  <c r="AX486" i="4"/>
  <c r="AX478" i="4"/>
  <c r="AX470" i="4"/>
  <c r="AX462" i="4"/>
  <c r="AX454" i="4"/>
  <c r="AX446" i="4"/>
  <c r="AX438" i="4"/>
  <c r="AX430" i="4"/>
  <c r="AX422" i="4"/>
  <c r="AX414" i="4"/>
  <c r="AX406" i="4"/>
  <c r="AX398" i="4"/>
  <c r="AX340" i="4"/>
  <c r="AX464" i="4"/>
  <c r="AX400" i="4"/>
  <c r="AX493" i="4"/>
  <c r="AX485" i="4"/>
  <c r="AX477" i="4"/>
  <c r="AX469" i="4"/>
  <c r="AX461" i="4"/>
  <c r="AX453" i="4"/>
  <c r="AX445" i="4"/>
  <c r="AX437" i="4"/>
  <c r="AX429" i="4"/>
  <c r="AX421" i="4"/>
  <c r="AX413" i="4"/>
  <c r="AX397" i="4"/>
  <c r="AX322" i="4"/>
  <c r="AX440" i="4"/>
  <c r="AX492" i="4"/>
  <c r="AX484" i="4"/>
  <c r="AX476" i="4"/>
  <c r="AX468" i="4"/>
  <c r="AX460" i="4"/>
  <c r="AX452" i="4"/>
  <c r="AX444" i="4"/>
  <c r="AX436" i="4"/>
  <c r="AX428" i="4"/>
  <c r="AX420" i="4"/>
  <c r="AX412" i="4"/>
  <c r="AX385" i="4"/>
  <c r="AX321" i="4"/>
  <c r="AX472" i="4"/>
  <c r="AX408" i="4"/>
  <c r="AX483" i="4"/>
  <c r="AX475" i="4"/>
  <c r="AX467" i="4"/>
  <c r="AX459" i="4"/>
  <c r="AX451" i="4"/>
  <c r="AX443" i="4"/>
  <c r="AX435" i="4"/>
  <c r="AX427" i="4"/>
  <c r="AX419" i="4"/>
  <c r="AX411" i="4"/>
  <c r="AX403" i="4"/>
  <c r="AX366" i="4"/>
  <c r="AX308" i="4"/>
  <c r="AX480" i="4"/>
  <c r="AX498" i="4"/>
  <c r="AX482" i="4"/>
  <c r="AX474" i="4"/>
  <c r="AX466" i="4"/>
  <c r="AX458" i="4"/>
  <c r="AX450" i="4"/>
  <c r="AX442" i="4"/>
  <c r="AX434" i="4"/>
  <c r="AX426" i="4"/>
  <c r="AX418" i="4"/>
  <c r="AX410" i="4"/>
  <c r="AX402" i="4"/>
  <c r="AX345" i="4"/>
  <c r="AX269" i="4"/>
  <c r="AX496" i="4"/>
  <c r="AX456" i="4"/>
  <c r="AX489" i="4"/>
  <c r="AX481" i="4"/>
  <c r="AX465" i="4"/>
  <c r="AX457" i="4"/>
  <c r="AX449" i="4"/>
  <c r="AX441" i="4"/>
  <c r="AX433" i="4"/>
  <c r="AX425" i="4"/>
  <c r="AX417" i="4"/>
  <c r="AX409" i="4"/>
  <c r="AX401" i="4"/>
  <c r="AX344" i="4"/>
  <c r="AX432" i="4"/>
  <c r="BD498" i="4"/>
  <c r="BD482" i="4"/>
  <c r="BD466" i="4"/>
  <c r="BD450" i="4"/>
  <c r="BD434" i="4"/>
  <c r="BD426" i="4"/>
  <c r="BD418" i="4"/>
  <c r="BD410" i="4"/>
  <c r="BD394" i="4"/>
  <c r="BD366" i="4"/>
  <c r="BD352" i="4"/>
  <c r="BD340" i="4"/>
  <c r="BD300" i="4"/>
  <c r="BD268" i="4"/>
  <c r="BD237" i="4"/>
  <c r="BD435" i="4"/>
  <c r="BD489" i="4"/>
  <c r="BD481" i="4"/>
  <c r="BD465" i="4"/>
  <c r="BD449" i="4"/>
  <c r="BD433" i="4"/>
  <c r="BD425" i="4"/>
  <c r="BD417" i="4"/>
  <c r="BD409" i="4"/>
  <c r="BD401" i="4"/>
  <c r="BD391" i="4"/>
  <c r="BD373" i="4"/>
  <c r="BD365" i="4"/>
  <c r="BD351" i="4"/>
  <c r="BD314" i="4"/>
  <c r="BD267" i="4"/>
  <c r="BD235" i="4"/>
  <c r="BD483" i="4"/>
  <c r="BD427" i="4"/>
  <c r="BD488" i="4"/>
  <c r="BD480" i="4"/>
  <c r="BD464" i="4"/>
  <c r="BD456" i="4"/>
  <c r="BD448" i="4"/>
  <c r="BD432" i="4"/>
  <c r="BD408" i="4"/>
  <c r="BD400" i="4"/>
  <c r="BD390" i="4"/>
  <c r="BD364" i="4"/>
  <c r="BD350" i="4"/>
  <c r="BD313" i="4"/>
  <c r="BD249" i="4"/>
  <c r="BD475" i="4"/>
  <c r="BD419" i="4"/>
  <c r="BD487" i="4"/>
  <c r="BD479" i="4"/>
  <c r="BD463" i="4"/>
  <c r="BD455" i="4"/>
  <c r="BD431" i="4"/>
  <c r="BD423" i="4"/>
  <c r="BD407" i="4"/>
  <c r="BD399" i="4"/>
  <c r="BD389" i="4"/>
  <c r="BD371" i="4"/>
  <c r="BD345" i="4"/>
  <c r="BD336" i="4"/>
  <c r="BD310" i="4"/>
  <c r="BD287" i="4"/>
  <c r="BD264" i="4"/>
  <c r="BD247" i="4"/>
  <c r="BD224" i="4"/>
  <c r="BD467" i="4"/>
  <c r="BD367" i="4"/>
  <c r="BD486" i="4"/>
  <c r="BD478" i="4"/>
  <c r="BD454" i="4"/>
  <c r="BD430" i="4"/>
  <c r="BD422" i="4"/>
  <c r="BD406" i="4"/>
  <c r="BD388" i="4"/>
  <c r="BD344" i="4"/>
  <c r="BD308" i="4"/>
  <c r="BD281" i="4"/>
  <c r="BD263" i="4"/>
  <c r="BD246" i="4"/>
  <c r="BD395" i="4"/>
  <c r="BD493" i="4"/>
  <c r="BD485" i="4"/>
  <c r="BD477" i="4"/>
  <c r="BD461" i="4"/>
  <c r="BD453" i="4"/>
  <c r="BD437" i="4"/>
  <c r="BD429" i="4"/>
  <c r="BD421" i="4"/>
  <c r="BD413" i="4"/>
  <c r="BD385" i="4"/>
  <c r="BD369" i="4"/>
  <c r="BD355" i="4"/>
  <c r="BD343" i="4"/>
  <c r="BD329" i="4"/>
  <c r="BD307" i="4"/>
  <c r="BD262" i="4"/>
  <c r="BD245" i="4"/>
  <c r="BD451" i="4"/>
  <c r="BD269" i="4"/>
  <c r="BD492" i="4"/>
  <c r="BD484" i="4"/>
  <c r="BD476" i="4"/>
  <c r="BD468" i="4"/>
  <c r="BD460" i="4"/>
  <c r="BD452" i="4"/>
  <c r="BD436" i="4"/>
  <c r="BD428" i="4"/>
  <c r="BD420" i="4"/>
  <c r="BD412" i="4"/>
  <c r="BD383" i="4"/>
  <c r="BD368" i="4"/>
  <c r="BD306" i="4"/>
  <c r="BD270" i="4"/>
  <c r="BD258" i="4"/>
  <c r="BD443" i="4"/>
  <c r="BD411" i="4"/>
  <c r="AV489" i="4"/>
  <c r="AV481" i="4"/>
  <c r="AV465" i="4"/>
  <c r="AV457" i="4"/>
  <c r="AV449" i="4"/>
  <c r="AV441" i="4"/>
  <c r="AV433" i="4"/>
  <c r="AV425" i="4"/>
  <c r="AV417" i="4"/>
  <c r="AV409" i="4"/>
  <c r="AV401" i="4"/>
  <c r="AV321" i="4"/>
  <c r="AV458" i="4"/>
  <c r="AV410" i="4"/>
  <c r="AV496" i="4"/>
  <c r="AV488" i="4"/>
  <c r="AV480" i="4"/>
  <c r="AV472" i="4"/>
  <c r="AV464" i="4"/>
  <c r="AV456" i="4"/>
  <c r="AV448" i="4"/>
  <c r="AV440" i="4"/>
  <c r="AV432" i="4"/>
  <c r="AV408" i="4"/>
  <c r="AV400" i="4"/>
  <c r="AV308" i="4"/>
  <c r="AV474" i="4"/>
  <c r="AV434" i="4"/>
  <c r="AV495" i="4"/>
  <c r="AV487" i="4"/>
  <c r="AV479" i="4"/>
  <c r="AV463" i="4"/>
  <c r="AV455" i="4"/>
  <c r="AV447" i="4"/>
  <c r="AV439" i="4"/>
  <c r="AV431" i="4"/>
  <c r="AV423" i="4"/>
  <c r="AV415" i="4"/>
  <c r="AV407" i="4"/>
  <c r="AV399" i="4"/>
  <c r="AV498" i="4"/>
  <c r="AV450" i="4"/>
  <c r="AV402" i="4"/>
  <c r="AV494" i="4"/>
  <c r="AV486" i="4"/>
  <c r="AV478" i="4"/>
  <c r="AV470" i="4"/>
  <c r="AV462" i="4"/>
  <c r="AV454" i="4"/>
  <c r="AV446" i="4"/>
  <c r="AV438" i="4"/>
  <c r="AV430" i="4"/>
  <c r="AV422" i="4"/>
  <c r="AV414" i="4"/>
  <c r="AV406" i="4"/>
  <c r="AV398" i="4"/>
  <c r="AV466" i="4"/>
  <c r="AV322" i="4"/>
  <c r="AV493" i="4"/>
  <c r="AV485" i="4"/>
  <c r="AV477" i="4"/>
  <c r="AV469" i="4"/>
  <c r="AV461" i="4"/>
  <c r="AV453" i="4"/>
  <c r="AV445" i="4"/>
  <c r="AV437" i="4"/>
  <c r="AV429" i="4"/>
  <c r="AV421" i="4"/>
  <c r="AV413" i="4"/>
  <c r="AV405" i="4"/>
  <c r="AV397" i="4"/>
  <c r="AV482" i="4"/>
  <c r="AV426" i="4"/>
  <c r="AV492" i="4"/>
  <c r="AV484" i="4"/>
  <c r="AV476" i="4"/>
  <c r="AV468" i="4"/>
  <c r="AV460" i="4"/>
  <c r="AV452" i="4"/>
  <c r="AV444" i="4"/>
  <c r="AV436" i="4"/>
  <c r="AV428" i="4"/>
  <c r="AV420" i="4"/>
  <c r="AV412" i="4"/>
  <c r="AV404" i="4"/>
  <c r="AV385" i="4"/>
  <c r="AV442" i="4"/>
  <c r="AV483" i="4"/>
  <c r="AV475" i="4"/>
  <c r="AV467" i="4"/>
  <c r="AV459" i="4"/>
  <c r="AV451" i="4"/>
  <c r="AV443" i="4"/>
  <c r="AV435" i="4"/>
  <c r="AV427" i="4"/>
  <c r="AV419" i="4"/>
  <c r="AV411" i="4"/>
  <c r="AV403" i="4"/>
  <c r="AV366" i="4"/>
  <c r="AV418" i="4"/>
  <c r="BJ379" i="4"/>
  <c r="BJ347" i="4"/>
  <c r="BJ291" i="4"/>
  <c r="BJ204" i="4"/>
  <c r="BJ346" i="4"/>
  <c r="BJ282" i="4"/>
  <c r="BJ211" i="4"/>
  <c r="BJ203" i="4"/>
  <c r="BJ361" i="4"/>
  <c r="BJ360" i="4"/>
  <c r="BJ280" i="4"/>
  <c r="BJ244" i="4"/>
  <c r="BJ381" i="4"/>
  <c r="BJ309" i="4"/>
  <c r="BJ233" i="4"/>
  <c r="BJ292" i="4"/>
  <c r="BJ273" i="4"/>
  <c r="BJ289" i="4"/>
  <c r="BJ271" i="4"/>
  <c r="BJ205" i="4"/>
  <c r="BJ348" i="4"/>
  <c r="BJ214" i="4"/>
  <c r="BJ202" i="4"/>
  <c r="BJ228" i="4"/>
  <c r="BJ295" i="4"/>
  <c r="BJ294" i="4"/>
  <c r="BJ380" i="4"/>
  <c r="AZ394" i="4"/>
  <c r="AZ386" i="4"/>
  <c r="AZ378" i="4"/>
  <c r="AZ370" i="4"/>
  <c r="AZ362" i="4"/>
  <c r="AZ354" i="4"/>
  <c r="AZ346" i="4"/>
  <c r="AZ338" i="4"/>
  <c r="AZ330" i="4"/>
  <c r="AZ314" i="4"/>
  <c r="AZ306" i="4"/>
  <c r="AZ298" i="4"/>
  <c r="AZ290" i="4"/>
  <c r="AZ282" i="4"/>
  <c r="AZ274" i="4"/>
  <c r="AZ266" i="4"/>
  <c r="AZ249" i="4"/>
  <c r="AZ218" i="4"/>
  <c r="AZ393" i="4"/>
  <c r="AZ377" i="4"/>
  <c r="AZ369" i="4"/>
  <c r="AZ361" i="4"/>
  <c r="AZ353" i="4"/>
  <c r="AZ337" i="4"/>
  <c r="AZ329" i="4"/>
  <c r="AZ391" i="4"/>
  <c r="AZ383" i="4"/>
  <c r="AZ375" i="4"/>
  <c r="AZ367" i="4"/>
  <c r="AZ359" i="4"/>
  <c r="AZ351" i="4"/>
  <c r="AZ343" i="4"/>
  <c r="AZ335" i="4"/>
  <c r="AZ327" i="4"/>
  <c r="AZ319" i="4"/>
  <c r="AZ311" i="4"/>
  <c r="AZ303" i="4"/>
  <c r="AZ295" i="4"/>
  <c r="AZ287" i="4"/>
  <c r="AZ279" i="4"/>
  <c r="AZ271" i="4"/>
  <c r="AZ263" i="4"/>
  <c r="AZ245" i="4"/>
  <c r="AZ396" i="4"/>
  <c r="AZ388" i="4"/>
  <c r="AZ380" i="4"/>
  <c r="AZ372" i="4"/>
  <c r="AZ364" i="4"/>
  <c r="AZ356" i="4"/>
  <c r="AZ348" i="4"/>
  <c r="AZ332" i="4"/>
  <c r="AZ324" i="4"/>
  <c r="AZ316" i="4"/>
  <c r="AZ300" i="4"/>
  <c r="AZ292" i="4"/>
  <c r="AZ284" i="4"/>
  <c r="AZ276" i="4"/>
  <c r="AZ268" i="4"/>
  <c r="AZ260" i="4"/>
  <c r="AZ228" i="4"/>
  <c r="AZ384" i="4"/>
  <c r="AZ352" i="4"/>
  <c r="AZ325" i="4"/>
  <c r="AZ313" i="4"/>
  <c r="AZ302" i="4"/>
  <c r="AZ289" i="4"/>
  <c r="AZ277" i="4"/>
  <c r="AZ264" i="4"/>
  <c r="AZ219" i="4"/>
  <c r="AZ382" i="4"/>
  <c r="AZ350" i="4"/>
  <c r="AZ339" i="4"/>
  <c r="AZ323" i="4"/>
  <c r="AZ312" i="4"/>
  <c r="AZ301" i="4"/>
  <c r="AZ288" i="4"/>
  <c r="AZ275" i="4"/>
  <c r="AZ262" i="4"/>
  <c r="AZ217" i="4"/>
  <c r="AZ395" i="4"/>
  <c r="AZ381" i="4"/>
  <c r="AZ365" i="4"/>
  <c r="AZ349" i="4"/>
  <c r="AZ336" i="4"/>
  <c r="AZ310" i="4"/>
  <c r="AZ299" i="4"/>
  <c r="AZ286" i="4"/>
  <c r="AZ273" i="4"/>
  <c r="AZ261" i="4"/>
  <c r="AZ208" i="4"/>
  <c r="AZ392" i="4"/>
  <c r="AZ379" i="4"/>
  <c r="AZ363" i="4"/>
  <c r="AZ347" i="4"/>
  <c r="AZ334" i="4"/>
  <c r="AZ309" i="4"/>
  <c r="AZ297" i="4"/>
  <c r="AZ285" i="4"/>
  <c r="AZ272" i="4"/>
  <c r="AZ257" i="4"/>
  <c r="AZ390" i="4"/>
  <c r="AZ376" i="4"/>
  <c r="AZ360" i="4"/>
  <c r="AZ333" i="4"/>
  <c r="AZ320" i="4"/>
  <c r="AZ296" i="4"/>
  <c r="AZ283" i="4"/>
  <c r="AZ270" i="4"/>
  <c r="AZ247" i="4"/>
  <c r="AZ387" i="4"/>
  <c r="AZ357" i="4"/>
  <c r="AZ328" i="4"/>
  <c r="AZ307" i="4"/>
  <c r="AZ278" i="4"/>
  <c r="AZ246" i="4"/>
  <c r="AZ355" i="4"/>
  <c r="AZ326" i="4"/>
  <c r="AZ305" i="4"/>
  <c r="AZ374" i="4"/>
  <c r="AZ304" i="4"/>
  <c r="AZ267" i="4"/>
  <c r="AZ371" i="4"/>
  <c r="AZ293" i="4"/>
  <c r="AZ373" i="4"/>
  <c r="AZ294" i="4"/>
  <c r="AZ265" i="4"/>
  <c r="AZ318" i="4"/>
  <c r="AZ291" i="4"/>
  <c r="AZ243" i="4"/>
  <c r="AZ317" i="4"/>
  <c r="AZ281" i="4"/>
  <c r="AZ229" i="4"/>
  <c r="AZ315" i="4"/>
  <c r="AZ331" i="4"/>
  <c r="AZ280" i="4"/>
  <c r="AR392" i="4"/>
  <c r="AR396" i="4"/>
  <c r="AR387" i="4"/>
  <c r="AR379" i="4"/>
  <c r="AR371" i="4"/>
  <c r="AR363" i="4"/>
  <c r="AR355" i="4"/>
  <c r="AR347" i="4"/>
  <c r="AR339" i="4"/>
  <c r="AR331" i="4"/>
  <c r="AR323" i="4"/>
  <c r="AR315" i="4"/>
  <c r="AR307" i="4"/>
  <c r="AR299" i="4"/>
  <c r="AR291" i="4"/>
  <c r="AR283" i="4"/>
  <c r="AR275" i="4"/>
  <c r="AR267" i="4"/>
  <c r="AR245" i="4"/>
  <c r="AR395" i="4"/>
  <c r="AR386" i="4"/>
  <c r="AR378" i="4"/>
  <c r="AR370" i="4"/>
  <c r="AR362" i="4"/>
  <c r="AR354" i="4"/>
  <c r="AR346" i="4"/>
  <c r="AR338" i="4"/>
  <c r="AR330" i="4"/>
  <c r="AR314" i="4"/>
  <c r="AR306" i="4"/>
  <c r="AR298" i="4"/>
  <c r="AR290" i="4"/>
  <c r="AR282" i="4"/>
  <c r="AR274" i="4"/>
  <c r="AR266" i="4"/>
  <c r="AR229" i="4"/>
  <c r="AR394" i="4"/>
  <c r="AR377" i="4"/>
  <c r="AR369" i="4"/>
  <c r="AR361" i="4"/>
  <c r="AR353" i="4"/>
  <c r="AR345" i="4"/>
  <c r="AR337" i="4"/>
  <c r="AR329" i="4"/>
  <c r="AR313" i="4"/>
  <c r="AR305" i="4"/>
  <c r="AR297" i="4"/>
  <c r="AR289" i="4"/>
  <c r="AR281" i="4"/>
  <c r="AR273" i="4"/>
  <c r="AR265" i="4"/>
  <c r="AR228" i="4"/>
  <c r="AR393" i="4"/>
  <c r="AR384" i="4"/>
  <c r="AR376" i="4"/>
  <c r="AR368" i="4"/>
  <c r="AR360" i="4"/>
  <c r="AR352" i="4"/>
  <c r="AR344" i="4"/>
  <c r="AR336" i="4"/>
  <c r="AR328" i="4"/>
  <c r="AR320" i="4"/>
  <c r="AR312" i="4"/>
  <c r="AR304" i="4"/>
  <c r="AR296" i="4"/>
  <c r="AR288" i="4"/>
  <c r="AR280" i="4"/>
  <c r="AR272" i="4"/>
  <c r="AR264" i="4"/>
  <c r="AR219" i="4"/>
  <c r="AR391" i="4"/>
  <c r="AR380" i="4"/>
  <c r="AR364" i="4"/>
  <c r="AR348" i="4"/>
  <c r="AR332" i="4"/>
  <c r="AR318" i="4"/>
  <c r="AR302" i="4"/>
  <c r="AR286" i="4"/>
  <c r="AR270" i="4"/>
  <c r="AR372" i="4"/>
  <c r="AR340" i="4"/>
  <c r="AR278" i="4"/>
  <c r="AR351" i="4"/>
  <c r="AR293" i="4"/>
  <c r="AR382" i="4"/>
  <c r="AR350" i="4"/>
  <c r="AR260" i="4"/>
  <c r="AR365" i="4"/>
  <c r="AR319" i="4"/>
  <c r="AR287" i="4"/>
  <c r="AR390" i="4"/>
  <c r="AR375" i="4"/>
  <c r="AR359" i="4"/>
  <c r="AR343" i="4"/>
  <c r="AR327" i="4"/>
  <c r="AR317" i="4"/>
  <c r="AR301" i="4"/>
  <c r="AR285" i="4"/>
  <c r="AR269" i="4"/>
  <c r="AR356" i="4"/>
  <c r="AR310" i="4"/>
  <c r="AR294" i="4"/>
  <c r="AR383" i="4"/>
  <c r="AR335" i="4"/>
  <c r="AR277" i="4"/>
  <c r="AR292" i="4"/>
  <c r="AR381" i="4"/>
  <c r="AR333" i="4"/>
  <c r="AR271" i="4"/>
  <c r="AR389" i="4"/>
  <c r="AR374" i="4"/>
  <c r="AR358" i="4"/>
  <c r="AR342" i="4"/>
  <c r="AR326" i="4"/>
  <c r="AR316" i="4"/>
  <c r="AR300" i="4"/>
  <c r="AR284" i="4"/>
  <c r="AR268" i="4"/>
  <c r="AR324" i="4"/>
  <c r="AR261" i="4"/>
  <c r="AR303" i="4"/>
  <c r="AR388" i="4"/>
  <c r="AR373" i="4"/>
  <c r="AR357" i="4"/>
  <c r="AR341" i="4"/>
  <c r="AR325" i="4"/>
  <c r="AR311" i="4"/>
  <c r="AR295" i="4"/>
  <c r="AR279" i="4"/>
  <c r="AR263" i="4"/>
  <c r="AR262" i="4"/>
  <c r="AR367" i="4"/>
  <c r="AR309" i="4"/>
  <c r="AR334" i="4"/>
  <c r="AR276" i="4"/>
  <c r="AR349" i="4"/>
  <c r="AR208" i="4"/>
  <c r="AX390" i="4"/>
  <c r="AX382" i="4"/>
  <c r="AX374" i="4"/>
  <c r="AX358" i="4"/>
  <c r="AX350" i="4"/>
  <c r="AX395" i="4"/>
  <c r="AX387" i="4"/>
  <c r="AX379" i="4"/>
  <c r="AX371" i="4"/>
  <c r="AX363" i="4"/>
  <c r="AX355" i="4"/>
  <c r="AX347" i="4"/>
  <c r="AX339" i="4"/>
  <c r="AX331" i="4"/>
  <c r="AX323" i="4"/>
  <c r="AX315" i="4"/>
  <c r="AX307" i="4"/>
  <c r="AX299" i="4"/>
  <c r="AX392" i="4"/>
  <c r="AX384" i="4"/>
  <c r="AX376" i="4"/>
  <c r="AX368" i="4"/>
  <c r="AX360" i="4"/>
  <c r="AX352" i="4"/>
  <c r="AX336" i="4"/>
  <c r="AX328" i="4"/>
  <c r="AX320" i="4"/>
  <c r="AX312" i="4"/>
  <c r="AX304" i="4"/>
  <c r="AX386" i="4"/>
  <c r="AX373" i="4"/>
  <c r="AX362" i="4"/>
  <c r="AX349" i="4"/>
  <c r="AX329" i="4"/>
  <c r="AX318" i="4"/>
  <c r="AX297" i="4"/>
  <c r="AX289" i="4"/>
  <c r="AX281" i="4"/>
  <c r="AX273" i="4"/>
  <c r="AX265" i="4"/>
  <c r="AX245" i="4"/>
  <c r="AX372" i="4"/>
  <c r="AX361" i="4"/>
  <c r="AX348" i="4"/>
  <c r="AX338" i="4"/>
  <c r="AX327" i="4"/>
  <c r="AX317" i="4"/>
  <c r="AX306" i="4"/>
  <c r="AX296" i="4"/>
  <c r="AX288" i="4"/>
  <c r="AX280" i="4"/>
  <c r="AX272" i="4"/>
  <c r="AX264" i="4"/>
  <c r="AX243" i="4"/>
  <c r="AX396" i="4"/>
  <c r="AX383" i="4"/>
  <c r="AX370" i="4"/>
  <c r="AX359" i="4"/>
  <c r="AX346" i="4"/>
  <c r="AX337" i="4"/>
  <c r="AX326" i="4"/>
  <c r="AX316" i="4"/>
  <c r="AX305" i="4"/>
  <c r="AX295" i="4"/>
  <c r="AX287" i="4"/>
  <c r="AX279" i="4"/>
  <c r="AX271" i="4"/>
  <c r="AX263" i="4"/>
  <c r="AX229" i="4"/>
  <c r="AX394" i="4"/>
  <c r="AX381" i="4"/>
  <c r="AX369" i="4"/>
  <c r="AX357" i="4"/>
  <c r="AX335" i="4"/>
  <c r="AX325" i="4"/>
  <c r="AX314" i="4"/>
  <c r="AX303" i="4"/>
  <c r="AX294" i="4"/>
  <c r="AX286" i="4"/>
  <c r="AX278" i="4"/>
  <c r="AX270" i="4"/>
  <c r="AX262" i="4"/>
  <c r="AX228" i="4"/>
  <c r="AX393" i="4"/>
  <c r="AX380" i="4"/>
  <c r="AX367" i="4"/>
  <c r="AX356" i="4"/>
  <c r="AX334" i="4"/>
  <c r="AX324" i="4"/>
  <c r="AX313" i="4"/>
  <c r="AX302" i="4"/>
  <c r="AX293" i="4"/>
  <c r="AX285" i="4"/>
  <c r="AX277" i="4"/>
  <c r="AX261" i="4"/>
  <c r="AX219" i="4"/>
  <c r="AX388" i="4"/>
  <c r="AX354" i="4"/>
  <c r="AX310" i="4"/>
  <c r="AX290" i="4"/>
  <c r="AX268" i="4"/>
  <c r="AX247" i="4"/>
  <c r="AX353" i="4"/>
  <c r="AX333" i="4"/>
  <c r="AX309" i="4"/>
  <c r="AX284" i="4"/>
  <c r="AX267" i="4"/>
  <c r="AX375" i="4"/>
  <c r="AX276" i="4"/>
  <c r="AX378" i="4"/>
  <c r="AX351" i="4"/>
  <c r="AX332" i="4"/>
  <c r="AX283" i="4"/>
  <c r="AX266" i="4"/>
  <c r="AX377" i="4"/>
  <c r="AX330" i="4"/>
  <c r="AX301" i="4"/>
  <c r="AX282" i="4"/>
  <c r="AX260" i="4"/>
  <c r="AX300" i="4"/>
  <c r="AX291" i="4"/>
  <c r="AX246" i="4"/>
  <c r="AX391" i="4"/>
  <c r="AX298" i="4"/>
  <c r="AX365" i="4"/>
  <c r="AX275" i="4"/>
  <c r="AX311" i="4"/>
  <c r="AX343" i="4"/>
  <c r="AX208" i="4"/>
  <c r="AX292" i="4"/>
  <c r="AX364" i="4"/>
  <c r="AX274" i="4"/>
  <c r="AX319" i="4"/>
  <c r="AX389" i="4"/>
  <c r="BF334" i="4"/>
  <c r="BF326" i="4"/>
  <c r="BF318" i="4"/>
  <c r="BF302" i="4"/>
  <c r="BF294" i="4"/>
  <c r="BF226" i="4"/>
  <c r="BF217" i="4"/>
  <c r="BF206" i="4"/>
  <c r="BF381" i="4"/>
  <c r="BF357" i="4"/>
  <c r="BF349" i="4"/>
  <c r="BF325" i="4"/>
  <c r="BF317" i="4"/>
  <c r="BF309" i="4"/>
  <c r="BF301" i="4"/>
  <c r="BF261" i="4"/>
  <c r="BF248" i="4"/>
  <c r="BF225" i="4"/>
  <c r="BF216" i="4"/>
  <c r="BF205" i="4"/>
  <c r="BF387" i="4"/>
  <c r="BF379" i="4"/>
  <c r="BF347" i="4"/>
  <c r="BF339" i="4"/>
  <c r="BF323" i="4"/>
  <c r="BF315" i="4"/>
  <c r="BF299" i="4"/>
  <c r="BF291" i="4"/>
  <c r="BF283" i="4"/>
  <c r="BF275" i="4"/>
  <c r="BF231" i="4"/>
  <c r="BF223" i="4"/>
  <c r="BF214" i="4"/>
  <c r="BF203" i="4"/>
  <c r="BF384" i="4"/>
  <c r="BF360" i="4"/>
  <c r="BF304" i="4"/>
  <c r="BF296" i="4"/>
  <c r="BF280" i="4"/>
  <c r="BF272" i="4"/>
  <c r="BF228" i="4"/>
  <c r="BF219" i="4"/>
  <c r="BF208" i="4"/>
  <c r="BF361" i="4"/>
  <c r="BF295" i="4"/>
  <c r="BF265" i="4"/>
  <c r="BF222" i="4"/>
  <c r="BF202" i="4"/>
  <c r="BF359" i="4"/>
  <c r="BF330" i="4"/>
  <c r="BF284" i="4"/>
  <c r="BF273" i="4"/>
  <c r="BF221" i="4"/>
  <c r="BF386" i="4"/>
  <c r="BF348" i="4"/>
  <c r="BF316" i="4"/>
  <c r="BF292" i="4"/>
  <c r="BF282" i="4"/>
  <c r="BF271" i="4"/>
  <c r="BF218" i="4"/>
  <c r="BF346" i="4"/>
  <c r="BF393" i="4"/>
  <c r="BF327" i="4"/>
  <c r="BF303" i="4"/>
  <c r="BF289" i="4"/>
  <c r="BF279" i="4"/>
  <c r="BF260" i="4"/>
  <c r="BF230" i="4"/>
  <c r="BF213" i="4"/>
  <c r="BF204" i="4"/>
  <c r="BF380" i="4"/>
  <c r="BF298" i="4"/>
  <c r="BF362" i="4"/>
  <c r="BF324" i="4"/>
  <c r="BF297" i="4"/>
  <c r="BF207" i="4"/>
  <c r="BF276" i="4"/>
  <c r="BF227" i="4"/>
  <c r="BD393" i="4"/>
  <c r="BD377" i="4"/>
  <c r="BD361" i="4"/>
  <c r="BD297" i="4"/>
  <c r="BD289" i="4"/>
  <c r="BD273" i="4"/>
  <c r="BD265" i="4"/>
  <c r="BD256" i="4"/>
  <c r="BD225" i="4"/>
  <c r="BD215" i="4"/>
  <c r="BD392" i="4"/>
  <c r="BD384" i="4"/>
  <c r="BD376" i="4"/>
  <c r="BD360" i="4"/>
  <c r="BD320" i="4"/>
  <c r="BD312" i="4"/>
  <c r="BD304" i="4"/>
  <c r="BD296" i="4"/>
  <c r="BD288" i="4"/>
  <c r="BD280" i="4"/>
  <c r="BD272" i="4"/>
  <c r="BD214" i="4"/>
  <c r="BD374" i="4"/>
  <c r="BD334" i="4"/>
  <c r="BD326" i="4"/>
  <c r="BD318" i="4"/>
  <c r="BD302" i="4"/>
  <c r="BD294" i="4"/>
  <c r="BD286" i="4"/>
  <c r="BD278" i="4"/>
  <c r="BD222" i="4"/>
  <c r="BD207" i="4"/>
  <c r="BD387" i="4"/>
  <c r="BD379" i="4"/>
  <c r="BD363" i="4"/>
  <c r="BD347" i="4"/>
  <c r="BD339" i="4"/>
  <c r="BD331" i="4"/>
  <c r="BD323" i="4"/>
  <c r="BD315" i="4"/>
  <c r="BD299" i="4"/>
  <c r="BD291" i="4"/>
  <c r="BD283" i="4"/>
  <c r="BD275" i="4"/>
  <c r="BD228" i="4"/>
  <c r="BD217" i="4"/>
  <c r="BD203" i="4"/>
  <c r="BD386" i="4"/>
  <c r="BD325" i="4"/>
  <c r="BD303" i="4"/>
  <c r="BD216" i="4"/>
  <c r="BD335" i="4"/>
  <c r="BD324" i="4"/>
  <c r="BD311" i="4"/>
  <c r="BD301" i="4"/>
  <c r="BD285" i="4"/>
  <c r="BD271" i="4"/>
  <c r="BD248" i="4"/>
  <c r="BD231" i="4"/>
  <c r="BD208" i="4"/>
  <c r="BD362" i="4"/>
  <c r="BD284" i="4"/>
  <c r="BD261" i="4"/>
  <c r="BD206" i="4"/>
  <c r="BD359" i="4"/>
  <c r="BD332" i="4"/>
  <c r="BD309" i="4"/>
  <c r="BD298" i="4"/>
  <c r="BD282" i="4"/>
  <c r="BD260" i="4"/>
  <c r="BD226" i="4"/>
  <c r="BD205" i="4"/>
  <c r="BD381" i="4"/>
  <c r="BD330" i="4"/>
  <c r="BD319" i="4"/>
  <c r="BD295" i="4"/>
  <c r="BD202" i="4"/>
  <c r="BD316" i="4"/>
  <c r="BD276" i="4"/>
  <c r="BD223" i="4"/>
  <c r="BD375" i="4"/>
  <c r="BD219" i="4"/>
  <c r="BD327" i="4"/>
  <c r="BD292" i="4"/>
  <c r="BD218" i="4"/>
  <c r="BD380" i="4"/>
  <c r="BD357" i="4"/>
  <c r="BD348" i="4"/>
  <c r="BD317" i="4"/>
  <c r="BD346" i="4"/>
  <c r="BD277" i="4"/>
  <c r="BD349" i="4"/>
  <c r="BD279" i="4"/>
  <c r="AV393" i="4"/>
  <c r="AV377" i="4"/>
  <c r="AV369" i="4"/>
  <c r="AV361" i="4"/>
  <c r="AV353" i="4"/>
  <c r="AV345" i="4"/>
  <c r="AV337" i="4"/>
  <c r="AV329" i="4"/>
  <c r="AV313" i="4"/>
  <c r="AV305" i="4"/>
  <c r="AV297" i="4"/>
  <c r="AV289" i="4"/>
  <c r="AV281" i="4"/>
  <c r="AV273" i="4"/>
  <c r="AV265" i="4"/>
  <c r="AV245" i="4"/>
  <c r="AV392" i="4"/>
  <c r="AV384" i="4"/>
  <c r="AV376" i="4"/>
  <c r="AV368" i="4"/>
  <c r="AV360" i="4"/>
  <c r="AV352" i="4"/>
  <c r="AV344" i="4"/>
  <c r="AV336" i="4"/>
  <c r="AV328" i="4"/>
  <c r="AV320" i="4"/>
  <c r="AV312" i="4"/>
  <c r="AV304" i="4"/>
  <c r="AV296" i="4"/>
  <c r="AV288" i="4"/>
  <c r="AV280" i="4"/>
  <c r="AV272" i="4"/>
  <c r="AV264" i="4"/>
  <c r="AV229" i="4"/>
  <c r="AV391" i="4"/>
  <c r="AV383" i="4"/>
  <c r="AV375" i="4"/>
  <c r="AV367" i="4"/>
  <c r="AV359" i="4"/>
  <c r="AV351" i="4"/>
  <c r="AV343" i="4"/>
  <c r="AV335" i="4"/>
  <c r="AV327" i="4"/>
  <c r="AV319" i="4"/>
  <c r="AV311" i="4"/>
  <c r="AV303" i="4"/>
  <c r="AV295" i="4"/>
  <c r="AV287" i="4"/>
  <c r="AV279" i="4"/>
  <c r="AV271" i="4"/>
  <c r="AV263" i="4"/>
  <c r="AV228" i="4"/>
  <c r="AV390" i="4"/>
  <c r="AV382" i="4"/>
  <c r="AV374" i="4"/>
  <c r="AV358" i="4"/>
  <c r="AV350" i="4"/>
  <c r="AV342" i="4"/>
  <c r="AV334" i="4"/>
  <c r="AV326" i="4"/>
  <c r="AV318" i="4"/>
  <c r="AV310" i="4"/>
  <c r="AV302" i="4"/>
  <c r="AV294" i="4"/>
  <c r="AV286" i="4"/>
  <c r="AV278" i="4"/>
  <c r="AV270" i="4"/>
  <c r="AV262" i="4"/>
  <c r="AV219" i="4"/>
  <c r="AV389" i="4"/>
  <c r="AV381" i="4"/>
  <c r="AV373" i="4"/>
  <c r="AV365" i="4"/>
  <c r="AV357" i="4"/>
  <c r="AV349" i="4"/>
  <c r="AV341" i="4"/>
  <c r="AV333" i="4"/>
  <c r="AV325" i="4"/>
  <c r="AV317" i="4"/>
  <c r="AV309" i="4"/>
  <c r="AV301" i="4"/>
  <c r="AV293" i="4"/>
  <c r="AV285" i="4"/>
  <c r="AV277" i="4"/>
  <c r="AV269" i="4"/>
  <c r="AV261" i="4"/>
  <c r="AV208" i="4"/>
  <c r="AV394" i="4"/>
  <c r="AV372" i="4"/>
  <c r="AV355" i="4"/>
  <c r="AV332" i="4"/>
  <c r="AV315" i="4"/>
  <c r="AV292" i="4"/>
  <c r="AV274" i="4"/>
  <c r="AV388" i="4"/>
  <c r="AV371" i="4"/>
  <c r="AV354" i="4"/>
  <c r="AV331" i="4"/>
  <c r="AV314" i="4"/>
  <c r="AV291" i="4"/>
  <c r="AV268" i="4"/>
  <c r="AV346" i="4"/>
  <c r="AV387" i="4"/>
  <c r="AV370" i="4"/>
  <c r="AV348" i="4"/>
  <c r="AV330" i="4"/>
  <c r="AV290" i="4"/>
  <c r="AV267" i="4"/>
  <c r="AV364" i="4"/>
  <c r="AV306" i="4"/>
  <c r="AV386" i="4"/>
  <c r="AV347" i="4"/>
  <c r="AV324" i="4"/>
  <c r="AV307" i="4"/>
  <c r="AV284" i="4"/>
  <c r="AV266" i="4"/>
  <c r="AV380" i="4"/>
  <c r="AV339" i="4"/>
  <c r="AV299" i="4"/>
  <c r="AV246" i="4"/>
  <c r="AV276" i="4"/>
  <c r="AV362" i="4"/>
  <c r="AV247" i="4"/>
  <c r="AV379" i="4"/>
  <c r="AV338" i="4"/>
  <c r="AV298" i="4"/>
  <c r="AV363" i="4"/>
  <c r="AV396" i="4"/>
  <c r="AV275" i="4"/>
  <c r="AV395" i="4"/>
  <c r="AV340" i="4"/>
  <c r="AV378" i="4"/>
  <c r="AV323" i="4"/>
  <c r="AV283" i="4"/>
  <c r="AV316" i="4"/>
  <c r="AV356" i="4"/>
  <c r="AV282" i="4"/>
  <c r="AV260" i="4"/>
  <c r="AV300" i="4"/>
  <c r="BH359" i="4"/>
  <c r="BH295" i="4"/>
  <c r="BH271" i="4"/>
  <c r="BH211" i="4"/>
  <c r="BH203" i="4"/>
  <c r="BH334" i="4"/>
  <c r="BH294" i="4"/>
  <c r="BH228" i="4"/>
  <c r="BH219" i="4"/>
  <c r="BH202" i="4"/>
  <c r="BH380" i="4"/>
  <c r="BH348" i="4"/>
  <c r="BH324" i="4"/>
  <c r="BH292" i="4"/>
  <c r="BH284" i="4"/>
  <c r="BH276" i="4"/>
  <c r="BH226" i="4"/>
  <c r="BH217" i="4"/>
  <c r="BH208" i="4"/>
  <c r="BH361" i="4"/>
  <c r="BH297" i="4"/>
  <c r="BH289" i="4"/>
  <c r="BH273" i="4"/>
  <c r="BH265" i="4"/>
  <c r="BH214" i="4"/>
  <c r="BH205" i="4"/>
  <c r="BH349" i="4"/>
  <c r="BH275" i="4"/>
  <c r="BH230" i="4"/>
  <c r="BH204" i="4"/>
  <c r="BH347" i="4"/>
  <c r="BH339" i="4"/>
  <c r="BH296" i="4"/>
  <c r="BH346" i="4"/>
  <c r="BH282" i="4"/>
  <c r="BH272" i="4"/>
  <c r="BH227" i="4"/>
  <c r="BH381" i="4"/>
  <c r="BH291" i="4"/>
  <c r="BH248" i="4"/>
  <c r="BH225" i="4"/>
  <c r="BH213" i="4"/>
  <c r="BH379" i="4"/>
  <c r="BH280" i="4"/>
  <c r="BH325" i="4"/>
  <c r="BH323" i="4"/>
  <c r="BH315" i="4"/>
  <c r="BH233" i="4"/>
  <c r="BH209" i="4"/>
  <c r="BH360" i="4"/>
  <c r="BH309" i="4"/>
  <c r="BH301" i="4"/>
  <c r="BH206" i="4"/>
  <c r="BH207" i="4"/>
  <c r="BB395" i="4"/>
  <c r="BB387" i="4"/>
  <c r="BB379" i="4"/>
  <c r="BB371" i="4"/>
  <c r="BB363" i="4"/>
  <c r="BB355" i="4"/>
  <c r="BB347" i="4"/>
  <c r="BB339" i="4"/>
  <c r="BB331" i="4"/>
  <c r="BB323" i="4"/>
  <c r="BB315" i="4"/>
  <c r="BB307" i="4"/>
  <c r="BB299" i="4"/>
  <c r="BB291" i="4"/>
  <c r="BB283" i="4"/>
  <c r="BB275" i="4"/>
  <c r="BB267" i="4"/>
  <c r="BB257" i="4"/>
  <c r="BB243" i="4"/>
  <c r="BB219" i="4"/>
  <c r="BB394" i="4"/>
  <c r="BB386" i="4"/>
  <c r="BB378" i="4"/>
  <c r="BB370" i="4"/>
  <c r="BB362" i="4"/>
  <c r="BB354" i="4"/>
  <c r="BB346" i="4"/>
  <c r="BB338" i="4"/>
  <c r="BB330" i="4"/>
  <c r="BB314" i="4"/>
  <c r="BB306" i="4"/>
  <c r="BB298" i="4"/>
  <c r="BB290" i="4"/>
  <c r="BB282" i="4"/>
  <c r="BB274" i="4"/>
  <c r="BB266" i="4"/>
  <c r="BB255" i="4"/>
  <c r="BB237" i="4"/>
  <c r="BB218" i="4"/>
  <c r="BB392" i="4"/>
  <c r="BB384" i="4"/>
  <c r="BB376" i="4"/>
  <c r="BB360" i="4"/>
  <c r="BB352" i="4"/>
  <c r="BB336" i="4"/>
  <c r="BB328" i="4"/>
  <c r="BB320" i="4"/>
  <c r="BB312" i="4"/>
  <c r="BB304" i="4"/>
  <c r="BB296" i="4"/>
  <c r="BB288" i="4"/>
  <c r="BB280" i="4"/>
  <c r="BB272" i="4"/>
  <c r="BB264" i="4"/>
  <c r="BB249" i="4"/>
  <c r="BB229" i="4"/>
  <c r="BB216" i="4"/>
  <c r="BB381" i="4"/>
  <c r="BB373" i="4"/>
  <c r="BB365" i="4"/>
  <c r="BB357" i="4"/>
  <c r="BB349" i="4"/>
  <c r="BB333" i="4"/>
  <c r="BB325" i="4"/>
  <c r="BB317" i="4"/>
  <c r="BB309" i="4"/>
  <c r="BB301" i="4"/>
  <c r="BB285" i="4"/>
  <c r="BB277" i="4"/>
  <c r="BB261" i="4"/>
  <c r="BB246" i="4"/>
  <c r="BB225" i="4"/>
  <c r="BB205" i="4"/>
  <c r="BB374" i="4"/>
  <c r="BB359" i="4"/>
  <c r="BB332" i="4"/>
  <c r="BB318" i="4"/>
  <c r="BB302" i="4"/>
  <c r="BB287" i="4"/>
  <c r="BB271" i="4"/>
  <c r="BB217" i="4"/>
  <c r="BB388" i="4"/>
  <c r="BB372" i="4"/>
  <c r="BB343" i="4"/>
  <c r="BB329" i="4"/>
  <c r="BB316" i="4"/>
  <c r="BB300" i="4"/>
  <c r="BB286" i="4"/>
  <c r="BB270" i="4"/>
  <c r="BB248" i="4"/>
  <c r="BB208" i="4"/>
  <c r="BB369" i="4"/>
  <c r="BB356" i="4"/>
  <c r="BB327" i="4"/>
  <c r="BB313" i="4"/>
  <c r="BB297" i="4"/>
  <c r="BB284" i="4"/>
  <c r="BB207" i="4"/>
  <c r="BB383" i="4"/>
  <c r="BB353" i="4"/>
  <c r="BB326" i="4"/>
  <c r="BB311" i="4"/>
  <c r="BB295" i="4"/>
  <c r="BB268" i="4"/>
  <c r="BB245" i="4"/>
  <c r="BB396" i="4"/>
  <c r="BB382" i="4"/>
  <c r="BB351" i="4"/>
  <c r="BB324" i="4"/>
  <c r="BB310" i="4"/>
  <c r="BB294" i="4"/>
  <c r="BB279" i="4"/>
  <c r="BB265" i="4"/>
  <c r="BB231" i="4"/>
  <c r="BB377" i="4"/>
  <c r="BB350" i="4"/>
  <c r="BB335" i="4"/>
  <c r="BB263" i="4"/>
  <c r="BB375" i="4"/>
  <c r="BB348" i="4"/>
  <c r="BB334" i="4"/>
  <c r="BB292" i="4"/>
  <c r="BB262" i="4"/>
  <c r="BB278" i="4"/>
  <c r="BB393" i="4"/>
  <c r="BB289" i="4"/>
  <c r="BB260" i="4"/>
  <c r="BB390" i="4"/>
  <c r="BB319" i="4"/>
  <c r="BB391" i="4"/>
  <c r="BB228" i="4"/>
  <c r="BB364" i="4"/>
  <c r="BB337" i="4"/>
  <c r="BB276" i="4"/>
  <c r="BB380" i="4"/>
  <c r="BB303" i="4"/>
  <c r="BB226" i="4"/>
  <c r="BB361" i="4"/>
  <c r="BB273" i="4"/>
  <c r="BB305" i="4"/>
  <c r="AP392" i="4"/>
  <c r="AP384" i="4"/>
  <c r="AP376" i="4"/>
  <c r="AP368" i="4"/>
  <c r="AP360" i="4"/>
  <c r="AP352" i="4"/>
  <c r="AP344" i="4"/>
  <c r="AP336" i="4"/>
  <c r="AP328" i="4"/>
  <c r="AP320" i="4"/>
  <c r="AP312" i="4"/>
  <c r="AP304" i="4"/>
  <c r="AP296" i="4"/>
  <c r="AP288" i="4"/>
  <c r="AP280" i="4"/>
  <c r="AP272" i="4"/>
  <c r="AP264" i="4"/>
  <c r="AP219" i="4"/>
  <c r="AP391" i="4"/>
  <c r="AP383" i="4"/>
  <c r="AP375" i="4"/>
  <c r="AP367" i="4"/>
  <c r="AP359" i="4"/>
  <c r="AP351" i="4"/>
  <c r="AP343" i="4"/>
  <c r="AP335" i="4"/>
  <c r="AP327" i="4"/>
  <c r="AP319" i="4"/>
  <c r="AP311" i="4"/>
  <c r="AP303" i="4"/>
  <c r="AP295" i="4"/>
  <c r="AP287" i="4"/>
  <c r="AP279" i="4"/>
  <c r="AP271" i="4"/>
  <c r="AP263" i="4"/>
  <c r="AP208" i="4"/>
  <c r="AP390" i="4"/>
  <c r="AP382" i="4"/>
  <c r="AP374" i="4"/>
  <c r="AP358" i="4"/>
  <c r="AP350" i="4"/>
  <c r="AP342" i="4"/>
  <c r="AP334" i="4"/>
  <c r="AP326" i="4"/>
  <c r="AP318" i="4"/>
  <c r="AP310" i="4"/>
  <c r="AP302" i="4"/>
  <c r="AP294" i="4"/>
  <c r="AP286" i="4"/>
  <c r="AP278" i="4"/>
  <c r="AP270" i="4"/>
  <c r="AP262" i="4"/>
  <c r="AP389" i="4"/>
  <c r="AP381" i="4"/>
  <c r="AP373" i="4"/>
  <c r="AP365" i="4"/>
  <c r="AP357" i="4"/>
  <c r="AP349" i="4"/>
  <c r="AP341" i="4"/>
  <c r="AP333" i="4"/>
  <c r="AP325" i="4"/>
  <c r="AP317" i="4"/>
  <c r="AP309" i="4"/>
  <c r="AP301" i="4"/>
  <c r="AP293" i="4"/>
  <c r="AP285" i="4"/>
  <c r="AP277" i="4"/>
  <c r="AP269" i="4"/>
  <c r="AP261" i="4"/>
  <c r="AP395" i="4"/>
  <c r="AP379" i="4"/>
  <c r="AP364" i="4"/>
  <c r="AP348" i="4"/>
  <c r="AP332" i="4"/>
  <c r="AP316" i="4"/>
  <c r="AP300" i="4"/>
  <c r="AP284" i="4"/>
  <c r="AP268" i="4"/>
  <c r="AP387" i="4"/>
  <c r="AP356" i="4"/>
  <c r="AP324" i="4"/>
  <c r="AP260" i="4"/>
  <c r="AP386" i="4"/>
  <c r="AP323" i="4"/>
  <c r="AP291" i="4"/>
  <c r="AP354" i="4"/>
  <c r="AP338" i="4"/>
  <c r="AP306" i="4"/>
  <c r="AP290" i="4"/>
  <c r="AP353" i="4"/>
  <c r="AP305" i="4"/>
  <c r="AP394" i="4"/>
  <c r="AP378" i="4"/>
  <c r="AP363" i="4"/>
  <c r="AP347" i="4"/>
  <c r="AP331" i="4"/>
  <c r="AP315" i="4"/>
  <c r="AP299" i="4"/>
  <c r="AP283" i="4"/>
  <c r="AP267" i="4"/>
  <c r="AP371" i="4"/>
  <c r="AP340" i="4"/>
  <c r="AP292" i="4"/>
  <c r="AP370" i="4"/>
  <c r="AP307" i="4"/>
  <c r="AP275" i="4"/>
  <c r="AP369" i="4"/>
  <c r="AP274" i="4"/>
  <c r="AP380" i="4"/>
  <c r="AP337" i="4"/>
  <c r="AP289" i="4"/>
  <c r="AP393" i="4"/>
  <c r="AP377" i="4"/>
  <c r="AP362" i="4"/>
  <c r="AP346" i="4"/>
  <c r="AP330" i="4"/>
  <c r="AP314" i="4"/>
  <c r="AP298" i="4"/>
  <c r="AP282" i="4"/>
  <c r="AP266" i="4"/>
  <c r="AP339" i="4"/>
  <c r="AP229" i="4"/>
  <c r="AP388" i="4"/>
  <c r="AP372" i="4"/>
  <c r="AP361" i="4"/>
  <c r="AP345" i="4"/>
  <c r="AP329" i="4"/>
  <c r="AP313" i="4"/>
  <c r="AP297" i="4"/>
  <c r="AP281" i="4"/>
  <c r="AP265" i="4"/>
  <c r="AP276" i="4"/>
  <c r="AP355" i="4"/>
  <c r="AP245" i="4"/>
  <c r="AP396" i="4"/>
  <c r="AP273" i="4"/>
  <c r="AP228" i="4"/>
  <c r="AT392" i="4"/>
  <c r="AT384" i="4"/>
  <c r="AT376" i="4"/>
  <c r="AT360" i="4"/>
  <c r="AT352" i="4"/>
  <c r="AT336" i="4"/>
  <c r="AT328" i="4"/>
  <c r="AT320" i="4"/>
  <c r="AT312" i="4"/>
  <c r="AT304" i="4"/>
  <c r="AT296" i="4"/>
  <c r="AT288" i="4"/>
  <c r="AT280" i="4"/>
  <c r="AT272" i="4"/>
  <c r="AT264" i="4"/>
  <c r="AT243" i="4"/>
  <c r="AT391" i="4"/>
  <c r="AT383" i="4"/>
  <c r="AT375" i="4"/>
  <c r="AT367" i="4"/>
  <c r="AT359" i="4"/>
  <c r="AT351" i="4"/>
  <c r="AT343" i="4"/>
  <c r="AT335" i="4"/>
  <c r="AT327" i="4"/>
  <c r="AT390" i="4"/>
  <c r="AT382" i="4"/>
  <c r="AT374" i="4"/>
  <c r="AT350" i="4"/>
  <c r="AT334" i="4"/>
  <c r="AT326" i="4"/>
  <c r="AT318" i="4"/>
  <c r="AT310" i="4"/>
  <c r="AT302" i="4"/>
  <c r="AT294" i="4"/>
  <c r="AT286" i="4"/>
  <c r="AT278" i="4"/>
  <c r="AT270" i="4"/>
  <c r="AT262" i="4"/>
  <c r="AT228" i="4"/>
  <c r="AT396" i="4"/>
  <c r="AT388" i="4"/>
  <c r="AT380" i="4"/>
  <c r="AT372" i="4"/>
  <c r="AT364" i="4"/>
  <c r="AT356" i="4"/>
  <c r="AT348" i="4"/>
  <c r="AT332" i="4"/>
  <c r="AT393" i="4"/>
  <c r="AT377" i="4"/>
  <c r="AT363" i="4"/>
  <c r="AT349" i="4"/>
  <c r="AT339" i="4"/>
  <c r="AT324" i="4"/>
  <c r="AT314" i="4"/>
  <c r="AT303" i="4"/>
  <c r="AT292" i="4"/>
  <c r="AT282" i="4"/>
  <c r="AT271" i="4"/>
  <c r="AT260" i="4"/>
  <c r="AT208" i="4"/>
  <c r="AT373" i="4"/>
  <c r="AT362" i="4"/>
  <c r="AT347" i="4"/>
  <c r="AT338" i="4"/>
  <c r="AT323" i="4"/>
  <c r="AT313" i="4"/>
  <c r="AT301" i="4"/>
  <c r="AT291" i="4"/>
  <c r="AT281" i="4"/>
  <c r="AT387" i="4"/>
  <c r="AT371" i="4"/>
  <c r="AT361" i="4"/>
  <c r="AT346" i="4"/>
  <c r="AT337" i="4"/>
  <c r="AT311" i="4"/>
  <c r="AT300" i="4"/>
  <c r="AT290" i="4"/>
  <c r="AT279" i="4"/>
  <c r="AT268" i="4"/>
  <c r="AT246" i="4"/>
  <c r="AT386" i="4"/>
  <c r="AT370" i="4"/>
  <c r="AT333" i="4"/>
  <c r="AT309" i="4"/>
  <c r="AT299" i="4"/>
  <c r="AT289" i="4"/>
  <c r="AT277" i="4"/>
  <c r="AT267" i="4"/>
  <c r="AT245" i="4"/>
  <c r="AT395" i="4"/>
  <c r="AT325" i="4"/>
  <c r="AT307" i="4"/>
  <c r="AT285" i="4"/>
  <c r="AT266" i="4"/>
  <c r="AT217" i="4"/>
  <c r="AT381" i="4"/>
  <c r="AT297" i="4"/>
  <c r="AT355" i="4"/>
  <c r="AT295" i="4"/>
  <c r="AT330" i="4"/>
  <c r="AT293" i="4"/>
  <c r="AT219" i="4"/>
  <c r="AT353" i="4"/>
  <c r="AT287" i="4"/>
  <c r="AT394" i="4"/>
  <c r="AT306" i="4"/>
  <c r="AT284" i="4"/>
  <c r="AT265" i="4"/>
  <c r="AT357" i="4"/>
  <c r="AT317" i="4"/>
  <c r="AT275" i="4"/>
  <c r="AT316" i="4"/>
  <c r="AT274" i="4"/>
  <c r="AT378" i="4"/>
  <c r="AT315" i="4"/>
  <c r="AT273" i="4"/>
  <c r="AT329" i="4"/>
  <c r="AT218" i="4"/>
  <c r="AT365" i="4"/>
  <c r="AT305" i="4"/>
  <c r="AT283" i="4"/>
  <c r="AT263" i="4"/>
  <c r="AT331" i="4"/>
  <c r="AT319" i="4"/>
  <c r="AT298" i="4"/>
  <c r="AT276" i="4"/>
  <c r="AT261" i="4"/>
  <c r="AT379" i="4"/>
  <c r="AT229" i="4"/>
  <c r="AT354" i="4"/>
  <c r="AT369" i="4"/>
  <c r="BJ251" i="4"/>
  <c r="BJ250" i="4"/>
  <c r="BJ232" i="4"/>
  <c r="BJ253" i="4"/>
  <c r="BJ252" i="4"/>
  <c r="BJ220" i="4"/>
  <c r="BJ212" i="4"/>
  <c r="BD252" i="4"/>
  <c r="BD244" i="4"/>
  <c r="BD236" i="4"/>
  <c r="BD220" i="4"/>
  <c r="BD212" i="4"/>
  <c r="BD204" i="4"/>
  <c r="BD259" i="4"/>
  <c r="BD251" i="4"/>
  <c r="BD227" i="4"/>
  <c r="BD211" i="4"/>
  <c r="BD250" i="4"/>
  <c r="BD234" i="4"/>
  <c r="BD210" i="4"/>
  <c r="BD241" i="4"/>
  <c r="BD233" i="4"/>
  <c r="BD209" i="4"/>
  <c r="BD201" i="4"/>
  <c r="BD240" i="4"/>
  <c r="BD232" i="4"/>
  <c r="BD239" i="4"/>
  <c r="BD238" i="4"/>
  <c r="BD230" i="4"/>
  <c r="BD253" i="4"/>
  <c r="BD221" i="4"/>
  <c r="BD213" i="4"/>
  <c r="AX253" i="4"/>
  <c r="AX237" i="4"/>
  <c r="AX221" i="4"/>
  <c r="AX213" i="4"/>
  <c r="AX205" i="4"/>
  <c r="AX252" i="4"/>
  <c r="AX244" i="4"/>
  <c r="AX236" i="4"/>
  <c r="AX220" i="4"/>
  <c r="AX212" i="4"/>
  <c r="AX204" i="4"/>
  <c r="AX259" i="4"/>
  <c r="AX251" i="4"/>
  <c r="AX235" i="4"/>
  <c r="AX227" i="4"/>
  <c r="AX211" i="4"/>
  <c r="AX203" i="4"/>
  <c r="AX258" i="4"/>
  <c r="AX250" i="4"/>
  <c r="AX242" i="4"/>
  <c r="AX234" i="4"/>
  <c r="AX226" i="4"/>
  <c r="AX218" i="4"/>
  <c r="AX210" i="4"/>
  <c r="AX202" i="4"/>
  <c r="AX257" i="4"/>
  <c r="AX249" i="4"/>
  <c r="AX241" i="4"/>
  <c r="AX233" i="4"/>
  <c r="AX225" i="4"/>
  <c r="AX217" i="4"/>
  <c r="AX209" i="4"/>
  <c r="AX201" i="4"/>
  <c r="AX256" i="4"/>
  <c r="AX248" i="4"/>
  <c r="AX240" i="4"/>
  <c r="AX232" i="4"/>
  <c r="AX224" i="4"/>
  <c r="AX216" i="4"/>
  <c r="AX255" i="4"/>
  <c r="AX239" i="4"/>
  <c r="AX231" i="4"/>
  <c r="AX223" i="4"/>
  <c r="AX215" i="4"/>
  <c r="AX207" i="4"/>
  <c r="AX254" i="4"/>
  <c r="AX238" i="4"/>
  <c r="AX230" i="4"/>
  <c r="AX222" i="4"/>
  <c r="AX214" i="4"/>
  <c r="AX206" i="4"/>
  <c r="BB239" i="4"/>
  <c r="BB223" i="4"/>
  <c r="BB215" i="4"/>
  <c r="BB238" i="4"/>
  <c r="BB230" i="4"/>
  <c r="BB222" i="4"/>
  <c r="BB214" i="4"/>
  <c r="BB206" i="4"/>
  <c r="BB253" i="4"/>
  <c r="BB221" i="4"/>
  <c r="BB213" i="4"/>
  <c r="BB252" i="4"/>
  <c r="BB244" i="4"/>
  <c r="BB236" i="4"/>
  <c r="BB220" i="4"/>
  <c r="BB212" i="4"/>
  <c r="BB204" i="4"/>
  <c r="BB259" i="4"/>
  <c r="BB251" i="4"/>
  <c r="BB235" i="4"/>
  <c r="BB227" i="4"/>
  <c r="BB211" i="4"/>
  <c r="BB203" i="4"/>
  <c r="BB258" i="4"/>
  <c r="BB250" i="4"/>
  <c r="BB242" i="4"/>
  <c r="BB234" i="4"/>
  <c r="BB210" i="4"/>
  <c r="BB202" i="4"/>
  <c r="BB241" i="4"/>
  <c r="BB233" i="4"/>
  <c r="BB209" i="4"/>
  <c r="BB201" i="4"/>
  <c r="BB256" i="4"/>
  <c r="BB240" i="4"/>
  <c r="BB232" i="4"/>
  <c r="AR254" i="4"/>
  <c r="AR246" i="4"/>
  <c r="AR238" i="4"/>
  <c r="AR230" i="4"/>
  <c r="AR222" i="4"/>
  <c r="AR214" i="4"/>
  <c r="AR206" i="4"/>
  <c r="AR253" i="4"/>
  <c r="AR237" i="4"/>
  <c r="AR221" i="4"/>
  <c r="AR213" i="4"/>
  <c r="AR205" i="4"/>
  <c r="AR252" i="4"/>
  <c r="AR244" i="4"/>
  <c r="AR236" i="4"/>
  <c r="AR220" i="4"/>
  <c r="AR212" i="4"/>
  <c r="AR204" i="4"/>
  <c r="AR259" i="4"/>
  <c r="AR251" i="4"/>
  <c r="AR243" i="4"/>
  <c r="AR235" i="4"/>
  <c r="AR227" i="4"/>
  <c r="AR211" i="4"/>
  <c r="AR203" i="4"/>
  <c r="AR258" i="4"/>
  <c r="AR250" i="4"/>
  <c r="AR242" i="4"/>
  <c r="AR234" i="4"/>
  <c r="AR226" i="4"/>
  <c r="AR218" i="4"/>
  <c r="AR210" i="4"/>
  <c r="AR202" i="4"/>
  <c r="AR257" i="4"/>
  <c r="AR249" i="4"/>
  <c r="AR241" i="4"/>
  <c r="AR233" i="4"/>
  <c r="AR225" i="4"/>
  <c r="AR217" i="4"/>
  <c r="AR209" i="4"/>
  <c r="AR201" i="4"/>
  <c r="AR256" i="4"/>
  <c r="AR248" i="4"/>
  <c r="AR240" i="4"/>
  <c r="AR232" i="4"/>
  <c r="AR224" i="4"/>
  <c r="AR216" i="4"/>
  <c r="AR255" i="4"/>
  <c r="AR247" i="4"/>
  <c r="AR239" i="4"/>
  <c r="AR231" i="4"/>
  <c r="AR223" i="4"/>
  <c r="AR215" i="4"/>
  <c r="AR207" i="4"/>
  <c r="AT259" i="4"/>
  <c r="AT251" i="4"/>
  <c r="AT235" i="4"/>
  <c r="AT227" i="4"/>
  <c r="AT211" i="4"/>
  <c r="AT203" i="4"/>
  <c r="AT258" i="4"/>
  <c r="AT250" i="4"/>
  <c r="AT242" i="4"/>
  <c r="AT234" i="4"/>
  <c r="AT226" i="4"/>
  <c r="AT210" i="4"/>
  <c r="AT202" i="4"/>
  <c r="AT257" i="4"/>
  <c r="AT249" i="4"/>
  <c r="AT241" i="4"/>
  <c r="AT233" i="4"/>
  <c r="AT225" i="4"/>
  <c r="AT209" i="4"/>
  <c r="AT201" i="4"/>
  <c r="AT256" i="4"/>
  <c r="AT248" i="4"/>
  <c r="AT240" i="4"/>
  <c r="AT232" i="4"/>
  <c r="AT224" i="4"/>
  <c r="AT216" i="4"/>
  <c r="AT255" i="4"/>
  <c r="AT239" i="4"/>
  <c r="AT231" i="4"/>
  <c r="AT223" i="4"/>
  <c r="AT215" i="4"/>
  <c r="AT207" i="4"/>
  <c r="AT254" i="4"/>
  <c r="AT238" i="4"/>
  <c r="AT230" i="4"/>
  <c r="AT222" i="4"/>
  <c r="AT214" i="4"/>
  <c r="AT206" i="4"/>
  <c r="AT253" i="4"/>
  <c r="AT237" i="4"/>
  <c r="AT221" i="4"/>
  <c r="AT213" i="4"/>
  <c r="AT205" i="4"/>
  <c r="AT252" i="4"/>
  <c r="AT244" i="4"/>
  <c r="AT236" i="4"/>
  <c r="AT220" i="4"/>
  <c r="AT212" i="4"/>
  <c r="AT204" i="4"/>
  <c r="AV256" i="4"/>
  <c r="AV248" i="4"/>
  <c r="AV240" i="4"/>
  <c r="AV232" i="4"/>
  <c r="AV224" i="4"/>
  <c r="AV216" i="4"/>
  <c r="AV255" i="4"/>
  <c r="AV239" i="4"/>
  <c r="AV231" i="4"/>
  <c r="AV223" i="4"/>
  <c r="AV215" i="4"/>
  <c r="AV207" i="4"/>
  <c r="AV254" i="4"/>
  <c r="AV238" i="4"/>
  <c r="AV230" i="4"/>
  <c r="AV222" i="4"/>
  <c r="AV214" i="4"/>
  <c r="AV206" i="4"/>
  <c r="AV253" i="4"/>
  <c r="AV237" i="4"/>
  <c r="AV221" i="4"/>
  <c r="AV213" i="4"/>
  <c r="AV205" i="4"/>
  <c r="AV252" i="4"/>
  <c r="AV244" i="4"/>
  <c r="AV236" i="4"/>
  <c r="AV220" i="4"/>
  <c r="AV212" i="4"/>
  <c r="AV204" i="4"/>
  <c r="AV259" i="4"/>
  <c r="AV251" i="4"/>
  <c r="AV243" i="4"/>
  <c r="AV235" i="4"/>
  <c r="AV227" i="4"/>
  <c r="AV211" i="4"/>
  <c r="AV203" i="4"/>
  <c r="AV258" i="4"/>
  <c r="AV250" i="4"/>
  <c r="AV242" i="4"/>
  <c r="AV234" i="4"/>
  <c r="AV226" i="4"/>
  <c r="AV218" i="4"/>
  <c r="AV210" i="4"/>
  <c r="AV202" i="4"/>
  <c r="AV257" i="4"/>
  <c r="AV249" i="4"/>
  <c r="AV241" i="4"/>
  <c r="AV233" i="4"/>
  <c r="AV225" i="4"/>
  <c r="AV217" i="4"/>
  <c r="AV209" i="4"/>
  <c r="AV201" i="4"/>
  <c r="BF241" i="4"/>
  <c r="BF233" i="4"/>
  <c r="BF209" i="4"/>
  <c r="BF240" i="4"/>
  <c r="BF232" i="4"/>
  <c r="BF239" i="4"/>
  <c r="BF253" i="4"/>
  <c r="BF252" i="4"/>
  <c r="BF244" i="4"/>
  <c r="BF236" i="4"/>
  <c r="BF220" i="4"/>
  <c r="BF212" i="4"/>
  <c r="BF259" i="4"/>
  <c r="BF251" i="4"/>
  <c r="BF211" i="4"/>
  <c r="BF250" i="4"/>
  <c r="BH253" i="4"/>
  <c r="BH252" i="4"/>
  <c r="BH244" i="4"/>
  <c r="BH236" i="4"/>
  <c r="BH220" i="4"/>
  <c r="BH212" i="4"/>
  <c r="BH259" i="4"/>
  <c r="BH251" i="4"/>
  <c r="BH250" i="4"/>
  <c r="BH240" i="4"/>
  <c r="BH232" i="4"/>
  <c r="BH239" i="4"/>
  <c r="AZ258" i="4"/>
  <c r="AZ250" i="4"/>
  <c r="AZ242" i="4"/>
  <c r="AZ234" i="4"/>
  <c r="AZ226" i="4"/>
  <c r="AZ210" i="4"/>
  <c r="AZ202" i="4"/>
  <c r="AZ241" i="4"/>
  <c r="AZ233" i="4"/>
  <c r="AZ225" i="4"/>
  <c r="AZ209" i="4"/>
  <c r="AZ201" i="4"/>
  <c r="AZ256" i="4"/>
  <c r="AZ248" i="4"/>
  <c r="AZ240" i="4"/>
  <c r="AZ232" i="4"/>
  <c r="AZ224" i="4"/>
  <c r="AZ216" i="4"/>
  <c r="AZ255" i="4"/>
  <c r="AZ239" i="4"/>
  <c r="AZ231" i="4"/>
  <c r="AZ223" i="4"/>
  <c r="AZ215" i="4"/>
  <c r="AZ207" i="4"/>
  <c r="AZ254" i="4"/>
  <c r="AZ238" i="4"/>
  <c r="AZ230" i="4"/>
  <c r="AZ222" i="4"/>
  <c r="AZ214" i="4"/>
  <c r="AZ206" i="4"/>
  <c r="AZ253" i="4"/>
  <c r="AZ237" i="4"/>
  <c r="AZ221" i="4"/>
  <c r="AZ213" i="4"/>
  <c r="AZ205" i="4"/>
  <c r="AZ252" i="4"/>
  <c r="AZ244" i="4"/>
  <c r="AZ236" i="4"/>
  <c r="AZ220" i="4"/>
  <c r="AZ212" i="4"/>
  <c r="AZ204" i="4"/>
  <c r="AZ259" i="4"/>
  <c r="AZ251" i="4"/>
  <c r="AZ235" i="4"/>
  <c r="AZ227" i="4"/>
  <c r="AZ211" i="4"/>
  <c r="AZ203" i="4"/>
  <c r="AP257" i="4"/>
  <c r="AP249" i="4"/>
  <c r="AP241" i="4"/>
  <c r="AP233" i="4"/>
  <c r="AP225" i="4"/>
  <c r="AP217" i="4"/>
  <c r="AP209" i="4"/>
  <c r="AP201" i="4"/>
  <c r="AP256" i="4"/>
  <c r="AP248" i="4"/>
  <c r="AP240" i="4"/>
  <c r="AP232" i="4"/>
  <c r="AP224" i="4"/>
  <c r="AP216" i="4"/>
  <c r="AP255" i="4"/>
  <c r="AP247" i="4"/>
  <c r="AP239" i="4"/>
  <c r="AP231" i="4"/>
  <c r="AP223" i="4"/>
  <c r="AP215" i="4"/>
  <c r="AP207" i="4"/>
  <c r="AP254" i="4"/>
  <c r="AP246" i="4"/>
  <c r="AP238" i="4"/>
  <c r="AP230" i="4"/>
  <c r="AP222" i="4"/>
  <c r="AP214" i="4"/>
  <c r="AP206" i="4"/>
  <c r="AP253" i="4"/>
  <c r="AP237" i="4"/>
  <c r="AP221" i="4"/>
  <c r="AP213" i="4"/>
  <c r="AP205" i="4"/>
  <c r="AP252" i="4"/>
  <c r="AP244" i="4"/>
  <c r="AP236" i="4"/>
  <c r="AP220" i="4"/>
  <c r="AP212" i="4"/>
  <c r="AP204" i="4"/>
  <c r="AP259" i="4"/>
  <c r="AP251" i="4"/>
  <c r="AP243" i="4"/>
  <c r="AP235" i="4"/>
  <c r="AP227" i="4"/>
  <c r="AP211" i="4"/>
  <c r="AP203" i="4"/>
  <c r="AP258" i="4"/>
  <c r="AP250" i="4"/>
  <c r="AP242" i="4"/>
  <c r="AP234" i="4"/>
  <c r="AP226" i="4"/>
  <c r="AP218" i="4"/>
  <c r="AP210" i="4"/>
  <c r="AP202" i="4"/>
  <c r="W207" i="20"/>
  <c r="W206" i="20"/>
  <c r="X206" i="20" s="1"/>
  <c r="W205" i="20"/>
  <c r="X205" i="20" s="1"/>
  <c r="W204" i="20"/>
  <c r="X204" i="20" s="1"/>
  <c r="W203" i="20"/>
  <c r="X203" i="20" s="1"/>
  <c r="W202" i="20"/>
  <c r="X202" i="20" s="1"/>
  <c r="W201" i="20"/>
  <c r="X201" i="20" s="1"/>
  <c r="W200" i="20"/>
  <c r="X200" i="20" s="1"/>
  <c r="W199" i="20"/>
  <c r="X199" i="20" s="1"/>
  <c r="W198" i="20"/>
  <c r="X198" i="20" s="1"/>
  <c r="W197" i="20"/>
  <c r="X197" i="20" s="1"/>
  <c r="W196" i="20"/>
  <c r="X196" i="20" s="1"/>
  <c r="W195" i="20"/>
  <c r="X195" i="20" s="1"/>
  <c r="W194" i="20"/>
  <c r="X194" i="20" s="1"/>
  <c r="W193" i="20"/>
  <c r="X193" i="20" s="1"/>
  <c r="W192" i="20"/>
  <c r="X192" i="20" s="1"/>
  <c r="W191" i="20"/>
  <c r="X191" i="20" s="1"/>
  <c r="W190" i="20"/>
  <c r="X190" i="20" s="1"/>
  <c r="W189" i="20"/>
  <c r="X189" i="20" s="1"/>
  <c r="W188" i="20"/>
  <c r="X188" i="20" s="1"/>
  <c r="W187" i="20"/>
  <c r="X187" i="20" s="1"/>
  <c r="W186" i="20"/>
  <c r="X186" i="20" s="1"/>
  <c r="W185" i="20"/>
  <c r="X185" i="20" s="1"/>
  <c r="W184" i="20"/>
  <c r="X184" i="20" s="1"/>
  <c r="W183" i="20"/>
  <c r="X183" i="20" s="1"/>
  <c r="W182" i="20"/>
  <c r="X182" i="20" s="1"/>
  <c r="W181" i="20"/>
  <c r="X181" i="20" s="1"/>
  <c r="W180" i="20"/>
  <c r="X180" i="20" s="1"/>
  <c r="W179" i="20"/>
  <c r="X179" i="20" s="1"/>
  <c r="W178" i="20"/>
  <c r="X178" i="20" s="1"/>
  <c r="W177" i="20"/>
  <c r="X177" i="20" s="1"/>
  <c r="W176" i="20"/>
  <c r="X176" i="20" s="1"/>
  <c r="W175" i="20"/>
  <c r="X175" i="20" s="1"/>
  <c r="W174" i="20"/>
  <c r="X174" i="20" s="1"/>
  <c r="W173" i="20"/>
  <c r="X173" i="20" s="1"/>
  <c r="W172" i="20"/>
  <c r="X172" i="20" s="1"/>
  <c r="W171" i="20"/>
  <c r="X171" i="20" s="1"/>
  <c r="W170" i="20"/>
  <c r="X170" i="20" s="1"/>
  <c r="W169" i="20"/>
  <c r="X169" i="20" s="1"/>
  <c r="W168" i="20"/>
  <c r="X168" i="20" s="1"/>
  <c r="W167" i="20"/>
  <c r="X167" i="20" s="1"/>
  <c r="W166" i="20"/>
  <c r="X166" i="20" s="1"/>
  <c r="W165" i="20"/>
  <c r="X165" i="20" s="1"/>
  <c r="W164" i="20"/>
  <c r="X164" i="20" s="1"/>
  <c r="W163" i="20"/>
  <c r="X163" i="20" s="1"/>
  <c r="W162" i="20"/>
  <c r="X162" i="20" s="1"/>
  <c r="W161" i="20"/>
  <c r="X161" i="20" s="1"/>
  <c r="W160" i="20"/>
  <c r="X160" i="20" s="1"/>
  <c r="W159" i="20"/>
  <c r="X159" i="20" s="1"/>
  <c r="W158" i="20"/>
  <c r="X158" i="20" s="1"/>
  <c r="W157" i="20"/>
  <c r="X157" i="20" s="1"/>
  <c r="W156" i="20"/>
  <c r="X156" i="20" s="1"/>
  <c r="W155" i="20"/>
  <c r="X155" i="20" s="1"/>
  <c r="W154" i="20"/>
  <c r="X154" i="20" s="1"/>
  <c r="W153" i="20"/>
  <c r="X153" i="20" s="1"/>
  <c r="W152" i="20"/>
  <c r="X152" i="20" s="1"/>
  <c r="W151" i="20"/>
  <c r="X151" i="20" s="1"/>
  <c r="W150" i="20"/>
  <c r="X150" i="20" s="1"/>
  <c r="W149" i="20"/>
  <c r="X149" i="20" s="1"/>
  <c r="W148" i="20"/>
  <c r="X148" i="20" s="1"/>
  <c r="W147" i="20"/>
  <c r="X147" i="20" s="1"/>
  <c r="W146" i="20"/>
  <c r="X146" i="20" s="1"/>
  <c r="W145" i="20"/>
  <c r="X145" i="20" s="1"/>
  <c r="W144" i="20"/>
  <c r="X144" i="20" s="1"/>
  <c r="W143" i="20"/>
  <c r="X143" i="20" s="1"/>
  <c r="W142" i="20"/>
  <c r="X142" i="20" s="1"/>
  <c r="W141" i="20"/>
  <c r="X141" i="20" s="1"/>
  <c r="W140" i="20"/>
  <c r="X140" i="20" s="1"/>
  <c r="W139" i="20"/>
  <c r="X139" i="20" s="1"/>
  <c r="W138" i="20"/>
  <c r="X138" i="20" s="1"/>
  <c r="W137" i="20"/>
  <c r="X137" i="20" s="1"/>
  <c r="W136" i="20"/>
  <c r="X136" i="20" s="1"/>
  <c r="W135" i="20"/>
  <c r="X135" i="20" s="1"/>
  <c r="W134" i="20"/>
  <c r="X134" i="20" s="1"/>
  <c r="W133" i="20"/>
  <c r="X133" i="20" s="1"/>
  <c r="W132" i="20"/>
  <c r="X132" i="20" s="1"/>
  <c r="W131" i="20"/>
  <c r="X131" i="20" s="1"/>
  <c r="W130" i="20"/>
  <c r="X130" i="20" s="1"/>
  <c r="W129" i="20"/>
  <c r="X129" i="20" s="1"/>
  <c r="W128" i="20"/>
  <c r="X128" i="20" s="1"/>
  <c r="W127" i="20"/>
  <c r="X127" i="20" s="1"/>
  <c r="W126" i="20"/>
  <c r="X126" i="20" s="1"/>
  <c r="W125" i="20"/>
  <c r="X125" i="20" s="1"/>
  <c r="W124" i="20"/>
  <c r="X124" i="20" s="1"/>
  <c r="W123" i="20"/>
  <c r="X123" i="20" s="1"/>
  <c r="W122" i="20"/>
  <c r="X122" i="20" s="1"/>
  <c r="W121" i="20"/>
  <c r="X121" i="20" s="1"/>
  <c r="W120" i="20"/>
  <c r="X120" i="20" s="1"/>
  <c r="W119" i="20"/>
  <c r="X119" i="20" s="1"/>
  <c r="W118" i="20"/>
  <c r="X118" i="20" s="1"/>
  <c r="W117" i="20"/>
  <c r="X117" i="20" s="1"/>
  <c r="W116" i="20"/>
  <c r="X116" i="20" s="1"/>
  <c r="W115" i="20"/>
  <c r="X115" i="20" s="1"/>
  <c r="W114" i="20"/>
  <c r="X114" i="20" s="1"/>
  <c r="W113" i="20"/>
  <c r="X113" i="20" s="1"/>
  <c r="W112" i="20"/>
  <c r="X112" i="20" s="1"/>
  <c r="W111" i="20"/>
  <c r="X111" i="20" s="1"/>
  <c r="W110" i="20"/>
  <c r="X110" i="20" s="1"/>
  <c r="W109" i="20"/>
  <c r="X109" i="20" s="1"/>
  <c r="W108" i="20"/>
  <c r="X108" i="20" s="1"/>
  <c r="W107" i="20"/>
  <c r="X107" i="20" s="1"/>
  <c r="W106" i="20"/>
  <c r="X106" i="20" s="1"/>
  <c r="W105" i="20"/>
  <c r="X105" i="20" s="1"/>
  <c r="W104" i="20"/>
  <c r="X104" i="20" s="1"/>
  <c r="W103" i="20"/>
  <c r="X103" i="20" s="1"/>
  <c r="W102" i="20"/>
  <c r="X102" i="20" s="1"/>
  <c r="W101" i="20"/>
  <c r="X101" i="20" s="1"/>
  <c r="W100" i="20"/>
  <c r="X100" i="20" s="1"/>
  <c r="W99" i="20"/>
  <c r="X99" i="20" s="1"/>
  <c r="W98" i="20"/>
  <c r="X98" i="20" s="1"/>
  <c r="W97" i="20"/>
  <c r="X97" i="20" s="1"/>
  <c r="W96" i="20"/>
  <c r="X96" i="20" s="1"/>
  <c r="W95" i="20"/>
  <c r="X95" i="20" s="1"/>
  <c r="W94" i="20"/>
  <c r="X94" i="20" s="1"/>
  <c r="W93" i="20"/>
  <c r="X93" i="20" s="1"/>
  <c r="W92" i="20"/>
  <c r="X92" i="20" s="1"/>
  <c r="W91" i="20"/>
  <c r="X91" i="20" s="1"/>
  <c r="W90" i="20"/>
  <c r="X90" i="20" s="1"/>
  <c r="W89" i="20"/>
  <c r="X89" i="20" s="1"/>
  <c r="W88" i="20"/>
  <c r="X88" i="20" s="1"/>
  <c r="W87" i="20"/>
  <c r="X87" i="20" s="1"/>
  <c r="W86" i="20"/>
  <c r="X86" i="20" s="1"/>
  <c r="W85" i="20"/>
  <c r="X85" i="20" s="1"/>
  <c r="W84" i="20"/>
  <c r="X84" i="20" s="1"/>
  <c r="W83" i="20"/>
  <c r="X83" i="20" s="1"/>
  <c r="W82" i="20"/>
  <c r="X82" i="20" s="1"/>
  <c r="W81" i="20"/>
  <c r="X81" i="20" s="1"/>
  <c r="W80" i="20"/>
  <c r="X80" i="20" s="1"/>
  <c r="W79" i="20"/>
  <c r="X79" i="20" s="1"/>
  <c r="W78" i="20"/>
  <c r="X78" i="20" s="1"/>
  <c r="W77" i="20"/>
  <c r="X77" i="20" s="1"/>
  <c r="W76" i="20"/>
  <c r="X76" i="20" s="1"/>
  <c r="W75" i="20"/>
  <c r="X75" i="20" s="1"/>
  <c r="W74" i="20"/>
  <c r="X74" i="20" s="1"/>
  <c r="W73" i="20"/>
  <c r="X73" i="20" s="1"/>
  <c r="W72" i="20"/>
  <c r="X72" i="20" s="1"/>
  <c r="W71" i="20"/>
  <c r="X71" i="20" s="1"/>
  <c r="W70" i="20"/>
  <c r="X70" i="20" s="1"/>
  <c r="W69" i="20"/>
  <c r="X69" i="20" s="1"/>
  <c r="W68" i="20"/>
  <c r="X68" i="20" s="1"/>
  <c r="W67" i="20"/>
  <c r="X67" i="20" s="1"/>
  <c r="W66" i="20"/>
  <c r="X66" i="20" s="1"/>
  <c r="W65" i="20"/>
  <c r="X65" i="20" s="1"/>
  <c r="W64" i="20"/>
  <c r="X64" i="20" s="1"/>
  <c r="W63" i="20"/>
  <c r="X63" i="20" s="1"/>
  <c r="W62" i="20"/>
  <c r="X62" i="20" s="1"/>
  <c r="W61" i="20"/>
  <c r="X61" i="20" s="1"/>
  <c r="W60" i="20"/>
  <c r="X60" i="20" s="1"/>
  <c r="W59" i="20"/>
  <c r="X59" i="20" s="1"/>
  <c r="W58" i="20"/>
  <c r="X58" i="20" s="1"/>
  <c r="W57" i="20"/>
  <c r="X57" i="20" s="1"/>
  <c r="W56" i="20"/>
  <c r="X56" i="20" s="1"/>
  <c r="W55" i="20"/>
  <c r="X55" i="20" s="1"/>
  <c r="W54" i="20"/>
  <c r="X54" i="20" s="1"/>
  <c r="W53" i="20"/>
  <c r="X53" i="20" s="1"/>
  <c r="W52" i="20"/>
  <c r="X52" i="20" s="1"/>
  <c r="W51" i="20"/>
  <c r="X51" i="20" s="1"/>
  <c r="W50" i="20"/>
  <c r="X50" i="20" s="1"/>
  <c r="W49" i="20"/>
  <c r="X49" i="20" s="1"/>
  <c r="W48" i="20"/>
  <c r="X48" i="20" s="1"/>
  <c r="W47" i="20"/>
  <c r="X47" i="20" s="1"/>
  <c r="W46" i="20"/>
  <c r="X46" i="20" s="1"/>
  <c r="W45" i="20"/>
  <c r="X45" i="20" s="1"/>
  <c r="W44" i="20"/>
  <c r="X44" i="20" s="1"/>
  <c r="W43" i="20"/>
  <c r="X43" i="20" s="1"/>
  <c r="W42" i="20"/>
  <c r="X42" i="20" s="1"/>
  <c r="W41" i="20"/>
  <c r="X41" i="20" s="1"/>
  <c r="W40" i="20"/>
  <c r="X40" i="20" s="1"/>
  <c r="W39" i="20"/>
  <c r="X39" i="20" s="1"/>
  <c r="W38" i="20"/>
  <c r="X38" i="20" s="1"/>
  <c r="W37" i="20"/>
  <c r="X37" i="20" s="1"/>
  <c r="W36" i="20"/>
  <c r="X36" i="20" s="1"/>
  <c r="W35" i="20"/>
  <c r="X35" i="20" s="1"/>
  <c r="W34" i="20"/>
  <c r="X34" i="20" s="1"/>
  <c r="W33" i="20"/>
  <c r="X33" i="20" s="1"/>
  <c r="W32" i="20"/>
  <c r="X32" i="20" s="1"/>
  <c r="W31" i="20"/>
  <c r="X31" i="20" s="1"/>
  <c r="W30" i="20"/>
  <c r="X30" i="20" s="1"/>
  <c r="W29" i="20"/>
  <c r="X29" i="20" s="1"/>
  <c r="W28" i="20"/>
  <c r="X28" i="20" s="1"/>
  <c r="W27" i="20"/>
  <c r="X27" i="20" s="1"/>
  <c r="W26" i="20"/>
  <c r="X26" i="20" s="1"/>
  <c r="W25" i="20"/>
  <c r="X25" i="20" s="1"/>
  <c r="W24" i="20"/>
  <c r="X24" i="20" s="1"/>
  <c r="W23" i="20"/>
  <c r="X23" i="20" s="1"/>
  <c r="W22" i="20"/>
  <c r="X22" i="20" s="1"/>
  <c r="W21" i="20"/>
  <c r="X21" i="20" s="1"/>
  <c r="W20" i="20"/>
  <c r="X20" i="20" s="1"/>
  <c r="W19" i="20"/>
  <c r="X19" i="20" s="1"/>
  <c r="W18" i="20"/>
  <c r="X18" i="20" s="1"/>
  <c r="W17" i="20"/>
  <c r="X17" i="20" s="1"/>
  <c r="W16" i="20"/>
  <c r="X16" i="20" s="1"/>
  <c r="W15" i="20"/>
  <c r="X15" i="20" s="1"/>
  <c r="E9" i="21"/>
  <c r="E9" i="23"/>
  <c r="C2" i="21" l="1"/>
  <c r="C2" i="23"/>
  <c r="C4" i="23" s="1"/>
  <c r="AC9" i="23"/>
  <c r="L9" i="23"/>
  <c r="U9" i="23"/>
  <c r="AD9" i="23"/>
  <c r="M9" i="23"/>
  <c r="V9" i="23"/>
  <c r="AE9" i="23"/>
  <c r="N9" i="23"/>
  <c r="W9" i="23"/>
  <c r="AF9" i="23"/>
  <c r="G9" i="23"/>
  <c r="O9" i="23"/>
  <c r="X9" i="23"/>
  <c r="AG9" i="23"/>
  <c r="H9" i="23"/>
  <c r="P9" i="23"/>
  <c r="Y9" i="23"/>
  <c r="AH9" i="23"/>
  <c r="T9" i="23"/>
  <c r="I9" i="23"/>
  <c r="Q9" i="23"/>
  <c r="AA9" i="23"/>
  <c r="AI9" i="23"/>
  <c r="K9" i="23"/>
  <c r="J9" i="23"/>
  <c r="R9" i="23"/>
  <c r="AB9" i="23"/>
  <c r="AJ9" i="23"/>
  <c r="AC14" i="20"/>
  <c r="I14" i="20"/>
  <c r="Z14" i="20"/>
  <c r="K14" i="20"/>
  <c r="AA14" i="20"/>
  <c r="J14" i="20"/>
  <c r="F9" i="23"/>
  <c r="R8" i="21" l="1"/>
  <c r="H8" i="21"/>
  <c r="Q8" i="21"/>
  <c r="G8" i="21"/>
  <c r="S8" i="21"/>
  <c r="R9" i="21"/>
  <c r="Q9" i="21"/>
  <c r="G9" i="21"/>
  <c r="S9" i="21"/>
  <c r="H9" i="21"/>
  <c r="I8" i="21" l="1"/>
  <c r="AM8" i="21"/>
  <c r="U8" i="21"/>
  <c r="AD8" i="21"/>
  <c r="L8" i="21"/>
  <c r="AS8" i="21"/>
  <c r="BM8" i="21"/>
  <c r="BA8" i="21"/>
  <c r="AJ8" i="21"/>
  <c r="BI8" i="21"/>
  <c r="AW8" i="21"/>
  <c r="AA8" i="21"/>
  <c r="BE8" i="21"/>
  <c r="BN8" i="21"/>
  <c r="BB8" i="21"/>
  <c r="AK8" i="21"/>
  <c r="BJ8" i="21"/>
  <c r="AX8" i="21"/>
  <c r="AB8" i="21"/>
  <c r="BF8" i="21"/>
  <c r="AT8" i="21"/>
  <c r="BD8" i="21"/>
  <c r="AR8" i="21"/>
  <c r="BL8" i="21"/>
  <c r="AZ8" i="21"/>
  <c r="AI8" i="21"/>
  <c r="BH8" i="21"/>
  <c r="AV8" i="21"/>
  <c r="Z8" i="21"/>
  <c r="J8" i="21"/>
  <c r="AN8" i="21"/>
  <c r="V8" i="21"/>
  <c r="AE8" i="21"/>
  <c r="M8" i="21"/>
  <c r="I9" i="21"/>
  <c r="AJ9" i="21"/>
  <c r="BJ9" i="21"/>
  <c r="AZ9" i="21"/>
  <c r="AE9" i="21"/>
  <c r="AM9" i="21"/>
  <c r="BI9" i="21"/>
  <c r="AX9" i="21"/>
  <c r="AI9" i="21"/>
  <c r="U9" i="21"/>
  <c r="AD9" i="21"/>
  <c r="AA9" i="21"/>
  <c r="BF9" i="21"/>
  <c r="AV9" i="21"/>
  <c r="AR9" i="21"/>
  <c r="M9" i="21"/>
  <c r="AB9" i="21"/>
  <c r="L9" i="21"/>
  <c r="BE9" i="21"/>
  <c r="AT9" i="21"/>
  <c r="Z9" i="21"/>
  <c r="AN9" i="21"/>
  <c r="AK9" i="21"/>
  <c r="AW9" i="21"/>
  <c r="AS9" i="21"/>
  <c r="BN9" i="21"/>
  <c r="BD9" i="21"/>
  <c r="J9" i="21"/>
  <c r="BL9" i="21"/>
  <c r="BH9" i="21"/>
  <c r="BM9" i="21"/>
  <c r="BB9" i="21"/>
  <c r="BA9" i="21"/>
  <c r="V9" i="21"/>
  <c r="W8" i="21" l="1"/>
  <c r="AF8" i="21"/>
  <c r="N8" i="21"/>
  <c r="AO8" i="21"/>
  <c r="AP8" i="21"/>
  <c r="X8" i="21"/>
  <c r="O8" i="21"/>
  <c r="AG8" i="21"/>
  <c r="W9" i="21"/>
  <c r="N9" i="21"/>
  <c r="AO9" i="21"/>
  <c r="X9" i="21"/>
  <c r="O9" i="21"/>
  <c r="AF9" i="21"/>
  <c r="AP9" i="21"/>
  <c r="AG9" i="21"/>
  <c r="C2" i="22" l="1"/>
  <c r="G4" i="22"/>
  <c r="Z9" i="4" l="1"/>
  <c r="Z564" i="4"/>
  <c r="AD564" i="4" s="1"/>
  <c r="Z556" i="4"/>
  <c r="AD556" i="4" s="1"/>
  <c r="Z548" i="4"/>
  <c r="AD548" i="4" s="1"/>
  <c r="Z540" i="4"/>
  <c r="AD540" i="4" s="1"/>
  <c r="Z532" i="4"/>
  <c r="AD532" i="4" s="1"/>
  <c r="Z524" i="4"/>
  <c r="AD524" i="4" s="1"/>
  <c r="Z516" i="4"/>
  <c r="AD516" i="4" s="1"/>
  <c r="Z508" i="4"/>
  <c r="AD508" i="4" s="1"/>
  <c r="Z500" i="4"/>
  <c r="AD500" i="4" s="1"/>
  <c r="Z492" i="4"/>
  <c r="AD492" i="4" s="1"/>
  <c r="Z484" i="4"/>
  <c r="AD484" i="4" s="1"/>
  <c r="Z476" i="4"/>
  <c r="AD476" i="4" s="1"/>
  <c r="Z468" i="4"/>
  <c r="AD468" i="4" s="1"/>
  <c r="Z460" i="4"/>
  <c r="AD460" i="4" s="1"/>
  <c r="Z452" i="4"/>
  <c r="AD452" i="4" s="1"/>
  <c r="Z444" i="4"/>
  <c r="AD444" i="4" s="1"/>
  <c r="Z436" i="4"/>
  <c r="AD436" i="4" s="1"/>
  <c r="Z428" i="4"/>
  <c r="AD428" i="4" s="1"/>
  <c r="Z420" i="4"/>
  <c r="AD420" i="4" s="1"/>
  <c r="Z412" i="4"/>
  <c r="AD412" i="4" s="1"/>
  <c r="Z404" i="4"/>
  <c r="AD404" i="4" s="1"/>
  <c r="Z402" i="4"/>
  <c r="AD402" i="4" s="1"/>
  <c r="Z565" i="4"/>
  <c r="AD565" i="4" s="1"/>
  <c r="Z509" i="4"/>
  <c r="AD509" i="4" s="1"/>
  <c r="Z453" i="4"/>
  <c r="AD453" i="4" s="1"/>
  <c r="Z563" i="4"/>
  <c r="AD563" i="4" s="1"/>
  <c r="Z555" i="4"/>
  <c r="AD555" i="4" s="1"/>
  <c r="Z547" i="4"/>
  <c r="AD547" i="4" s="1"/>
  <c r="Z539" i="4"/>
  <c r="AD539" i="4" s="1"/>
  <c r="Z531" i="4"/>
  <c r="AD531" i="4" s="1"/>
  <c r="Z523" i="4"/>
  <c r="AD523" i="4" s="1"/>
  <c r="Z515" i="4"/>
  <c r="AD515" i="4" s="1"/>
  <c r="Z507" i="4"/>
  <c r="AD507" i="4" s="1"/>
  <c r="Z499" i="4"/>
  <c r="AD499" i="4" s="1"/>
  <c r="Z491" i="4"/>
  <c r="AD491" i="4" s="1"/>
  <c r="Z483" i="4"/>
  <c r="AD483" i="4" s="1"/>
  <c r="Z475" i="4"/>
  <c r="AD475" i="4" s="1"/>
  <c r="Z467" i="4"/>
  <c r="AD467" i="4" s="1"/>
  <c r="Z459" i="4"/>
  <c r="AD459" i="4" s="1"/>
  <c r="Z451" i="4"/>
  <c r="AD451" i="4" s="1"/>
  <c r="Z443" i="4"/>
  <c r="AD443" i="4" s="1"/>
  <c r="Z435" i="4"/>
  <c r="AD435" i="4" s="1"/>
  <c r="Z427" i="4"/>
  <c r="AD427" i="4" s="1"/>
  <c r="Z419" i="4"/>
  <c r="AD419" i="4" s="1"/>
  <c r="Z411" i="4"/>
  <c r="AD411" i="4" s="1"/>
  <c r="Z403" i="4"/>
  <c r="AD403" i="4" s="1"/>
  <c r="Z549" i="4"/>
  <c r="AD549" i="4" s="1"/>
  <c r="Z485" i="4"/>
  <c r="AD485" i="4" s="1"/>
  <c r="Z429" i="4"/>
  <c r="AD429" i="4" s="1"/>
  <c r="Z562" i="4"/>
  <c r="AD562" i="4" s="1"/>
  <c r="Z554" i="4"/>
  <c r="AD554" i="4" s="1"/>
  <c r="Z546" i="4"/>
  <c r="AD546" i="4" s="1"/>
  <c r="Z538" i="4"/>
  <c r="AD538" i="4" s="1"/>
  <c r="Z530" i="4"/>
  <c r="AD530" i="4" s="1"/>
  <c r="Z522" i="4"/>
  <c r="AD522" i="4" s="1"/>
  <c r="Z514" i="4"/>
  <c r="AD514" i="4" s="1"/>
  <c r="Z506" i="4"/>
  <c r="AD506" i="4" s="1"/>
  <c r="Z498" i="4"/>
  <c r="AD498" i="4" s="1"/>
  <c r="Z490" i="4"/>
  <c r="AD490" i="4" s="1"/>
  <c r="Z482" i="4"/>
  <c r="AD482" i="4" s="1"/>
  <c r="Z474" i="4"/>
  <c r="AD474" i="4" s="1"/>
  <c r="Z466" i="4"/>
  <c r="AD466" i="4" s="1"/>
  <c r="Z458" i="4"/>
  <c r="AD458" i="4" s="1"/>
  <c r="Z450" i="4"/>
  <c r="AD450" i="4" s="1"/>
  <c r="Z442" i="4"/>
  <c r="AD442" i="4" s="1"/>
  <c r="Z434" i="4"/>
  <c r="AD434" i="4" s="1"/>
  <c r="Z426" i="4"/>
  <c r="AD426" i="4" s="1"/>
  <c r="Z418" i="4"/>
  <c r="AD418" i="4" s="1"/>
  <c r="Z410" i="4"/>
  <c r="AD410" i="4" s="1"/>
  <c r="Z541" i="4"/>
  <c r="AD541" i="4" s="1"/>
  <c r="Z493" i="4"/>
  <c r="AD493" i="4" s="1"/>
  <c r="Z421" i="4"/>
  <c r="AD421" i="4" s="1"/>
  <c r="Z569" i="4"/>
  <c r="AD569" i="4" s="1"/>
  <c r="Z561" i="4"/>
  <c r="AD561" i="4" s="1"/>
  <c r="Z553" i="4"/>
  <c r="AD553" i="4" s="1"/>
  <c r="Z545" i="4"/>
  <c r="AD545" i="4" s="1"/>
  <c r="Z537" i="4"/>
  <c r="AD537" i="4" s="1"/>
  <c r="Z529" i="4"/>
  <c r="AD529" i="4" s="1"/>
  <c r="Z521" i="4"/>
  <c r="AD521" i="4" s="1"/>
  <c r="Z513" i="4"/>
  <c r="AD513" i="4" s="1"/>
  <c r="Z505" i="4"/>
  <c r="AD505" i="4" s="1"/>
  <c r="Z497" i="4"/>
  <c r="AD497" i="4" s="1"/>
  <c r="Z489" i="4"/>
  <c r="AD489" i="4" s="1"/>
  <c r="Z481" i="4"/>
  <c r="AD481" i="4" s="1"/>
  <c r="Z473" i="4"/>
  <c r="AD473" i="4" s="1"/>
  <c r="Z465" i="4"/>
  <c r="AD465" i="4" s="1"/>
  <c r="Z457" i="4"/>
  <c r="AD457" i="4" s="1"/>
  <c r="Z449" i="4"/>
  <c r="AD449" i="4" s="1"/>
  <c r="Z441" i="4"/>
  <c r="AD441" i="4" s="1"/>
  <c r="Z433" i="4"/>
  <c r="AD433" i="4" s="1"/>
  <c r="Z425" i="4"/>
  <c r="AD425" i="4" s="1"/>
  <c r="Z417" i="4"/>
  <c r="AD417" i="4" s="1"/>
  <c r="Z409" i="4"/>
  <c r="AD409" i="4" s="1"/>
  <c r="Z401" i="4"/>
  <c r="AD401" i="4" s="1"/>
  <c r="Z400" i="4"/>
  <c r="AD400" i="4" s="1"/>
  <c r="Z557" i="4"/>
  <c r="AD557" i="4" s="1"/>
  <c r="Z461" i="4"/>
  <c r="AD461" i="4" s="1"/>
  <c r="Z413" i="4"/>
  <c r="AD413" i="4" s="1"/>
  <c r="Z568" i="4"/>
  <c r="AD568" i="4" s="1"/>
  <c r="Z560" i="4"/>
  <c r="AD560" i="4" s="1"/>
  <c r="Z552" i="4"/>
  <c r="AD552" i="4" s="1"/>
  <c r="Z544" i="4"/>
  <c r="AD544" i="4" s="1"/>
  <c r="Z536" i="4"/>
  <c r="AD536" i="4" s="1"/>
  <c r="Z528" i="4"/>
  <c r="AD528" i="4" s="1"/>
  <c r="Z520" i="4"/>
  <c r="AD520" i="4" s="1"/>
  <c r="Z512" i="4"/>
  <c r="AD512" i="4" s="1"/>
  <c r="Z504" i="4"/>
  <c r="AD504" i="4" s="1"/>
  <c r="Z496" i="4"/>
  <c r="AD496" i="4" s="1"/>
  <c r="Z488" i="4"/>
  <c r="AD488" i="4" s="1"/>
  <c r="Z480" i="4"/>
  <c r="AD480" i="4" s="1"/>
  <c r="Z472" i="4"/>
  <c r="AD472" i="4" s="1"/>
  <c r="Z464" i="4"/>
  <c r="AD464" i="4" s="1"/>
  <c r="Z456" i="4"/>
  <c r="AD456" i="4" s="1"/>
  <c r="Z448" i="4"/>
  <c r="AD448" i="4" s="1"/>
  <c r="Z440" i="4"/>
  <c r="AD440" i="4" s="1"/>
  <c r="Z432" i="4"/>
  <c r="AD432" i="4" s="1"/>
  <c r="Z424" i="4"/>
  <c r="AD424" i="4" s="1"/>
  <c r="Z416" i="4"/>
  <c r="AD416" i="4" s="1"/>
  <c r="Z408" i="4"/>
  <c r="AD408" i="4" s="1"/>
  <c r="Z517" i="4"/>
  <c r="AD517" i="4" s="1"/>
  <c r="Z477" i="4"/>
  <c r="AD477" i="4" s="1"/>
  <c r="Z437" i="4"/>
  <c r="AD437" i="4" s="1"/>
  <c r="Z567" i="4"/>
  <c r="AD567" i="4" s="1"/>
  <c r="Z559" i="4"/>
  <c r="AD559" i="4" s="1"/>
  <c r="Z551" i="4"/>
  <c r="AD551" i="4" s="1"/>
  <c r="Z543" i="4"/>
  <c r="AD543" i="4" s="1"/>
  <c r="Z535" i="4"/>
  <c r="AD535" i="4" s="1"/>
  <c r="Z527" i="4"/>
  <c r="AD527" i="4" s="1"/>
  <c r="Z519" i="4"/>
  <c r="AD519" i="4" s="1"/>
  <c r="Z511" i="4"/>
  <c r="AD511" i="4" s="1"/>
  <c r="Z503" i="4"/>
  <c r="AD503" i="4" s="1"/>
  <c r="Z495" i="4"/>
  <c r="AD495" i="4" s="1"/>
  <c r="Z487" i="4"/>
  <c r="AD487" i="4" s="1"/>
  <c r="Z479" i="4"/>
  <c r="AD479" i="4" s="1"/>
  <c r="Z471" i="4"/>
  <c r="AD471" i="4" s="1"/>
  <c r="Z463" i="4"/>
  <c r="AD463" i="4" s="1"/>
  <c r="Z455" i="4"/>
  <c r="AD455" i="4" s="1"/>
  <c r="Z447" i="4"/>
  <c r="AD447" i="4" s="1"/>
  <c r="Z439" i="4"/>
  <c r="AD439" i="4" s="1"/>
  <c r="Z431" i="4"/>
  <c r="AD431" i="4" s="1"/>
  <c r="Z423" i="4"/>
  <c r="AD423" i="4" s="1"/>
  <c r="Z415" i="4"/>
  <c r="AD415" i="4" s="1"/>
  <c r="Z407" i="4"/>
  <c r="AD407" i="4" s="1"/>
  <c r="Z399" i="4"/>
  <c r="AD399" i="4" s="1"/>
  <c r="Z533" i="4"/>
  <c r="AD533" i="4" s="1"/>
  <c r="Z501" i="4"/>
  <c r="AD501" i="4" s="1"/>
  <c r="Z445" i="4"/>
  <c r="AD445" i="4" s="1"/>
  <c r="Z566" i="4"/>
  <c r="AD566" i="4" s="1"/>
  <c r="Z558" i="4"/>
  <c r="AD558" i="4" s="1"/>
  <c r="Z550" i="4"/>
  <c r="AD550" i="4" s="1"/>
  <c r="Z542" i="4"/>
  <c r="AD542" i="4" s="1"/>
  <c r="Z534" i="4"/>
  <c r="AD534" i="4" s="1"/>
  <c r="Z526" i="4"/>
  <c r="AD526" i="4" s="1"/>
  <c r="Z518" i="4"/>
  <c r="AD518" i="4" s="1"/>
  <c r="Z510" i="4"/>
  <c r="AD510" i="4" s="1"/>
  <c r="Z502" i="4"/>
  <c r="AD502" i="4" s="1"/>
  <c r="Z494" i="4"/>
  <c r="AD494" i="4" s="1"/>
  <c r="Z486" i="4"/>
  <c r="AD486" i="4" s="1"/>
  <c r="Z478" i="4"/>
  <c r="AD478" i="4" s="1"/>
  <c r="Z470" i="4"/>
  <c r="AD470" i="4" s="1"/>
  <c r="Z462" i="4"/>
  <c r="AD462" i="4" s="1"/>
  <c r="Z454" i="4"/>
  <c r="AD454" i="4" s="1"/>
  <c r="Z446" i="4"/>
  <c r="AD446" i="4" s="1"/>
  <c r="Z438" i="4"/>
  <c r="AD438" i="4" s="1"/>
  <c r="Z430" i="4"/>
  <c r="AD430" i="4" s="1"/>
  <c r="Z422" i="4"/>
  <c r="AD422" i="4" s="1"/>
  <c r="Z414" i="4"/>
  <c r="AD414" i="4" s="1"/>
  <c r="Z406" i="4"/>
  <c r="AD406" i="4" s="1"/>
  <c r="Z398" i="4"/>
  <c r="AD398" i="4" s="1"/>
  <c r="Z525" i="4"/>
  <c r="AD525" i="4" s="1"/>
  <c r="Z469" i="4"/>
  <c r="AD469" i="4" s="1"/>
  <c r="Z405" i="4"/>
  <c r="AD405" i="4" s="1"/>
  <c r="Z156" i="4"/>
  <c r="AD156" i="4" s="1"/>
  <c r="Z220" i="4"/>
  <c r="AD220" i="4" s="1"/>
  <c r="Z284" i="4"/>
  <c r="AD284" i="4" s="1"/>
  <c r="Z197" i="4"/>
  <c r="AD197" i="4" s="1"/>
  <c r="Z261" i="4"/>
  <c r="AD261" i="4" s="1"/>
  <c r="Z325" i="4"/>
  <c r="AD325" i="4" s="1"/>
  <c r="Z389" i="4"/>
  <c r="AD389" i="4" s="1"/>
  <c r="Z206" i="4"/>
  <c r="AD206" i="4" s="1"/>
  <c r="Z270" i="4"/>
  <c r="AD270" i="4" s="1"/>
  <c r="Z334" i="4"/>
  <c r="AD334" i="4" s="1"/>
  <c r="Z159" i="4"/>
  <c r="AD159" i="4" s="1"/>
  <c r="Z223" i="4"/>
  <c r="AD223" i="4" s="1"/>
  <c r="Z287" i="4"/>
  <c r="AD287" i="4" s="1"/>
  <c r="Z160" i="4"/>
  <c r="AD160" i="4" s="1"/>
  <c r="Z288" i="4"/>
  <c r="AD288" i="4" s="1"/>
  <c r="Z385" i="4"/>
  <c r="AD385" i="4" s="1"/>
  <c r="Z330" i="4"/>
  <c r="AD330" i="4" s="1"/>
  <c r="Z388" i="4"/>
  <c r="AD388" i="4" s="1"/>
  <c r="Z185" i="4"/>
  <c r="AD185" i="4" s="1"/>
  <c r="Z380" i="4"/>
  <c r="AD380" i="4" s="1"/>
  <c r="Z351" i="4"/>
  <c r="AD351" i="4" s="1"/>
  <c r="Z332" i="4"/>
  <c r="AD332" i="4" s="1"/>
  <c r="Z169" i="4"/>
  <c r="AD169" i="4" s="1"/>
  <c r="Z203" i="4"/>
  <c r="AD203" i="4" s="1"/>
  <c r="Z328" i="4"/>
  <c r="AD328" i="4" s="1"/>
  <c r="Z225" i="4"/>
  <c r="AD225" i="4" s="1"/>
  <c r="Z178" i="4"/>
  <c r="AD178" i="4" s="1"/>
  <c r="Z306" i="4"/>
  <c r="AD306" i="4" s="1"/>
  <c r="Z227" i="4"/>
  <c r="AD227" i="4" s="1"/>
  <c r="Z336" i="4"/>
  <c r="AD336" i="4" s="1"/>
  <c r="Z361" i="4"/>
  <c r="AD361" i="4" s="1"/>
  <c r="Z236" i="4"/>
  <c r="AD236" i="4" s="1"/>
  <c r="Z213" i="4"/>
  <c r="AD213" i="4" s="1"/>
  <c r="Z341" i="4"/>
  <c r="AD341" i="4" s="1"/>
  <c r="Z222" i="4"/>
  <c r="AD222" i="4" s="1"/>
  <c r="Z350" i="4"/>
  <c r="AD350" i="4" s="1"/>
  <c r="Z239" i="4"/>
  <c r="AD239" i="4" s="1"/>
  <c r="Z192" i="4"/>
  <c r="AD192" i="4" s="1"/>
  <c r="Z315" i="4"/>
  <c r="AD315" i="4" s="1"/>
  <c r="Z376" i="4"/>
  <c r="AD376" i="4" s="1"/>
  <c r="Z249" i="4"/>
  <c r="AD249" i="4" s="1"/>
  <c r="Z393" i="4"/>
  <c r="AD393" i="4" s="1"/>
  <c r="Z233" i="4"/>
  <c r="AD233" i="4" s="1"/>
  <c r="Z352" i="4"/>
  <c r="AD352" i="4" s="1"/>
  <c r="Z210" i="4"/>
  <c r="AD210" i="4" s="1"/>
  <c r="Z307" i="4"/>
  <c r="AD307" i="4" s="1"/>
  <c r="Z318" i="4"/>
  <c r="AD318" i="4" s="1"/>
  <c r="Z321" i="4"/>
  <c r="AD321" i="4" s="1"/>
  <c r="Z243" i="4"/>
  <c r="AD243" i="4" s="1"/>
  <c r="Z386" i="4"/>
  <c r="AD386" i="4" s="1"/>
  <c r="Z298" i="4"/>
  <c r="AD298" i="4" s="1"/>
  <c r="Z212" i="4"/>
  <c r="AD212" i="4" s="1"/>
  <c r="Z317" i="4"/>
  <c r="AD317" i="4" s="1"/>
  <c r="Z390" i="4"/>
  <c r="AD390" i="4" s="1"/>
  <c r="Z272" i="4"/>
  <c r="AD272" i="4" s="1"/>
  <c r="Z391" i="4"/>
  <c r="AD391" i="4" s="1"/>
  <c r="Z379" i="4"/>
  <c r="AD379" i="4" s="1"/>
  <c r="Z290" i="4"/>
  <c r="AD290" i="4" s="1"/>
  <c r="Z164" i="4"/>
  <c r="AD164" i="4" s="1"/>
  <c r="Z228" i="4"/>
  <c r="AD228" i="4" s="1"/>
  <c r="Z292" i="4"/>
  <c r="AD292" i="4" s="1"/>
  <c r="Z205" i="4"/>
  <c r="AD205" i="4" s="1"/>
  <c r="Z269" i="4"/>
  <c r="AD269" i="4" s="1"/>
  <c r="Z333" i="4"/>
  <c r="AD333" i="4" s="1"/>
  <c r="Z397" i="4"/>
  <c r="AD397" i="4" s="1"/>
  <c r="Z214" i="4"/>
  <c r="AD214" i="4" s="1"/>
  <c r="Z278" i="4"/>
  <c r="AD278" i="4" s="1"/>
  <c r="Z342" i="4"/>
  <c r="AD342" i="4" s="1"/>
  <c r="Z167" i="4"/>
  <c r="AD167" i="4" s="1"/>
  <c r="Z231" i="4"/>
  <c r="AD231" i="4" s="1"/>
  <c r="Z295" i="4"/>
  <c r="AD295" i="4" s="1"/>
  <c r="Z176" i="4"/>
  <c r="AD176" i="4" s="1"/>
  <c r="Z304" i="4"/>
  <c r="AD304" i="4" s="1"/>
  <c r="Z395" i="4"/>
  <c r="AD395" i="4" s="1"/>
  <c r="Z354" i="4"/>
  <c r="AD354" i="4" s="1"/>
  <c r="Z184" i="4"/>
  <c r="AD184" i="4" s="1"/>
  <c r="Z217" i="4"/>
  <c r="AD217" i="4" s="1"/>
  <c r="Z392" i="4"/>
  <c r="AD392" i="4" s="1"/>
  <c r="Z371" i="4"/>
  <c r="AD371" i="4" s="1"/>
  <c r="Z368" i="4"/>
  <c r="AD368" i="4" s="1"/>
  <c r="Z201" i="4"/>
  <c r="AD201" i="4" s="1"/>
  <c r="Z219" i="4"/>
  <c r="AD219" i="4" s="1"/>
  <c r="Z339" i="4"/>
  <c r="AD339" i="4" s="1"/>
  <c r="Z257" i="4"/>
  <c r="AD257" i="4" s="1"/>
  <c r="Z194" i="4"/>
  <c r="AD194" i="4" s="1"/>
  <c r="Z320" i="4"/>
  <c r="AD320" i="4" s="1"/>
  <c r="Z259" i="4"/>
  <c r="AD259" i="4" s="1"/>
  <c r="Z370" i="4"/>
  <c r="AD370" i="4" s="1"/>
  <c r="Z383" i="4"/>
  <c r="AD383" i="4" s="1"/>
  <c r="Z172" i="4"/>
  <c r="AD172" i="4" s="1"/>
  <c r="Z300" i="4"/>
  <c r="AD300" i="4" s="1"/>
  <c r="Z277" i="4"/>
  <c r="AD277" i="4" s="1"/>
  <c r="Z158" i="4"/>
  <c r="AD158" i="4" s="1"/>
  <c r="Z286" i="4"/>
  <c r="AD286" i="4" s="1"/>
  <c r="Z175" i="4"/>
  <c r="AD175" i="4" s="1"/>
  <c r="Z303" i="4"/>
  <c r="AD303" i="4" s="1"/>
  <c r="Z161" i="4"/>
  <c r="AD161" i="4" s="1"/>
  <c r="Z232" i="4"/>
  <c r="AD232" i="4" s="1"/>
  <c r="Z186" i="4"/>
  <c r="AD186" i="4" s="1"/>
  <c r="Z168" i="4"/>
  <c r="AD168" i="4" s="1"/>
  <c r="Z235" i="4"/>
  <c r="AD235" i="4" s="1"/>
  <c r="Z289" i="4"/>
  <c r="AD289" i="4" s="1"/>
  <c r="Z331" i="4"/>
  <c r="AD331" i="4" s="1"/>
  <c r="Z170" i="4"/>
  <c r="AD170" i="4" s="1"/>
  <c r="Z245" i="4"/>
  <c r="AD245" i="4" s="1"/>
  <c r="Z271" i="4"/>
  <c r="AD271" i="4" s="1"/>
  <c r="Z363" i="4"/>
  <c r="AD363" i="4" s="1"/>
  <c r="Z348" i="4"/>
  <c r="AD348" i="4" s="1"/>
  <c r="Z359" i="4"/>
  <c r="AD359" i="4" s="1"/>
  <c r="Z394" i="4"/>
  <c r="AD394" i="4" s="1"/>
  <c r="Z248" i="4"/>
  <c r="AD248" i="4" s="1"/>
  <c r="Z189" i="4"/>
  <c r="AD189" i="4" s="1"/>
  <c r="Z381" i="4"/>
  <c r="AD381" i="4" s="1"/>
  <c r="Z326" i="4"/>
  <c r="AD326" i="4" s="1"/>
  <c r="Z343" i="4"/>
  <c r="AD343" i="4" s="1"/>
  <c r="Z356" i="4"/>
  <c r="AD356" i="4" s="1"/>
  <c r="Z291" i="4"/>
  <c r="AD291" i="4" s="1"/>
  <c r="Z177" i="4"/>
  <c r="AD177" i="4" s="1"/>
  <c r="Z296" i="4"/>
  <c r="AD296" i="4" s="1"/>
  <c r="Z180" i="4"/>
  <c r="AD180" i="4" s="1"/>
  <c r="Z244" i="4"/>
  <c r="AD244" i="4" s="1"/>
  <c r="Z157" i="4"/>
  <c r="AD157" i="4" s="1"/>
  <c r="Z221" i="4"/>
  <c r="AD221" i="4" s="1"/>
  <c r="Z285" i="4"/>
  <c r="AD285" i="4" s="1"/>
  <c r="Z349" i="4"/>
  <c r="AD349" i="4" s="1"/>
  <c r="Z166" i="4"/>
  <c r="AD166" i="4" s="1"/>
  <c r="Z230" i="4"/>
  <c r="AD230" i="4" s="1"/>
  <c r="Z294" i="4"/>
  <c r="AD294" i="4" s="1"/>
  <c r="Z358" i="4"/>
  <c r="AD358" i="4" s="1"/>
  <c r="Z183" i="4"/>
  <c r="AD183" i="4" s="1"/>
  <c r="Z247" i="4"/>
  <c r="AD247" i="4" s="1"/>
  <c r="Z311" i="4"/>
  <c r="AD311" i="4" s="1"/>
  <c r="Z208" i="4"/>
  <c r="AD208" i="4" s="1"/>
  <c r="Z329" i="4"/>
  <c r="AD329" i="4" s="1"/>
  <c r="Z193" i="4"/>
  <c r="AD193" i="4" s="1"/>
  <c r="Z396" i="4"/>
  <c r="AD396" i="4" s="1"/>
  <c r="Z280" i="4"/>
  <c r="AD280" i="4" s="1"/>
  <c r="Z281" i="4"/>
  <c r="AD281" i="4" s="1"/>
  <c r="Z218" i="4"/>
  <c r="AD218" i="4" s="1"/>
  <c r="Z163" i="4"/>
  <c r="AD163" i="4" s="1"/>
  <c r="Z216" i="4"/>
  <c r="AD216" i="4" s="1"/>
  <c r="Z265" i="4"/>
  <c r="AD265" i="4" s="1"/>
  <c r="Z251" i="4"/>
  <c r="AD251" i="4" s="1"/>
  <c r="Z362" i="4"/>
  <c r="AD362" i="4" s="1"/>
  <c r="Z316" i="4"/>
  <c r="AD316" i="4" s="1"/>
  <c r="Z226" i="4"/>
  <c r="AD226" i="4" s="1"/>
  <c r="Z345" i="4"/>
  <c r="AD345" i="4" s="1"/>
  <c r="Z346" i="4"/>
  <c r="AD346" i="4" s="1"/>
  <c r="Z202" i="4"/>
  <c r="AD202" i="4" s="1"/>
  <c r="Z260" i="4"/>
  <c r="AD260" i="4" s="1"/>
  <c r="Z237" i="4"/>
  <c r="AD237" i="4" s="1"/>
  <c r="Z365" i="4"/>
  <c r="AD365" i="4" s="1"/>
  <c r="Z246" i="4"/>
  <c r="AD246" i="4" s="1"/>
  <c r="Z310" i="4"/>
  <c r="AD310" i="4" s="1"/>
  <c r="Z199" i="4"/>
  <c r="AD199" i="4" s="1"/>
  <c r="Z327" i="4"/>
  <c r="AD327" i="4" s="1"/>
  <c r="Z353" i="4"/>
  <c r="AD353" i="4" s="1"/>
  <c r="Z275" i="4"/>
  <c r="AD275" i="4" s="1"/>
  <c r="Z337" i="4"/>
  <c r="AD337" i="4" s="1"/>
  <c r="Z195" i="4"/>
  <c r="AD195" i="4" s="1"/>
  <c r="Z323" i="4"/>
  <c r="AD323" i="4" s="1"/>
  <c r="Z384" i="4"/>
  <c r="AD384" i="4" s="1"/>
  <c r="Z258" i="4"/>
  <c r="AD258" i="4" s="1"/>
  <c r="Z200" i="4"/>
  <c r="AD200" i="4" s="1"/>
  <c r="Z266" i="4"/>
  <c r="AD266" i="4" s="1"/>
  <c r="Z204" i="4"/>
  <c r="AD204" i="4" s="1"/>
  <c r="Z181" i="4"/>
  <c r="AD181" i="4" s="1"/>
  <c r="Z309" i="4"/>
  <c r="AD309" i="4" s="1"/>
  <c r="Z190" i="4"/>
  <c r="AD190" i="4" s="1"/>
  <c r="Z382" i="4"/>
  <c r="AD382" i="4" s="1"/>
  <c r="Z335" i="4"/>
  <c r="AD335" i="4" s="1"/>
  <c r="Z273" i="4"/>
  <c r="AD273" i="4" s="1"/>
  <c r="Z171" i="4"/>
  <c r="AD171" i="4" s="1"/>
  <c r="Z274" i="4"/>
  <c r="AD274" i="4" s="1"/>
  <c r="Z253" i="4"/>
  <c r="AD253" i="4" s="1"/>
  <c r="Z262" i="4"/>
  <c r="AD262" i="4" s="1"/>
  <c r="Z279" i="4"/>
  <c r="AD279" i="4" s="1"/>
  <c r="Z375" i="4"/>
  <c r="AD375" i="4" s="1"/>
  <c r="Z360" i="4"/>
  <c r="AD360" i="4" s="1"/>
  <c r="Z187" i="4"/>
  <c r="AD187" i="4" s="1"/>
  <c r="Z162" i="4"/>
  <c r="AD162" i="4" s="1"/>
  <c r="Z338" i="4"/>
  <c r="AD338" i="4" s="1"/>
  <c r="Z188" i="4"/>
  <c r="AD188" i="4" s="1"/>
  <c r="Z252" i="4"/>
  <c r="AD252" i="4" s="1"/>
  <c r="Z165" i="4"/>
  <c r="AD165" i="4" s="1"/>
  <c r="Z229" i="4"/>
  <c r="AD229" i="4" s="1"/>
  <c r="Z293" i="4"/>
  <c r="AD293" i="4" s="1"/>
  <c r="Z357" i="4"/>
  <c r="AD357" i="4" s="1"/>
  <c r="Z174" i="4"/>
  <c r="AD174" i="4" s="1"/>
  <c r="Z238" i="4"/>
  <c r="AD238" i="4" s="1"/>
  <c r="Z302" i="4"/>
  <c r="AD302" i="4" s="1"/>
  <c r="Z366" i="4"/>
  <c r="AD366" i="4" s="1"/>
  <c r="Z191" i="4"/>
  <c r="AD191" i="4" s="1"/>
  <c r="Z255" i="4"/>
  <c r="AD255" i="4" s="1"/>
  <c r="Z319" i="4"/>
  <c r="AD319" i="4" s="1"/>
  <c r="Z224" i="4"/>
  <c r="AD224" i="4" s="1"/>
  <c r="Z340" i="4"/>
  <c r="AD340" i="4" s="1"/>
  <c r="Z209" i="4"/>
  <c r="AD209" i="4" s="1"/>
  <c r="Z211" i="4"/>
  <c r="AD211" i="4" s="1"/>
  <c r="Z322" i="4"/>
  <c r="AD322" i="4" s="1"/>
  <c r="Z312" i="4"/>
  <c r="AD312" i="4" s="1"/>
  <c r="Z250" i="4"/>
  <c r="AD250" i="4" s="1"/>
  <c r="Z179" i="4"/>
  <c r="AD179" i="4" s="1"/>
  <c r="Z264" i="4"/>
  <c r="AD264" i="4" s="1"/>
  <c r="Z297" i="4"/>
  <c r="AD297" i="4" s="1"/>
  <c r="Z267" i="4"/>
  <c r="AD267" i="4" s="1"/>
  <c r="Z372" i="4"/>
  <c r="AD372" i="4" s="1"/>
  <c r="Z344" i="4"/>
  <c r="AD344" i="4" s="1"/>
  <c r="Z242" i="4"/>
  <c r="AD242" i="4" s="1"/>
  <c r="Z355" i="4"/>
  <c r="AD355" i="4" s="1"/>
  <c r="Z378" i="4"/>
  <c r="AD378" i="4" s="1"/>
  <c r="Z234" i="4"/>
  <c r="AD234" i="4" s="1"/>
  <c r="Z196" i="4"/>
  <c r="AD196" i="4" s="1"/>
  <c r="Z173" i="4"/>
  <c r="AD173" i="4" s="1"/>
  <c r="Z301" i="4"/>
  <c r="AD301" i="4" s="1"/>
  <c r="Z182" i="4"/>
  <c r="AD182" i="4" s="1"/>
  <c r="Z374" i="4"/>
  <c r="AD374" i="4" s="1"/>
  <c r="Z263" i="4"/>
  <c r="AD263" i="4" s="1"/>
  <c r="Z240" i="4"/>
  <c r="AD240" i="4" s="1"/>
  <c r="Z241" i="4"/>
  <c r="AD241" i="4" s="1"/>
  <c r="Z347" i="4"/>
  <c r="AD347" i="4" s="1"/>
  <c r="Z282" i="4"/>
  <c r="AD282" i="4" s="1"/>
  <c r="Z308" i="4"/>
  <c r="AD308" i="4" s="1"/>
  <c r="Z283" i="4"/>
  <c r="AD283" i="4" s="1"/>
  <c r="Z364" i="4"/>
  <c r="AD364" i="4" s="1"/>
  <c r="Z367" i="4"/>
  <c r="AD367" i="4" s="1"/>
  <c r="Z268" i="4"/>
  <c r="AD268" i="4" s="1"/>
  <c r="Z373" i="4"/>
  <c r="AD373" i="4" s="1"/>
  <c r="Z254" i="4"/>
  <c r="AD254" i="4" s="1"/>
  <c r="Z207" i="4"/>
  <c r="AD207" i="4" s="1"/>
  <c r="Z256" i="4"/>
  <c r="AD256" i="4" s="1"/>
  <c r="Z369" i="4"/>
  <c r="AD369" i="4" s="1"/>
  <c r="Z313" i="4"/>
  <c r="AD313" i="4" s="1"/>
  <c r="Z299" i="4"/>
  <c r="AD299" i="4" s="1"/>
  <c r="Z377" i="4"/>
  <c r="AD377" i="4" s="1"/>
  <c r="Z276" i="4"/>
  <c r="AD276" i="4" s="1"/>
  <c r="Z198" i="4"/>
  <c r="AD198" i="4" s="1"/>
  <c r="Z215" i="4"/>
  <c r="AD215" i="4" s="1"/>
  <c r="Z305" i="4"/>
  <c r="AD305" i="4" s="1"/>
  <c r="Z324" i="4"/>
  <c r="AD324" i="4" s="1"/>
  <c r="Z314" i="4"/>
  <c r="AD314" i="4" s="1"/>
  <c r="Z387" i="4"/>
  <c r="AD387" i="4" s="1"/>
  <c r="Z17" i="4"/>
  <c r="AD17" i="4" s="1"/>
  <c r="Z92" i="4"/>
  <c r="AD92" i="4" s="1"/>
  <c r="Z28" i="4"/>
  <c r="AD28" i="4" s="1"/>
  <c r="Z35" i="4"/>
  <c r="AD35" i="4" s="1"/>
  <c r="Z125" i="4"/>
  <c r="AD125" i="4" s="1"/>
  <c r="Z131" i="4"/>
  <c r="AD131" i="4" s="1"/>
  <c r="Z118" i="4"/>
  <c r="AD118" i="4" s="1"/>
  <c r="Z154" i="4"/>
  <c r="AD154" i="4" s="1"/>
  <c r="Z90" i="4"/>
  <c r="AD90" i="4" s="1"/>
  <c r="Z26" i="4"/>
  <c r="AD26" i="4" s="1"/>
  <c r="Z113" i="4"/>
  <c r="AD113" i="4" s="1"/>
  <c r="Z49" i="4"/>
  <c r="AD49" i="4" s="1"/>
  <c r="Z22" i="4"/>
  <c r="AD22" i="4" s="1"/>
  <c r="Z120" i="4"/>
  <c r="AD120" i="4" s="1"/>
  <c r="Z56" i="4"/>
  <c r="AD56" i="4" s="1"/>
  <c r="Z135" i="4"/>
  <c r="AD135" i="4" s="1"/>
  <c r="Z71" i="4"/>
  <c r="AD71" i="4" s="1"/>
  <c r="Z150" i="4"/>
  <c r="AD150" i="4" s="1"/>
  <c r="Z85" i="4"/>
  <c r="AD85" i="4" s="1"/>
  <c r="Z108" i="4"/>
  <c r="AD108" i="4" s="1"/>
  <c r="Z43" i="4"/>
  <c r="AD43" i="4" s="1"/>
  <c r="Z129" i="4"/>
  <c r="AD129" i="4" s="1"/>
  <c r="Z87" i="4"/>
  <c r="AD87" i="4" s="1"/>
  <c r="Z36" i="4"/>
  <c r="AD36" i="4" s="1"/>
  <c r="Z19" i="4"/>
  <c r="AD19" i="4" s="1"/>
  <c r="Z121" i="4"/>
  <c r="AD121" i="4" s="1"/>
  <c r="Z64" i="4"/>
  <c r="AD64" i="4" s="1"/>
  <c r="Z109" i="4"/>
  <c r="AD109" i="4" s="1"/>
  <c r="Z148" i="4"/>
  <c r="AD148" i="4" s="1"/>
  <c r="Z84" i="4"/>
  <c r="AD84" i="4" s="1"/>
  <c r="Z20" i="4"/>
  <c r="AD20" i="4" s="1"/>
  <c r="Z27" i="4"/>
  <c r="AD27" i="4" s="1"/>
  <c r="Z101" i="4"/>
  <c r="AD101" i="4" s="1"/>
  <c r="Z123" i="4"/>
  <c r="AD123" i="4" s="1"/>
  <c r="Z86" i="4"/>
  <c r="AD86" i="4" s="1"/>
  <c r="Z146" i="4"/>
  <c r="AD146" i="4" s="1"/>
  <c r="Z82" i="4"/>
  <c r="AD82" i="4" s="1"/>
  <c r="Z18" i="4"/>
  <c r="AD18" i="4" s="1"/>
  <c r="Z105" i="4"/>
  <c r="AD105" i="4" s="1"/>
  <c r="Z41" i="4"/>
  <c r="AD41" i="4" s="1"/>
  <c r="Z133" i="4"/>
  <c r="AD133" i="4" s="1"/>
  <c r="Z112" i="4"/>
  <c r="AD112" i="4" s="1"/>
  <c r="Z48" i="4"/>
  <c r="AD48" i="4" s="1"/>
  <c r="Z127" i="4"/>
  <c r="AD127" i="4" s="1"/>
  <c r="Z63" i="4"/>
  <c r="AD63" i="4" s="1"/>
  <c r="Z126" i="4"/>
  <c r="AD126" i="4" s="1"/>
  <c r="Z61" i="4"/>
  <c r="AD61" i="4" s="1"/>
  <c r="Z68" i="4"/>
  <c r="AD68" i="4" s="1"/>
  <c r="Z142" i="4"/>
  <c r="AD142" i="4" s="1"/>
  <c r="Z99" i="4"/>
  <c r="AD99" i="4" s="1"/>
  <c r="Z66" i="4"/>
  <c r="AD66" i="4" s="1"/>
  <c r="Z89" i="4"/>
  <c r="AD89" i="4" s="1"/>
  <c r="Z29" i="4"/>
  <c r="AD29" i="4" s="1"/>
  <c r="Z32" i="4"/>
  <c r="AD32" i="4" s="1"/>
  <c r="Z47" i="4"/>
  <c r="AD47" i="4" s="1"/>
  <c r="Z44" i="4"/>
  <c r="AD44" i="4" s="1"/>
  <c r="Z147" i="4"/>
  <c r="AD147" i="4" s="1"/>
  <c r="Z42" i="4"/>
  <c r="AD42" i="4" s="1"/>
  <c r="Z136" i="4"/>
  <c r="AD136" i="4" s="1"/>
  <c r="Z23" i="4"/>
  <c r="AD23" i="4" s="1"/>
  <c r="Z51" i="4"/>
  <c r="AD51" i="4" s="1"/>
  <c r="Z34" i="4"/>
  <c r="AD34" i="4" s="1"/>
  <c r="Z128" i="4"/>
  <c r="AD128" i="4" s="1"/>
  <c r="Z14" i="4"/>
  <c r="AD14" i="4" s="1"/>
  <c r="Z140" i="4"/>
  <c r="AD140" i="4" s="1"/>
  <c r="Z76" i="4"/>
  <c r="AD76" i="4" s="1"/>
  <c r="Z11" i="4"/>
  <c r="AD11" i="4" s="1"/>
  <c r="Z10" i="4"/>
  <c r="AD10" i="4" s="1"/>
  <c r="Z77" i="4"/>
  <c r="AD77" i="4" s="1"/>
  <c r="Z107" i="4"/>
  <c r="AD107" i="4" s="1"/>
  <c r="Z46" i="4"/>
  <c r="AD46" i="4" s="1"/>
  <c r="Z138" i="4"/>
  <c r="AD138" i="4" s="1"/>
  <c r="Z74" i="4"/>
  <c r="AD74" i="4" s="1"/>
  <c r="AD9" i="4"/>
  <c r="Z97" i="4"/>
  <c r="AD97" i="4" s="1"/>
  <c r="Z33" i="4"/>
  <c r="AD33" i="4" s="1"/>
  <c r="Z69" i="4"/>
  <c r="AD69" i="4" s="1"/>
  <c r="Z104" i="4"/>
  <c r="AD104" i="4" s="1"/>
  <c r="Z40" i="4"/>
  <c r="AD40" i="4" s="1"/>
  <c r="Z119" i="4"/>
  <c r="AD119" i="4" s="1"/>
  <c r="Z55" i="4"/>
  <c r="AD55" i="4" s="1"/>
  <c r="Z110" i="4"/>
  <c r="AD110" i="4" s="1"/>
  <c r="Z37" i="4"/>
  <c r="AD37" i="4" s="1"/>
  <c r="Z132" i="4"/>
  <c r="AD132" i="4" s="1"/>
  <c r="Z115" i="4"/>
  <c r="AD115" i="4" s="1"/>
  <c r="Z45" i="4"/>
  <c r="AD45" i="4" s="1"/>
  <c r="Z149" i="4"/>
  <c r="AD149" i="4" s="1"/>
  <c r="Z130" i="4"/>
  <c r="AD130" i="4" s="1"/>
  <c r="Z153" i="4"/>
  <c r="AD153" i="4" s="1"/>
  <c r="Z25" i="4"/>
  <c r="AD25" i="4" s="1"/>
  <c r="Z96" i="4"/>
  <c r="AD96" i="4" s="1"/>
  <c r="Z111" i="4"/>
  <c r="AD111" i="4" s="1"/>
  <c r="Z78" i="4"/>
  <c r="AD78" i="4" s="1"/>
  <c r="Z67" i="4"/>
  <c r="AD67" i="4" s="1"/>
  <c r="Z106" i="4"/>
  <c r="AD106" i="4" s="1"/>
  <c r="Z94" i="4"/>
  <c r="AD94" i="4" s="1"/>
  <c r="Z72" i="4"/>
  <c r="AD72" i="4" s="1"/>
  <c r="Z141" i="4"/>
  <c r="AD141" i="4" s="1"/>
  <c r="Z13" i="4"/>
  <c r="AD13" i="4" s="1"/>
  <c r="Z21" i="4"/>
  <c r="AD21" i="4" s="1"/>
  <c r="Z57" i="4"/>
  <c r="AD57" i="4" s="1"/>
  <c r="Z79" i="4"/>
  <c r="AD79" i="4" s="1"/>
  <c r="Z124" i="4"/>
  <c r="AD124" i="4" s="1"/>
  <c r="Z60" i="4"/>
  <c r="AD60" i="4" s="1"/>
  <c r="Z91" i="4"/>
  <c r="AD91" i="4" s="1"/>
  <c r="Z102" i="4"/>
  <c r="AD102" i="4" s="1"/>
  <c r="Z12" i="4"/>
  <c r="AD12" i="4" s="1"/>
  <c r="Z75" i="4"/>
  <c r="AD75" i="4" s="1"/>
  <c r="Z117" i="4"/>
  <c r="AD117" i="4" s="1"/>
  <c r="Z122" i="4"/>
  <c r="AD122" i="4" s="1"/>
  <c r="Z58" i="4"/>
  <c r="AD58" i="4" s="1"/>
  <c r="Z145" i="4"/>
  <c r="AD145" i="4" s="1"/>
  <c r="Z81" i="4"/>
  <c r="AD81" i="4" s="1"/>
  <c r="Z16" i="4"/>
  <c r="AD16" i="4" s="1"/>
  <c r="Z152" i="4"/>
  <c r="AD152" i="4" s="1"/>
  <c r="Z88" i="4"/>
  <c r="AD88" i="4" s="1"/>
  <c r="Z24" i="4"/>
  <c r="AD24" i="4" s="1"/>
  <c r="Z103" i="4"/>
  <c r="AD103" i="4" s="1"/>
  <c r="Z39" i="4"/>
  <c r="AD39" i="4" s="1"/>
  <c r="Z54" i="4"/>
  <c r="AD54" i="4" s="1"/>
  <c r="Z116" i="4"/>
  <c r="AD116" i="4" s="1"/>
  <c r="Z52" i="4"/>
  <c r="AD52" i="4" s="1"/>
  <c r="Z83" i="4"/>
  <c r="AD83" i="4" s="1"/>
  <c r="Z70" i="4"/>
  <c r="AD70" i="4" s="1"/>
  <c r="Z155" i="4"/>
  <c r="AD155" i="4" s="1"/>
  <c r="Z59" i="4"/>
  <c r="AD59" i="4" s="1"/>
  <c r="Z93" i="4"/>
  <c r="AD93" i="4" s="1"/>
  <c r="Z114" i="4"/>
  <c r="AD114" i="4" s="1"/>
  <c r="Z50" i="4"/>
  <c r="AD50" i="4" s="1"/>
  <c r="Z137" i="4"/>
  <c r="AD137" i="4" s="1"/>
  <c r="Z73" i="4"/>
  <c r="AD73" i="4" s="1"/>
  <c r="Z134" i="4"/>
  <c r="AD134" i="4" s="1"/>
  <c r="Z144" i="4"/>
  <c r="AD144" i="4" s="1"/>
  <c r="Z80" i="4"/>
  <c r="AD80" i="4" s="1"/>
  <c r="Z15" i="4"/>
  <c r="AD15" i="4" s="1"/>
  <c r="Z95" i="4"/>
  <c r="AD95" i="4" s="1"/>
  <c r="Z31" i="4"/>
  <c r="AD31" i="4" s="1"/>
  <c r="Z30" i="4"/>
  <c r="AD30" i="4" s="1"/>
  <c r="Z38" i="4"/>
  <c r="AD38" i="4" s="1"/>
  <c r="Z53" i="4"/>
  <c r="AD53" i="4" s="1"/>
  <c r="Z65" i="4"/>
  <c r="AD65" i="4" s="1"/>
  <c r="Z151" i="4"/>
  <c r="AD151" i="4" s="1"/>
  <c r="Z100" i="4"/>
  <c r="AD100" i="4" s="1"/>
  <c r="Z139" i="4"/>
  <c r="AD139" i="4" s="1"/>
  <c r="Z98" i="4"/>
  <c r="AD98" i="4" s="1"/>
  <c r="Z62" i="4"/>
  <c r="AD62" i="4" s="1"/>
  <c r="Z143" i="4"/>
  <c r="AD143" i="4" s="1"/>
  <c r="BJ151" i="4"/>
  <c r="BJ125" i="4"/>
  <c r="BJ117" i="4"/>
  <c r="BH151" i="4"/>
  <c r="BH125" i="4"/>
  <c r="BF151" i="4"/>
  <c r="AS7" i="4" l="1"/>
  <c r="AQ7" i="4"/>
  <c r="BD151" i="4" l="1"/>
  <c r="BB151" i="4"/>
  <c r="BJ194" i="4"/>
  <c r="BD194" i="4"/>
  <c r="AZ197" i="4"/>
  <c r="AZ193" i="4"/>
  <c r="AZ198" i="4"/>
  <c r="AZ85" i="4"/>
  <c r="AZ200" i="4"/>
  <c r="AZ196" i="4"/>
  <c r="AZ192" i="4"/>
  <c r="AZ199" i="4"/>
  <c r="AZ195" i="4"/>
  <c r="AZ191" i="4"/>
  <c r="AZ194" i="4"/>
  <c r="AT198" i="4"/>
  <c r="AT194" i="4"/>
  <c r="AT85" i="4"/>
  <c r="AT199" i="4"/>
  <c r="AT197" i="4"/>
  <c r="AT193" i="4"/>
  <c r="AT195" i="4"/>
  <c r="AT200" i="4"/>
  <c r="AT196" i="4"/>
  <c r="AT192" i="4"/>
  <c r="AT191" i="4"/>
  <c r="BF198" i="4"/>
  <c r="BF194" i="4"/>
  <c r="BF85" i="4"/>
  <c r="BF117" i="4"/>
  <c r="BF191" i="4"/>
  <c r="BF197" i="4"/>
  <c r="BF193" i="4"/>
  <c r="BF171" i="4"/>
  <c r="BF143" i="4"/>
  <c r="BF51" i="4"/>
  <c r="BF199" i="4"/>
  <c r="BF127" i="4"/>
  <c r="BF200" i="4"/>
  <c r="BF196" i="4"/>
  <c r="BF192" i="4"/>
  <c r="BF167" i="4"/>
  <c r="BF31" i="4"/>
  <c r="BF195" i="4"/>
  <c r="BF165" i="4"/>
  <c r="BH199" i="4"/>
  <c r="BH195" i="4"/>
  <c r="BH191" i="4"/>
  <c r="BH167" i="4"/>
  <c r="BH143" i="4"/>
  <c r="BH117" i="4"/>
  <c r="BH200" i="4"/>
  <c r="BH192" i="4"/>
  <c r="BH198" i="4"/>
  <c r="BH194" i="4"/>
  <c r="BH85" i="4"/>
  <c r="BH154" i="4"/>
  <c r="BH31" i="4"/>
  <c r="BH51" i="4"/>
  <c r="BH197" i="4"/>
  <c r="BH193" i="4"/>
  <c r="BH190" i="4"/>
  <c r="BH165" i="4"/>
  <c r="BH196" i="4"/>
  <c r="BH171" i="4"/>
  <c r="BH127" i="4"/>
  <c r="AV200" i="4"/>
  <c r="AV196" i="4"/>
  <c r="AV192" i="4"/>
  <c r="AV199" i="4"/>
  <c r="AV195" i="4"/>
  <c r="AV191" i="4"/>
  <c r="AV197" i="4"/>
  <c r="AV198" i="4"/>
  <c r="AV194" i="4"/>
  <c r="AV193" i="4"/>
  <c r="BJ197" i="4"/>
  <c r="BJ193" i="4"/>
  <c r="BJ190" i="4"/>
  <c r="BJ154" i="4"/>
  <c r="BJ143" i="4"/>
  <c r="BJ85" i="4"/>
  <c r="BJ200" i="4"/>
  <c r="BJ196" i="4"/>
  <c r="BJ192" i="4"/>
  <c r="BJ188" i="4"/>
  <c r="BJ155" i="4"/>
  <c r="BJ31" i="4"/>
  <c r="BJ114" i="4"/>
  <c r="BJ199" i="4"/>
  <c r="BJ195" i="4"/>
  <c r="BJ191" i="4"/>
  <c r="BJ171" i="4"/>
  <c r="BJ165" i="4"/>
  <c r="BJ51" i="4"/>
  <c r="BJ198" i="4"/>
  <c r="BJ167" i="4"/>
  <c r="BJ127" i="4"/>
  <c r="BJ17" i="4"/>
  <c r="BD198" i="4"/>
  <c r="BD85" i="4"/>
  <c r="BD143" i="4"/>
  <c r="BD199" i="4"/>
  <c r="BD191" i="4"/>
  <c r="BD197" i="4"/>
  <c r="BD193" i="4"/>
  <c r="BD171" i="4"/>
  <c r="BD31" i="4"/>
  <c r="BD200" i="4"/>
  <c r="BD196" i="4"/>
  <c r="BD192" i="4"/>
  <c r="BD167" i="4"/>
  <c r="BD127" i="4"/>
  <c r="BD195" i="4"/>
  <c r="BD117" i="4"/>
  <c r="AR197" i="4"/>
  <c r="AR193" i="4"/>
  <c r="AR198" i="4"/>
  <c r="AR200" i="4"/>
  <c r="AR196" i="4"/>
  <c r="AR192" i="4"/>
  <c r="AR194" i="4"/>
  <c r="AR199" i="4"/>
  <c r="AR195" i="4"/>
  <c r="AR191" i="4"/>
  <c r="AX197" i="4"/>
  <c r="AX193" i="4"/>
  <c r="AX199" i="4"/>
  <c r="AX191" i="4"/>
  <c r="AX194" i="4"/>
  <c r="AX200" i="4"/>
  <c r="AX196" i="4"/>
  <c r="AX192" i="4"/>
  <c r="AX195" i="4"/>
  <c r="AX198" i="4"/>
  <c r="AP193" i="4"/>
  <c r="AP197" i="4"/>
  <c r="AP191" i="4"/>
  <c r="AP199" i="4"/>
  <c r="AP192" i="4"/>
  <c r="AP200" i="4"/>
  <c r="AP194" i="4"/>
  <c r="AP198" i="4"/>
  <c r="AP195" i="4"/>
  <c r="AP196" i="4"/>
  <c r="BB200" i="4"/>
  <c r="BB196" i="4"/>
  <c r="BB192" i="4"/>
  <c r="BB198" i="4"/>
  <c r="BB85" i="4"/>
  <c r="BB197" i="4"/>
  <c r="BB167" i="4"/>
  <c r="BB199" i="4"/>
  <c r="BB195" i="4"/>
  <c r="BB191" i="4"/>
  <c r="BB31" i="4"/>
  <c r="BB194" i="4"/>
  <c r="BB193" i="4"/>
  <c r="AX85" i="4"/>
  <c r="BB127" i="4"/>
  <c r="BD165" i="4"/>
  <c r="BF190" i="4"/>
  <c r="AZ31" i="4"/>
  <c r="AZ151" i="4"/>
  <c r="AV85" i="4"/>
  <c r="AR85" i="4"/>
  <c r="AP85" i="4"/>
  <c r="AZ167" i="4"/>
  <c r="BB171" i="4"/>
  <c r="BJ23" i="4"/>
  <c r="BJ161" i="4"/>
  <c r="BJ37" i="4"/>
  <c r="AV188" i="4"/>
  <c r="AV182" i="4"/>
  <c r="AV178" i="4"/>
  <c r="AV175" i="4"/>
  <c r="AV173" i="4"/>
  <c r="AV167" i="4"/>
  <c r="AV161" i="4"/>
  <c r="AV155" i="4"/>
  <c r="AV162" i="4"/>
  <c r="AV151" i="4"/>
  <c r="AV145" i="4"/>
  <c r="AV140" i="4"/>
  <c r="AV139" i="4"/>
  <c r="AV31" i="4"/>
  <c r="AV125" i="4"/>
  <c r="AV123" i="4"/>
  <c r="AV117" i="4"/>
  <c r="AV26" i="4"/>
  <c r="AV115" i="4"/>
  <c r="AV105" i="4"/>
  <c r="AV137" i="4"/>
  <c r="AV130" i="4"/>
  <c r="AV118" i="4"/>
  <c r="AV119" i="4"/>
  <c r="AV106" i="4"/>
  <c r="AV177" i="4"/>
  <c r="AV185" i="4"/>
  <c r="AV55" i="4"/>
  <c r="AV135" i="4"/>
  <c r="AV124" i="4"/>
  <c r="AV112" i="4"/>
  <c r="AV190" i="4"/>
  <c r="AV186" i="4"/>
  <c r="AV181" i="4"/>
  <c r="AV179" i="4"/>
  <c r="AV172" i="4"/>
  <c r="AV169" i="4"/>
  <c r="AV166" i="4"/>
  <c r="AV159" i="4"/>
  <c r="AV163" i="4"/>
  <c r="AV153" i="4"/>
  <c r="AV152" i="4"/>
  <c r="AV144" i="4"/>
  <c r="AV138" i="4"/>
  <c r="AV127" i="4"/>
  <c r="AV24" i="4"/>
  <c r="AV113" i="4"/>
  <c r="AV187" i="4"/>
  <c r="AV157" i="4"/>
  <c r="AV154" i="4"/>
  <c r="AV150" i="4"/>
  <c r="AV141" i="4"/>
  <c r="AV129" i="4"/>
  <c r="AV107" i="4"/>
  <c r="AV109" i="4"/>
  <c r="AV189" i="4"/>
  <c r="AV184" i="4"/>
  <c r="AV180" i="4"/>
  <c r="AV176" i="4"/>
  <c r="AV171" i="4"/>
  <c r="AV170" i="4"/>
  <c r="AV156" i="4"/>
  <c r="AV164" i="4"/>
  <c r="AV158" i="4"/>
  <c r="AV165" i="4"/>
  <c r="AV143" i="4"/>
  <c r="AV142" i="4"/>
  <c r="AV131" i="4"/>
  <c r="AV132" i="4"/>
  <c r="AV133" i="4"/>
  <c r="AV126" i="4"/>
  <c r="AV121" i="4"/>
  <c r="AV116" i="4"/>
  <c r="AV134" i="4"/>
  <c r="AV111" i="4"/>
  <c r="AV146" i="4"/>
  <c r="AV183" i="4"/>
  <c r="AV168" i="4"/>
  <c r="AV160" i="4"/>
  <c r="AV149" i="4"/>
  <c r="AV136" i="4"/>
  <c r="AV120" i="4"/>
  <c r="AV16" i="4"/>
  <c r="BH187" i="4"/>
  <c r="BH183" i="4"/>
  <c r="BH177" i="4"/>
  <c r="BH157" i="4"/>
  <c r="BH185" i="4"/>
  <c r="BH168" i="4"/>
  <c r="BH55" i="4"/>
  <c r="BH160" i="4"/>
  <c r="BH150" i="4"/>
  <c r="BH149" i="4"/>
  <c r="BH141" i="4"/>
  <c r="BH135" i="4"/>
  <c r="BH136" i="4"/>
  <c r="BH129" i="4"/>
  <c r="BH124" i="4"/>
  <c r="BH120" i="4"/>
  <c r="BH107" i="4"/>
  <c r="BH112" i="4"/>
  <c r="BH16" i="4"/>
  <c r="BH109" i="4"/>
  <c r="BH79" i="4"/>
  <c r="BH23" i="4"/>
  <c r="BH170" i="4"/>
  <c r="BH158" i="4"/>
  <c r="BH142" i="4"/>
  <c r="BH133" i="4"/>
  <c r="BH134" i="4"/>
  <c r="BH37" i="4"/>
  <c r="BH188" i="4"/>
  <c r="BH182" i="4"/>
  <c r="BH178" i="4"/>
  <c r="BH175" i="4"/>
  <c r="BH173" i="4"/>
  <c r="BH161" i="4"/>
  <c r="BH155" i="4"/>
  <c r="BH162" i="4"/>
  <c r="BH145" i="4"/>
  <c r="BH140" i="4"/>
  <c r="BH139" i="4"/>
  <c r="BH123" i="4"/>
  <c r="BH26" i="4"/>
  <c r="BH115" i="4"/>
  <c r="BH105" i="4"/>
  <c r="BH98" i="4"/>
  <c r="BH40" i="4"/>
  <c r="BH176" i="4"/>
  <c r="BH156" i="4"/>
  <c r="BH131" i="4"/>
  <c r="BH126" i="4"/>
  <c r="BH116" i="4"/>
  <c r="BH44" i="4"/>
  <c r="BH186" i="4"/>
  <c r="BH181" i="4"/>
  <c r="BH179" i="4"/>
  <c r="BH172" i="4"/>
  <c r="BH169" i="4"/>
  <c r="BH166" i="4"/>
  <c r="BH159" i="4"/>
  <c r="BH163" i="4"/>
  <c r="BH153" i="4"/>
  <c r="BH152" i="4"/>
  <c r="BH144" i="4"/>
  <c r="BH137" i="4"/>
  <c r="BH138" i="4"/>
  <c r="BH130" i="4"/>
  <c r="BH118" i="4"/>
  <c r="BH24" i="4"/>
  <c r="BH119" i="4"/>
  <c r="BH113" i="4"/>
  <c r="BH106" i="4"/>
  <c r="BH89" i="4"/>
  <c r="BH189" i="4"/>
  <c r="BH184" i="4"/>
  <c r="BH180" i="4"/>
  <c r="BH164" i="4"/>
  <c r="BH132" i="4"/>
  <c r="BH121" i="4"/>
  <c r="BH111" i="4"/>
  <c r="BH146" i="4"/>
  <c r="BH17" i="4"/>
  <c r="BH14" i="4"/>
  <c r="BB181" i="4"/>
  <c r="BB166" i="4"/>
  <c r="BB152" i="4"/>
  <c r="BB130" i="4"/>
  <c r="BB24" i="4"/>
  <c r="BB113" i="4"/>
  <c r="BB189" i="4"/>
  <c r="BB184" i="4"/>
  <c r="BB180" i="4"/>
  <c r="BB176" i="4"/>
  <c r="BB170" i="4"/>
  <c r="BB156" i="4"/>
  <c r="BB164" i="4"/>
  <c r="BB158" i="4"/>
  <c r="BB165" i="4"/>
  <c r="BB143" i="4"/>
  <c r="BB142" i="4"/>
  <c r="BB131" i="4"/>
  <c r="BB132" i="4"/>
  <c r="BB133" i="4"/>
  <c r="BB126" i="4"/>
  <c r="BB121" i="4"/>
  <c r="BB116" i="4"/>
  <c r="BB134" i="4"/>
  <c r="BB111" i="4"/>
  <c r="BB146" i="4"/>
  <c r="BB79" i="4"/>
  <c r="BB187" i="4"/>
  <c r="BB183" i="4"/>
  <c r="BB177" i="4"/>
  <c r="BB157" i="4"/>
  <c r="BB185" i="4"/>
  <c r="BB168" i="4"/>
  <c r="BB154" i="4"/>
  <c r="BB55" i="4"/>
  <c r="BB160" i="4"/>
  <c r="BB150" i="4"/>
  <c r="BB149" i="4"/>
  <c r="BB141" i="4"/>
  <c r="BB135" i="4"/>
  <c r="BB136" i="4"/>
  <c r="BB129" i="4"/>
  <c r="BB124" i="4"/>
  <c r="BB120" i="4"/>
  <c r="BB107" i="4"/>
  <c r="BB112" i="4"/>
  <c r="BB16" i="4"/>
  <c r="BB109" i="4"/>
  <c r="BB40" i="4"/>
  <c r="BB186" i="4"/>
  <c r="BB179" i="4"/>
  <c r="BB169" i="4"/>
  <c r="BB163" i="4"/>
  <c r="BB144" i="4"/>
  <c r="BB138" i="4"/>
  <c r="BB118" i="4"/>
  <c r="BB119" i="4"/>
  <c r="BB89" i="4"/>
  <c r="BB188" i="4"/>
  <c r="BB182" i="4"/>
  <c r="BB178" i="4"/>
  <c r="BB175" i="4"/>
  <c r="BB173" i="4"/>
  <c r="BB161" i="4"/>
  <c r="BB155" i="4"/>
  <c r="BB162" i="4"/>
  <c r="BB145" i="4"/>
  <c r="BB140" i="4"/>
  <c r="BB139" i="4"/>
  <c r="BB125" i="4"/>
  <c r="BB123" i="4"/>
  <c r="BB117" i="4"/>
  <c r="BB26" i="4"/>
  <c r="BB115" i="4"/>
  <c r="BB105" i="4"/>
  <c r="BB98" i="4"/>
  <c r="BB37" i="4"/>
  <c r="BB190" i="4"/>
  <c r="BB172" i="4"/>
  <c r="BB159" i="4"/>
  <c r="BB153" i="4"/>
  <c r="BB137" i="4"/>
  <c r="BB106" i="4"/>
  <c r="BB23" i="4"/>
  <c r="BB17" i="4"/>
  <c r="BJ182" i="4"/>
  <c r="BJ178" i="4"/>
  <c r="BJ175" i="4"/>
  <c r="BJ173" i="4"/>
  <c r="BJ162" i="4"/>
  <c r="BJ145" i="4"/>
  <c r="BJ140" i="4"/>
  <c r="BJ139" i="4"/>
  <c r="BJ123" i="4"/>
  <c r="BJ26" i="4"/>
  <c r="BJ115" i="4"/>
  <c r="BJ105" i="4"/>
  <c r="BJ110" i="4"/>
  <c r="BJ89" i="4"/>
  <c r="BJ40" i="4"/>
  <c r="BJ186" i="4"/>
  <c r="BJ181" i="4"/>
  <c r="BJ179" i="4"/>
  <c r="BJ172" i="4"/>
  <c r="BJ169" i="4"/>
  <c r="BJ166" i="4"/>
  <c r="BJ159" i="4"/>
  <c r="BJ163" i="4"/>
  <c r="BJ153" i="4"/>
  <c r="BJ152" i="4"/>
  <c r="BJ144" i="4"/>
  <c r="BJ137" i="4"/>
  <c r="BJ138" i="4"/>
  <c r="BJ130" i="4"/>
  <c r="BJ118" i="4"/>
  <c r="BJ24" i="4"/>
  <c r="BJ119" i="4"/>
  <c r="BJ113" i="4"/>
  <c r="BJ106" i="4"/>
  <c r="BJ98" i="4"/>
  <c r="BJ44" i="4"/>
  <c r="BJ189" i="4"/>
  <c r="BJ184" i="4"/>
  <c r="BJ180" i="4"/>
  <c r="BJ176" i="4"/>
  <c r="BJ170" i="4"/>
  <c r="BJ156" i="4"/>
  <c r="BJ164" i="4"/>
  <c r="BJ158" i="4"/>
  <c r="BJ142" i="4"/>
  <c r="BJ131" i="4"/>
  <c r="BJ132" i="4"/>
  <c r="BJ133" i="4"/>
  <c r="BJ126" i="4"/>
  <c r="BJ121" i="4"/>
  <c r="BJ116" i="4"/>
  <c r="BJ134" i="4"/>
  <c r="BJ111" i="4"/>
  <c r="BJ146" i="4"/>
  <c r="BJ79" i="4"/>
  <c r="BJ12" i="4"/>
  <c r="BJ187" i="4"/>
  <c r="BJ183" i="4"/>
  <c r="BJ177" i="4"/>
  <c r="BJ157" i="4"/>
  <c r="BJ185" i="4"/>
  <c r="BJ168" i="4"/>
  <c r="BJ55" i="4"/>
  <c r="BJ160" i="4"/>
  <c r="BJ150" i="4"/>
  <c r="BJ149" i="4"/>
  <c r="BJ141" i="4"/>
  <c r="BJ135" i="4"/>
  <c r="BJ136" i="4"/>
  <c r="BJ129" i="4"/>
  <c r="BJ124" i="4"/>
  <c r="BJ120" i="4"/>
  <c r="BJ107" i="4"/>
  <c r="BJ112" i="4"/>
  <c r="BJ16" i="4"/>
  <c r="BJ109" i="4"/>
  <c r="BJ93" i="4"/>
  <c r="BJ60" i="4"/>
  <c r="BJ14" i="4"/>
  <c r="BJ11" i="4"/>
  <c r="AR187" i="4"/>
  <c r="AR183" i="4"/>
  <c r="AR157" i="4"/>
  <c r="AR168" i="4"/>
  <c r="AR55" i="4"/>
  <c r="AR150" i="4"/>
  <c r="AR141" i="4"/>
  <c r="AR135" i="4"/>
  <c r="AR124" i="4"/>
  <c r="AR107" i="4"/>
  <c r="AR16" i="4"/>
  <c r="AR188" i="4"/>
  <c r="AR182" i="4"/>
  <c r="AR178" i="4"/>
  <c r="AR175" i="4"/>
  <c r="AR173" i="4"/>
  <c r="AR167" i="4"/>
  <c r="AR161" i="4"/>
  <c r="AR155" i="4"/>
  <c r="AR162" i="4"/>
  <c r="AR151" i="4"/>
  <c r="AR145" i="4"/>
  <c r="AR140" i="4"/>
  <c r="AR139" i="4"/>
  <c r="AR31" i="4"/>
  <c r="AR125" i="4"/>
  <c r="AR123" i="4"/>
  <c r="AR117" i="4"/>
  <c r="AR26" i="4"/>
  <c r="AR115" i="4"/>
  <c r="AR105" i="4"/>
  <c r="AR190" i="4"/>
  <c r="AR186" i="4"/>
  <c r="AR181" i="4"/>
  <c r="AR179" i="4"/>
  <c r="AR172" i="4"/>
  <c r="AR169" i="4"/>
  <c r="AR166" i="4"/>
  <c r="AR159" i="4"/>
  <c r="AR163" i="4"/>
  <c r="AR153" i="4"/>
  <c r="AR152" i="4"/>
  <c r="AR144" i="4"/>
  <c r="AR137" i="4"/>
  <c r="AR138" i="4"/>
  <c r="AR130" i="4"/>
  <c r="AR127" i="4"/>
  <c r="AR118" i="4"/>
  <c r="AR24" i="4"/>
  <c r="AR119" i="4"/>
  <c r="AR113" i="4"/>
  <c r="AR106" i="4"/>
  <c r="AR189" i="4"/>
  <c r="AR184" i="4"/>
  <c r="AR180" i="4"/>
  <c r="AR176" i="4"/>
  <c r="AR171" i="4"/>
  <c r="AR170" i="4"/>
  <c r="AR156" i="4"/>
  <c r="AR164" i="4"/>
  <c r="AR158" i="4"/>
  <c r="AR165" i="4"/>
  <c r="AR143" i="4"/>
  <c r="AR142" i="4"/>
  <c r="AR131" i="4"/>
  <c r="AR132" i="4"/>
  <c r="AR133" i="4"/>
  <c r="AR126" i="4"/>
  <c r="AR121" i="4"/>
  <c r="AR116" i="4"/>
  <c r="AR134" i="4"/>
  <c r="AR111" i="4"/>
  <c r="AR146" i="4"/>
  <c r="AR177" i="4"/>
  <c r="AR185" i="4"/>
  <c r="AR154" i="4"/>
  <c r="AR160" i="4"/>
  <c r="AR149" i="4"/>
  <c r="AR136" i="4"/>
  <c r="AR129" i="4"/>
  <c r="AR120" i="4"/>
  <c r="AR112" i="4"/>
  <c r="AR109" i="4"/>
  <c r="AZ188" i="4"/>
  <c r="AZ182" i="4"/>
  <c r="AZ178" i="4"/>
  <c r="AZ175" i="4"/>
  <c r="AZ173" i="4"/>
  <c r="AZ161" i="4"/>
  <c r="AZ190" i="4"/>
  <c r="AZ186" i="4"/>
  <c r="AZ181" i="4"/>
  <c r="AZ179" i="4"/>
  <c r="AZ172" i="4"/>
  <c r="AZ169" i="4"/>
  <c r="AZ166" i="4"/>
  <c r="AZ159" i="4"/>
  <c r="AZ163" i="4"/>
  <c r="AZ153" i="4"/>
  <c r="AZ152" i="4"/>
  <c r="AZ144" i="4"/>
  <c r="AZ137" i="4"/>
  <c r="AZ138" i="4"/>
  <c r="AZ130" i="4"/>
  <c r="AZ127" i="4"/>
  <c r="AZ118" i="4"/>
  <c r="AZ189" i="4"/>
  <c r="AZ184" i="4"/>
  <c r="AZ180" i="4"/>
  <c r="AZ176" i="4"/>
  <c r="AZ171" i="4"/>
  <c r="AZ170" i="4"/>
  <c r="AZ156" i="4"/>
  <c r="AZ164" i="4"/>
  <c r="AZ158" i="4"/>
  <c r="AZ165" i="4"/>
  <c r="AZ143" i="4"/>
  <c r="AZ142" i="4"/>
  <c r="AZ131" i="4"/>
  <c r="AZ132" i="4"/>
  <c r="AZ133" i="4"/>
  <c r="AZ126" i="4"/>
  <c r="AZ187" i="4"/>
  <c r="AZ183" i="4"/>
  <c r="AZ177" i="4"/>
  <c r="AZ157" i="4"/>
  <c r="AZ185" i="4"/>
  <c r="AZ168" i="4"/>
  <c r="AZ154" i="4"/>
  <c r="AZ55" i="4"/>
  <c r="AZ160" i="4"/>
  <c r="AZ150" i="4"/>
  <c r="AZ149" i="4"/>
  <c r="AZ141" i="4"/>
  <c r="AZ135" i="4"/>
  <c r="AZ136" i="4"/>
  <c r="AZ129" i="4"/>
  <c r="AZ124" i="4"/>
  <c r="AZ120" i="4"/>
  <c r="AZ107" i="4"/>
  <c r="AZ112" i="4"/>
  <c r="AZ16" i="4"/>
  <c r="AZ109" i="4"/>
  <c r="AZ145" i="4"/>
  <c r="AZ125" i="4"/>
  <c r="AZ24" i="4"/>
  <c r="AZ134" i="4"/>
  <c r="AZ105" i="4"/>
  <c r="AZ79" i="4"/>
  <c r="AZ155" i="4"/>
  <c r="AZ140" i="4"/>
  <c r="AZ123" i="4"/>
  <c r="AZ116" i="4"/>
  <c r="AZ115" i="4"/>
  <c r="AZ106" i="4"/>
  <c r="AZ162" i="4"/>
  <c r="AZ139" i="4"/>
  <c r="AZ121" i="4"/>
  <c r="AZ26" i="4"/>
  <c r="AZ113" i="4"/>
  <c r="AZ146" i="4"/>
  <c r="AZ117" i="4"/>
  <c r="AZ119" i="4"/>
  <c r="AZ111" i="4"/>
  <c r="AZ89" i="4"/>
  <c r="AP105" i="4"/>
  <c r="AP117" i="4"/>
  <c r="AP31" i="4"/>
  <c r="AP145" i="4"/>
  <c r="AP161" i="4"/>
  <c r="AP175" i="4"/>
  <c r="AP188" i="4"/>
  <c r="AP168" i="4"/>
  <c r="AP177" i="4"/>
  <c r="AP109" i="4"/>
  <c r="AP16" i="4"/>
  <c r="AP112" i="4"/>
  <c r="AP107" i="4"/>
  <c r="AP120" i="4"/>
  <c r="AP124" i="4"/>
  <c r="AP129" i="4"/>
  <c r="AP136" i="4"/>
  <c r="AP135" i="4"/>
  <c r="AP141" i="4"/>
  <c r="AP149" i="4"/>
  <c r="AP150" i="4"/>
  <c r="AP160" i="4"/>
  <c r="AP55" i="4"/>
  <c r="AP185" i="4"/>
  <c r="AP183" i="4"/>
  <c r="AP146" i="4"/>
  <c r="AP111" i="4"/>
  <c r="AP134" i="4"/>
  <c r="AP116" i="4"/>
  <c r="AP121" i="4"/>
  <c r="AP126" i="4"/>
  <c r="AP133" i="4"/>
  <c r="AP132" i="4"/>
  <c r="AP131" i="4"/>
  <c r="AP142" i="4"/>
  <c r="AP143" i="4"/>
  <c r="AP165" i="4"/>
  <c r="AP158" i="4"/>
  <c r="AP164" i="4"/>
  <c r="AP156" i="4"/>
  <c r="AP170" i="4"/>
  <c r="AP171" i="4"/>
  <c r="AP106" i="4"/>
  <c r="AP113" i="4"/>
  <c r="AP119" i="4"/>
  <c r="AP24" i="4"/>
  <c r="AP118" i="4"/>
  <c r="AP127" i="4"/>
  <c r="AP130" i="4"/>
  <c r="AP138" i="4"/>
  <c r="AP137" i="4"/>
  <c r="AP144" i="4"/>
  <c r="AP152" i="4"/>
  <c r="AP153" i="4"/>
  <c r="AP163" i="4"/>
  <c r="AP159" i="4"/>
  <c r="AP166" i="4"/>
  <c r="AP169" i="4"/>
  <c r="AP172" i="4"/>
  <c r="AP179" i="4"/>
  <c r="AP181" i="4"/>
  <c r="AP186" i="4"/>
  <c r="AP190" i="4"/>
  <c r="AP115" i="4"/>
  <c r="AP26" i="4"/>
  <c r="AP123" i="4"/>
  <c r="AP125" i="4"/>
  <c r="AP139" i="4"/>
  <c r="AP140" i="4"/>
  <c r="AP151" i="4"/>
  <c r="AP162" i="4"/>
  <c r="AP155" i="4"/>
  <c r="AP167" i="4"/>
  <c r="AP173" i="4"/>
  <c r="AP178" i="4"/>
  <c r="AP182" i="4"/>
  <c r="AP154" i="4"/>
  <c r="AP157" i="4"/>
  <c r="AP187" i="4"/>
  <c r="AP180" i="4"/>
  <c r="AP184" i="4"/>
  <c r="AP189" i="4"/>
  <c r="AP176" i="4"/>
  <c r="AX187" i="4"/>
  <c r="AX183" i="4"/>
  <c r="AX177" i="4"/>
  <c r="AX157" i="4"/>
  <c r="AX190" i="4"/>
  <c r="AX184" i="4"/>
  <c r="AX178" i="4"/>
  <c r="AX172" i="4"/>
  <c r="AX169" i="4"/>
  <c r="AX166" i="4"/>
  <c r="AX159" i="4"/>
  <c r="AX163" i="4"/>
  <c r="AX153" i="4"/>
  <c r="AX152" i="4"/>
  <c r="AX144" i="4"/>
  <c r="AX137" i="4"/>
  <c r="AX138" i="4"/>
  <c r="AX130" i="4"/>
  <c r="AX127" i="4"/>
  <c r="AX118" i="4"/>
  <c r="AX24" i="4"/>
  <c r="AX119" i="4"/>
  <c r="AX113" i="4"/>
  <c r="AX106" i="4"/>
  <c r="AX189" i="4"/>
  <c r="AX182" i="4"/>
  <c r="AX179" i="4"/>
  <c r="AX171" i="4"/>
  <c r="AX170" i="4"/>
  <c r="AX156" i="4"/>
  <c r="AX164" i="4"/>
  <c r="AX158" i="4"/>
  <c r="AX165" i="4"/>
  <c r="AX143" i="4"/>
  <c r="AX142" i="4"/>
  <c r="AX131" i="4"/>
  <c r="AX132" i="4"/>
  <c r="AX133" i="4"/>
  <c r="AX126" i="4"/>
  <c r="AX121" i="4"/>
  <c r="AX116" i="4"/>
  <c r="AX134" i="4"/>
  <c r="AX111" i="4"/>
  <c r="AX146" i="4"/>
  <c r="AX188" i="4"/>
  <c r="AX181" i="4"/>
  <c r="AX176" i="4"/>
  <c r="AX185" i="4"/>
  <c r="AX168" i="4"/>
  <c r="AX154" i="4"/>
  <c r="AX55" i="4"/>
  <c r="AX160" i="4"/>
  <c r="AX150" i="4"/>
  <c r="AX149" i="4"/>
  <c r="AX141" i="4"/>
  <c r="AX135" i="4"/>
  <c r="AX136" i="4"/>
  <c r="AX129" i="4"/>
  <c r="AX124" i="4"/>
  <c r="AX120" i="4"/>
  <c r="AX107" i="4"/>
  <c r="AX112" i="4"/>
  <c r="AX16" i="4"/>
  <c r="AX109" i="4"/>
  <c r="AX186" i="4"/>
  <c r="AX180" i="4"/>
  <c r="AX175" i="4"/>
  <c r="AX173" i="4"/>
  <c r="AX167" i="4"/>
  <c r="AX161" i="4"/>
  <c r="AX155" i="4"/>
  <c r="AX162" i="4"/>
  <c r="AX151" i="4"/>
  <c r="AX145" i="4"/>
  <c r="AX140" i="4"/>
  <c r="AX139" i="4"/>
  <c r="AX31" i="4"/>
  <c r="AX125" i="4"/>
  <c r="AX123" i="4"/>
  <c r="AX117" i="4"/>
  <c r="AX26" i="4"/>
  <c r="AX115" i="4"/>
  <c r="AX105" i="4"/>
  <c r="BD190" i="4"/>
  <c r="BD186" i="4"/>
  <c r="BD181" i="4"/>
  <c r="BD179" i="4"/>
  <c r="BD172" i="4"/>
  <c r="BD169" i="4"/>
  <c r="BD166" i="4"/>
  <c r="BD159" i="4"/>
  <c r="BD163" i="4"/>
  <c r="BD153" i="4"/>
  <c r="BD152" i="4"/>
  <c r="BD144" i="4"/>
  <c r="BD137" i="4"/>
  <c r="BD138" i="4"/>
  <c r="BD130" i="4"/>
  <c r="BD118" i="4"/>
  <c r="BD24" i="4"/>
  <c r="BD119" i="4"/>
  <c r="BD113" i="4"/>
  <c r="BD106" i="4"/>
  <c r="BD89" i="4"/>
  <c r="BD37" i="4"/>
  <c r="BD189" i="4"/>
  <c r="BD184" i="4"/>
  <c r="BD180" i="4"/>
  <c r="BD176" i="4"/>
  <c r="BD170" i="4"/>
  <c r="BD156" i="4"/>
  <c r="BD164" i="4"/>
  <c r="BD158" i="4"/>
  <c r="BD142" i="4"/>
  <c r="BD131" i="4"/>
  <c r="BD132" i="4"/>
  <c r="BD133" i="4"/>
  <c r="BD126" i="4"/>
  <c r="BD121" i="4"/>
  <c r="BD116" i="4"/>
  <c r="BD134" i="4"/>
  <c r="BD111" i="4"/>
  <c r="BD146" i="4"/>
  <c r="BD44" i="4"/>
  <c r="BD23" i="4"/>
  <c r="BD187" i="4"/>
  <c r="BD183" i="4"/>
  <c r="BD177" i="4"/>
  <c r="BD157" i="4"/>
  <c r="BD185" i="4"/>
  <c r="BD168" i="4"/>
  <c r="BD154" i="4"/>
  <c r="BD55" i="4"/>
  <c r="BD160" i="4"/>
  <c r="BD150" i="4"/>
  <c r="BD149" i="4"/>
  <c r="BD141" i="4"/>
  <c r="BD135" i="4"/>
  <c r="BD136" i="4"/>
  <c r="BD129" i="4"/>
  <c r="BD124" i="4"/>
  <c r="BD120" i="4"/>
  <c r="BD107" i="4"/>
  <c r="BD112" i="4"/>
  <c r="BD16" i="4"/>
  <c r="BD109" i="4"/>
  <c r="BD79" i="4"/>
  <c r="BD188" i="4"/>
  <c r="BD182" i="4"/>
  <c r="BD178" i="4"/>
  <c r="BD175" i="4"/>
  <c r="BD173" i="4"/>
  <c r="BD161" i="4"/>
  <c r="BD155" i="4"/>
  <c r="BD162" i="4"/>
  <c r="BD145" i="4"/>
  <c r="BD140" i="4"/>
  <c r="BD139" i="4"/>
  <c r="BD125" i="4"/>
  <c r="BD123" i="4"/>
  <c r="BD26" i="4"/>
  <c r="BD115" i="4"/>
  <c r="BD105" i="4"/>
  <c r="BD98" i="4"/>
  <c r="BD40" i="4"/>
  <c r="BD17" i="4"/>
  <c r="BD14" i="4"/>
  <c r="BF187" i="4"/>
  <c r="BF183" i="4"/>
  <c r="BF177" i="4"/>
  <c r="BF157" i="4"/>
  <c r="BF185" i="4"/>
  <c r="BF168" i="4"/>
  <c r="BF154" i="4"/>
  <c r="BF55" i="4"/>
  <c r="BF160" i="4"/>
  <c r="BF150" i="4"/>
  <c r="BF149" i="4"/>
  <c r="BF141" i="4"/>
  <c r="BF135" i="4"/>
  <c r="BF136" i="4"/>
  <c r="BF129" i="4"/>
  <c r="BF124" i="4"/>
  <c r="BF120" i="4"/>
  <c r="BF107" i="4"/>
  <c r="BF112" i="4"/>
  <c r="BF16" i="4"/>
  <c r="BF109" i="4"/>
  <c r="BF79" i="4"/>
  <c r="BF23" i="4"/>
  <c r="BF188" i="4"/>
  <c r="BF182" i="4"/>
  <c r="BF178" i="4"/>
  <c r="BF175" i="4"/>
  <c r="BF173" i="4"/>
  <c r="BF161" i="4"/>
  <c r="BF155" i="4"/>
  <c r="BF162" i="4"/>
  <c r="BF145" i="4"/>
  <c r="BF140" i="4"/>
  <c r="BF139" i="4"/>
  <c r="BF125" i="4"/>
  <c r="BF123" i="4"/>
  <c r="BF26" i="4"/>
  <c r="BF115" i="4"/>
  <c r="BF105" i="4"/>
  <c r="BF98" i="4"/>
  <c r="BF40" i="4"/>
  <c r="BF186" i="4"/>
  <c r="BF181" i="4"/>
  <c r="BF179" i="4"/>
  <c r="BF172" i="4"/>
  <c r="BF169" i="4"/>
  <c r="BF166" i="4"/>
  <c r="BF159" i="4"/>
  <c r="BF163" i="4"/>
  <c r="BF153" i="4"/>
  <c r="BF152" i="4"/>
  <c r="BF144" i="4"/>
  <c r="BF137" i="4"/>
  <c r="BF138" i="4"/>
  <c r="BF130" i="4"/>
  <c r="BF118" i="4"/>
  <c r="BF24" i="4"/>
  <c r="BF119" i="4"/>
  <c r="BF113" i="4"/>
  <c r="BF106" i="4"/>
  <c r="BF89" i="4"/>
  <c r="BF189" i="4"/>
  <c r="BF184" i="4"/>
  <c r="BF180" i="4"/>
  <c r="BF176" i="4"/>
  <c r="BF170" i="4"/>
  <c r="BF156" i="4"/>
  <c r="BF164" i="4"/>
  <c r="BF158" i="4"/>
  <c r="BF142" i="4"/>
  <c r="BF131" i="4"/>
  <c r="BF132" i="4"/>
  <c r="BF133" i="4"/>
  <c r="BF126" i="4"/>
  <c r="BF121" i="4"/>
  <c r="BF116" i="4"/>
  <c r="BF134" i="4"/>
  <c r="BF111" i="4"/>
  <c r="BF146" i="4"/>
  <c r="BF44" i="4"/>
  <c r="BF37" i="4"/>
  <c r="BF14" i="4"/>
  <c r="BF17" i="4"/>
  <c r="AT190" i="4"/>
  <c r="AT181" i="4"/>
  <c r="AT172" i="4"/>
  <c r="AT159" i="4"/>
  <c r="AT153" i="4"/>
  <c r="AT144" i="4"/>
  <c r="AT138" i="4"/>
  <c r="AT127" i="4"/>
  <c r="AT24" i="4"/>
  <c r="AT113" i="4"/>
  <c r="AT189" i="4"/>
  <c r="AT184" i="4"/>
  <c r="AT180" i="4"/>
  <c r="AT176" i="4"/>
  <c r="AT171" i="4"/>
  <c r="AT170" i="4"/>
  <c r="AT156" i="4"/>
  <c r="AT164" i="4"/>
  <c r="AT158" i="4"/>
  <c r="AT165" i="4"/>
  <c r="AT143" i="4"/>
  <c r="AT142" i="4"/>
  <c r="AT131" i="4"/>
  <c r="AT132" i="4"/>
  <c r="AT133" i="4"/>
  <c r="AT126" i="4"/>
  <c r="AT121" i="4"/>
  <c r="AT116" i="4"/>
  <c r="AT134" i="4"/>
  <c r="AT111" i="4"/>
  <c r="AT146" i="4"/>
  <c r="AT187" i="4"/>
  <c r="AT183" i="4"/>
  <c r="AT177" i="4"/>
  <c r="AT157" i="4"/>
  <c r="AT185" i="4"/>
  <c r="AT168" i="4"/>
  <c r="AT154" i="4"/>
  <c r="AT55" i="4"/>
  <c r="AT160" i="4"/>
  <c r="AT150" i="4"/>
  <c r="AT149" i="4"/>
  <c r="AT141" i="4"/>
  <c r="AT135" i="4"/>
  <c r="AT136" i="4"/>
  <c r="AT129" i="4"/>
  <c r="AT124" i="4"/>
  <c r="AT120" i="4"/>
  <c r="AT107" i="4"/>
  <c r="AT112" i="4"/>
  <c r="AT16" i="4"/>
  <c r="AT109" i="4"/>
  <c r="AT188" i="4"/>
  <c r="AT182" i="4"/>
  <c r="AT178" i="4"/>
  <c r="AT175" i="4"/>
  <c r="AT173" i="4"/>
  <c r="AT167" i="4"/>
  <c r="AT161" i="4"/>
  <c r="AT155" i="4"/>
  <c r="AT162" i="4"/>
  <c r="AT151" i="4"/>
  <c r="AT145" i="4"/>
  <c r="AT140" i="4"/>
  <c r="AT139" i="4"/>
  <c r="AT31" i="4"/>
  <c r="AT125" i="4"/>
  <c r="AT123" i="4"/>
  <c r="AT117" i="4"/>
  <c r="AT26" i="4"/>
  <c r="AT115" i="4"/>
  <c r="AT105" i="4"/>
  <c r="AT186" i="4"/>
  <c r="AT179" i="4"/>
  <c r="AT169" i="4"/>
  <c r="AT166" i="4"/>
  <c r="AT163" i="4"/>
  <c r="AT152" i="4"/>
  <c r="AT137" i="4"/>
  <c r="AT130" i="4"/>
  <c r="AT118" i="4"/>
  <c r="AT119" i="4"/>
  <c r="AT106" i="4"/>
  <c r="AV103" i="4"/>
  <c r="AV90" i="4"/>
  <c r="AV73" i="4"/>
  <c r="AV40" i="4"/>
  <c r="AV41" i="4"/>
  <c r="AV23" i="4"/>
  <c r="AV122" i="4"/>
  <c r="AV79" i="4"/>
  <c r="AV65" i="4"/>
  <c r="AV54" i="4"/>
  <c r="AV22" i="4"/>
  <c r="AV110" i="4"/>
  <c r="AV93" i="4"/>
  <c r="AV75" i="4"/>
  <c r="AV58" i="4"/>
  <c r="AV42" i="4"/>
  <c r="AV82" i="4"/>
  <c r="AV74" i="4"/>
  <c r="AV48" i="4"/>
  <c r="AV53" i="4"/>
  <c r="AV11" i="4"/>
  <c r="AV100" i="4"/>
  <c r="AV87" i="4"/>
  <c r="AV69" i="4"/>
  <c r="AV56" i="4"/>
  <c r="AV32" i="4"/>
  <c r="AV38" i="4"/>
  <c r="AV94" i="4"/>
  <c r="AV77" i="4"/>
  <c r="AV61" i="4"/>
  <c r="AV91" i="4"/>
  <c r="AV25" i="4"/>
  <c r="AV101" i="4"/>
  <c r="AV88" i="4"/>
  <c r="AV71" i="4"/>
  <c r="AV50" i="4"/>
  <c r="AV39" i="4"/>
  <c r="AV29" i="4"/>
  <c r="AV57" i="4"/>
  <c r="AV99" i="4"/>
  <c r="AV28" i="4"/>
  <c r="AV96" i="4"/>
  <c r="AV21" i="4"/>
  <c r="AV17" i="4"/>
  <c r="AV14" i="4"/>
  <c r="AV10" i="4"/>
  <c r="AV95" i="4"/>
  <c r="AV81" i="4"/>
  <c r="AV66" i="4"/>
  <c r="AV49" i="4"/>
  <c r="AV30" i="4"/>
  <c r="AV102" i="4"/>
  <c r="AV89" i="4"/>
  <c r="AV72" i="4"/>
  <c r="AV52" i="4"/>
  <c r="AV51" i="4"/>
  <c r="AV36" i="4"/>
  <c r="AV97" i="4"/>
  <c r="AV84" i="4"/>
  <c r="AV68" i="4"/>
  <c r="AV147" i="4"/>
  <c r="AV12" i="4"/>
  <c r="AV104" i="4"/>
  <c r="AV46" i="4"/>
  <c r="AV44" i="4"/>
  <c r="AV20" i="4"/>
  <c r="AV83" i="4"/>
  <c r="AV114" i="4"/>
  <c r="AV9" i="4"/>
  <c r="AV13" i="4"/>
  <c r="AV34" i="4"/>
  <c r="AV108" i="4"/>
  <c r="AV128" i="4"/>
  <c r="AV76" i="4"/>
  <c r="AV60" i="4"/>
  <c r="AV45" i="4"/>
  <c r="AV27" i="4"/>
  <c r="AV98" i="4"/>
  <c r="AV86" i="4"/>
  <c r="AV70" i="4"/>
  <c r="AV59" i="4"/>
  <c r="AV33" i="4"/>
  <c r="AV19" i="4"/>
  <c r="AV148" i="4"/>
  <c r="AV80" i="4"/>
  <c r="AV63" i="4"/>
  <c r="AV43" i="4"/>
  <c r="AV35" i="4"/>
  <c r="AV92" i="4"/>
  <c r="AV37" i="4"/>
  <c r="AV64" i="4"/>
  <c r="AV78" i="4"/>
  <c r="AV67" i="4"/>
  <c r="AV47" i="4"/>
  <c r="AV18" i="4"/>
  <c r="AV15" i="4"/>
  <c r="AV62" i="4"/>
  <c r="AV174" i="4"/>
  <c r="AT95" i="4"/>
  <c r="AT81" i="4"/>
  <c r="AT66" i="4"/>
  <c r="AT49" i="4"/>
  <c r="AT98" i="4"/>
  <c r="AT86" i="4"/>
  <c r="AT70" i="4"/>
  <c r="AT59" i="4"/>
  <c r="AT33" i="4"/>
  <c r="AT19" i="4"/>
  <c r="AT148" i="4"/>
  <c r="AT80" i="4"/>
  <c r="AT63" i="4"/>
  <c r="AT43" i="4"/>
  <c r="AT35" i="4"/>
  <c r="AT78" i="4"/>
  <c r="AT27" i="4"/>
  <c r="AT20" i="4"/>
  <c r="AT57" i="4"/>
  <c r="AT67" i="4"/>
  <c r="AT64" i="4"/>
  <c r="AT23" i="4"/>
  <c r="AT18" i="4"/>
  <c r="AT9" i="4"/>
  <c r="AT15" i="4"/>
  <c r="AT128" i="4"/>
  <c r="AT76" i="4"/>
  <c r="AT60" i="4"/>
  <c r="AT45" i="4"/>
  <c r="AT122" i="4"/>
  <c r="AT79" i="4"/>
  <c r="AT65" i="4"/>
  <c r="AT54" i="4"/>
  <c r="AT22" i="4"/>
  <c r="AT110" i="4"/>
  <c r="AT93" i="4"/>
  <c r="AT75" i="4"/>
  <c r="AT58" i="4"/>
  <c r="AT42" i="4"/>
  <c r="AT82" i="4"/>
  <c r="AT62" i="4"/>
  <c r="AT38" i="4"/>
  <c r="AT104" i="4"/>
  <c r="AT46" i="4"/>
  <c r="AT34" i="4"/>
  <c r="AT48" i="4"/>
  <c r="AT83" i="4"/>
  <c r="AT13" i="4"/>
  <c r="AT174" i="4"/>
  <c r="AT103" i="4"/>
  <c r="AT90" i="4"/>
  <c r="AT73" i="4"/>
  <c r="AT40" i="4"/>
  <c r="AT108" i="4"/>
  <c r="AT94" i="4"/>
  <c r="AT77" i="4"/>
  <c r="AT61" i="4"/>
  <c r="AT91" i="4"/>
  <c r="AT25" i="4"/>
  <c r="AT101" i="4"/>
  <c r="AT88" i="4"/>
  <c r="AT71" i="4"/>
  <c r="AT50" i="4"/>
  <c r="AT39" i="4"/>
  <c r="AT29" i="4"/>
  <c r="AT47" i="4"/>
  <c r="AT96" i="4"/>
  <c r="AT92" i="4"/>
  <c r="AT21" i="4"/>
  <c r="AT99" i="4"/>
  <c r="AT41" i="4"/>
  <c r="AT28" i="4"/>
  <c r="AT10" i="4"/>
  <c r="AT11" i="4"/>
  <c r="AT100" i="4"/>
  <c r="AT87" i="4"/>
  <c r="AT69" i="4"/>
  <c r="AT56" i="4"/>
  <c r="AT102" i="4"/>
  <c r="AT89" i="4"/>
  <c r="AT72" i="4"/>
  <c r="AT52" i="4"/>
  <c r="AT51" i="4"/>
  <c r="AT36" i="4"/>
  <c r="AT97" i="4"/>
  <c r="AT84" i="4"/>
  <c r="AT68" i="4"/>
  <c r="AT147" i="4"/>
  <c r="AT12" i="4"/>
  <c r="AT114" i="4"/>
  <c r="AT32" i="4"/>
  <c r="AT53" i="4"/>
  <c r="AT74" i="4"/>
  <c r="AT37" i="4"/>
  <c r="AT44" i="4"/>
  <c r="AT30" i="4"/>
  <c r="AT17" i="4"/>
  <c r="AT14" i="4"/>
  <c r="AP25" i="4"/>
  <c r="AP91" i="4"/>
  <c r="AP61" i="4"/>
  <c r="AP77" i="4"/>
  <c r="AP94" i="4"/>
  <c r="AP108" i="4"/>
  <c r="AP63" i="4"/>
  <c r="AP38" i="4"/>
  <c r="AP32" i="4"/>
  <c r="AP56" i="4"/>
  <c r="AP69" i="4"/>
  <c r="AP87" i="4"/>
  <c r="AP100" i="4"/>
  <c r="AP43" i="4"/>
  <c r="AP148" i="4"/>
  <c r="AP34" i="4"/>
  <c r="AP47" i="4"/>
  <c r="AP62" i="4"/>
  <c r="AP78" i="4"/>
  <c r="AP114" i="4"/>
  <c r="AP35" i="4"/>
  <c r="AP75" i="4"/>
  <c r="AP13" i="4"/>
  <c r="AP15" i="4"/>
  <c r="AP22" i="4"/>
  <c r="AP54" i="4"/>
  <c r="AP65" i="4"/>
  <c r="AP79" i="4"/>
  <c r="AP122" i="4"/>
  <c r="AP82" i="4"/>
  <c r="AP80" i="4"/>
  <c r="AP23" i="4"/>
  <c r="AP41" i="4"/>
  <c r="AP40" i="4"/>
  <c r="AP73" i="4"/>
  <c r="AP90" i="4"/>
  <c r="AP103" i="4"/>
  <c r="AP58" i="4"/>
  <c r="AP110" i="4"/>
  <c r="AP21" i="4"/>
  <c r="AP53" i="4"/>
  <c r="AP67" i="4"/>
  <c r="AP83" i="4"/>
  <c r="AP96" i="4"/>
  <c r="AP42" i="4"/>
  <c r="AP88" i="4"/>
  <c r="AP9" i="4"/>
  <c r="AP18" i="4"/>
  <c r="AP10" i="4"/>
  <c r="AP19" i="4"/>
  <c r="AP33" i="4"/>
  <c r="AP59" i="4"/>
  <c r="AP70" i="4"/>
  <c r="AP86" i="4"/>
  <c r="AP98" i="4"/>
  <c r="AP39" i="4"/>
  <c r="AP93" i="4"/>
  <c r="AP27" i="4"/>
  <c r="AP45" i="4"/>
  <c r="AP60" i="4"/>
  <c r="AP76" i="4"/>
  <c r="AP128" i="4"/>
  <c r="AP29" i="4"/>
  <c r="AP71" i="4"/>
  <c r="AP20" i="4"/>
  <c r="AP28" i="4"/>
  <c r="AP48" i="4"/>
  <c r="AP64" i="4"/>
  <c r="AP44" i="4"/>
  <c r="AP99" i="4"/>
  <c r="AP50" i="4"/>
  <c r="AP97" i="4"/>
  <c r="AP17" i="4"/>
  <c r="AP14" i="4"/>
  <c r="AP36" i="4"/>
  <c r="AP51" i="4"/>
  <c r="AP52" i="4"/>
  <c r="AP72" i="4"/>
  <c r="AP89" i="4"/>
  <c r="AP102" i="4"/>
  <c r="AP147" i="4"/>
  <c r="AP101" i="4"/>
  <c r="AP30" i="4"/>
  <c r="AP49" i="4"/>
  <c r="AP66" i="4"/>
  <c r="AP81" i="4"/>
  <c r="AP95" i="4"/>
  <c r="AP12" i="4"/>
  <c r="AP84" i="4"/>
  <c r="AP37" i="4"/>
  <c r="AP46" i="4"/>
  <c r="AP57" i="4"/>
  <c r="AP74" i="4"/>
  <c r="AP92" i="4"/>
  <c r="AP104" i="4"/>
  <c r="AP68" i="4"/>
  <c r="AP11" i="4"/>
  <c r="AP174" i="4"/>
  <c r="BH96" i="4"/>
  <c r="BH78" i="4"/>
  <c r="BH62" i="4"/>
  <c r="BH47" i="4"/>
  <c r="BH34" i="4"/>
  <c r="BH95" i="4"/>
  <c r="BH81" i="4"/>
  <c r="BH66" i="4"/>
  <c r="BH45" i="4"/>
  <c r="BH27" i="4"/>
  <c r="BH122" i="4"/>
  <c r="BH72" i="4"/>
  <c r="BH52" i="4"/>
  <c r="BH33" i="4"/>
  <c r="BH19" i="4"/>
  <c r="BH71" i="4"/>
  <c r="BH68" i="4"/>
  <c r="BH97" i="4"/>
  <c r="BH147" i="4"/>
  <c r="BH110" i="4"/>
  <c r="BH114" i="4"/>
  <c r="BH74" i="4"/>
  <c r="BH57" i="4"/>
  <c r="BH46" i="4"/>
  <c r="BH20" i="4"/>
  <c r="BH128" i="4"/>
  <c r="BH76" i="4"/>
  <c r="BH60" i="4"/>
  <c r="BH41" i="4"/>
  <c r="BH38" i="4"/>
  <c r="BH94" i="4"/>
  <c r="BH70" i="4"/>
  <c r="BH59" i="4"/>
  <c r="BH22" i="4"/>
  <c r="BH101" i="4"/>
  <c r="BH42" i="4"/>
  <c r="BH50" i="4"/>
  <c r="BH88" i="4"/>
  <c r="BH39" i="4"/>
  <c r="BH43" i="4"/>
  <c r="BH13" i="4"/>
  <c r="BH9" i="4"/>
  <c r="BH104" i="4"/>
  <c r="BH92" i="4"/>
  <c r="BH64" i="4"/>
  <c r="BH48" i="4"/>
  <c r="BH28" i="4"/>
  <c r="BH103" i="4"/>
  <c r="BH90" i="4"/>
  <c r="BH73" i="4"/>
  <c r="BH56" i="4"/>
  <c r="BH32" i="4"/>
  <c r="BH108" i="4"/>
  <c r="BH86" i="4"/>
  <c r="BH65" i="4"/>
  <c r="BH54" i="4"/>
  <c r="BH25" i="4"/>
  <c r="BH93" i="4"/>
  <c r="BH35" i="4"/>
  <c r="BH82" i="4"/>
  <c r="BH80" i="4"/>
  <c r="BH58" i="4"/>
  <c r="BH148" i="4"/>
  <c r="BH15" i="4"/>
  <c r="BH10" i="4"/>
  <c r="BH11" i="4"/>
  <c r="BH99" i="4"/>
  <c r="BH83" i="4"/>
  <c r="BH67" i="4"/>
  <c r="BH53" i="4"/>
  <c r="BH21" i="4"/>
  <c r="BH100" i="4"/>
  <c r="BH87" i="4"/>
  <c r="BH69" i="4"/>
  <c r="BH49" i="4"/>
  <c r="BH30" i="4"/>
  <c r="BH102" i="4"/>
  <c r="BH77" i="4"/>
  <c r="BH61" i="4"/>
  <c r="BH91" i="4"/>
  <c r="BH36" i="4"/>
  <c r="BH84" i="4"/>
  <c r="BH29" i="4"/>
  <c r="BH18" i="4"/>
  <c r="BH63" i="4"/>
  <c r="BH12" i="4"/>
  <c r="BH75" i="4"/>
  <c r="BH174" i="4"/>
  <c r="BF110" i="4"/>
  <c r="BF93" i="4"/>
  <c r="BF75" i="4"/>
  <c r="BF58" i="4"/>
  <c r="BF42" i="4"/>
  <c r="BF82" i="4"/>
  <c r="BF96" i="4"/>
  <c r="BF78" i="4"/>
  <c r="BF62" i="4"/>
  <c r="BF47" i="4"/>
  <c r="BF34" i="4"/>
  <c r="BF95" i="4"/>
  <c r="BF81" i="4"/>
  <c r="BF66" i="4"/>
  <c r="BF45" i="4"/>
  <c r="BF27" i="4"/>
  <c r="BF70" i="4"/>
  <c r="BF65" i="4"/>
  <c r="BF77" i="4"/>
  <c r="BF36" i="4"/>
  <c r="BF25" i="4"/>
  <c r="BF11" i="4"/>
  <c r="BF174" i="4"/>
  <c r="BF10" i="4"/>
  <c r="BF101" i="4"/>
  <c r="BF88" i="4"/>
  <c r="BF71" i="4"/>
  <c r="BF50" i="4"/>
  <c r="BF39" i="4"/>
  <c r="BF29" i="4"/>
  <c r="BF114" i="4"/>
  <c r="BF74" i="4"/>
  <c r="BF57" i="4"/>
  <c r="BF46" i="4"/>
  <c r="BF20" i="4"/>
  <c r="BF128" i="4"/>
  <c r="BF76" i="4"/>
  <c r="BF60" i="4"/>
  <c r="BF41" i="4"/>
  <c r="BF38" i="4"/>
  <c r="BF52" i="4"/>
  <c r="BF59" i="4"/>
  <c r="BF61" i="4"/>
  <c r="BF91" i="4"/>
  <c r="BF9" i="4"/>
  <c r="BF97" i="4"/>
  <c r="BF84" i="4"/>
  <c r="BF68" i="4"/>
  <c r="BF147" i="4"/>
  <c r="BF12" i="4"/>
  <c r="BF104" i="4"/>
  <c r="BF92" i="4"/>
  <c r="BF64" i="4"/>
  <c r="BF48" i="4"/>
  <c r="BF28" i="4"/>
  <c r="BF103" i="4"/>
  <c r="BF90" i="4"/>
  <c r="BF73" i="4"/>
  <c r="BF56" i="4"/>
  <c r="BF32" i="4"/>
  <c r="BF122" i="4"/>
  <c r="BF108" i="4"/>
  <c r="BF33" i="4"/>
  <c r="BF54" i="4"/>
  <c r="BF19" i="4"/>
  <c r="BF18" i="4"/>
  <c r="BF148" i="4"/>
  <c r="BF80" i="4"/>
  <c r="BF63" i="4"/>
  <c r="BF43" i="4"/>
  <c r="BF35" i="4"/>
  <c r="BF99" i="4"/>
  <c r="BF83" i="4"/>
  <c r="BF67" i="4"/>
  <c r="BF53" i="4"/>
  <c r="BF21" i="4"/>
  <c r="BF100" i="4"/>
  <c r="BF87" i="4"/>
  <c r="BF69" i="4"/>
  <c r="BF49" i="4"/>
  <c r="BF30" i="4"/>
  <c r="BF86" i="4"/>
  <c r="BF94" i="4"/>
  <c r="BF102" i="4"/>
  <c r="BF22" i="4"/>
  <c r="BF72" i="4"/>
  <c r="BF15" i="4"/>
  <c r="BF13" i="4"/>
  <c r="AX122" i="4"/>
  <c r="AX79" i="4"/>
  <c r="AX108" i="4"/>
  <c r="AX94" i="4"/>
  <c r="AX77" i="4"/>
  <c r="AX102" i="4"/>
  <c r="AX89" i="4"/>
  <c r="AX98" i="4"/>
  <c r="AX72" i="4"/>
  <c r="AX52" i="4"/>
  <c r="AX51" i="4"/>
  <c r="AX36" i="4"/>
  <c r="AX128" i="4"/>
  <c r="AX71" i="4"/>
  <c r="AX53" i="4"/>
  <c r="AX27" i="4"/>
  <c r="AX95" i="4"/>
  <c r="AX75" i="4"/>
  <c r="AX48" i="4"/>
  <c r="AX30" i="4"/>
  <c r="AX100" i="4"/>
  <c r="AX80" i="4"/>
  <c r="AX57" i="4"/>
  <c r="AX32" i="4"/>
  <c r="AX90" i="4"/>
  <c r="AX34" i="4"/>
  <c r="AX41" i="4"/>
  <c r="AX78" i="4"/>
  <c r="AX11" i="4"/>
  <c r="AX9" i="4"/>
  <c r="AX17" i="4"/>
  <c r="AX70" i="4"/>
  <c r="AX59" i="4"/>
  <c r="AX33" i="4"/>
  <c r="AX19" i="4"/>
  <c r="AX88" i="4"/>
  <c r="AX67" i="4"/>
  <c r="AX45" i="4"/>
  <c r="AX29" i="4"/>
  <c r="AX93" i="4"/>
  <c r="AX64" i="4"/>
  <c r="AX49" i="4"/>
  <c r="AX82" i="4"/>
  <c r="AX148" i="4"/>
  <c r="AX74" i="4"/>
  <c r="AX56" i="4"/>
  <c r="AX35" i="4"/>
  <c r="AX68" i="4"/>
  <c r="AX103" i="4"/>
  <c r="AX114" i="4"/>
  <c r="AX40" i="4"/>
  <c r="AX14" i="4"/>
  <c r="AX18" i="4"/>
  <c r="AX65" i="4"/>
  <c r="AX54" i="4"/>
  <c r="AX22" i="4"/>
  <c r="AX101" i="4"/>
  <c r="AX83" i="4"/>
  <c r="AX60" i="4"/>
  <c r="AX39" i="4"/>
  <c r="AX110" i="4"/>
  <c r="AX44" i="4"/>
  <c r="AX66" i="4"/>
  <c r="AX42" i="4"/>
  <c r="AX20" i="4"/>
  <c r="AX92" i="4"/>
  <c r="AX69" i="4"/>
  <c r="AX43" i="4"/>
  <c r="AX37" i="4"/>
  <c r="AX47" i="4"/>
  <c r="AX84" i="4"/>
  <c r="AX147" i="4"/>
  <c r="AX12" i="4"/>
  <c r="AX15" i="4"/>
  <c r="AX13" i="4"/>
  <c r="AX86" i="4"/>
  <c r="AX61" i="4"/>
  <c r="AX91" i="4"/>
  <c r="AX25" i="4"/>
  <c r="AX96" i="4"/>
  <c r="AX76" i="4"/>
  <c r="AX50" i="4"/>
  <c r="AX21" i="4"/>
  <c r="AX99" i="4"/>
  <c r="AX81" i="4"/>
  <c r="AX58" i="4"/>
  <c r="AX28" i="4"/>
  <c r="AX104" i="4"/>
  <c r="AX87" i="4"/>
  <c r="AX63" i="4"/>
  <c r="AX46" i="4"/>
  <c r="AX38" i="4"/>
  <c r="AX23" i="4"/>
  <c r="AX62" i="4"/>
  <c r="AX97" i="4"/>
  <c r="AX73" i="4"/>
  <c r="AX174" i="4"/>
  <c r="AX10" i="4"/>
  <c r="AZ104" i="4"/>
  <c r="AZ92" i="4"/>
  <c r="AZ74" i="4"/>
  <c r="AZ57" i="4"/>
  <c r="AZ46" i="4"/>
  <c r="AZ37" i="4"/>
  <c r="AZ98" i="4"/>
  <c r="AZ77" i="4"/>
  <c r="AZ61" i="4"/>
  <c r="AZ91" i="4"/>
  <c r="AZ25" i="4"/>
  <c r="AZ97" i="4"/>
  <c r="AZ71" i="4"/>
  <c r="AZ39" i="4"/>
  <c r="AZ95" i="4"/>
  <c r="AZ69" i="4"/>
  <c r="AZ32" i="4"/>
  <c r="AZ148" i="4"/>
  <c r="AZ58" i="4"/>
  <c r="AZ82" i="4"/>
  <c r="AZ88" i="4"/>
  <c r="AZ100" i="4"/>
  <c r="AZ99" i="4"/>
  <c r="AZ44" i="4"/>
  <c r="AZ64" i="4"/>
  <c r="AZ48" i="4"/>
  <c r="AZ28" i="4"/>
  <c r="AZ20" i="4"/>
  <c r="AZ122" i="4"/>
  <c r="AZ72" i="4"/>
  <c r="AZ52" i="4"/>
  <c r="AZ51" i="4"/>
  <c r="AZ36" i="4"/>
  <c r="AZ93" i="4"/>
  <c r="AZ63" i="4"/>
  <c r="AZ35" i="4"/>
  <c r="AZ90" i="4"/>
  <c r="AZ60" i="4"/>
  <c r="AZ27" i="4"/>
  <c r="AZ81" i="4"/>
  <c r="AZ147" i="4"/>
  <c r="AZ66" i="4"/>
  <c r="AZ40" i="4"/>
  <c r="AZ49" i="4"/>
  <c r="AZ96" i="4"/>
  <c r="AZ83" i="4"/>
  <c r="AZ67" i="4"/>
  <c r="AZ53" i="4"/>
  <c r="AZ21" i="4"/>
  <c r="AZ108" i="4"/>
  <c r="AZ94" i="4"/>
  <c r="AZ70" i="4"/>
  <c r="AZ59" i="4"/>
  <c r="AZ33" i="4"/>
  <c r="AZ19" i="4"/>
  <c r="AZ87" i="4"/>
  <c r="AZ50" i="4"/>
  <c r="AZ29" i="4"/>
  <c r="AZ84" i="4"/>
  <c r="AZ56" i="4"/>
  <c r="AZ38" i="4"/>
  <c r="AZ75" i="4"/>
  <c r="AZ42" i="4"/>
  <c r="AZ30" i="4"/>
  <c r="AZ23" i="4"/>
  <c r="AZ41" i="4"/>
  <c r="AZ114" i="4"/>
  <c r="AZ78" i="4"/>
  <c r="AZ62" i="4"/>
  <c r="AZ47" i="4"/>
  <c r="AZ34" i="4"/>
  <c r="AZ102" i="4"/>
  <c r="AZ86" i="4"/>
  <c r="AZ65" i="4"/>
  <c r="AZ54" i="4"/>
  <c r="AZ22" i="4"/>
  <c r="AZ110" i="4"/>
  <c r="AZ80" i="4"/>
  <c r="AZ43" i="4"/>
  <c r="AZ103" i="4"/>
  <c r="AZ76" i="4"/>
  <c r="AZ45" i="4"/>
  <c r="AZ101" i="4"/>
  <c r="AZ68" i="4"/>
  <c r="AZ12" i="4"/>
  <c r="AZ73" i="4"/>
  <c r="AZ128" i="4"/>
  <c r="AZ18" i="4"/>
  <c r="AZ17" i="4"/>
  <c r="AZ15" i="4"/>
  <c r="AZ13" i="4"/>
  <c r="AZ9" i="4"/>
  <c r="AZ174" i="4"/>
  <c r="AZ10" i="4"/>
  <c r="AZ11" i="4"/>
  <c r="AZ14" i="4"/>
  <c r="BB110" i="4"/>
  <c r="BB103" i="4"/>
  <c r="BB114" i="4"/>
  <c r="BB78" i="4"/>
  <c r="BB62" i="4"/>
  <c r="BB47" i="4"/>
  <c r="BB34" i="4"/>
  <c r="BB128" i="4"/>
  <c r="BB76" i="4"/>
  <c r="BB60" i="4"/>
  <c r="BB41" i="4"/>
  <c r="BB38" i="4"/>
  <c r="BB86" i="4"/>
  <c r="BB65" i="4"/>
  <c r="BB54" i="4"/>
  <c r="BB22" i="4"/>
  <c r="BB88" i="4"/>
  <c r="BB35" i="4"/>
  <c r="BB71" i="4"/>
  <c r="BB68" i="4"/>
  <c r="BB12" i="4"/>
  <c r="BB101" i="4"/>
  <c r="BB100" i="4"/>
  <c r="BB92" i="4"/>
  <c r="BB74" i="4"/>
  <c r="BB57" i="4"/>
  <c r="BB46" i="4"/>
  <c r="BB20" i="4"/>
  <c r="BB90" i="4"/>
  <c r="BB73" i="4"/>
  <c r="BB56" i="4"/>
  <c r="BB32" i="4"/>
  <c r="BB102" i="4"/>
  <c r="BB77" i="4"/>
  <c r="BB61" i="4"/>
  <c r="BB91" i="4"/>
  <c r="BB25" i="4"/>
  <c r="BB75" i="4"/>
  <c r="BB29" i="4"/>
  <c r="BB42" i="4"/>
  <c r="BB50" i="4"/>
  <c r="BB63" i="4"/>
  <c r="BB104" i="4"/>
  <c r="BB95" i="4"/>
  <c r="BB44" i="4"/>
  <c r="BB64" i="4"/>
  <c r="BB48" i="4"/>
  <c r="BB28" i="4"/>
  <c r="BB108" i="4"/>
  <c r="BB87" i="4"/>
  <c r="BB69" i="4"/>
  <c r="BB49" i="4"/>
  <c r="BB30" i="4"/>
  <c r="BB122" i="4"/>
  <c r="BB72" i="4"/>
  <c r="BB52" i="4"/>
  <c r="BB51" i="4"/>
  <c r="BB36" i="4"/>
  <c r="BB58" i="4"/>
  <c r="BB148" i="4"/>
  <c r="BB82" i="4"/>
  <c r="BB39" i="4"/>
  <c r="BB147" i="4"/>
  <c r="BB99" i="4"/>
  <c r="BB97" i="4"/>
  <c r="BB83" i="4"/>
  <c r="BB67" i="4"/>
  <c r="BB53" i="4"/>
  <c r="BB21" i="4"/>
  <c r="BB96" i="4"/>
  <c r="BB81" i="4"/>
  <c r="BB66" i="4"/>
  <c r="BB45" i="4"/>
  <c r="BB27" i="4"/>
  <c r="BB94" i="4"/>
  <c r="BB70" i="4"/>
  <c r="BB59" i="4"/>
  <c r="BB33" i="4"/>
  <c r="BB19" i="4"/>
  <c r="BB43" i="4"/>
  <c r="BB84" i="4"/>
  <c r="BB93" i="4"/>
  <c r="BB80" i="4"/>
  <c r="BB10" i="4"/>
  <c r="BB174" i="4"/>
  <c r="BB15" i="4"/>
  <c r="BB11" i="4"/>
  <c r="BB18" i="4"/>
  <c r="BB14" i="4"/>
  <c r="BB13" i="4"/>
  <c r="BB9" i="4"/>
  <c r="AR97" i="4"/>
  <c r="AR84" i="4"/>
  <c r="AR122" i="4"/>
  <c r="AR75" i="4"/>
  <c r="AR58" i="4"/>
  <c r="AR42" i="4"/>
  <c r="AR82" i="4"/>
  <c r="AR59" i="4"/>
  <c r="AR98" i="4"/>
  <c r="AR78" i="4"/>
  <c r="AR62" i="4"/>
  <c r="AR47" i="4"/>
  <c r="AR34" i="4"/>
  <c r="AR94" i="4"/>
  <c r="AR54" i="4"/>
  <c r="AR96" i="4"/>
  <c r="AR76" i="4"/>
  <c r="AR60" i="4"/>
  <c r="AR45" i="4"/>
  <c r="AR27" i="4"/>
  <c r="AR81" i="4"/>
  <c r="AR22" i="4"/>
  <c r="AR18" i="4"/>
  <c r="AR108" i="4"/>
  <c r="AR148" i="4"/>
  <c r="AR80" i="4"/>
  <c r="AR92" i="4"/>
  <c r="AR71" i="4"/>
  <c r="AR50" i="4"/>
  <c r="AR39" i="4"/>
  <c r="AR29" i="4"/>
  <c r="AR33" i="4"/>
  <c r="AR114" i="4"/>
  <c r="AR74" i="4"/>
  <c r="AR57" i="4"/>
  <c r="AR46" i="4"/>
  <c r="AR37" i="4"/>
  <c r="AR77" i="4"/>
  <c r="AR51" i="4"/>
  <c r="AR128" i="4"/>
  <c r="AR73" i="4"/>
  <c r="AR40" i="4"/>
  <c r="AR41" i="4"/>
  <c r="AR23" i="4"/>
  <c r="AR70" i="4"/>
  <c r="AR19" i="4"/>
  <c r="AR15" i="4"/>
  <c r="AR13" i="4"/>
  <c r="AR14" i="4"/>
  <c r="AR110" i="4"/>
  <c r="AR93" i="4"/>
  <c r="AR104" i="4"/>
  <c r="AR87" i="4"/>
  <c r="AR68" i="4"/>
  <c r="AR147" i="4"/>
  <c r="AR12" i="4"/>
  <c r="AR44" i="4"/>
  <c r="AR36" i="4"/>
  <c r="AR90" i="4"/>
  <c r="AR64" i="4"/>
  <c r="AR48" i="4"/>
  <c r="AR28" i="4"/>
  <c r="AR20" i="4"/>
  <c r="AR72" i="4"/>
  <c r="AR25" i="4"/>
  <c r="AR89" i="4"/>
  <c r="AR69" i="4"/>
  <c r="AR56" i="4"/>
  <c r="AR32" i="4"/>
  <c r="AR38" i="4"/>
  <c r="AR52" i="4"/>
  <c r="AR174" i="4"/>
  <c r="AR10" i="4"/>
  <c r="AR101" i="4"/>
  <c r="AR88" i="4"/>
  <c r="AR100" i="4"/>
  <c r="AR79" i="4"/>
  <c r="AR63" i="4"/>
  <c r="AR43" i="4"/>
  <c r="AR35" i="4"/>
  <c r="AR65" i="4"/>
  <c r="AR103" i="4"/>
  <c r="AR86" i="4"/>
  <c r="AR67" i="4"/>
  <c r="AR53" i="4"/>
  <c r="AR21" i="4"/>
  <c r="AR99" i="4"/>
  <c r="AR61" i="4"/>
  <c r="AR102" i="4"/>
  <c r="AR83" i="4"/>
  <c r="AR66" i="4"/>
  <c r="AR49" i="4"/>
  <c r="AR30" i="4"/>
  <c r="AR95" i="4"/>
  <c r="AR91" i="4"/>
  <c r="AR11" i="4"/>
  <c r="AR17" i="4"/>
  <c r="AR9" i="4"/>
  <c r="BJ102" i="4"/>
  <c r="BJ77" i="4"/>
  <c r="BJ61" i="4"/>
  <c r="BJ91" i="4"/>
  <c r="BJ36" i="4"/>
  <c r="BJ148" i="4"/>
  <c r="BJ75" i="4"/>
  <c r="BJ58" i="4"/>
  <c r="BJ42" i="4"/>
  <c r="BJ29" i="4"/>
  <c r="BJ96" i="4"/>
  <c r="BJ74" i="4"/>
  <c r="BJ57" i="4"/>
  <c r="BJ46" i="4"/>
  <c r="BJ20" i="4"/>
  <c r="BJ81" i="4"/>
  <c r="BJ103" i="4"/>
  <c r="BJ100" i="4"/>
  <c r="BJ73" i="4"/>
  <c r="BJ41" i="4"/>
  <c r="BJ122" i="4"/>
  <c r="BJ72" i="4"/>
  <c r="BJ52" i="4"/>
  <c r="BJ33" i="4"/>
  <c r="BJ19" i="4"/>
  <c r="BJ88" i="4"/>
  <c r="BJ71" i="4"/>
  <c r="BJ50" i="4"/>
  <c r="BJ39" i="4"/>
  <c r="BJ18" i="4"/>
  <c r="BJ92" i="4"/>
  <c r="BJ64" i="4"/>
  <c r="BJ48" i="4"/>
  <c r="BJ28" i="4"/>
  <c r="BJ9" i="4"/>
  <c r="BJ69" i="4"/>
  <c r="BJ66" i="4"/>
  <c r="BJ128" i="4"/>
  <c r="BJ38" i="4"/>
  <c r="BJ94" i="4"/>
  <c r="BJ70" i="4"/>
  <c r="BJ59" i="4"/>
  <c r="BJ22" i="4"/>
  <c r="BJ101" i="4"/>
  <c r="BJ84" i="4"/>
  <c r="BJ68" i="4"/>
  <c r="BJ147" i="4"/>
  <c r="BJ35" i="4"/>
  <c r="BJ104" i="4"/>
  <c r="BJ83" i="4"/>
  <c r="BJ67" i="4"/>
  <c r="BJ53" i="4"/>
  <c r="BJ21" i="4"/>
  <c r="BJ95" i="4"/>
  <c r="BJ56" i="4"/>
  <c r="BJ49" i="4"/>
  <c r="BJ76" i="4"/>
  <c r="BJ87" i="4"/>
  <c r="BJ108" i="4"/>
  <c r="BJ86" i="4"/>
  <c r="BJ65" i="4"/>
  <c r="BJ54" i="4"/>
  <c r="BJ25" i="4"/>
  <c r="BJ97" i="4"/>
  <c r="BJ80" i="4"/>
  <c r="BJ63" i="4"/>
  <c r="BJ43" i="4"/>
  <c r="BJ82" i="4"/>
  <c r="BJ99" i="4"/>
  <c r="BJ78" i="4"/>
  <c r="BJ62" i="4"/>
  <c r="BJ47" i="4"/>
  <c r="BJ34" i="4"/>
  <c r="BJ90" i="4"/>
  <c r="BJ27" i="4"/>
  <c r="BJ32" i="4"/>
  <c r="BJ45" i="4"/>
  <c r="BJ30" i="4"/>
  <c r="BJ13" i="4"/>
  <c r="BJ10" i="4"/>
  <c r="BJ15" i="4"/>
  <c r="BJ174" i="4"/>
  <c r="BD97" i="4"/>
  <c r="BD84" i="4"/>
  <c r="BD68" i="4"/>
  <c r="BD147" i="4"/>
  <c r="BD12" i="4"/>
  <c r="BD104" i="4"/>
  <c r="BD92" i="4"/>
  <c r="BD64" i="4"/>
  <c r="BD48" i="4"/>
  <c r="BD28" i="4"/>
  <c r="BD103" i="4"/>
  <c r="BD90" i="4"/>
  <c r="BD73" i="4"/>
  <c r="BD56" i="4"/>
  <c r="BD32" i="4"/>
  <c r="BD102" i="4"/>
  <c r="BD22" i="4"/>
  <c r="BD25" i="4"/>
  <c r="BD70" i="4"/>
  <c r="BD59" i="4"/>
  <c r="BD148" i="4"/>
  <c r="BD80" i="4"/>
  <c r="BD63" i="4"/>
  <c r="BD43" i="4"/>
  <c r="BD35" i="4"/>
  <c r="BD99" i="4"/>
  <c r="BD83" i="4"/>
  <c r="BD67" i="4"/>
  <c r="BD53" i="4"/>
  <c r="BD21" i="4"/>
  <c r="BD100" i="4"/>
  <c r="BD87" i="4"/>
  <c r="BD69" i="4"/>
  <c r="BD49" i="4"/>
  <c r="BD30" i="4"/>
  <c r="BD77" i="4"/>
  <c r="BD36" i="4"/>
  <c r="BD19" i="4"/>
  <c r="BD52" i="4"/>
  <c r="BD33" i="4"/>
  <c r="BD110" i="4"/>
  <c r="BD93" i="4"/>
  <c r="BD75" i="4"/>
  <c r="BD58" i="4"/>
  <c r="BD42" i="4"/>
  <c r="BD82" i="4"/>
  <c r="BD96" i="4"/>
  <c r="BD78" i="4"/>
  <c r="BD62" i="4"/>
  <c r="BD47" i="4"/>
  <c r="BD34" i="4"/>
  <c r="BD95" i="4"/>
  <c r="BD81" i="4"/>
  <c r="BD66" i="4"/>
  <c r="BD45" i="4"/>
  <c r="BD27" i="4"/>
  <c r="BD61" i="4"/>
  <c r="BD72" i="4"/>
  <c r="BD122" i="4"/>
  <c r="BD51" i="4"/>
  <c r="BD94" i="4"/>
  <c r="BD101" i="4"/>
  <c r="BD88" i="4"/>
  <c r="BD71" i="4"/>
  <c r="BD50" i="4"/>
  <c r="BD39" i="4"/>
  <c r="BD29" i="4"/>
  <c r="BD114" i="4"/>
  <c r="BD74" i="4"/>
  <c r="BD57" i="4"/>
  <c r="BD46" i="4"/>
  <c r="BD20" i="4"/>
  <c r="BD128" i="4"/>
  <c r="BD76" i="4"/>
  <c r="BD60" i="4"/>
  <c r="BD41" i="4"/>
  <c r="BD38" i="4"/>
  <c r="BD54" i="4"/>
  <c r="BD91" i="4"/>
  <c r="BD86" i="4"/>
  <c r="BD108" i="4"/>
  <c r="BD65" i="4"/>
  <c r="BD9" i="4"/>
  <c r="BD18" i="4"/>
  <c r="BD10" i="4"/>
  <c r="BD15" i="4"/>
  <c r="BD11" i="4"/>
  <c r="BD174" i="4"/>
  <c r="BD13" i="4"/>
  <c r="AJ10" i="4" l="1"/>
  <c r="AJ19" i="4"/>
  <c r="AJ13" i="4"/>
  <c r="AJ18" i="4"/>
  <c r="AJ14" i="4"/>
  <c r="AJ9" i="4"/>
  <c r="AJ15" i="4"/>
  <c r="AJ174" i="4"/>
  <c r="AJ17" i="4"/>
  <c r="AJ11" i="4"/>
  <c r="AJ38" i="4"/>
  <c r="AJ29" i="4"/>
  <c r="AJ20" i="4"/>
  <c r="AJ23" i="4"/>
  <c r="AJ37" i="4"/>
  <c r="AJ36" i="4"/>
  <c r="AJ25" i="4"/>
  <c r="AJ27" i="4"/>
  <c r="AJ35" i="4"/>
  <c r="AJ22" i="4"/>
  <c r="AJ30" i="4"/>
  <c r="AJ21" i="4"/>
  <c r="AJ34" i="4"/>
  <c r="AJ12" i="4"/>
  <c r="AJ33" i="4"/>
  <c r="AJ32" i="4"/>
  <c r="AJ28" i="4"/>
  <c r="AJ39" i="4"/>
  <c r="AJ51" i="4"/>
  <c r="AJ41" i="4"/>
  <c r="AJ46" i="4"/>
  <c r="AJ42" i="4"/>
  <c r="AJ91" i="4"/>
  <c r="AJ45" i="4"/>
  <c r="AJ47" i="4"/>
  <c r="AJ43" i="4"/>
  <c r="AJ60" i="4"/>
  <c r="AJ54" i="4"/>
  <c r="AJ49" i="4"/>
  <c r="AJ53" i="4"/>
  <c r="AJ147" i="4"/>
  <c r="AJ59" i="4"/>
  <c r="AJ56" i="4"/>
  <c r="AJ48" i="4"/>
  <c r="AJ50" i="4"/>
  <c r="AJ52" i="4"/>
  <c r="AJ40" i="4"/>
  <c r="AJ57" i="4"/>
  <c r="AJ58" i="4"/>
  <c r="AJ61" i="4"/>
  <c r="AJ65" i="4"/>
  <c r="AJ63" i="4"/>
  <c r="AJ62" i="4"/>
  <c r="AJ82" i="4"/>
  <c r="AJ66" i="4"/>
  <c r="AJ67" i="4"/>
  <c r="AJ68" i="4"/>
  <c r="AJ72" i="4"/>
  <c r="AJ70" i="4"/>
  <c r="AJ69" i="4"/>
  <c r="AJ64" i="4"/>
  <c r="AJ71" i="4"/>
  <c r="AJ73" i="4"/>
  <c r="AJ74" i="4"/>
  <c r="AJ75" i="4"/>
  <c r="AJ77" i="4"/>
  <c r="AJ76" i="4"/>
  <c r="AJ78" i="4"/>
  <c r="AJ80" i="4"/>
  <c r="AJ79" i="4"/>
  <c r="AJ81" i="4"/>
  <c r="AJ83" i="4"/>
  <c r="AJ84" i="4"/>
  <c r="AJ86" i="4"/>
  <c r="AJ87" i="4"/>
  <c r="AJ44" i="4"/>
  <c r="AJ88" i="4"/>
  <c r="AJ89" i="4"/>
  <c r="AJ90" i="4"/>
  <c r="AJ92" i="4"/>
  <c r="AJ93" i="4"/>
  <c r="AJ94" i="4"/>
  <c r="AJ128" i="4"/>
  <c r="AJ114" i="4"/>
  <c r="AJ148" i="4"/>
  <c r="AJ122" i="4"/>
  <c r="AJ95" i="4"/>
  <c r="AJ96" i="4"/>
  <c r="AJ97" i="4"/>
  <c r="AJ98" i="4"/>
  <c r="AJ100" i="4"/>
  <c r="AJ99" i="4"/>
  <c r="AJ101" i="4"/>
  <c r="AJ102" i="4"/>
  <c r="AJ103" i="4"/>
  <c r="AJ104" i="4"/>
  <c r="AJ110" i="4"/>
  <c r="AJ108" i="4"/>
  <c r="AJ109" i="4"/>
  <c r="AJ146" i="4"/>
  <c r="AJ106" i="4"/>
  <c r="AJ105" i="4"/>
  <c r="AJ16" i="4"/>
  <c r="AJ111" i="4"/>
  <c r="AJ113" i="4"/>
  <c r="AJ115" i="4"/>
  <c r="AJ112" i="4"/>
  <c r="AJ134" i="4"/>
  <c r="AJ119" i="4"/>
  <c r="AJ26" i="4"/>
  <c r="AJ107" i="4"/>
  <c r="AJ116" i="4"/>
  <c r="AJ24" i="4"/>
  <c r="AJ117" i="4"/>
  <c r="AJ120" i="4"/>
  <c r="AJ121" i="4"/>
  <c r="AJ118" i="4"/>
  <c r="AJ123" i="4"/>
  <c r="AJ124" i="4"/>
  <c r="AJ126" i="4"/>
  <c r="AJ127" i="4"/>
  <c r="AJ125" i="4"/>
  <c r="AJ129" i="4"/>
  <c r="AJ133" i="4"/>
  <c r="AJ130" i="4"/>
  <c r="AJ31" i="4"/>
  <c r="AJ136" i="4"/>
  <c r="AJ132" i="4"/>
  <c r="AJ138" i="4"/>
  <c r="AJ139" i="4"/>
  <c r="AJ135" i="4"/>
  <c r="AJ131" i="4"/>
  <c r="AJ137" i="4"/>
  <c r="AJ140" i="4"/>
  <c r="AJ141" i="4"/>
  <c r="AJ142" i="4"/>
  <c r="AJ144" i="4"/>
  <c r="AJ145" i="4"/>
  <c r="AJ149" i="4"/>
  <c r="AJ143" i="4"/>
  <c r="AJ152" i="4"/>
  <c r="AJ151" i="4"/>
  <c r="AJ150" i="4"/>
  <c r="AJ165" i="4"/>
  <c r="AJ153" i="4"/>
  <c r="AJ162" i="4"/>
  <c r="AJ160" i="4"/>
  <c r="AJ158" i="4"/>
  <c r="AJ163" i="4"/>
  <c r="AJ155" i="4"/>
  <c r="AJ55" i="4"/>
  <c r="AJ164" i="4"/>
  <c r="AJ159" i="4"/>
  <c r="AJ161" i="4"/>
  <c r="AJ154" i="4"/>
  <c r="AJ156" i="4"/>
  <c r="AJ166" i="4"/>
  <c r="AJ167" i="4"/>
  <c r="AJ168" i="4"/>
  <c r="AJ170" i="4"/>
  <c r="AJ169" i="4"/>
  <c r="AJ173" i="4"/>
  <c r="AJ185" i="4"/>
  <c r="AJ171" i="4"/>
  <c r="AJ172" i="4"/>
  <c r="AJ175" i="4"/>
  <c r="AJ157" i="4"/>
  <c r="AJ176" i="4"/>
  <c r="AJ179" i="4"/>
  <c r="AJ178" i="4"/>
  <c r="AJ177" i="4"/>
  <c r="AJ180" i="4"/>
  <c r="AJ181" i="4"/>
  <c r="AJ182" i="4"/>
  <c r="AJ183" i="4"/>
  <c r="AJ184" i="4"/>
  <c r="AJ186" i="4"/>
  <c r="AJ188" i="4"/>
  <c r="AJ187" i="4"/>
  <c r="AJ189" i="4"/>
  <c r="AJ190" i="4"/>
  <c r="AJ85" i="4"/>
  <c r="AJ191" i="4"/>
  <c r="AJ192" i="4"/>
  <c r="AJ193" i="4"/>
  <c r="AJ194" i="4"/>
  <c r="AJ195" i="4"/>
  <c r="AJ196" i="4"/>
  <c r="AJ197" i="4"/>
  <c r="AJ198" i="4"/>
  <c r="AJ199" i="4"/>
  <c r="AJ200" i="4"/>
</calcChain>
</file>

<file path=xl/sharedStrings.xml><?xml version="1.0" encoding="utf-8"?>
<sst xmlns="http://schemas.openxmlformats.org/spreadsheetml/2006/main" count="9089" uniqueCount="2884">
  <si>
    <t>Demonstração de Resultados</t>
  </si>
  <si>
    <t>Caixa</t>
  </si>
  <si>
    <t>% de Caixa</t>
  </si>
  <si>
    <t>Indicadores Financeiros e Balanço Patrimonial</t>
  </si>
  <si>
    <t>% do Máximo</t>
  </si>
  <si>
    <t>1M</t>
  </si>
  <si>
    <t>3M</t>
  </si>
  <si>
    <t>6M</t>
  </si>
  <si>
    <t>12M</t>
  </si>
  <si>
    <t>24M</t>
  </si>
  <si>
    <t>36M</t>
  </si>
  <si>
    <t>48M</t>
  </si>
  <si>
    <t>60M</t>
  </si>
  <si>
    <t>Δ BMK</t>
  </si>
  <si>
    <t xml:space="preserve">NO DIA </t>
  </si>
  <si>
    <t>ESTATÍSTICAS</t>
  </si>
  <si>
    <t>CCR SA</t>
  </si>
  <si>
    <t>Copasa</t>
  </si>
  <si>
    <t>Energisa</t>
  </si>
  <si>
    <t>Engie Brasil</t>
  </si>
  <si>
    <t>Petrobras</t>
  </si>
  <si>
    <t>Sabesp</t>
  </si>
  <si>
    <t>Taesa</t>
  </si>
  <si>
    <t>Tran Paulist</t>
  </si>
  <si>
    <t>Vale</t>
  </si>
  <si>
    <t>Comgas</t>
  </si>
  <si>
    <t>Q</t>
  </si>
  <si>
    <t>ALGA26&lt;BraANB&gt;</t>
  </si>
  <si>
    <t>ALGA27&lt;BraANB&gt;</t>
  </si>
  <si>
    <t>BLMN12&lt;BraANB&gt;</t>
  </si>
  <si>
    <t>CCRDD1&lt;BraANB&gt;</t>
  </si>
  <si>
    <t>CMDT33&lt;BraANB&gt;</t>
  </si>
  <si>
    <t>CHPA11&lt;BraANB&gt;</t>
  </si>
  <si>
    <t>GASP34&lt;BraANB&gt;</t>
  </si>
  <si>
    <t>GASP16&lt;BraANB&gt;</t>
  </si>
  <si>
    <t>CXER12&lt;BraANB&gt;</t>
  </si>
  <si>
    <t>AGRU11&lt;BraANB&gt;</t>
  </si>
  <si>
    <t>AGRU21&lt;BraANB&gt;</t>
  </si>
  <si>
    <t>AGRU31&lt;BraANB&gt;</t>
  </si>
  <si>
    <t>AGRU41&lt;BraANB&gt;</t>
  </si>
  <si>
    <t>AGRU12&lt;BraANB&gt;</t>
  </si>
  <si>
    <t>CART12&lt;BraANB&gt;</t>
  </si>
  <si>
    <t>CART22&lt;BraANB&gt;</t>
  </si>
  <si>
    <t>RDVT11&lt;BraANB&gt;</t>
  </si>
  <si>
    <t>CSRN27&lt;BraANB&gt;</t>
  </si>
  <si>
    <t>ENGI29&lt;BraANB&gt;</t>
  </si>
  <si>
    <t>ENGI39&lt;BraANB&gt;</t>
  </si>
  <si>
    <t>TBLE15&lt;BraANB&gt;</t>
  </si>
  <si>
    <t>TBLE26&lt;BraANB&gt;</t>
  </si>
  <si>
    <t>ENTV12&lt;BraANB&gt;</t>
  </si>
  <si>
    <t>SPRZ11&lt;BraANB&gt;</t>
  </si>
  <si>
    <t>EXTZ11&lt;BraANB&gt;</t>
  </si>
  <si>
    <t>FGEN13&lt;BraANB&gt;</t>
  </si>
  <si>
    <t>TPNO12&lt;BraANB&gt;</t>
  </si>
  <si>
    <t>MRSL27&lt;BraANB&gt;</t>
  </si>
  <si>
    <t>NRTB11&lt;BraANB&gt;</t>
  </si>
  <si>
    <t>NRTB21&lt;BraANB&gt;</t>
  </si>
  <si>
    <t>ODTR11&lt;BraANB&gt;</t>
  </si>
  <si>
    <t>OMNG12&lt;BraANB&gt;</t>
  </si>
  <si>
    <t>PRTE12&lt;BraANB&gt;</t>
  </si>
  <si>
    <t>PALF38&lt;BraANB&gt;</t>
  </si>
  <si>
    <t>RNEP11&lt;BraANB&gt;</t>
  </si>
  <si>
    <t>TAEE33&lt;BraANB&gt;</t>
  </si>
  <si>
    <t>CTEE17&lt;BraANB&gt;</t>
  </si>
  <si>
    <t>VALE38&lt;BraANB&gt;</t>
  </si>
  <si>
    <t>VALE48&lt;BraANB&gt;</t>
  </si>
  <si>
    <t>VNTT11&lt;BraANB&gt;</t>
  </si>
  <si>
    <t>TOME12&lt;BraANB&gt;</t>
  </si>
  <si>
    <t>Algar Telecom S/A</t>
  </si>
  <si>
    <t>Belo Monte Trans de Energia Spe S/A</t>
  </si>
  <si>
    <t>Celpe</t>
  </si>
  <si>
    <t>Cemig Distribuição SA</t>
  </si>
  <si>
    <t>Cemig Geração e Transm SA</t>
  </si>
  <si>
    <t>Chapada do Piaui I Holding S/A</t>
  </si>
  <si>
    <t>Complexo Morrinhos Energias Renovaveis S/A</t>
  </si>
  <si>
    <t>Conc de Rodov do Interior Paulista SA</t>
  </si>
  <si>
    <t>Conc do Aerop Inter de Guarulhos S/A</t>
  </si>
  <si>
    <t>Concess Auto Raposo Tavares S/A</t>
  </si>
  <si>
    <t>Concess Rodovias Tiete SA</t>
  </si>
  <si>
    <t>Concess Rota Das Bandeiras S/A</t>
  </si>
  <si>
    <t>Concessionaria Ecovias Dos Imigrantes SA</t>
  </si>
  <si>
    <t>Cosern</t>
  </si>
  <si>
    <t>CPFL Piratininga</t>
  </si>
  <si>
    <t>Ecopistas - Concess Das Rodov Ayrton Senna S/A</t>
  </si>
  <si>
    <t>Ecorodovias Concessoes e Serv SA</t>
  </si>
  <si>
    <t>Entrevias Concessionária de Rodov S/A</t>
  </si>
  <si>
    <t>Esperanza Transmissora de Energia S/A</t>
  </si>
  <si>
    <t>Extremoz Trans do Nordeste S/A</t>
  </si>
  <si>
    <t>Ferreira Gomes Energia SA</t>
  </si>
  <si>
    <t>Ger Paranap</t>
  </si>
  <si>
    <t>Light Serv de Eletr S/A</t>
  </si>
  <si>
    <t>Matrincha Trans de Energia Tp Norte S/A</t>
  </si>
  <si>
    <t>Mrs Logist</t>
  </si>
  <si>
    <t>Norte Brasil Transm de Energia S/A</t>
  </si>
  <si>
    <t>Odebrecht Transport S/A</t>
  </si>
  <si>
    <t>Omega Energia e Implantação 2 S/A</t>
  </si>
  <si>
    <t>Paranaiba Trans de Energia S/A</t>
  </si>
  <si>
    <t>Paul F Luz</t>
  </si>
  <si>
    <t>Raizen Energia SA</t>
  </si>
  <si>
    <t>Renova Eólica Participações S/A</t>
  </si>
  <si>
    <t>Ventos de São Tito Holding S/A</t>
  </si>
  <si>
    <t>Ventos de São Tome Holding S/A</t>
  </si>
  <si>
    <t>IPCA Spread</t>
  </si>
  <si>
    <t>Empresa de eletricidade, gás e água</t>
  </si>
  <si>
    <t>Administração de empresas e empreendimentos</t>
  </si>
  <si>
    <t>Quirografária</t>
  </si>
  <si>
    <t>Banco Bradesco SA</t>
  </si>
  <si>
    <t>uni</t>
  </si>
  <si>
    <t>Uni</t>
  </si>
  <si>
    <t>Sim</t>
  </si>
  <si>
    <t>Pagamento semestral, nos dias 15-Jun e 15-Dez. Primeiro em 15-Jun-2016 e último no vencimento.</t>
  </si>
  <si>
    <t>Oliveira Trust Dtvm SA</t>
  </si>
  <si>
    <t>Banco Itau BBA SA</t>
  </si>
  <si>
    <t>Integral na data do vencimento.</t>
  </si>
  <si>
    <t>Itau Unibanco SA</t>
  </si>
  <si>
    <t>Itau Cv SA</t>
  </si>
  <si>
    <t>Banco Citibank SA</t>
  </si>
  <si>
    <t>Não</t>
  </si>
  <si>
    <t>Banco BTG Pactual SA</t>
  </si>
  <si>
    <t>Banco Bradesco Bbi SA</t>
  </si>
  <si>
    <t>Banco Votorantim SA</t>
  </si>
  <si>
    <t>Banco J Safra SA</t>
  </si>
  <si>
    <t>Banco Santander Brasil SA</t>
  </si>
  <si>
    <t>BB Banco de Investimento SA</t>
  </si>
  <si>
    <t>Banco Abc Brasil SA</t>
  </si>
  <si>
    <t>XP Investimentos CCTVM SA</t>
  </si>
  <si>
    <t>Pentagono SA Dtvm</t>
  </si>
  <si>
    <t>Planner Trustee DTVM Ltda</t>
  </si>
  <si>
    <t>Vortx DTVM Ltda</t>
  </si>
  <si>
    <t>Gdc Partners Serv Fiduciarios Dtvm Ltda</t>
  </si>
  <si>
    <t>Simplific Pavarini DTVM Ltda</t>
  </si>
  <si>
    <t>Pagamento anual, nos dias 15-Mar. Primeiro em 15-Mar-2018 e último no vencimento.</t>
  </si>
  <si>
    <t>Pagamento semestral. nos dias 15-set e 15-mar. Primeiro em 15-set-2018 e última no vencimento</t>
  </si>
  <si>
    <t>Pagamento semestral. nos dias 15-dez e 15-jun. Primeoro em 15-jun-2018 e última no venciemtno</t>
  </si>
  <si>
    <t>Pagamento semestral, nos dias 15-mai e 15-nov. primeiro em 15-mai-2018 e última no vencimento</t>
  </si>
  <si>
    <t>Pagamento anual, nos dias 15-Fev. Primeiro em 15-Fev-2014 e último no vencimento.</t>
  </si>
  <si>
    <t>Pagamento semestral nos dias 15-mar e 15-Set. Primeiro em 15-set-2016.</t>
  </si>
  <si>
    <t>Pagamento anual, nos dias 15-Dez. Primeiro em 15-Dez-2016 e último no vencimento.</t>
  </si>
  <si>
    <t>Pagamentos anuais em 15-Out. Primeiro em 15-Out-2018.</t>
  </si>
  <si>
    <t>Pagamento semestral. nos dias 15-Dez e 15-Jun. Primeiro em 15-Dez-2017 e última no vencimento.</t>
  </si>
  <si>
    <t>Pagamento anual, nos dias 15-Out. Primeiro em 15-Out-2015 e último no vencimento.</t>
  </si>
  <si>
    <t>Pagamento anual, nos dias 15-Mar. Primeiro em 15-Mar-2015 e último no vencimento.</t>
  </si>
  <si>
    <t>Pagamento anual, nos dias 15-Jun. Primeiro em 15-Jun-2015 e último no vencimento.</t>
  </si>
  <si>
    <t>Pagamento anual, nos dias 15-Set. Primeiro em 15-Set-2015 e último no vencimento.</t>
  </si>
  <si>
    <t>Pagamento anual, nos dias 15-Dez. Primeiro em 15-Dez-2015 e último no vencimento.</t>
  </si>
  <si>
    <t>Pagamento anual, nos dias 15-Dez. Primeiro em 15-Dez-2013 e último no vencimento.</t>
  </si>
  <si>
    <t>Pagamento semestral, nos dias 15-Jun e 15-Dez. Primeiro em 15-Dez-2013 e último no vencimento.</t>
  </si>
  <si>
    <t>Pagamento anual. primeiro em 15-out-2018 e última no vencimento</t>
  </si>
  <si>
    <t>Pagamento anual, nos dias 15-Out. Primeiro em 15-Out-2013 e último no vencimento.</t>
  </si>
  <si>
    <t>Pagamento anual, no dias 15-Jul. Primeiro em 15-Jul-2017 e último no vencimento.</t>
  </si>
  <si>
    <t>Pagamento anual, nos dias 15-dez. Primeiro em 15-dez-2018 e última no vencimento</t>
  </si>
  <si>
    <t>Pagamento Semestral. nos dias 15-Set e 15-Mar. Primeiro em 15-Set-2017</t>
  </si>
  <si>
    <t>Pagamento semestral, nos dias 15-Jun e 15-Dez. Primeiro em 15-Jun-2015 e último no vencimento.</t>
  </si>
  <si>
    <t>Pagamento anual, nos dias 15-Fev. Primeiro em 15-Fev-2016 e último no vencimento.</t>
  </si>
  <si>
    <t>Pagamento semestral, nos dias 15-Mar e 15-Set. Primeiro em 15-Mar-2014 e último no vencimento.</t>
  </si>
  <si>
    <t>Pagamento semestral, nos dias 15-Mar e 15-Set. Primeiro em 15-Set-2016 e último no vencimento.</t>
  </si>
  <si>
    <t>Pagamento anual, nos dias 15-Out. Primeiro em 15-Out-2014 e último no vencimento.</t>
  </si>
  <si>
    <t>Pagamento semestral, nos dias 15-Jun e 15-Dez. Primeiro em 15-Dez-2018 e último no vencimento.</t>
  </si>
  <si>
    <t>Pagamento semestral. nos dias 15-Set e 15-Mar. Primeiro em 15-Set-2017</t>
  </si>
  <si>
    <t>Pagamento semestral, nos dias 15-mar e 15-set. Primeiro em 15-mar-2018 e última no vencimento</t>
  </si>
  <si>
    <t>Pagamento semestral, nos dias 15-Jun e 15-Dez. Primeiro em 15-Dez-2015 e último no vencimento.</t>
  </si>
  <si>
    <t>Integral na data do vencimento</t>
  </si>
  <si>
    <t>Pagamento semestral. noas dias 15-Out e 15- Abr. Primeiro em 15-Out-2018</t>
  </si>
  <si>
    <t>Pagamento anual, nos dias 15-Jan. Primeiro em 15-Jan-2015 e último no vencimento.</t>
  </si>
  <si>
    <t>Pagamento semestral, nos dias 15-jun e 15-dez. Primeiro em 15-jun-2016</t>
  </si>
  <si>
    <t>2 parcelas iguais em 15-mar-2024 e no vencimento</t>
  </si>
  <si>
    <t>Integral na data do Vencimento</t>
  </si>
  <si>
    <t>Pagamento semestral. nos dias 15-dez e 15-jun. Primeiro em 15-dez-2018 e última no vencimento</t>
  </si>
  <si>
    <t>2 parcelas: 50% em 15-nov-2023 e 50% no vencimento</t>
  </si>
  <si>
    <t>4 parcelas iguais em 15-Fev-2022, 15-Fev-2023, 15-Fev-2024  e 15-Fev-2025.</t>
  </si>
  <si>
    <t>3 parcelas: 33,33% em 15-Dez-2023, 50% em 15-Dez-2024 e saldo no vencimento.</t>
  </si>
  <si>
    <t>Pagamento semestral. nos dias 15-Dez e 15-Jun. Primeiro em 15-Dez-2018 e última no vencimento.</t>
  </si>
  <si>
    <t>9 parcelas anuais. Primeira em 15-Mar-2017 e última em 15-Mar-2025.</t>
  </si>
  <si>
    <t>9 parcelas anuais. Primeira em 15-Jun-2017 e última em 15-Jun-2025.</t>
  </si>
  <si>
    <t>9 parcelas anuais. Primeira em 15-Set-2017 e última em 15-Set-2025.</t>
  </si>
  <si>
    <t>9 parcelas anuais. Primeira em 15-Dez-2017 e última em 15-Dez-2025.</t>
  </si>
  <si>
    <t>9 parcelas anuais. Primeira em 15-Out-2018 e última em 15-Out-2026.</t>
  </si>
  <si>
    <t>Pagamento anual. Primeiro em 15-Dez-2015.</t>
  </si>
  <si>
    <t>Pagamento semestral, nos dias 15-Dez e 15-Jun. Primeiro em 15-Dez-2017 e última em 15-Jun-2028.</t>
  </si>
  <si>
    <t>3 parcelas em 15-Dez-2022, 15-Dez-2023 e no vencimento.</t>
  </si>
  <si>
    <t>3 parcelas anuais em 15-Jul-2024, 15-Jul-2025 e 15-Jul-2026.</t>
  </si>
  <si>
    <t>Pagamento semestral. nos dias 15-set e 15-mar. Primeiro em 15-set-2019 e última no vencimento</t>
  </si>
  <si>
    <t>24 parcelas semestrais. Primeiro em 15-Set-2017 e última no vencimento</t>
  </si>
  <si>
    <t>Pagamento semestral. Primeiro em 15-Dez-2017.</t>
  </si>
  <si>
    <t>3 parcelas : 33,3333% em 15-Fev-2023, 33,3333% em 15-Fev-2024 e saldo em 15-Fev-2025.</t>
  </si>
  <si>
    <t>Pagamento semestral, nos dias 15-Mar e 15-Set. Primeiro em 15-Set-2017 e último em 15-Set-2026.</t>
  </si>
  <si>
    <t>Pagamento em 23 parcelas semestrais. Primeira em 15-Dez-2018 e última no vencimento.</t>
  </si>
  <si>
    <t>Pagamento semestral. nos dias 15-Set e 15-Mar. Primeiro em 15-Set-2017 e última no vencimento</t>
  </si>
  <si>
    <t>Pagamento anual, nos dias 15-set. Primeiro em 15-set-2025 e última no vencimento</t>
  </si>
  <si>
    <t>4 parcelas em 15-Out-2021, 15-Out-2022, 15-Out-2023 e 15-Out-2024.</t>
  </si>
  <si>
    <t>3 parcelas : 33,33% em 15-Jan-2024, 33,33% em 15-Jan-2025 e saldo no vencimento.</t>
  </si>
  <si>
    <t>6 parcelas anuais, nos dias 15-Jan. Primeira em 15-Jan-2024 e última no vencimento.</t>
  </si>
  <si>
    <t>Pagamento semestral. Primeiro em 15-Dez-2016 e último no vencimento.</t>
  </si>
  <si>
    <t>12 parcelas semestrais nos dias 15-dez e 15-jun. Primeiro em 15-Dez-2016</t>
  </si>
  <si>
    <t>Garantia Real</t>
  </si>
  <si>
    <t>IPCA + 6,8734%</t>
  </si>
  <si>
    <t>IPCA + 5,5395%</t>
  </si>
  <si>
    <t>IPCA + 7,1358%</t>
  </si>
  <si>
    <t>IPCA + 7,3570%</t>
  </si>
  <si>
    <t>IPCA + 4,3338%</t>
  </si>
  <si>
    <t>IPCA + 7,0602%</t>
  </si>
  <si>
    <t>IPCA + 8%</t>
  </si>
  <si>
    <t>IPCA + 4,9102%</t>
  </si>
  <si>
    <t>IPCA + 5,1074%</t>
  </si>
  <si>
    <t>IPCA + 6,2515%</t>
  </si>
  <si>
    <t>IPCA + 6,7968%</t>
  </si>
  <si>
    <t>IPCA + 7,0291%</t>
  </si>
  <si>
    <t>IPCA + 6,4686%</t>
  </si>
  <si>
    <t>IPCA + 7,5826%</t>
  </si>
  <si>
    <t>IPCA + 6,4277%</t>
  </si>
  <si>
    <t>IPCA + 7,1096%</t>
  </si>
  <si>
    <t>IPCA + 6,9045%</t>
  </si>
  <si>
    <t>IPCA + 7,6054%</t>
  </si>
  <si>
    <t>IPCA + 9,2360%</t>
  </si>
  <si>
    <t>IPCA + 8,8593%</t>
  </si>
  <si>
    <t>IPCA + 6,0500%</t>
  </si>
  <si>
    <t>CDI Acumulado</t>
  </si>
  <si>
    <t>BRSTNCNTB096&lt;BraANB&gt;</t>
  </si>
  <si>
    <t>BRSTNCNTB4U6&lt;BraANB&gt;</t>
  </si>
  <si>
    <t>BRSTNCNTB4X0&lt;BraANB&gt;</t>
  </si>
  <si>
    <t>BRSTNCNTB3B8&lt;BraANB&gt;</t>
  </si>
  <si>
    <t>BRSTNCNTB0O7&lt;BraANB&gt;</t>
  </si>
  <si>
    <t>BRSTNCNTB3C6&lt;BraANB&gt;</t>
  </si>
  <si>
    <t>BRSTNCNTB0A6&lt;BraANB&gt;</t>
  </si>
  <si>
    <t>BRSTNCNTB3D4&lt;BraANB&gt;</t>
  </si>
  <si>
    <t>BRSTNCNTB4Q4&lt;BraANB&gt;</t>
  </si>
  <si>
    <t>Geração, transmissão e distribuição de energia elétrica</t>
  </si>
  <si>
    <t>Telecomunicações</t>
  </si>
  <si>
    <t>Atividades auxiliares ao transporte rodoviário</t>
  </si>
  <si>
    <t>Distribuição de gás natural</t>
  </si>
  <si>
    <t>Atividades auxiliares ao transporte aéreo</t>
  </si>
  <si>
    <t>Água, esgoto e outros sistemas</t>
  </si>
  <si>
    <t>Transporte ferroviário</t>
  </si>
  <si>
    <t>Extração de petróleo e gás</t>
  </si>
  <si>
    <t>Mineração de metais</t>
  </si>
  <si>
    <t>Taxa NTN-B</t>
  </si>
  <si>
    <t>Prêmio vs NTN-B Referência</t>
  </si>
  <si>
    <t>Thousands</t>
  </si>
  <si>
    <t>Ibovespa</t>
  </si>
  <si>
    <t>Índices</t>
  </si>
  <si>
    <t>IBrX 100</t>
  </si>
  <si>
    <t>IBrX 50</t>
  </si>
  <si>
    <t>IDIV</t>
  </si>
  <si>
    <t>IGC-NM</t>
  </si>
  <si>
    <t>SMLL</t>
  </si>
  <si>
    <t>IMOB</t>
  </si>
  <si>
    <t>IGC</t>
  </si>
  <si>
    <t>IBrA</t>
  </si>
  <si>
    <t>ITAG</t>
  </si>
  <si>
    <t>IGCT</t>
  </si>
  <si>
    <t>MLCX</t>
  </si>
  <si>
    <t>IVBX 2</t>
  </si>
  <si>
    <t>ICO2</t>
  </si>
  <si>
    <t>ISE</t>
  </si>
  <si>
    <t>IFNC</t>
  </si>
  <si>
    <t>UTIL</t>
  </si>
  <si>
    <t>ICON</t>
  </si>
  <si>
    <t>IEE</t>
  </si>
  <si>
    <t>IMAT</t>
  </si>
  <si>
    <t>INDX</t>
  </si>
  <si>
    <t>CEAD11&lt;BraANB&gt;</t>
  </si>
  <si>
    <t>EDPT11&lt;BraANB&gt;</t>
  </si>
  <si>
    <t>EGIE17&lt;BraANB&gt;</t>
  </si>
  <si>
    <t>EGIE27&lt;BraANB&gt;</t>
  </si>
  <si>
    <t>GEPA28&lt;BraANB&gt;</t>
  </si>
  <si>
    <t>ITGE13&lt;BraANB&gt;</t>
  </si>
  <si>
    <t>TAES15&lt;BraANB&gt;</t>
  </si>
  <si>
    <t>Centrais Eolicas Assurua II Spe S/A</t>
  </si>
  <si>
    <t>Edp Transmissão S/A</t>
  </si>
  <si>
    <t>Itarema Geração de Energia S/A</t>
  </si>
  <si>
    <t>IPCA + 6,6605%</t>
  </si>
  <si>
    <t>IPCA + 7,0267%</t>
  </si>
  <si>
    <t>IPCA + 5,9526%</t>
  </si>
  <si>
    <t>Pagamento semestral, nos dias 15-Dez e 15-Jun. Primeiro em 15-Dez-2018 e última no vencimento</t>
  </si>
  <si>
    <t>Pagamento semestral, nos dias 15-mai e 15-Nov. Primeiro em 15-mai-2021 e última no vencimento</t>
  </si>
  <si>
    <t>Pagamento anual. nos dias 15-Jul. Primeiro em 15-Jul-2019 e última no vencimento</t>
  </si>
  <si>
    <t>Pagamento anual, nos dias 15-jul. Primeiro em 15-Jul-2019 e última no vencimento</t>
  </si>
  <si>
    <t>Pagamento anual, nos dias 15-mar-2019</t>
  </si>
  <si>
    <t>Pagamento semestral, nos dias 15-dez e 15-jun. Primeiro em 15-dez-2017 e última no vencimento</t>
  </si>
  <si>
    <t>Pagamento anual, nos dias 15-jul. Primeiro em 15-jul-2019 e última no vencimento</t>
  </si>
  <si>
    <t>2 parcelas iguais. Em 15-jul-2024 e no vencimento</t>
  </si>
  <si>
    <t>Pagamento anual, nos dias 15-jul. Primeiro em 15-Jul-2026 e última no vencimento</t>
  </si>
  <si>
    <t>2 parcelas iguais em 15jul-2024 e no vencimento</t>
  </si>
  <si>
    <t>COTAÇÕES</t>
  </si>
  <si>
    <t>ALGA26</t>
  </si>
  <si>
    <t>ALGA27</t>
  </si>
  <si>
    <t>BLMN12</t>
  </si>
  <si>
    <t>CCRDD1</t>
  </si>
  <si>
    <t>CMDT33</t>
  </si>
  <si>
    <t>CEAD11</t>
  </si>
  <si>
    <t>CHPA11</t>
  </si>
  <si>
    <t>GASP34</t>
  </si>
  <si>
    <t>GASP16</t>
  </si>
  <si>
    <t>CXER12</t>
  </si>
  <si>
    <t>AGRU11</t>
  </si>
  <si>
    <t>AGRU21</t>
  </si>
  <si>
    <t>AGRU31</t>
  </si>
  <si>
    <t>AGRU41</t>
  </si>
  <si>
    <t>AGRU12</t>
  </si>
  <si>
    <t>CART12</t>
  </si>
  <si>
    <t>CART22</t>
  </si>
  <si>
    <t>RDVT11</t>
  </si>
  <si>
    <t>CSRN27</t>
  </si>
  <si>
    <t>EDPT11</t>
  </si>
  <si>
    <t>ENGI29</t>
  </si>
  <si>
    <t>ENGI39</t>
  </si>
  <si>
    <t>TBLE15</t>
  </si>
  <si>
    <t>TBLE26</t>
  </si>
  <si>
    <t>EGIE17</t>
  </si>
  <si>
    <t>EGIE27</t>
  </si>
  <si>
    <t>ENTV12</t>
  </si>
  <si>
    <t>SPRZ11</t>
  </si>
  <si>
    <t>EXTZ11</t>
  </si>
  <si>
    <t>FGEN13</t>
  </si>
  <si>
    <t>GEPA28</t>
  </si>
  <si>
    <t>ITGE13</t>
  </si>
  <si>
    <t>TPNO12</t>
  </si>
  <si>
    <t>MRSL27</t>
  </si>
  <si>
    <t>NRTB11</t>
  </si>
  <si>
    <t>NRTB21</t>
  </si>
  <si>
    <t>ODTR11</t>
  </si>
  <si>
    <t>OMNG12</t>
  </si>
  <si>
    <t>PRTE12</t>
  </si>
  <si>
    <t>PALF38</t>
  </si>
  <si>
    <t>RNEP11</t>
  </si>
  <si>
    <t>TAEE33</t>
  </si>
  <si>
    <t>TAES15</t>
  </si>
  <si>
    <t>CTEE17</t>
  </si>
  <si>
    <t>VALE38</t>
  </si>
  <si>
    <t>VALE48</t>
  </si>
  <si>
    <t>VNTT11</t>
  </si>
  <si>
    <t>TOME12</t>
  </si>
  <si>
    <t>Arteris</t>
  </si>
  <si>
    <t>Receita</t>
  </si>
  <si>
    <t>IDA DI</t>
  </si>
  <si>
    <t>IDA Geral</t>
  </si>
  <si>
    <t>IDA IPCA</t>
  </si>
  <si>
    <t>IMA-B 5</t>
  </si>
  <si>
    <t>IMA-B 5+</t>
  </si>
  <si>
    <t>IMA-B</t>
  </si>
  <si>
    <t>IMA-G</t>
  </si>
  <si>
    <t>Código Benchmark</t>
  </si>
  <si>
    <t>BRALGTDBS076</t>
  </si>
  <si>
    <t>BRBLMNDBS026</t>
  </si>
  <si>
    <t>BRCCRODBS0G5</t>
  </si>
  <si>
    <t>BRCMGDDBS041</t>
  </si>
  <si>
    <t>BRCEADDBS009</t>
  </si>
  <si>
    <t>BRCHPADBS006</t>
  </si>
  <si>
    <t>BRCGASDBS069</t>
  </si>
  <si>
    <t>BRCGASDBS085</t>
  </si>
  <si>
    <t>BRCXERDBS001</t>
  </si>
  <si>
    <t>BRAGRUDBS006</t>
  </si>
  <si>
    <t>BRAGRUDBS014</t>
  </si>
  <si>
    <t>BRAGRUDBS022</t>
  </si>
  <si>
    <t>BRAGRUDBS030</t>
  </si>
  <si>
    <t>BRAGRUDBS048</t>
  </si>
  <si>
    <t>BRRPTADBS017</t>
  </si>
  <si>
    <t>BRRPTADBS025</t>
  </si>
  <si>
    <t>BRRDVTDBS001</t>
  </si>
  <si>
    <t>BRCSRNDBS093</t>
  </si>
  <si>
    <t>BREDPTDBS001</t>
  </si>
  <si>
    <t>BRENGIDBS0F3</t>
  </si>
  <si>
    <t>BRENGIDBS0G1</t>
  </si>
  <si>
    <t>BREGIEDBS027</t>
  </si>
  <si>
    <t>BREGIEDBS035</t>
  </si>
  <si>
    <t>BREGIEDBS043</t>
  </si>
  <si>
    <t>BRENTVDBS008</t>
  </si>
  <si>
    <t>BRSPRZDBS008</t>
  </si>
  <si>
    <t>BREXTZDBS008</t>
  </si>
  <si>
    <t>BRFGENDBS024</t>
  </si>
  <si>
    <t>BRGEPADBS0E2</t>
  </si>
  <si>
    <t>BRITMGDBS028</t>
  </si>
  <si>
    <t>BRTPNODBS017</t>
  </si>
  <si>
    <t>BRMRSADBS099</t>
  </si>
  <si>
    <t>BRNRTBDBS002</t>
  </si>
  <si>
    <t>BRNRTBDBS010</t>
  </si>
  <si>
    <t>BRODTRDBS006</t>
  </si>
  <si>
    <t>BROMNGDBS011</t>
  </si>
  <si>
    <t>BRPRTEDBS019</t>
  </si>
  <si>
    <t>BRPALFDBS0C8</t>
  </si>
  <si>
    <t>BRRNEPDBS004</t>
  </si>
  <si>
    <t>BRTAEEDBS076</t>
  </si>
  <si>
    <t>BRTAEEDBS0E0</t>
  </si>
  <si>
    <t>BRTRPLDBS071</t>
  </si>
  <si>
    <t>BRVALEDBS077</t>
  </si>
  <si>
    <t>BRVALEDBS085</t>
  </si>
  <si>
    <t>BRVNTTDBS006</t>
  </si>
  <si>
    <t>BRVSTHDBS018</t>
  </si>
  <si>
    <t>Simples</t>
  </si>
  <si>
    <t>CEAR26&lt;BraANB&gt;</t>
  </si>
  <si>
    <t>BRCOCEDBS0B1</t>
  </si>
  <si>
    <t>IPCA + 6,1965%</t>
  </si>
  <si>
    <t>2 parcelas iguais em 15-Jun-2024 e no vencimento</t>
  </si>
  <si>
    <t>CEAR26</t>
  </si>
  <si>
    <t>Coelce</t>
  </si>
  <si>
    <t>DADOS CADASTRAIS</t>
  </si>
  <si>
    <t>TIET18&lt;BraANB&gt;</t>
  </si>
  <si>
    <t>ENJG21&lt;BraANB&gt;</t>
  </si>
  <si>
    <t>ENMI21&lt;BraANB&gt;</t>
  </si>
  <si>
    <t>ERDV17&lt;BraANB&gt;</t>
  </si>
  <si>
    <t>ESAM14&lt;BraANB&gt;</t>
  </si>
  <si>
    <t>LIGHA5&lt;BraANB&gt;</t>
  </si>
  <si>
    <t>ODYA11&lt;BraANB&gt;</t>
  </si>
  <si>
    <t>SBSPC2&lt;BraANB&gt;</t>
  </si>
  <si>
    <t>SAVI13&lt;BraANB&gt;</t>
  </si>
  <si>
    <t>Companhia Energética Jaguara</t>
  </si>
  <si>
    <t>Companhia Energética Miranda</t>
  </si>
  <si>
    <t>Empresa de Energia São Manoel S/A</t>
  </si>
  <si>
    <t>Santa Vitoria do Palmar Energias Renovaveis S/A</t>
  </si>
  <si>
    <t>Pagamento semestral, nos dias 15-Jun e 15-Dez. Primeiro em 15-Jun-2020 e última no vencimento</t>
  </si>
  <si>
    <t>Pagamento semestral, nos dias 15-jun e 15-dez. Primeiro em 15-dez-2018 e última no vencimento</t>
  </si>
  <si>
    <t>Pagamento anual nos dias 15-Jun. Primeiro em 15-Jun-2019 e última no vencimento</t>
  </si>
  <si>
    <t>Pagamento semestral, nos dias 15-dez e 15-jun. Primeiro em 15-dez-2018 e última no vencimento</t>
  </si>
  <si>
    <t>Pagamento semestral, nos dias 15-Abr e 15-Out. Primeiro em 15-Abr-2019 e última no vencimento</t>
  </si>
  <si>
    <t>Pagamento semestral, nos dias 15-Set e 15-Mar. Primeiro em 15-Set-2018 e última no vencimento</t>
  </si>
  <si>
    <t>Pagamento anual. primeiro em 15-fev-2019</t>
  </si>
  <si>
    <t>Pagamento semestral, nos dia 15-set e 15-mar. Primeiro em 15-set-2018 e última no vencimento</t>
  </si>
  <si>
    <t>TIET18</t>
  </si>
  <si>
    <t>ENJG21</t>
  </si>
  <si>
    <t>ENMI21</t>
  </si>
  <si>
    <t>ERDV17</t>
  </si>
  <si>
    <t>ESAM14</t>
  </si>
  <si>
    <t>LIGHA5</t>
  </si>
  <si>
    <t>ODYA11</t>
  </si>
  <si>
    <t>SBSPC2</t>
  </si>
  <si>
    <t>SAVI13</t>
  </si>
  <si>
    <t>Pagamento semestral, nos dias 15-Jun e 15-Dez. Primeiro em 15-Jun-2018 e última no vencimento</t>
  </si>
  <si>
    <t>Pagamento semestral, nos dias 15-jun e 15-dez. Primeiro em 15-jun-2020 e última no vencimento</t>
  </si>
  <si>
    <t>2 Parcelas iguais 50% em 15-Jun-2024 e 50% no vencimento</t>
  </si>
  <si>
    <t>2 Parcelas iguais 50% em 15-Out-2024 e 50% no vencimento</t>
  </si>
  <si>
    <t>Pagamento semestral, nos dias 15-Set e 15-Mar. Primeiro em 15-Set-2019 e última no vencimento</t>
  </si>
  <si>
    <t>2 parcelas: 50% em 15-fev-2024 e 50% em 15-fev-2025</t>
  </si>
  <si>
    <t>BRTIETDBS0A3</t>
  </si>
  <si>
    <t>BRENJGDBS018</t>
  </si>
  <si>
    <t>BRENMIDBS018</t>
  </si>
  <si>
    <t>BRERDVDBS0E8</t>
  </si>
  <si>
    <t>BRESAMDBS030</t>
  </si>
  <si>
    <t>BRLIGHDBS009</t>
  </si>
  <si>
    <t>BRODYADBS002</t>
  </si>
  <si>
    <t>BRSBSPDBS1A7</t>
  </si>
  <si>
    <t>BRSVTRDBS033</t>
  </si>
  <si>
    <t>IPCA + 6,0215%</t>
  </si>
  <si>
    <t>IPCA + 6,4962%</t>
  </si>
  <si>
    <t>IPCA + 7,4438%</t>
  </si>
  <si>
    <t>IPCA + 7,3129%</t>
  </si>
  <si>
    <t>IPCA + 6,8279%</t>
  </si>
  <si>
    <t>Planner Corretora de Valores SA</t>
  </si>
  <si>
    <t>INFLATION ADJUSTED</t>
  </si>
  <si>
    <t>ORIGINAL CURRENCY</t>
  </si>
  <si>
    <t>In Fiscal Year</t>
  </si>
  <si>
    <t>ETAP22&lt;BraANB&gt;</t>
  </si>
  <si>
    <t>CPXB22&lt;BraANB&gt;</t>
  </si>
  <si>
    <t>PETR16&lt;BraANB&gt;</t>
  </si>
  <si>
    <t>PETR26&lt;BraANB&gt;</t>
  </si>
  <si>
    <t>PRAS11&lt;BraANB&gt;</t>
  </si>
  <si>
    <t>SRTI11&lt;BraANB&gt;</t>
  </si>
  <si>
    <t>TPEN11&lt;BraANB&gt;</t>
  </si>
  <si>
    <t>Etap Emp Transmissora Agreste Potiguar S/A</t>
  </si>
  <si>
    <t>Etc - Empresa Transmissora Capixaba S/A</t>
  </si>
  <si>
    <t>Pirapora Solar Holding S/A</t>
  </si>
  <si>
    <t>Sertão I Solar Energia Spe S/A</t>
  </si>
  <si>
    <t>Tpe - Transmissora Paraiso de Energia S/A</t>
  </si>
  <si>
    <t>BRETAPDBS023</t>
  </si>
  <si>
    <t>BRCPXBDBS027</t>
  </si>
  <si>
    <t>BRPETRDBS001</t>
  </si>
  <si>
    <t>BRPETRDBS092</t>
  </si>
  <si>
    <t>BRPRASDBS001</t>
  </si>
  <si>
    <t>BRSRTIDBS006</t>
  </si>
  <si>
    <t>BRTPENDBS000</t>
  </si>
  <si>
    <t>IPCA + 6,1675%</t>
  </si>
  <si>
    <t>IPCA + 4,2186%</t>
  </si>
  <si>
    <t>IPCA + 5,7656%</t>
  </si>
  <si>
    <t>ETAP22</t>
  </si>
  <si>
    <t>CPXB22</t>
  </si>
  <si>
    <t>PETR16</t>
  </si>
  <si>
    <t>PETR26</t>
  </si>
  <si>
    <t>PRAS11</t>
  </si>
  <si>
    <t>SRTI11</t>
  </si>
  <si>
    <t>TPEN11</t>
  </si>
  <si>
    <t>2 Parcelas iguais 50% em 15-set-2024 e 15-set-2025</t>
  </si>
  <si>
    <t>Pagamento semestral. nos dias 15-Ago e 15-Fev. primeiro em 15-Ago-2019 e última no vencimento</t>
  </si>
  <si>
    <t>Pagamento semestral. nos dias 15-dez e 15-jun. primeiro em 15-dez-2018 e última no vencimento</t>
  </si>
  <si>
    <t>Pagamento semestral. nos dias 15-mar e 15-set. primeiro em 15-mar-2023 e última no vencimento</t>
  </si>
  <si>
    <t>Pagamento semestral. nos dias 15-mar e 15-set. primeiro em 15-mar-2019</t>
  </si>
  <si>
    <t>Pagamento Semestral. nos dias 13-mar e 13-set. primeiro em 13-mar-2019</t>
  </si>
  <si>
    <t>Pagamento Semestral. nos dias 15-Jul e 15-Jan. primeiro em 15-Jul-2019</t>
  </si>
  <si>
    <t>Pagamento semestral. nos dias 15-Ago e 15-Fev. primeiro em 15-Fev-2019 e última no vencimento</t>
  </si>
  <si>
    <t>Pagamento semestral. nos dias 15-mar e 15-set. primeiro em 15-mar-2019 e última no vencimento</t>
  </si>
  <si>
    <t>AEGP23&lt;BraANB&gt;</t>
  </si>
  <si>
    <t>TIET29&lt;BraANB&gt;</t>
  </si>
  <si>
    <t>TIET39&lt;BraANB&gt;</t>
  </si>
  <si>
    <t>AESL17&lt;BraANB&gt;</t>
  </si>
  <si>
    <t>GRRB24&lt;BraANB&gt;</t>
  </si>
  <si>
    <t>ALIG12&lt;BraANB&gt;</t>
  </si>
  <si>
    <t>ARTR19&lt;BraANB&gt;</t>
  </si>
  <si>
    <t>APRB18&lt;BraANB&gt;</t>
  </si>
  <si>
    <t>BRKP28&lt;BraANB&gt;</t>
  </si>
  <si>
    <t>CTRR11&lt;BraANB&gt;</t>
  </si>
  <si>
    <t>CCROB4&lt;BraANB&gt;</t>
  </si>
  <si>
    <t>CEPE19&lt;BraANB&gt;</t>
  </si>
  <si>
    <t>CMGD27&lt;BraANB&gt;</t>
  </si>
  <si>
    <t>CESPA2&lt;BraANB&gt;</t>
  </si>
  <si>
    <t>CEEBA1&lt;BraANB&gt;</t>
  </si>
  <si>
    <t>CEAR25&lt;BraANB&gt;</t>
  </si>
  <si>
    <t>ITPE12&lt;BraANB&gt;</t>
  </si>
  <si>
    <t>CGMG18&lt;BraANB&gt;</t>
  </si>
  <si>
    <t>CSNP12&lt;BraANB&gt;</t>
  </si>
  <si>
    <t>CBAN12&lt;BraANB&gt;</t>
  </si>
  <si>
    <t>CBAN32&lt;BraANB&gt;</t>
  </si>
  <si>
    <t>CBAN52&lt;BraANB&gt;</t>
  </si>
  <si>
    <t>CBAN72&lt;BraANB&gt;</t>
  </si>
  <si>
    <t>CNRD11&lt;BraANB&gt;</t>
  </si>
  <si>
    <t>CSMGA2&lt;BraANB&gt;</t>
  </si>
  <si>
    <t>CSMGC3&lt;BraANB&gt;</t>
  </si>
  <si>
    <t>CSMGB4&lt;BraANB&gt;</t>
  </si>
  <si>
    <t>CPGT15&lt;BraANB&gt;</t>
  </si>
  <si>
    <t>CPGT26&lt;BraANB&gt;</t>
  </si>
  <si>
    <t>CSRN19&lt;BraANB&gt;</t>
  </si>
  <si>
    <t>CSRN29&lt;BraANB&gt;</t>
  </si>
  <si>
    <t>CPFPA0&lt;BraANB&gt;</t>
  </si>
  <si>
    <t>CUTI11&lt;BraANB&gt;</t>
  </si>
  <si>
    <t>ECHP11&lt;BraANB&gt;</t>
  </si>
  <si>
    <t>ERDV36&lt;BraANB&gt;</t>
  </si>
  <si>
    <t>ERDV38&lt;BraANB&gt;</t>
  </si>
  <si>
    <t>EDPA11&lt;BraANB&gt;</t>
  </si>
  <si>
    <t>EDTE12&lt;BraANB&gt;</t>
  </si>
  <si>
    <t>ELEK37&lt;BraANB&gt;</t>
  </si>
  <si>
    <t>ELET42&lt;BraANB&gt;</t>
  </si>
  <si>
    <t>ELPLB4&lt;BraANB&gt;</t>
  </si>
  <si>
    <t>EGVG11&lt;BraANB&gt;</t>
  </si>
  <si>
    <t>EGVG21&lt;BraANB&gt;</t>
  </si>
  <si>
    <t>ENGIA1&lt;BraANB&gt;</t>
  </si>
  <si>
    <t>ENGIA4&lt;BraANB&gt;</t>
  </si>
  <si>
    <t>ENGIB4&lt;BraANB&gt;</t>
  </si>
  <si>
    <t>CEMT19&lt;BraANB&gt;</t>
  </si>
  <si>
    <t>ENMTA3&lt;BraANB&gt;</t>
  </si>
  <si>
    <t>ENMTB3&lt;BraANB&gt;</t>
  </si>
  <si>
    <t>EDVP14&lt;BraANB&gt;</t>
  </si>
  <si>
    <t>CTNS14&lt;BraANB&gt;</t>
  </si>
  <si>
    <t>ETEN11&lt;BraANB&gt;</t>
  </si>
  <si>
    <t>ETEN21&lt;BraANB&gt;</t>
  </si>
  <si>
    <t>ETEN31&lt;BraANB&gt;</t>
  </si>
  <si>
    <t>ETEN12&lt;BraANB&gt;</t>
  </si>
  <si>
    <t>ETEN22&lt;BraANB&gt;</t>
  </si>
  <si>
    <t>ESULA1&lt;BraANB&gt;</t>
  </si>
  <si>
    <t>ENEV32&lt;BraANB&gt;</t>
  </si>
  <si>
    <t>ENEV13&lt;BraANB&gt;</t>
  </si>
  <si>
    <t>ENEV15&lt;BraANB&gt;</t>
  </si>
  <si>
    <t>ENEV16&lt;BraANB&gt;</t>
  </si>
  <si>
    <t>ENEV26&lt;BraANB&gt;</t>
  </si>
  <si>
    <t>EGIE19&lt;BraANB&gt;</t>
  </si>
  <si>
    <t>EGIE29&lt;BraANB&gt;</t>
  </si>
  <si>
    <t>EGIE39&lt;BraANB&gt;</t>
  </si>
  <si>
    <t>EGIE49&lt;BraANB&gt;</t>
  </si>
  <si>
    <t>EOVC21&lt;BraANB&gt;</t>
  </si>
  <si>
    <t>EQTS11&lt;BraANB&gt;</t>
  </si>
  <si>
    <t>EQTN11&lt;BraANB&gt;</t>
  </si>
  <si>
    <t>EQSP11&lt;BraANB&gt;</t>
  </si>
  <si>
    <t>EQSP21&lt;BraANB&gt;</t>
  </si>
  <si>
    <t>EQTC11&lt;BraANB&gt;</t>
  </si>
  <si>
    <t>ETSP12&lt;BraANB&gt;</t>
  </si>
  <si>
    <t>EQTR11&lt;BraANB&gt;</t>
  </si>
  <si>
    <t>EQTR21&lt;BraANB&gt;</t>
  </si>
  <si>
    <t>ETBA12&lt;BraANB&gt;</t>
  </si>
  <si>
    <t>FURN21&lt;BraANB&gt;</t>
  </si>
  <si>
    <t>IGSN15&lt;BraANB&gt;</t>
  </si>
  <si>
    <t>JTEE11&lt;BraANB&gt;</t>
  </si>
  <si>
    <t>LIGHA9&lt;BraANB&gt;</t>
  </si>
  <si>
    <t>LIGHB0&lt;BraANB&gt;</t>
  </si>
  <si>
    <t>LORTA7&lt;BraANB&gt;</t>
  </si>
  <si>
    <t>LAMEA6&lt;BraANB&gt;</t>
  </si>
  <si>
    <t>MNAU13&lt;BraANB&gt;</t>
  </si>
  <si>
    <t>MSGT12&lt;BraANB&gt;</t>
  </si>
  <si>
    <t>NEOE16&lt;BraANB&gt;</t>
  </si>
  <si>
    <t>NEOE26&lt;BraANB&gt;</t>
  </si>
  <si>
    <t>NTEN11&lt;BraANB&gt;</t>
  </si>
  <si>
    <t>OMGE31&lt;BraANB&gt;</t>
  </si>
  <si>
    <t>OMGE41&lt;BraANB&gt;</t>
  </si>
  <si>
    <t>OMGE22&lt;BraANB&gt;</t>
  </si>
  <si>
    <t>PETR17&lt;BraANB&gt;</t>
  </si>
  <si>
    <t>PETR27&lt;BraANB&gt;</t>
  </si>
  <si>
    <t>PPTE11&lt;BraANB&gt;</t>
  </si>
  <si>
    <t>RESA14&lt;BraANB&gt;</t>
  </si>
  <si>
    <t>RESA15&lt;BraANB&gt;</t>
  </si>
  <si>
    <t>RUMOA2&lt;BraANB&gt;</t>
  </si>
  <si>
    <t>RUMOA3&lt;BraANB&gt;</t>
  </si>
  <si>
    <t>RUMOB3&lt;BraANB&gt;</t>
  </si>
  <si>
    <t>RUMOA4&lt;BraANB&gt;</t>
  </si>
  <si>
    <t>RUMOA5&lt;BraANB&gt;</t>
  </si>
  <si>
    <t>RUMOB5&lt;BraANB&gt;</t>
  </si>
  <si>
    <t>SBSPC4&lt;BraANB&gt;</t>
  </si>
  <si>
    <t>SBSPD4&lt;BraANB&gt;</t>
  </si>
  <si>
    <t>SBSPB6&lt;BraANB&gt;</t>
  </si>
  <si>
    <t>SBSPC6&lt;BraANB&gt;</t>
  </si>
  <si>
    <t>SAPR10&lt;BraANB&gt;</t>
  </si>
  <si>
    <t>TAEE26&lt;BraANB&gt;</t>
  </si>
  <si>
    <t>TBEG11&lt;BraANB&gt;</t>
  </si>
  <si>
    <t>CTEE18&lt;BraANB&gt;</t>
  </si>
  <si>
    <t>CTEE29&lt;BraANB&gt;</t>
  </si>
  <si>
    <t>UTPS11&lt;BraANB&gt;</t>
  </si>
  <si>
    <t>UTPS21&lt;BraANB&gt;</t>
  </si>
  <si>
    <t>UTPS12&lt;BraANB&gt;</t>
  </si>
  <si>
    <t>UTPS22&lt;BraANB&gt;</t>
  </si>
  <si>
    <t>VDBF12&lt;BraANB&gt;</t>
  </si>
  <si>
    <t>VPLT12&lt;BraANB&gt;</t>
  </si>
  <si>
    <t>VRDN12&lt;BraANB&gt;</t>
  </si>
  <si>
    <t>BRSTNCNTB633&lt;BraANB&gt;</t>
  </si>
  <si>
    <t>Locadora de automóveis</t>
  </si>
  <si>
    <t>Aegea Saneamento e Part S/A</t>
  </si>
  <si>
    <t>AES Brasil</t>
  </si>
  <si>
    <t>AES Sul</t>
  </si>
  <si>
    <t>Aguas Guariroba SA</t>
  </si>
  <si>
    <t>Aliança Geração de Energia SA</t>
  </si>
  <si>
    <t>Autopista Regis Bittencourt S/A</t>
  </si>
  <si>
    <t>Brk Ambiental Participações S/A</t>
  </si>
  <si>
    <t>Cantareira Transmissora de Energia SA</t>
  </si>
  <si>
    <t>Cesp</t>
  </si>
  <si>
    <t>Coelba</t>
  </si>
  <si>
    <t>Companhia Aguas de Itapema</t>
  </si>
  <si>
    <t>Companhia de Gás de Minas Gerais - Gasmig</t>
  </si>
  <si>
    <t>Companhia Energética Sinop S/A</t>
  </si>
  <si>
    <t>Concessionária da Rodovia Ms 306 SA</t>
  </si>
  <si>
    <t>Copel Geração e Transmissão S/A</t>
  </si>
  <si>
    <t>Cutia Empreendimentos Eólicos SA</t>
  </si>
  <si>
    <t>Echoenergia Participações SA</t>
  </si>
  <si>
    <t>Edp Transmissão Aliança Sc SA</t>
  </si>
  <si>
    <t>Edte - Emp Diamantina de Trans de Energia S/A</t>
  </si>
  <si>
    <t>Elektro</t>
  </si>
  <si>
    <t>Eletrobras</t>
  </si>
  <si>
    <t>Eletropaulo</t>
  </si>
  <si>
    <t>Enel Green Power Volta Grande SA</t>
  </si>
  <si>
    <t>Energisa Mt</t>
  </si>
  <si>
    <t>Energisa Sul Sudeste Distr de Energia S/A</t>
  </si>
  <si>
    <t>Energisa Tocantins Dist de Energia SA</t>
  </si>
  <si>
    <t>Energisa Transmissão de Energia S/A</t>
  </si>
  <si>
    <t>Enersul</t>
  </si>
  <si>
    <t>Eneva</t>
  </si>
  <si>
    <t>Eolica Serra Das Vacas Holding S/A</t>
  </si>
  <si>
    <t>Equatorial Transmissora 1 Spe SA</t>
  </si>
  <si>
    <t>Equatorial Transmissora 2 Spe S/A</t>
  </si>
  <si>
    <t>Equatorial Transmissora 3 Spe S/A</t>
  </si>
  <si>
    <t>Equatorial Transmissora 5 Spe SA</t>
  </si>
  <si>
    <t>Equatorial Transmissora 7 Spe S/A</t>
  </si>
  <si>
    <t>Equatorial Transmissora 8 Spe S/A</t>
  </si>
  <si>
    <t>Etb - Empresa de Transmissão Baiana S/A</t>
  </si>
  <si>
    <t>Furnas Centrais Elétricas SA</t>
  </si>
  <si>
    <t>Igua SA</t>
  </si>
  <si>
    <t>Janauba Transmissora de Energia Eletrica S/A</t>
  </si>
  <si>
    <t>Localiza</t>
  </si>
  <si>
    <t>Manaus Ambiental SA</t>
  </si>
  <si>
    <t>Mata de Santa Genebra Transmissão SA</t>
  </si>
  <si>
    <t>Neoenergia</t>
  </si>
  <si>
    <t>Norte Energia SA</t>
  </si>
  <si>
    <t>AEGP23</t>
  </si>
  <si>
    <t>TIET29</t>
  </si>
  <si>
    <t>TIET39</t>
  </si>
  <si>
    <t>AESL17</t>
  </si>
  <si>
    <t>GRRB24</t>
  </si>
  <si>
    <t>ALIG12</t>
  </si>
  <si>
    <t>ARTR19</t>
  </si>
  <si>
    <t>APRB18</t>
  </si>
  <si>
    <t>BRKP28</t>
  </si>
  <si>
    <t>CTRR11</t>
  </si>
  <si>
    <t>CCROB4</t>
  </si>
  <si>
    <t>CEPE19</t>
  </si>
  <si>
    <t>CMGD27</t>
  </si>
  <si>
    <t>CESPA2</t>
  </si>
  <si>
    <t>CEEBA1</t>
  </si>
  <si>
    <t>CEAR25</t>
  </si>
  <si>
    <t>ITPE12</t>
  </si>
  <si>
    <t>CGMG18</t>
  </si>
  <si>
    <t>CSNP12</t>
  </si>
  <si>
    <t>CBAN12</t>
  </si>
  <si>
    <t>CBAN32</t>
  </si>
  <si>
    <t>CBAN52</t>
  </si>
  <si>
    <t>CBAN72</t>
  </si>
  <si>
    <t>CNRD11</t>
  </si>
  <si>
    <t>CSMGA2</t>
  </si>
  <si>
    <t>CSMGC3</t>
  </si>
  <si>
    <t>CSMGB4</t>
  </si>
  <si>
    <t>CPGT15</t>
  </si>
  <si>
    <t>CPGT26</t>
  </si>
  <si>
    <t>CSRN19</t>
  </si>
  <si>
    <t>CSRN29</t>
  </si>
  <si>
    <t>CPFPA0</t>
  </si>
  <si>
    <t>CUTI11</t>
  </si>
  <si>
    <t>ECHP11</t>
  </si>
  <si>
    <t>ERDV36</t>
  </si>
  <si>
    <t>ERDV38</t>
  </si>
  <si>
    <t>EDPA11</t>
  </si>
  <si>
    <t>EDTE12</t>
  </si>
  <si>
    <t>ELEK37</t>
  </si>
  <si>
    <t>ELET42</t>
  </si>
  <si>
    <t>ELPLB4</t>
  </si>
  <si>
    <t>EGVG11</t>
  </si>
  <si>
    <t>EGVG21</t>
  </si>
  <si>
    <t>ENGIA1</t>
  </si>
  <si>
    <t>ENGIA4</t>
  </si>
  <si>
    <t>ENGIB4</t>
  </si>
  <si>
    <t>CEMT19</t>
  </si>
  <si>
    <t>ENMTA3</t>
  </si>
  <si>
    <t>ENMTB3</t>
  </si>
  <si>
    <t>EDVP14</t>
  </si>
  <si>
    <t>CTNS14</t>
  </si>
  <si>
    <t>ETEN11</t>
  </si>
  <si>
    <t>ETEN21</t>
  </si>
  <si>
    <t>ETEN31</t>
  </si>
  <si>
    <t>ETEN12</t>
  </si>
  <si>
    <t>ETEN22</t>
  </si>
  <si>
    <t>ESULA1</t>
  </si>
  <si>
    <t>ENEV32</t>
  </si>
  <si>
    <t>ENEV13</t>
  </si>
  <si>
    <t>ENEV15</t>
  </si>
  <si>
    <t>ENEV16</t>
  </si>
  <si>
    <t>ENEV26</t>
  </si>
  <si>
    <t>EGIE19</t>
  </si>
  <si>
    <t>EGIE29</t>
  </si>
  <si>
    <t>EGIE39</t>
  </si>
  <si>
    <t>EGIE49</t>
  </si>
  <si>
    <t>EOVC21</t>
  </si>
  <si>
    <t>EQTS11</t>
  </si>
  <si>
    <t>EQTN11</t>
  </si>
  <si>
    <t>EQSP11</t>
  </si>
  <si>
    <t>EQSP21</t>
  </si>
  <si>
    <t>EQTC11</t>
  </si>
  <si>
    <t>ETSP12</t>
  </si>
  <si>
    <t>EQTR11</t>
  </si>
  <si>
    <t>EQTR21</t>
  </si>
  <si>
    <t>ETBA12</t>
  </si>
  <si>
    <t>FURN21</t>
  </si>
  <si>
    <t>IGSN15</t>
  </si>
  <si>
    <t>JTEE11</t>
  </si>
  <si>
    <t>LIGHA9</t>
  </si>
  <si>
    <t>LIGHB0</t>
  </si>
  <si>
    <t>LORTA7</t>
  </si>
  <si>
    <t>LAMEA6</t>
  </si>
  <si>
    <t>MNAU13</t>
  </si>
  <si>
    <t>MSGT12</t>
  </si>
  <si>
    <t>NEOE16</t>
  </si>
  <si>
    <t>NEOE26</t>
  </si>
  <si>
    <t>NTEN11</t>
  </si>
  <si>
    <t>OMGE31</t>
  </si>
  <si>
    <t>OMGE41</t>
  </si>
  <si>
    <t>OMGE22</t>
  </si>
  <si>
    <t>Pagamento anual. Primeiro em 15-jul-2019 e última no vencimento</t>
  </si>
  <si>
    <t>Pagamento semestral. nos dias 15-mar e 15-set. Primeiro em 15-set-2019 e última no vencimento</t>
  </si>
  <si>
    <t>Pagamento anual no dia 15-mar. Primeiro em 15-mar-2020 e última no vencimento</t>
  </si>
  <si>
    <t>Pagamento semestral. nos dias 15-fev e 15-ago. Primeiro em 15-fev-2019 e última no vencimento</t>
  </si>
  <si>
    <t>Pagamento anual, nos dias 15-Jul. Primeiro em 15-jul-2020 e última no vencimento</t>
  </si>
  <si>
    <t>Pagamento semestral, nos dias 15-Jun e 15-Dez. Primeiro em 15-Dez-2019 e último no vencimento</t>
  </si>
  <si>
    <t>Pagamento Semestral. Nos dias 15-set e 15-mar. Primeiro no dia 15-mar-2021</t>
  </si>
  <si>
    <t>Pagamento Semestral. nos dias 15-jun e 15-dez. Primeiro em 15-jun-2021</t>
  </si>
  <si>
    <t>Pagamento semestral. Nos dias 15-mar e 15-set. primeiro em 15-mar-2021</t>
  </si>
  <si>
    <t>Pagamento Semestral. nos dias 15-fev e 15-ago. Primeiro em 15-ago-2018</t>
  </si>
  <si>
    <t>Pagamento Semestral. Nos dias 15-jun e 15-dez. Primeiro em 15-jun-2021</t>
  </si>
  <si>
    <t>Pagamento Semestral. nos dias 15-jul e 15-jan. Primeiro em 15-jan-2019</t>
  </si>
  <si>
    <t>Pagamento Semestral. nos dias 15-jun e 15-dez. Primeiro em 15-dez-2019</t>
  </si>
  <si>
    <t>Pagamento semestral. nos dias 15-fev e 15-ago. primeiro em 15-fev-2021</t>
  </si>
  <si>
    <t>Pagamento Semestral. nos dias 15-fev e 15-ago. Primeiro em 15-fev-2019</t>
  </si>
  <si>
    <t>Pagamento Semestral. nos dias 15-jun e 15-dez. Primeiro em 15-jun-2018</t>
  </si>
  <si>
    <t>Pagamento semestral. Nos dias 15-abr e 15- out. primeiro em 15-out-2019</t>
  </si>
  <si>
    <t>Pagamento Semestral. nos dias 15-jun e 15-jul. Primeiro em 15-jun-2019</t>
  </si>
  <si>
    <t>Pagamento Semestral. nos dias 15-jan e 15-jul. Primeiro em 15-jan-2022</t>
  </si>
  <si>
    <t>Pagamento Semestral. nos dias 15-jan e 15-jul. Primeiro em 15-jul-2018</t>
  </si>
  <si>
    <t>Pagamento Semestral. nos dias 15-jan e 15-jul. Primeiro em 15-jan-2019</t>
  </si>
  <si>
    <t>Pagamento semestral, nos dias 15-Mar e 15-Set. Primeiro em 15-Mar-2019 e último no vencimento.</t>
  </si>
  <si>
    <t>Pagamento semestral, nos dias 15-Jan e 15-Jul. Primeiro em 15-Jan-2020 e última no vencimento</t>
  </si>
  <si>
    <t>Pagamento Semestral. nos dias 15-out e 15-abr. Primeiro em 15-out-2019</t>
  </si>
  <si>
    <t>Pagamento semestral, nos dias 15-Abr e 15-Out. Primeiro em 15-Out-2019 e último no vencimento.</t>
  </si>
  <si>
    <t>Pagamento semestral, nos dias 15-Jun e 15-Dez. Primeiro em 15-Jun-2019 e último no vencimento.</t>
  </si>
  <si>
    <t>Pagamento Semestral. Nos dias 15-jun e 15-dez. Primeiro no dia 15-jun-2021</t>
  </si>
  <si>
    <t>Pagamento anual. Primeiro em 15-nov-2018</t>
  </si>
  <si>
    <t>Pagamento anual, no dia 15-Abr. Primeiro em 15-Abr-2020 e último no vencimento.</t>
  </si>
  <si>
    <t>Pagamento Semestral. Nos dias 15-abr e 15-out. Primeiro em 15-abr-2019</t>
  </si>
  <si>
    <t>Pagamento semestral. nos dias 15-jun e 15 Dez. Primeiro em 15-jun-2019 e última no vencimento</t>
  </si>
  <si>
    <t>Pagamento Semestral. nos dias 15-mai e 15-nov. Primeiro em 15-nov-2018</t>
  </si>
  <si>
    <t>Pagamento semestral, nos dias 15-Mai e 15-Nov. Primeiro em 15-Nov-2019 e último no vencimento.</t>
  </si>
  <si>
    <t>Pagamento Semestral. nos dias 15-nov e 15-mai. Primeiro em 15-nov-2019</t>
  </si>
  <si>
    <t>Pagamento Semestral. nos dias 15-Abr e 15-Out. Primeiro em 15-Out-2020</t>
  </si>
  <si>
    <t>Pagamento anual. nos dias 15-Out. Primeiro em 15-Out-2020</t>
  </si>
  <si>
    <t>Pagamento Semestral. Nos dias 15-abr e 15-out. Primeiro no dia 15-abr-2021</t>
  </si>
  <si>
    <t>Pagamento Semestral, nos dias 15-set e 15-mar. Primeiro em 15-jmar-2019</t>
  </si>
  <si>
    <t>Pagamento Semestral. Nos dias 15-mar e 15-set. Primeiro em 15-abr-2019</t>
  </si>
  <si>
    <t>Pagamento Semestral. Nos dias 15-mar e 15-set. Primeiro em 15-mar-2019</t>
  </si>
  <si>
    <t>Pagamento semestral. nos dias 15-dez e 15-jun. Primeiro em 15-dez-2020 e última no vencimento</t>
  </si>
  <si>
    <t>Pagamento Semestral. nos dias 15-jun e 15-dez. Primeiro em 15-dez-2020</t>
  </si>
  <si>
    <t>Pagamento anual. Primeiro em 15-Dez-2020 e última no vencimento</t>
  </si>
  <si>
    <t>Pagamento Semestral. Nos dias 15-abr e 15-out. Primeiro em 15-abr-2021</t>
  </si>
  <si>
    <t>Pagamento semestral. nos dias 15-mar e 13-set. Primeiro em 15-mar-2019 e última no vencimento</t>
  </si>
  <si>
    <t>Pagamento Semestral. nos dias 15-jun e 15-dez. Primeiro em 15-jun-2020</t>
  </si>
  <si>
    <t>Pagamento Semestral. nos dias 15-set e 15-mar. Primeiro em 15-mar-2021</t>
  </si>
  <si>
    <t>Pagamento Semestra. nos dias 15-set e 15-mar. Primeiro em 15-mar-2021</t>
  </si>
  <si>
    <t>Pagamento anual, no dia 15-Jul. Primeiro em 15-Jul-2021 e último no vencimento.</t>
  </si>
  <si>
    <t>Pagamento semestral, nos dias 15-Jan e 15-Jul. Primeiro em 15-Jul-2021 e último no vencimento.</t>
  </si>
  <si>
    <t>Pagamento Semestral. nos dias 15-jan e 15-jul. Primeiro em 15-jan-2021</t>
  </si>
  <si>
    <t>Pagamento semestral. nos dias 15-jul e 15-jan. Primeiro em 15-jul-2021 e última no vencimento</t>
  </si>
  <si>
    <t>Pagamento Semestral. nos dias 15-Abr e 15-Out. Primeiro em 15-Out-2021</t>
  </si>
  <si>
    <t>Pagamento Semestral. nos dias 15-out e 15-abr. Primeiro em 15-abr-2021</t>
  </si>
  <si>
    <t>Pagamento semestral. nos dias 15-fev e 15-ago. Primeiro em 15-ago-2019 e última no vencimento</t>
  </si>
  <si>
    <t>Pagamento semestral. nos dias 15-mai e 15-nov. Primeiro em 15-mai-2020</t>
  </si>
  <si>
    <t>Pagamento semestral. Nos dias 15-jan e 15-jul. primeiro em 15-jan-2021</t>
  </si>
  <si>
    <t>Pagamento anual. Primeiro em 15-jul-2021</t>
  </si>
  <si>
    <t>Pagamento semestral. Nos dias 15-abr e 15-out. Primeiro em 15-abr-2021</t>
  </si>
  <si>
    <t>Pagamento semestral. Nos dias 15-dez e 15-jun. Primeiro em 15-dez-2020</t>
  </si>
  <si>
    <t>Pagamento anual em 15-jun. Primeiro em 15-jun-2020 e última no vencimento</t>
  </si>
  <si>
    <t>Pagamento anual no dia 15-jun. Primeiro em 15-jun-2020 e última no vencimento</t>
  </si>
  <si>
    <t>Pagamento semestral. Nos dias 15-nov e 15-mai. Primeiro em 15-nov-2020</t>
  </si>
  <si>
    <t>Pagamento anual. no dia 15-set. primeiro em 15-set-2021</t>
  </si>
  <si>
    <t>BRAEGPDBS038</t>
  </si>
  <si>
    <t>BRTIETDBS0C9</t>
  </si>
  <si>
    <t>BRTIETDBS0D7</t>
  </si>
  <si>
    <t>BRAESLDBS008</t>
  </si>
  <si>
    <t>BRGRRBDBS042</t>
  </si>
  <si>
    <t>BRALGEDBS011</t>
  </si>
  <si>
    <t>BRARTRDBS070</t>
  </si>
  <si>
    <t>BRAPRBDBS015</t>
  </si>
  <si>
    <t>BRBRKPDBS055</t>
  </si>
  <si>
    <t>BRCTRRDBS001</t>
  </si>
  <si>
    <t>BRCCRODBS0K7</t>
  </si>
  <si>
    <t>BRCEPEDBS0B8</t>
  </si>
  <si>
    <t>BRCMGDDBS090</t>
  </si>
  <si>
    <t>BRCESPDBS2B8</t>
  </si>
  <si>
    <t>BRCEEBDBS005</t>
  </si>
  <si>
    <t>BRCOCEDBS085</t>
  </si>
  <si>
    <t>BRITPEDBS000</t>
  </si>
  <si>
    <t>BRGASMDBS076</t>
  </si>
  <si>
    <t>BRCSNPDBS022</t>
  </si>
  <si>
    <t>BRCRBDDBS025</t>
  </si>
  <si>
    <t>BRCRBDDBS041</t>
  </si>
  <si>
    <t>BRCRBDDBS066</t>
  </si>
  <si>
    <t>BRCRBDDBS082</t>
  </si>
  <si>
    <t>BRCNRDDBS004</t>
  </si>
  <si>
    <t>BRCSMGDBS0B3</t>
  </si>
  <si>
    <t>BRCSMGDBS0E7</t>
  </si>
  <si>
    <t>BRCSMGDBS0G2</t>
  </si>
  <si>
    <t>BRCPGTDBS040</t>
  </si>
  <si>
    <t>BRCPGTDBS065</t>
  </si>
  <si>
    <t>BRCSRNDBS0A1</t>
  </si>
  <si>
    <t>BRCSRNDBS0B9</t>
  </si>
  <si>
    <t>BRCPFPDBS0A6</t>
  </si>
  <si>
    <t>BRCTEEDBS007</t>
  </si>
  <si>
    <t>BRECHPDBS008</t>
  </si>
  <si>
    <t>BRERDVDBS0D0</t>
  </si>
  <si>
    <t>BRERDVDBS0H1</t>
  </si>
  <si>
    <t>BREDPADBS001</t>
  </si>
  <si>
    <t>BREDITDBS014</t>
  </si>
  <si>
    <t>BREKTRDBS0G8</t>
  </si>
  <si>
    <t>BRELETDBS032</t>
  </si>
  <si>
    <t>BRELPLDBS0Y0</t>
  </si>
  <si>
    <t>BREGVGDBS009</t>
  </si>
  <si>
    <t>BREGVGDBS017</t>
  </si>
  <si>
    <t>BRENGIDBS0L1</t>
  </si>
  <si>
    <t>BRENGIDBS0O5</t>
  </si>
  <si>
    <t>BRENGIDBS0P2</t>
  </si>
  <si>
    <t>BRENMTDBS056</t>
  </si>
  <si>
    <t>BRENMTDBS0B1</t>
  </si>
  <si>
    <t>BRENMTDBS0C9</t>
  </si>
  <si>
    <t>BRESSDDBS049</t>
  </si>
  <si>
    <t>BRCTNSDBS057</t>
  </si>
  <si>
    <t>BRETENDBS004</t>
  </si>
  <si>
    <t>BRETENDBS012</t>
  </si>
  <si>
    <t>BRETENDBS020</t>
  </si>
  <si>
    <t>BRETENDBS046</t>
  </si>
  <si>
    <t>BRETENDBS053</t>
  </si>
  <si>
    <t>BRENERDBS099</t>
  </si>
  <si>
    <t>BRENEVDBS026</t>
  </si>
  <si>
    <t>BRENEVDBS034</t>
  </si>
  <si>
    <t>BRENEVDBS083</t>
  </si>
  <si>
    <t>BRENEVDBS091</t>
  </si>
  <si>
    <t>BRENEVDBS0A9</t>
  </si>
  <si>
    <t>BREGIEDBS076</t>
  </si>
  <si>
    <t>BREGIEDBS084</t>
  </si>
  <si>
    <t>BREGIEDBS092</t>
  </si>
  <si>
    <t>BREGIEDBS0A5</t>
  </si>
  <si>
    <t>BREOVCDBS010</t>
  </si>
  <si>
    <t>BREQTSDBS007</t>
  </si>
  <si>
    <t>BREQTNDBS008</t>
  </si>
  <si>
    <t>BREQSPDBS005</t>
  </si>
  <si>
    <t>BREQSPDBS013</t>
  </si>
  <si>
    <t>BREQTCDBS001</t>
  </si>
  <si>
    <t>BRETSPDBS017</t>
  </si>
  <si>
    <t>BREQTRDBS009</t>
  </si>
  <si>
    <t>BREQTRDBS017</t>
  </si>
  <si>
    <t>BRETBADBS015</t>
  </si>
  <si>
    <t>BRFURNDBS019</t>
  </si>
  <si>
    <t>BRIGSNDBS044</t>
  </si>
  <si>
    <t>BRJTEEDBS002</t>
  </si>
  <si>
    <t>BRLIGHDBS0U1</t>
  </si>
  <si>
    <t>BRLIGHDBS0V9</t>
  </si>
  <si>
    <t>BRRENTDBS0K7</t>
  </si>
  <si>
    <t>BRMNAUDBS029</t>
  </si>
  <si>
    <t>BRMSGTDBS035</t>
  </si>
  <si>
    <t>BRNEOEDBS047</t>
  </si>
  <si>
    <t>BRNEOEDBS054</t>
  </si>
  <si>
    <t>BRNTENDBS005</t>
  </si>
  <si>
    <t>BROMGEDBS028</t>
  </si>
  <si>
    <t>BROMGEDBS036</t>
  </si>
  <si>
    <t>BROMGEDBS051</t>
  </si>
  <si>
    <t>Pagamento anual. Primeiro em 15-jul-2024 e última no vencimento</t>
  </si>
  <si>
    <t>3 Parcelas: 33,33% em 15-mar-2027, 33,33% 15-mar-2028 e 33,34% no vencimento</t>
  </si>
  <si>
    <t>3 Parcelas: 33,33% em 15-mar-2027, 33,33% em 15-mar-2028 e 33,34% no vencimento</t>
  </si>
  <si>
    <t>Pagamento semestral. nos dias 15-fev e 15-ago. Primeiro em 15-ago-2024 e última no vencimento</t>
  </si>
  <si>
    <t>Pagamento semestral, nos dias 15-Jun e 15-Dez. Primeiro em 15-Jun-2020 e último no vencimento</t>
  </si>
  <si>
    <t>Pagamento anual. Primeiro em 15-set e ultima no vencimento</t>
  </si>
  <si>
    <t>Pagamento Semestral. nos dias 15-jun e 15-dez. Primeiro em 15-dez-2021</t>
  </si>
  <si>
    <t>Pagamento anual. Primeiro em 15-set-2028</t>
  </si>
  <si>
    <t>Pagamento anual. Primeiro em 15-dez-2024</t>
  </si>
  <si>
    <t>3 Parcelas: 33,33% em 15-jul-2023, 33,33% em 15-jul-2024 e 33,34% no vencimento</t>
  </si>
  <si>
    <t>2 Parcelas: 50% em 15-jun-2025 e 50% em 15-jun-2026</t>
  </si>
  <si>
    <t>Pagamento anual. no dia 15-ago. primeiro em 15-ago-2028</t>
  </si>
  <si>
    <t>Pagamento anual. Primeiro em 15-ago-2023</t>
  </si>
  <si>
    <t>2 Parcelas: 50% em 15-dez-2023 e 50% em 15-dez-2024</t>
  </si>
  <si>
    <t>Pagamento anual. no dia 15-ago. primeiro em 15-ago-2024</t>
  </si>
  <si>
    <t>Pagamento anual no dia 15-dez. Primeiro em 15-dez-2019 e última no vencimento</t>
  </si>
  <si>
    <t>2 Parcelas: 50% em 15-mai-2024 e 50% no vencimento</t>
  </si>
  <si>
    <t>Pagamento Semestral. nos dias 15-jan e 15-jul. Primeiro em 15-jul-2022</t>
  </si>
  <si>
    <t>Pagamento Semestral. Nos dias 15-jun e 15-dez. Primeiro em 15-jun-2026</t>
  </si>
  <si>
    <t>Pagamento anual no dia 15-jul. Primeiro em 15-jul-2022 e última no vencimento</t>
  </si>
  <si>
    <t>Pagamento Semestral. nos dias 15-jan e 15-jul. Primeiro em 15-jul-2023</t>
  </si>
  <si>
    <t>Pagamento Semestral. nos dias 15-jun e 15-dez. Primeiro em 15-dez-2022</t>
  </si>
  <si>
    <t>5 parcelas no dia 15-Set de cada ano.Primeira em 15-Set-2021 e última no vencimento.</t>
  </si>
  <si>
    <t>3 parcelas em 20-Ago-2027, em 20-Ago-2028 e no vencimento.</t>
  </si>
  <si>
    <t>2 Parcelas: 50% em 15-ago-2024 e 50% em 15-ago-2025</t>
  </si>
  <si>
    <t>26 parcelas semestrais. Primeira em 15-Jun-2019 e última no vencimento.</t>
  </si>
  <si>
    <t>Pagamento anual. Primeiro em 15-jun e ultima no vencimento</t>
  </si>
  <si>
    <t>Pagamento anual. Primeiro em 15-nov-2023</t>
  </si>
  <si>
    <t>2 parcelas iguais em 15-Abr-2025 e no vencimento.</t>
  </si>
  <si>
    <t>Pagamento Semestral. Nos dias 15-abr e 15-out. Primeiro em 15-abr-2023</t>
  </si>
  <si>
    <t>Pagamento semestral. nos dias 15-jun e 15 Dez. Primeiro em 15-jun-2023 e última no vencimento</t>
  </si>
  <si>
    <t>3 parcelas: 33,3333% em 15-Mai-2027, 16,6667% em 15-Mai-2028 e 50% no vencimento.</t>
  </si>
  <si>
    <t>Pagamento Anual. no dia 15-Out. Primeiro em 15-out-2020 e última no vencimento</t>
  </si>
  <si>
    <t>Pagamento anual. Primeiro em 15-out-2028 e ultima no vencimento</t>
  </si>
  <si>
    <t>Pagamento anual. Primeiro em 15-set-2023 e última no vencimento</t>
  </si>
  <si>
    <t>Pagamento anual. Primeiro em 15-mar-2023 e última no vencimento</t>
  </si>
  <si>
    <t>Pagamento anual. Primeiro em 15-set-2023</t>
  </si>
  <si>
    <t>Pagamento Semestral. nos dias 15-jun e 15-dez. Primeiro em 15-dez-2026</t>
  </si>
  <si>
    <t>Pagamento anual. primeiro em 15-set-2023 e última no vencimento</t>
  </si>
  <si>
    <t>Pagamento anual. Primeiro em 15-dez-2025</t>
  </si>
  <si>
    <t>Pagamento Anual. No dia 15-jun. Primeiro em 15-jun-2028</t>
  </si>
  <si>
    <t>Pagamento anual. no dia 15-Set. Primeiro em 15-Set-2028</t>
  </si>
  <si>
    <t>Pagamento Anual. nos dia 15-set. Primeiro em 15-set-2033</t>
  </si>
  <si>
    <t>2 parcelas iguais em 15-Jul-2025 e no vencimento.</t>
  </si>
  <si>
    <t>3 parcelas: 33,3333% em 15-Jul-2027, 16,6667% em 15-Jul-2028 e 50% no vencimento.</t>
  </si>
  <si>
    <t>Pagamento semestral. nos dias 15-jun e 15-dez. Primeiro em 15-jun-2018 e última no vencimento</t>
  </si>
  <si>
    <t>Pagamento semestral. nos dias 15-jul e 15-jan. Primeiro em 15-jul-2023 e última no vencimento</t>
  </si>
  <si>
    <t>Pagamento Semestral. nos dias 15-Abr e 15-Out. Primeiro em 15-Out-2023</t>
  </si>
  <si>
    <t>Pagamento Semestral. nos dias 15-abr e 15-out. Primeiro em 15-abr-2023</t>
  </si>
  <si>
    <t>Pagamento semestral. nos dias 15-fev e 15-ago. Primeiro em 15-fev-2024 e última no vencimento</t>
  </si>
  <si>
    <t>Pagamento semestral. nos dias 15-mai e 15-nov. Primeiro em 15-mai-2026</t>
  </si>
  <si>
    <t>Pagamento semestral. Nos dias 15-jan e 15-jul. primeiro em 15-jan-2023</t>
  </si>
  <si>
    <t>2 Parcelas iguais. 50% em 15-mar-2030 e 50% em 15-mar-2031</t>
  </si>
  <si>
    <t>Pagamento semestral. nos dias 15-mai e 15-nov. Primeiro em 15-nov-2020</t>
  </si>
  <si>
    <t>2 Parcelas: 50% em 15-jun-2028 e 50% no vencimento</t>
  </si>
  <si>
    <t>Pagamento anual no dia 15-jun. Primeiro em 15-jun-2023 e última no vencimento</t>
  </si>
  <si>
    <t>Pagamento semestral. Nos dias 15-nov e 15-mai. Primeiro em 15-nov-2024</t>
  </si>
  <si>
    <t>IPCA + 7,0825%</t>
  </si>
  <si>
    <t>IPCA + 4,7133%</t>
  </si>
  <si>
    <t>IPCA + 4,8392%</t>
  </si>
  <si>
    <t>IPCA + 5,5365%</t>
  </si>
  <si>
    <t>IPCA + 6,9094%</t>
  </si>
  <si>
    <t>IPCA + 6,0352%</t>
  </si>
  <si>
    <t>IPCA + 6,2214%</t>
  </si>
  <si>
    <t>IPCA + 6,0013%</t>
  </si>
  <si>
    <t>IPCA + 7,9461%</t>
  </si>
  <si>
    <t>IPCA + 5,2737%</t>
  </si>
  <si>
    <t>IPCA + 6,5010%</t>
  </si>
  <si>
    <t>IPCA + 7,6475%</t>
  </si>
  <si>
    <t>IPCA + 4,2542%</t>
  </si>
  <si>
    <t>IPCA + 5,8813%</t>
  </si>
  <si>
    <t>IPCA + 5,5031%</t>
  </si>
  <si>
    <t>IPCA + 5,2939%</t>
  </si>
  <si>
    <t>IPCA + 5,9542%</t>
  </si>
  <si>
    <t>IPCA + 5,1814%</t>
  </si>
  <si>
    <t>IPCA + 4,0134%</t>
  </si>
  <si>
    <t>IPCA + 4,6249%</t>
  </si>
  <si>
    <t>IPCA + 4,2297%</t>
  </si>
  <si>
    <t>IPCA + 4,4744%</t>
  </si>
  <si>
    <t>IPCA + 5,0797%</t>
  </si>
  <si>
    <t>IPCA + 5,1410%</t>
  </si>
  <si>
    <t>IPCA + 4,9761%</t>
  </si>
  <si>
    <t>IPCA + 4,2259%</t>
  </si>
  <si>
    <t>IPCA + 4,5034%</t>
  </si>
  <si>
    <t>IPCA + 8,5818%</t>
  </si>
  <si>
    <t>IPCA + 5,0867%</t>
  </si>
  <si>
    <t>IPCA + 5,4702%</t>
  </si>
  <si>
    <t>IPCA + 4,3671%</t>
  </si>
  <si>
    <t>Oliveira Trust DTVM SA</t>
  </si>
  <si>
    <t>Porto Primavera Transmissora de Energia SA</t>
  </si>
  <si>
    <t>Rumo S.A.</t>
  </si>
  <si>
    <t>Tibagi Energia Spe SA</t>
  </si>
  <si>
    <t>Usina Termelétrica Pampa Sul S/A</t>
  </si>
  <si>
    <t>Vdb F2 Geracao de Energia SA</t>
  </si>
  <si>
    <t>Viapaulista S/A</t>
  </si>
  <si>
    <t>Viarondon Conc de Rodov S/A</t>
  </si>
  <si>
    <t>PETR17</t>
  </si>
  <si>
    <t>PETR27</t>
  </si>
  <si>
    <t>PPTE11</t>
  </si>
  <si>
    <t>RESA14</t>
  </si>
  <si>
    <t>RESA15</t>
  </si>
  <si>
    <t>RUMOA2</t>
  </si>
  <si>
    <t>RUMOA3</t>
  </si>
  <si>
    <t>RUMOB3</t>
  </si>
  <si>
    <t>RUMOA4</t>
  </si>
  <si>
    <t>RUMOA5</t>
  </si>
  <si>
    <t>RUMOB5</t>
  </si>
  <si>
    <t>SBSPC4</t>
  </si>
  <si>
    <t>SBSPD4</t>
  </si>
  <si>
    <t>SBSPB6</t>
  </si>
  <si>
    <t>SBSPC6</t>
  </si>
  <si>
    <t>SAPR10</t>
  </si>
  <si>
    <t>TAEE26</t>
  </si>
  <si>
    <t>TBEG11</t>
  </si>
  <si>
    <t>CTEE18</t>
  </si>
  <si>
    <t>CTEE29</t>
  </si>
  <si>
    <t>UTPS11</t>
  </si>
  <si>
    <t>UTPS21</t>
  </si>
  <si>
    <t>UTPS12</t>
  </si>
  <si>
    <t>UTPS22</t>
  </si>
  <si>
    <t>VDBF12</t>
  </si>
  <si>
    <t>VPLT12</t>
  </si>
  <si>
    <t>VRDN12</t>
  </si>
  <si>
    <t>Sanepar</t>
  </si>
  <si>
    <t>BRPETRDBS0B4</t>
  </si>
  <si>
    <t>BRPETRDBS0C2</t>
  </si>
  <si>
    <t>BRPPTEDBS005</t>
  </si>
  <si>
    <t>BRRESADBS039</t>
  </si>
  <si>
    <t>BRRESADBS054</t>
  </si>
  <si>
    <t>BRRAILDBS019</t>
  </si>
  <si>
    <t>BRRAILDBS035</t>
  </si>
  <si>
    <t>BRRAILDBS043</t>
  </si>
  <si>
    <t>BRRAILDBS050</t>
  </si>
  <si>
    <t>BRRAILDBS068</t>
  </si>
  <si>
    <t>BRRAILDBS076</t>
  </si>
  <si>
    <t>BRSBSPDBS1E9</t>
  </si>
  <si>
    <t>BRSBSPDBS1F6</t>
  </si>
  <si>
    <t>BRSBSPDBS1J8</t>
  </si>
  <si>
    <t>BRSBSPDBS1K6</t>
  </si>
  <si>
    <t>BRSAPRDBS0I4</t>
  </si>
  <si>
    <t>BRTAEEDBS0G5</t>
  </si>
  <si>
    <t>BRTBEGDBS004</t>
  </si>
  <si>
    <t>BRTRPLDBS089</t>
  </si>
  <si>
    <t>BRTRPLDBS0D1</t>
  </si>
  <si>
    <t>BRUTPSDBS005</t>
  </si>
  <si>
    <t>BRUTPSDBS013</t>
  </si>
  <si>
    <t>BRUTPSDBS021</t>
  </si>
  <si>
    <t>BRUTPSDBS039</t>
  </si>
  <si>
    <t>BRVDBFDBS012</t>
  </si>
  <si>
    <t>BRVPLTDBS024</t>
  </si>
  <si>
    <t>BRVRDNDBS012</t>
  </si>
  <si>
    <t>Pagamento Semestral. nos dias 15-mar e 15-set. Primeiro em 15-mar-2020</t>
  </si>
  <si>
    <t>Pagamento semestral. Nos dias 15-ago e 15-fev. Primeiro em 15-ago-2020</t>
  </si>
  <si>
    <t>Pagamento anual. no dia 15-nov. Primeiro em 15-nov-2020</t>
  </si>
  <si>
    <t>Pagamento semestral nos dias 15-ago e 15-fev. primeiro em 15-ago-2019</t>
  </si>
  <si>
    <t>Pagamento Semestral. nos dias 15-out e 15-abr. Primeiro em 15-abr-2020</t>
  </si>
  <si>
    <t>Pagamento Semestral. Nos dias 15-abr e 15-out. Primeiro em 15-out-2020</t>
  </si>
  <si>
    <t>Pagamento anual no dia 15-jul. Primeiro em 15-jul-2020 e última no vencimento</t>
  </si>
  <si>
    <t>Pagamento Semestral. nos dias 15-mar e 15-set. Primeiro em 15-set-2020</t>
  </si>
  <si>
    <t>Pagamento Semestral. nos dias 15-jan e 15-jul. Primeiro em 15-jan-2020</t>
  </si>
  <si>
    <t>Pagamento Semestral. Nos dias 15-mai e 15-nov. Primeiro em 15-mai-2021</t>
  </si>
  <si>
    <t>Pagamento Semestral. Nos dias 15-abr e 15-out. Primeiro em 15-out-2021</t>
  </si>
  <si>
    <t>Pagamento Semestral. nos dias 15-out e 15-abr. Primeiro em 15-out-2021</t>
  </si>
  <si>
    <t>Pagamento semestral. Nos dia 15-out e 15-abr. primeiro em 15-out-2022</t>
  </si>
  <si>
    <t>Pagamento Semestral. Nos dias 15-abr e 15-out. Primeiro em 15-out-2019</t>
  </si>
  <si>
    <t>Pagamento semestral. Nos dias 15-ago e 15-fev. Primeiro em 15-fev-2021</t>
  </si>
  <si>
    <t>Pagamento anual. no dia 15-nov. Primeiro em 15-nov-2027</t>
  </si>
  <si>
    <t>Pagamento anual. Primeiro em 15-jun-2026</t>
  </si>
  <si>
    <t>Pagamento anual no dia 15-fev, primeiro em 15-fev-2027</t>
  </si>
  <si>
    <t>Pagamento anual, nos dias 15-out. Primeiro em 15-out-2027 e última no vencimento</t>
  </si>
  <si>
    <t>Pagamento anual. Primeiro em 15-abr-2028 e última no vencimento</t>
  </si>
  <si>
    <t>Pagamento anual. Primeiro em 15-dez-2028 e ultima no vencimento</t>
  </si>
  <si>
    <t>Pagamento anual. Primeiro em 15-dez-2023 e ultima no vencimento</t>
  </si>
  <si>
    <t>2 Parcelas: 33,33% em 15-jul-2027 e 50% em 15-jul-2028 e saldo no vencimento</t>
  </si>
  <si>
    <t>Pagamento anual. Primeiro em 15-jul-2028</t>
  </si>
  <si>
    <t>43 parcelas semestrais. Primeira em 15-Mai-2023 e última no vencimento.</t>
  </si>
  <si>
    <t>Pagamento Semestral. nos dias 15-jan e 15-jul. Primeiro em 15-jul-2020</t>
  </si>
  <si>
    <t>3 parcelas em 15-Dez-2027, em 15-Dez-2028 e no vencimento.</t>
  </si>
  <si>
    <t>Pagamento Semestral. Nos dias 15-abr e 15-out. Primeiro em 15-out-2028</t>
  </si>
  <si>
    <t>Pagamento semestral. Nos dia 15-out e 15-abr. primeiro em 15-out-2028</t>
  </si>
  <si>
    <t>IPCA + 3,5390%</t>
  </si>
  <si>
    <t>IPCA + 6,7961%</t>
  </si>
  <si>
    <t>IPCA + 3,2000%</t>
  </si>
  <si>
    <t>IPCA + 3,3700%</t>
  </si>
  <si>
    <t>IPCA + 4,6570%</t>
  </si>
  <si>
    <t>IPCA + 5,3231%</t>
  </si>
  <si>
    <t>IPCA + 3,8708%</t>
  </si>
  <si>
    <t>IPCA + 3,9407%</t>
  </si>
  <si>
    <t>IPCA + 5,5500%</t>
  </si>
  <si>
    <t>Pagamento semestral, nos dias 15-Nov e 15-mai. Primeiro em 15-Nov-2018 e última no vencimento</t>
  </si>
  <si>
    <t>Pagamento semestral. 15 de jun e 15 de Dez. primeiro em 15-jun-2019</t>
  </si>
  <si>
    <t>QUAT12&lt;BraANB&gt;</t>
  </si>
  <si>
    <t>ALGAB1&lt;BraANB&gt;</t>
  </si>
  <si>
    <t>ALIG13&lt;BraANB&gt;</t>
  </si>
  <si>
    <t>ANET11&lt;BraANB&gt;</t>
  </si>
  <si>
    <t>BTOW15&lt;BraANB&gt;</t>
  </si>
  <si>
    <t>ANEM11&lt;BraANB&gt;</t>
  </si>
  <si>
    <t>PLSB1A&lt;BraANB&gt;</t>
  </si>
  <si>
    <t>BRST11&lt;BraANB&gt;</t>
  </si>
  <si>
    <t>CCROA5&lt;BraANB&gt;</t>
  </si>
  <si>
    <t>CEED21&lt;BraANB&gt;</t>
  </si>
  <si>
    <t>CAEC21&lt;BraANB&gt;</t>
  </si>
  <si>
    <t>RSAN34&lt;BraANB&gt;</t>
  </si>
  <si>
    <t>RSAN44&lt;BraANB&gt;</t>
  </si>
  <si>
    <t>CLAG13&lt;BraANB&gt;</t>
  </si>
  <si>
    <t>GASP19&lt;BraANB&gt;</t>
  </si>
  <si>
    <t>GASP29&lt;BraANB&gt;</t>
  </si>
  <si>
    <t>CRMG15&lt;BraANB&gt;</t>
  </si>
  <si>
    <t>MTRJ19&lt;BraANB&gt;</t>
  </si>
  <si>
    <t>CPLD26&lt;BraANB&gt;</t>
  </si>
  <si>
    <t>CSAN33&lt;BraANB&gt;</t>
  </si>
  <si>
    <t>CMIN11&lt;BraANB&gt;</t>
  </si>
  <si>
    <t>CMIN21&lt;BraANB&gt;</t>
  </si>
  <si>
    <t>ELET23&lt;BraANB&gt;</t>
  </si>
  <si>
    <t>ELPLA5&lt;BraANB&gt;</t>
  </si>
  <si>
    <t>EQUA11&lt;BraANB&gt;</t>
  </si>
  <si>
    <t>TAEB15&lt;BraANB&gt;</t>
  </si>
  <si>
    <t>LIGHD2&lt;BraANB&gt;</t>
  </si>
  <si>
    <t>LCAMD1&lt;BraANB&gt;</t>
  </si>
  <si>
    <t>OMGE12&lt;BraANB&gt;</t>
  </si>
  <si>
    <t>PASN12&lt;BraANB&gt;</t>
  </si>
  <si>
    <t>RIPR22&lt;BraANB&gt;</t>
  </si>
  <si>
    <t>RUMOA6&lt;BraANB&gt;</t>
  </si>
  <si>
    <t>RUMOB6&lt;BraANB&gt;</t>
  </si>
  <si>
    <t>SAPRA2&lt;BraANB&gt;</t>
  </si>
  <si>
    <t>SAPRA3&lt;BraANB&gt;</t>
  </si>
  <si>
    <t>TAEE17&lt;BraANB&gt;</t>
  </si>
  <si>
    <t>UNEG11&lt;BraANB&gt;</t>
  </si>
  <si>
    <t>VAMO33&lt;BraANB&gt;</t>
  </si>
  <si>
    <t>BRSTNCNTB682&lt;BraANB&gt;</t>
  </si>
  <si>
    <t>BRSTNCNTB674&lt;BraANB&gt;</t>
  </si>
  <si>
    <t>BRSTNCNTB690&lt;BraANB&gt;</t>
  </si>
  <si>
    <t>Acucareira Quata SA</t>
  </si>
  <si>
    <t>America Net SA</t>
  </si>
  <si>
    <t>Americanas</t>
  </si>
  <si>
    <t>Anemus Wind Holding SA</t>
  </si>
  <si>
    <t>Autopista Litoral Sul</t>
  </si>
  <si>
    <t>Brisanet Serviços de Telecomunicações SA</t>
  </si>
  <si>
    <t>Ceee-D</t>
  </si>
  <si>
    <t>Cia de Agua e Esgoto do Ceara</t>
  </si>
  <si>
    <t>Colombo Agroindustria SA</t>
  </si>
  <si>
    <t>Concess da Rodovia MG 050 S/A</t>
  </si>
  <si>
    <t>Concessão Metroviaria Rj S/A</t>
  </si>
  <si>
    <t>Csn Mineracao</t>
  </si>
  <si>
    <t>Equatorial Transmissao SA</t>
  </si>
  <si>
    <t>Guarani</t>
  </si>
  <si>
    <t>Paranagua Saneamento SA</t>
  </si>
  <si>
    <t>Rio Parana Energia S/A</t>
  </si>
  <si>
    <t>Ute Gna I Geracao de Energia SA</t>
  </si>
  <si>
    <t>Indústria de açúcar e produtos de confeitaria</t>
  </si>
  <si>
    <t>Vendas por correio ou meio eletrônico</t>
  </si>
  <si>
    <t>Transporte rodoviário</t>
  </si>
  <si>
    <t>-</t>
  </si>
  <si>
    <t>BRQUATDBS019</t>
  </si>
  <si>
    <t>BRALGTDBS0F6</t>
  </si>
  <si>
    <t>BRALGEDBS029</t>
  </si>
  <si>
    <t>BRANETDBS002</t>
  </si>
  <si>
    <t>BRANEMDBS007</t>
  </si>
  <si>
    <t>BRAPLSDBS020</t>
  </si>
  <si>
    <t>BRBRSTDBS001</t>
  </si>
  <si>
    <t>BRCCRODBS0L5</t>
  </si>
  <si>
    <t>BRCEEDDBS019</t>
  </si>
  <si>
    <t>BRCAECDBS019</t>
  </si>
  <si>
    <t>BRRSANDBS048</t>
  </si>
  <si>
    <t>BRRSANDBS055</t>
  </si>
  <si>
    <t>BRCLAGDBS007</t>
  </si>
  <si>
    <t>BRCGASDBS0B7</t>
  </si>
  <si>
    <t>BRCGASDBS0C5</t>
  </si>
  <si>
    <t>BRRDVIDBS061</t>
  </si>
  <si>
    <t>BRMGPRDBS068</t>
  </si>
  <si>
    <t>BRCPLDDBS077</t>
  </si>
  <si>
    <t>BRCSANDBS057</t>
  </si>
  <si>
    <t>BRCMINDBS004</t>
  </si>
  <si>
    <t>BRCMINDBS012</t>
  </si>
  <si>
    <t>BRELETDBS057</t>
  </si>
  <si>
    <t>BRELPLDBS100</t>
  </si>
  <si>
    <t>BREQUADBS003</t>
  </si>
  <si>
    <t>BRACGUDBS008</t>
  </si>
  <si>
    <t>BRLIGHDBS0X5</t>
  </si>
  <si>
    <t>BRLCAMDBS0R2</t>
  </si>
  <si>
    <t>BROMGEDBS044</t>
  </si>
  <si>
    <t>BRPASNDBS018</t>
  </si>
  <si>
    <t>BRRIPRDBS030</t>
  </si>
  <si>
    <t>BRRAILDBS084</t>
  </si>
  <si>
    <t>BRRAILDBS092</t>
  </si>
  <si>
    <t>BRSAPRDBS0L8</t>
  </si>
  <si>
    <t>BRSAPRDBS0M6</t>
  </si>
  <si>
    <t>BRTAEEDBS0H3</t>
  </si>
  <si>
    <t>BRUNEGDBS007</t>
  </si>
  <si>
    <t>BRVAMODBS041</t>
  </si>
  <si>
    <t>Cia Riograndense de Saneamento</t>
  </si>
  <si>
    <t>Copel Distribuição S/A</t>
  </si>
  <si>
    <t>Cosan</t>
  </si>
  <si>
    <t>Locamerica</t>
  </si>
  <si>
    <t>Vamos</t>
  </si>
  <si>
    <t>Pagamento semestral, nos dias 15-Nov e 15-mai. Primeiro em 15-Nov-2019 e última no vencimento</t>
  </si>
  <si>
    <t>2 parcelas em 15-mar-2023 e no vencimento.</t>
  </si>
  <si>
    <t>3 Parcelas iguais. 33,33% em 15-jul-2029, 33,33% em 15-jul-2030 e 33,34% no vencimento</t>
  </si>
  <si>
    <t>Pagamento Semestral. Nos dias 15-ago e 15-fev. Primeiro em 15-fev-2022</t>
  </si>
  <si>
    <t>Pagamento semestral. Primeiro em 15-Mar-2023 e último no vencimento.</t>
  </si>
  <si>
    <t>Pagamento semestral. Nos dias 15-jun e 15-dez. Primeiro em 15-dez-2023</t>
  </si>
  <si>
    <t>Pagamento semestral. Nos dias 15-abr e 15-out. primeiro em 15-abr-2022</t>
  </si>
  <si>
    <t>Pagamento semestral, nos dias 15-set e 15-mar. Primeiro em 15-mar-2025 e último no vencimento</t>
  </si>
  <si>
    <t>Pagamento anual. Primeiro em 15-nov-2021</t>
  </si>
  <si>
    <t>2 Parcelas iguais: 50% em 20-ago-2028 e 50% no vencimento</t>
  </si>
  <si>
    <t>20 parcelas mensais. primeiro em 15-set-2019.</t>
  </si>
  <si>
    <t>Pagamento semestral. Primeiro em 15-Set-2026 e último no vencimento.</t>
  </si>
  <si>
    <t>Pagamento anual. Primeiro em 15-fev-2025</t>
  </si>
  <si>
    <t>3 Parcelas iguais. 33,33% em 15-jul-2026, 33,33% em 15-jul-2027 e 33,34% no vencimento</t>
  </si>
  <si>
    <t>Pagemanto anual. Primeiro em 15-ago-2029</t>
  </si>
  <si>
    <t>2 Parcelas iguais: 50% em 15-ago-2035 e 50% no vencimento</t>
  </si>
  <si>
    <t>Pagamento semestral. Nos dias 15-dez e 15-jun. Primeiro em 15-dez-2022</t>
  </si>
  <si>
    <t>Pagamento semestral, nos dias 15-jun e 15-dez. Primeiro em 15-dez-2023 e último no vencimento</t>
  </si>
  <si>
    <t>Pagamento anual. Primeiro em 15-jun-2029</t>
  </si>
  <si>
    <t>3 Parcelas iguais. 33,33% em 15-ago-2029, 33,33% em 15-ago-2030 e 33,34% no vencimento</t>
  </si>
  <si>
    <t>2 Parcelas iguais: 50% em 15-jul-2035 e 50% no vencimento</t>
  </si>
  <si>
    <t>Pagamento anual. Primeiro em 15-abr-2029</t>
  </si>
  <si>
    <t>Pagamento anual. Primeiro em 15-Mar-2025.</t>
  </si>
  <si>
    <t>3 Parcelas iguais. 33,33% em 15-jun-2025, 33,33% em 15-jun-2026 e 33,34% no vencimento</t>
  </si>
  <si>
    <t>3 parcelas em 15-Abr-2029, em 15-Abr-2030 e no vencimento.</t>
  </si>
  <si>
    <t>Pagamento anual. Primeiro em 15-set-2029</t>
  </si>
  <si>
    <t>Semestra, primeira em 15-jun-2019</t>
  </si>
  <si>
    <t>Pagamento Semestral. Nos dias 15-jan e 15-jul. Primeiro em 15-jul-2021</t>
  </si>
  <si>
    <t>3 parcelas em 15-Jun-2029, em 15-Jun-2030 e no vencimento.</t>
  </si>
  <si>
    <t>3 parcelas em 15-Jun-2034, em 15-Jun-2035 e no vencimento.</t>
  </si>
  <si>
    <t>Pagamento semestral, nos dias 15-set e 15-mar. Primeiro em 15-set-2025 e último no vencimento</t>
  </si>
  <si>
    <t>Pagamento semestral. Nos dias 15-jan e 15-jul. Primeiro em 15-jul-2023</t>
  </si>
  <si>
    <t>Pagamento semestral. Nos dias 15-mai 15-nov. Primeiro em 15-mai-2021</t>
  </si>
  <si>
    <t>Pagamento semestral. Nos dias 15-jan e 15-jul. Primeiro em 15-jan-2022</t>
  </si>
  <si>
    <t>Pagamento semestral, nos dias 15-Mar e 15-Set. Primeiro em 15-Set-2021 e último no vencimento.</t>
  </si>
  <si>
    <t>Pagamento semestral. Nos dias 15-jun e 15-dez. Primeiro em 15-jun-2023</t>
  </si>
  <si>
    <t>Pagamento semestral. Nos dias 15-abr e 15-out. primeiro em 15-out-2025</t>
  </si>
  <si>
    <t>Pagamento semestral, nos dias 15-set e 15-mar. Primeiro em 15-set-2021</t>
  </si>
  <si>
    <t>Pagamento semestral. Nos dias 15-mai e 15-nov. Primeiro em 15-nov-2021</t>
  </si>
  <si>
    <t>Pagamento semestral. Nos dias 20-fev e 20-ago. primeiro em 20-fev-2022</t>
  </si>
  <si>
    <t>Pagamento Semestral. Nos dias 15-ago e 15-fev. Primeiro em 15-ago-2021</t>
  </si>
  <si>
    <t>Pagamento semestral. Nos dias 15-fev e 15-ago. primeiro em 15-ago-2022</t>
  </si>
  <si>
    <t>Pagamento semestral. Nos dias 15-dez e 15-jun. Primeiro em 15-dez-2021</t>
  </si>
  <si>
    <t>Pagamento semestral. Nos dias 15-ju e 15-dez. Primeiro em 15-dez-2021</t>
  </si>
  <si>
    <t>Pagamento semestral. Nos dias 15-fev e 15-fev. Primeiro em 15-fev-2022</t>
  </si>
  <si>
    <t>Pagamento semestral. Nos dias 15-jan e 15-jul. Primeiro em 15-jul-2024</t>
  </si>
  <si>
    <t>Pagamento semestral, nos dias 15-out e 15-abr. Primeiro em 15-out-2021</t>
  </si>
  <si>
    <t>Pagamento semestral. Nos dias 15-out e 15-abr. Primeiro em 15-out-2021</t>
  </si>
  <si>
    <t>Pagamento semestral. Nos dias 15-jun e 15-dez. Primeiro em 15-jun-2021</t>
  </si>
  <si>
    <t>Pagamento semestral, nos dias 15-Out e 15-Abr. Primeiro em 15-Out-2021 e último no vencimento.</t>
  </si>
  <si>
    <t>Pagamento semestral. Nos dias 15-set e 15-mar. Primeiro em 15-mar-2022</t>
  </si>
  <si>
    <t>Pagamento semestral, nos dias 15-Mar e 15-Set. Primeiro em 15-Mar-2021 e último no vencimento.</t>
  </si>
  <si>
    <t>Pagamento Semestral. Nos dias 15-jan e 15-jul. Primeiro em 15-janl-2021</t>
  </si>
  <si>
    <t>Pagamento semestral. Nos dias 15-jun e 15-dez. Primeiro em 15-dez-2021</t>
  </si>
  <si>
    <t>Pagamento semestral, nos dias 15-Dez e 15-Jun. Primeiro em 15-Dez-2021 e último no vencimento.</t>
  </si>
  <si>
    <t>Pagamento semestral, nos dias 15-set e 15-mar. Primeiro em 15-mar-2025</t>
  </si>
  <si>
    <t>Comércio atacadista de petróleo e produtos de petróleo</t>
  </si>
  <si>
    <t>Serviços de locação e leasing</t>
  </si>
  <si>
    <t>Up Finanças e Negócios SA</t>
  </si>
  <si>
    <t>UBS Brasil CCTVM SA</t>
  </si>
  <si>
    <t>QUAT12</t>
  </si>
  <si>
    <t>ALGAB1</t>
  </si>
  <si>
    <t>ALIG13</t>
  </si>
  <si>
    <t>ANET11</t>
  </si>
  <si>
    <t>BTOW15</t>
  </si>
  <si>
    <t>ANEM11</t>
  </si>
  <si>
    <t>PLSB1A</t>
  </si>
  <si>
    <t>BRST11</t>
  </si>
  <si>
    <t>CCROA5</t>
  </si>
  <si>
    <t>CEED21</t>
  </si>
  <si>
    <t>CAEC21</t>
  </si>
  <si>
    <t>RSAN34</t>
  </si>
  <si>
    <t>RSAN44</t>
  </si>
  <si>
    <t>CLAG13</t>
  </si>
  <si>
    <t>GASP19</t>
  </si>
  <si>
    <t>GASP29</t>
  </si>
  <si>
    <t>CRMG15</t>
  </si>
  <si>
    <t>MTRJ19</t>
  </si>
  <si>
    <t>CPLD26</t>
  </si>
  <si>
    <t>CSAN33</t>
  </si>
  <si>
    <t>CMIN11</t>
  </si>
  <si>
    <t>CMIN21</t>
  </si>
  <si>
    <t>ELET23</t>
  </si>
  <si>
    <t>ELPLA5</t>
  </si>
  <si>
    <t>EQUA11</t>
  </si>
  <si>
    <t>TAEB15</t>
  </si>
  <si>
    <t>LIGHD2</t>
  </si>
  <si>
    <t>LCAMD1</t>
  </si>
  <si>
    <t>OMGE12</t>
  </si>
  <si>
    <t>PASN12</t>
  </si>
  <si>
    <t>RIPR22</t>
  </si>
  <si>
    <t>RUMOA6</t>
  </si>
  <si>
    <t>RUMOB6</t>
  </si>
  <si>
    <t>SAPRA2</t>
  </si>
  <si>
    <t>SAPRA3</t>
  </si>
  <si>
    <t>TAEE17</t>
  </si>
  <si>
    <t>UNEG11</t>
  </si>
  <si>
    <t>VAMO33</t>
  </si>
  <si>
    <t>IPCA + 7,2094%</t>
  </si>
  <si>
    <t>IPCA + 5,8000%</t>
  </si>
  <si>
    <t>IPCA + 4,4000%</t>
  </si>
  <si>
    <t>IPCA + 4,9999%</t>
  </si>
  <si>
    <t>IPCA + 3,6500%</t>
  </si>
  <si>
    <t>IPCA + 4,0000%</t>
  </si>
  <si>
    <t>IPCA + 5,6006%</t>
  </si>
  <si>
    <t>IPCA + 6,9570%</t>
  </si>
  <si>
    <t>IPCA + 7,2856%</t>
  </si>
  <si>
    <t>IPCA + 5,8550%</t>
  </si>
  <si>
    <t>IPCA + 4,5000%</t>
  </si>
  <si>
    <t>IPCA + 5,7694%</t>
  </si>
  <si>
    <t>IPCA + 6,0000%</t>
  </si>
  <si>
    <t>IPCA + 4,2500%</t>
  </si>
  <si>
    <t>IPCA + 4,8791%</t>
  </si>
  <si>
    <t>IPCA + 5,4409%</t>
  </si>
  <si>
    <t>IPCA + 5,1000%</t>
  </si>
  <si>
    <t>IPCA + 4,1000%</t>
  </si>
  <si>
    <t>IPCA + 4,3000%</t>
  </si>
  <si>
    <t>IPCA + 9,2230%</t>
  </si>
  <si>
    <t>IPCA + 5,4058%</t>
  </si>
  <si>
    <t>IPCA + 4,3854%</t>
  </si>
  <si>
    <t>IPCA + 4,8330%</t>
  </si>
  <si>
    <t>IPCA + 5,4806%</t>
  </si>
  <si>
    <t>IPCA + 5,1216%</t>
  </si>
  <si>
    <t>IPCA + 5,2164%</t>
  </si>
  <si>
    <t>IPCA + 7,0685%</t>
  </si>
  <si>
    <t>IPCA + 5,2700%</t>
  </si>
  <si>
    <t>IPCA + 7,8600%</t>
  </si>
  <si>
    <t>IPCA + 6,4000%</t>
  </si>
  <si>
    <t>IPCA + 5,9668%</t>
  </si>
  <si>
    <t>IPCA + 5,0000%</t>
  </si>
  <si>
    <t>IPCA + 5,2000%</t>
  </si>
  <si>
    <t>IPCA + 7,0857%</t>
  </si>
  <si>
    <t>IPCA + 4,7742%</t>
  </si>
  <si>
    <t>IPCA + 3,9000%</t>
  </si>
  <si>
    <t>IPCA + 5,7531%</t>
  </si>
  <si>
    <t>IPCA + 4,4986%</t>
  </si>
  <si>
    <t>IPCA + 4,8790%</t>
  </si>
  <si>
    <t>IPCA + 5,0210%</t>
  </si>
  <si>
    <t>IPCA + 6,9000%</t>
  </si>
  <si>
    <t>IPCA + 6,7200%</t>
  </si>
  <si>
    <t>IPCA + 4,9126%</t>
  </si>
  <si>
    <t>IPCA + 4,2600%</t>
  </si>
  <si>
    <t>IPCA + 3,7000%</t>
  </si>
  <si>
    <t>IPCA + 5,6000%</t>
  </si>
  <si>
    <t>IPCA + 4,7110%</t>
  </si>
  <si>
    <t>IPCA + 4,9238%</t>
  </si>
  <si>
    <t>IPCA + 5,0500%</t>
  </si>
  <si>
    <t>IPCA + 5,5000%</t>
  </si>
  <si>
    <t>IPCA + 4,1270%</t>
  </si>
  <si>
    <t>IPCA + 6,3000%</t>
  </si>
  <si>
    <t>IPCA + 5,6579%</t>
  </si>
  <si>
    <t>IPCA + 5,9033%</t>
  </si>
  <si>
    <t>IPCA + 3,6000%</t>
  </si>
  <si>
    <t>IPCA + 7,7500%</t>
  </si>
  <si>
    <t>IPCA + 4,9173%</t>
  </si>
  <si>
    <t>IPCA + 4,8500%</t>
  </si>
  <si>
    <t>IPCA + 4,8000%</t>
  </si>
  <si>
    <t>IPCA + 4,6500%</t>
  </si>
  <si>
    <t>IPCA + 5,3382%</t>
  </si>
  <si>
    <t>IPCA + 4,0800%</t>
  </si>
  <si>
    <t>IPCA + 5,9000%</t>
  </si>
  <si>
    <t>IPCA + 6,0661%</t>
  </si>
  <si>
    <t>IPCA + 6,1000%</t>
  </si>
  <si>
    <t>IPCA + 4,7543%</t>
  </si>
  <si>
    <t>IPCA + 6,5119%</t>
  </si>
  <si>
    <t>IPCA + 7,4000%</t>
  </si>
  <si>
    <t>IPCA + 6,2500%</t>
  </si>
  <si>
    <t>IPCA + 4,9500%</t>
  </si>
  <si>
    <t>IPCA + 4,0700%</t>
  </si>
  <si>
    <t>IPCA + 4,2200%</t>
  </si>
  <si>
    <t>IPCA + 7,1500%</t>
  </si>
  <si>
    <t>IPCA + 7,2500%</t>
  </si>
  <si>
    <t>IPCA + 6,7000%</t>
  </si>
  <si>
    <t>IPCA + 4,0460%</t>
  </si>
  <si>
    <t>IPCA + 4,4500%</t>
  </si>
  <si>
    <t>IPCA + 4,6279%</t>
  </si>
  <si>
    <t>IPCA + 4,4998%</t>
  </si>
  <si>
    <t>IPCA + 4,5404%</t>
  </si>
  <si>
    <t>IPCA + 4,7500%</t>
  </si>
  <si>
    <t>IPCA + 4,2474%</t>
  </si>
  <si>
    <t>IPCA + 4,4920%</t>
  </si>
  <si>
    <t>IPCA + 5,9548%</t>
  </si>
  <si>
    <t>IPCA + 7,0916%</t>
  </si>
  <si>
    <t>IPCA + 7,4100%</t>
  </si>
  <si>
    <t>IPCA + 6,5333%</t>
  </si>
  <si>
    <t>IPCA + 4,7000%</t>
  </si>
  <si>
    <t>IPCA + 3,5000%</t>
  </si>
  <si>
    <t>IPCA + 5,3000%</t>
  </si>
  <si>
    <t>IPCA + 7,5000%</t>
  </si>
  <si>
    <t>IPCA + 5,7500%</t>
  </si>
  <si>
    <t>IPCA + 5,9200%</t>
  </si>
  <si>
    <t>IPCA + 6,7100%</t>
  </si>
  <si>
    <t>IPCA + 6,7800%</t>
  </si>
  <si>
    <t>IPCA + 6,3605%</t>
  </si>
  <si>
    <t>BRSTNCNTB6B1&lt;BraANB&gt;</t>
  </si>
  <si>
    <t>QUAT13&lt;BraANB&gt;</t>
  </si>
  <si>
    <t>AEAB11&lt;BraANB&gt;</t>
  </si>
  <si>
    <t>RIGEA3&lt;BraANB&gt;</t>
  </si>
  <si>
    <t>TCII11&lt;BraANB&gt;</t>
  </si>
  <si>
    <t>AGVF12&lt;BraANB&gt;</t>
  </si>
  <si>
    <t>GSTS14&lt;BraANB&gt;</t>
  </si>
  <si>
    <t>GSTS24&lt;BraANB&gt;</t>
  </si>
  <si>
    <t>RISP12&lt;BraANB&gt;</t>
  </si>
  <si>
    <t>RISP22&lt;BraANB&gt;</t>
  </si>
  <si>
    <t>RIS412&lt;BraANB&gt;</t>
  </si>
  <si>
    <t>RIS422&lt;BraANB&gt;</t>
  </si>
  <si>
    <t>ALGAC2&lt;BraANB&gt;</t>
  </si>
  <si>
    <t>ALIG15&lt;BraANB&gt;</t>
  </si>
  <si>
    <t>RUMOB1&lt;BraANB&gt;</t>
  </si>
  <si>
    <t>ANET12&lt;BraANB&gt;</t>
  </si>
  <si>
    <t>APOL11&lt;BraANB&gt;</t>
  </si>
  <si>
    <t>TRGO11&lt;BraANB&gt;</t>
  </si>
  <si>
    <t>ASAB11&lt;BraANB&gt;</t>
  </si>
  <si>
    <t>APFD19&lt;BraANB&gt;</t>
  </si>
  <si>
    <t>BRFS31&lt;BraANB&gt;</t>
  </si>
  <si>
    <t>RMSA12&lt;BraANB&gt;</t>
  </si>
  <si>
    <t>CCROB6&lt;BraANB&gt;</t>
  </si>
  <si>
    <t>CEED12&lt;BraANB&gt;</t>
  </si>
  <si>
    <t>CGOS13&lt;BraANB&gt;</t>
  </si>
  <si>
    <t>CEPEC1&lt;BraANB&gt;</t>
  </si>
  <si>
    <t>CEPEC2&lt;BraANB&gt;</t>
  </si>
  <si>
    <t>CMGD28&lt;BraANB&gt;</t>
  </si>
  <si>
    <t>CMTR29&lt;BraANB&gt;</t>
  </si>
  <si>
    <t>CEEBC3&lt;BraANB&gt;</t>
  </si>
  <si>
    <t>CEEBC4&lt;BraANB&gt;</t>
  </si>
  <si>
    <t>CEEBB6&lt;BraANB&gt;</t>
  </si>
  <si>
    <t>COCE18&lt;BraANB&gt;</t>
  </si>
  <si>
    <t>CART13&lt;BraANB&gt;</t>
  </si>
  <si>
    <t>CAJS12&lt;BraANB&gt;</t>
  </si>
  <si>
    <t>ECER12&lt;BraANB&gt;</t>
  </si>
  <si>
    <t>RODT12&lt;BraANB&gt;</t>
  </si>
  <si>
    <t>CONF11&lt;BraANB&gt;</t>
  </si>
  <si>
    <t>CSMGA6&lt;BraANB&gt;</t>
  </si>
  <si>
    <t>CPLD37&lt;BraANB&gt;</t>
  </si>
  <si>
    <t>CPGT27&lt;BraANB&gt;</t>
  </si>
  <si>
    <t>CPGT28&lt;BraANB&gt;</t>
  </si>
  <si>
    <t>CSRNC0&lt;BraANB&gt;</t>
  </si>
  <si>
    <t>CPFGA2&lt;BraANB&gt;</t>
  </si>
  <si>
    <t>CMIN12&lt;BraANB&gt;</t>
  </si>
  <si>
    <t>CMIN22&lt;BraANB&gt;</t>
  </si>
  <si>
    <t>ECHP22&lt;BraANB&gt;</t>
  </si>
  <si>
    <t>ASCP13&lt;BraANB&gt;</t>
  </si>
  <si>
    <t>ASCP23&lt;BraANB&gt;</t>
  </si>
  <si>
    <t>MGSP12&lt;BraANB&gt;</t>
  </si>
  <si>
    <t>EKTRC0&lt;BraANB&gt;</t>
  </si>
  <si>
    <t>EKTRC1&lt;BraANB&gt;</t>
  </si>
  <si>
    <t>CTGE11&lt;BraANB&gt;</t>
  </si>
  <si>
    <t>CTGE13&lt;BraANB&gt;</t>
  </si>
  <si>
    <t>ELPLA7&lt;BraANB&gt;</t>
  </si>
  <si>
    <t>ENAT11&lt;BraANB&gt;</t>
  </si>
  <si>
    <t>ENGIA5&lt;BraANB&gt;</t>
  </si>
  <si>
    <t>ENGIA6&lt;BraANB&gt;</t>
  </si>
  <si>
    <t>ENGIB6&lt;BraANB&gt;</t>
  </si>
  <si>
    <t>ENMTA4&lt;BraANB&gt;</t>
  </si>
  <si>
    <t>ENMTA5&lt;BraANB&gt;</t>
  </si>
  <si>
    <t>ENMTB5&lt;BraANB&gt;</t>
  </si>
  <si>
    <t>EDVP17&lt;BraANB&gt;</t>
  </si>
  <si>
    <t>ESULA6&lt;BraANB&gt;</t>
  </si>
  <si>
    <t>ENEV18&lt;BraANB&gt;</t>
  </si>
  <si>
    <t>ENEV28&lt;BraANB&gt;</t>
  </si>
  <si>
    <t>ENEV19&lt;BraANB&gt;</t>
  </si>
  <si>
    <t>ENEV29&lt;BraANB&gt;</t>
  </si>
  <si>
    <t>ENEV39&lt;BraANB&gt;</t>
  </si>
  <si>
    <t>EGIEA0&lt;BraANB&gt;</t>
  </si>
  <si>
    <t>EOVC11&lt;BraANB&gt;</t>
  </si>
  <si>
    <t>FLCLA0&lt;BraANB&gt;</t>
  </si>
  <si>
    <t>GBSP11&lt;BraANB&gt;</t>
  </si>
  <si>
    <t>HVSP11&lt;BraANB&gt;</t>
  </si>
  <si>
    <t>HBSA11&lt;BraANB&gt;</t>
  </si>
  <si>
    <t>HBSA21&lt;BraANB&gt;</t>
  </si>
  <si>
    <t>HARG11&lt;BraANB&gt;</t>
  </si>
  <si>
    <t>IRJS14&lt;BraANB&gt;</t>
  </si>
  <si>
    <t>IEMD12&lt;BraANB&gt;</t>
  </si>
  <si>
    <t>IRBR12&lt;BraANB&gt;</t>
  </si>
  <si>
    <t>ITPO14&lt;BraANB&gt;</t>
  </si>
  <si>
    <t>JALL11&lt;BraANB&gt;</t>
  </si>
  <si>
    <t>JALL21&lt;BraANB&gt;</t>
  </si>
  <si>
    <t>JALL13&lt;BraANB&gt;</t>
  </si>
  <si>
    <t>JTEE12&lt;BraANB&gt;</t>
  </si>
  <si>
    <t>CPTM15&lt;BraANB&gt;</t>
  </si>
  <si>
    <t>LTTE15&lt;BraANB&gt;</t>
  </si>
  <si>
    <t>LCAMD3&lt;BraANB&gt;</t>
  </si>
  <si>
    <t>MSGT13&lt;BraANB&gt;</t>
  </si>
  <si>
    <t>MSGT23&lt;BraANB&gt;</t>
  </si>
  <si>
    <t>MSGT33&lt;BraANB&gt;</t>
  </si>
  <si>
    <t>TPNO13&lt;BraANB&gt;</t>
  </si>
  <si>
    <t>MEZ511&lt;BraANB&gt;</t>
  </si>
  <si>
    <t>MOVI37&lt;BraANB&gt;</t>
  </si>
  <si>
    <t>MOVI18&lt;BraANB&gt;</t>
  </si>
  <si>
    <t>MOVI28&lt;BraANB&gt;</t>
  </si>
  <si>
    <t>NCEN11&lt;BraANB&gt;</t>
  </si>
  <si>
    <t>HZTC14&lt;BraANB&gt;</t>
  </si>
  <si>
    <t>PTAZ11&lt;BraANB&gt;</t>
  </si>
  <si>
    <t>PEJA11&lt;BraANB&gt;</t>
  </si>
  <si>
    <t>PRPO12&lt;BraANB&gt;</t>
  </si>
  <si>
    <t>RESA17&lt;BraANB&gt;</t>
  </si>
  <si>
    <t>RESA27&lt;BraANB&gt;</t>
  </si>
  <si>
    <t>RDVE11&lt;BraANB&gt;</t>
  </si>
  <si>
    <t>GASC22&lt;BraANB&gt;</t>
  </si>
  <si>
    <t>GASC23&lt;BraANB&gt;</t>
  </si>
  <si>
    <t>SAUC14&lt;BraANB&gt;</t>
  </si>
  <si>
    <t>SBSPE9&lt;BraANB&gt;</t>
  </si>
  <si>
    <t>SBSPF9&lt;BraANB&gt;</t>
  </si>
  <si>
    <t>SAPRB3&lt;BraANB&gt;</t>
  </si>
  <si>
    <t>SMTO14&lt;BraANB&gt;</t>
  </si>
  <si>
    <t>SMTO24&lt;BraANB&gt;</t>
  </si>
  <si>
    <t>IBPB11&lt;BraANB&gt;</t>
  </si>
  <si>
    <t>CSNAA4&lt;BraANB&gt;</t>
  </si>
  <si>
    <t>CSNAB4&lt;BraANB&gt;</t>
  </si>
  <si>
    <t>CSNAC4&lt;BraANB&gt;</t>
  </si>
  <si>
    <t>JSMLB5&lt;BraANB&gt;</t>
  </si>
  <si>
    <t>SUZB19&lt;BraANB&gt;</t>
  </si>
  <si>
    <t>SUZB29&lt;BraANB&gt;</t>
  </si>
  <si>
    <t>TAEE18&lt;BraANB&gt;</t>
  </si>
  <si>
    <t>TAEEA2&lt;BraANB&gt;</t>
  </si>
  <si>
    <t>TAEEB2&lt;BraANB&gt;</t>
  </si>
  <si>
    <t>TAEEC2&lt;BraANB&gt;</t>
  </si>
  <si>
    <t>TAEED2&lt;BraANB&gt;</t>
  </si>
  <si>
    <t>CJEN13&lt;BraANB&gt;</t>
  </si>
  <si>
    <t>TIMS12&lt;BraANB&gt;</t>
  </si>
  <si>
    <t>CTEE1B&lt;BraANB&gt;</t>
  </si>
  <si>
    <t>CTEE2B&lt;BraANB&gt;</t>
  </si>
  <si>
    <t>TBCR18&lt;BraANB&gt;</t>
  </si>
  <si>
    <t>TRCC11&lt;BraANB&gt;</t>
  </si>
  <si>
    <t>CONX12&lt;BraANB&gt;</t>
  </si>
  <si>
    <t>TNHL11&lt;BraANB&gt;</t>
  </si>
  <si>
    <t>TVVH11&lt;BraANB&gt;</t>
  </si>
  <si>
    <t>UHSM12&lt;BraANB&gt;</t>
  </si>
  <si>
    <t>UNTE11&lt;BraANB&gt;</t>
  </si>
  <si>
    <t>USAS11&lt;BraANB&gt;</t>
  </si>
  <si>
    <t>VAMO34&lt;BraANB&gt;</t>
  </si>
  <si>
    <t>VSJH11&lt;BraANB&gt;</t>
  </si>
  <si>
    <t>VDEN12&lt;BraANB&gt;</t>
  </si>
  <si>
    <t>VERO12&lt;BraANB&gt;</t>
  </si>
  <si>
    <t>VBRR11&lt;BraANB&gt;</t>
  </si>
  <si>
    <t>VIMT13&lt;BraANB&gt;</t>
  </si>
  <si>
    <t>VLIM13&lt;BraANB&gt;</t>
  </si>
  <si>
    <t>WDPR11&lt;BraANB&gt;</t>
  </si>
  <si>
    <t>XNGU17&lt;BraANB&gt;</t>
  </si>
  <si>
    <t>IPCA + 7,8722%</t>
  </si>
  <si>
    <t>IPCA + 7,0718%</t>
  </si>
  <si>
    <t>IPCA + 5,9853%</t>
  </si>
  <si>
    <t>IPCA + 6,0594%</t>
  </si>
  <si>
    <t>IPCA + 6,7686%</t>
  </si>
  <si>
    <t>IPCA + 6,5163%</t>
  </si>
  <si>
    <t>IPCA + 6,8516%</t>
  </si>
  <si>
    <t>IPCA + 7,2000%</t>
  </si>
  <si>
    <t>IPCA + 5,8806%</t>
  </si>
  <si>
    <t>IPCA + 6,1305%</t>
  </si>
  <si>
    <t>IPCA + 4,6750%</t>
  </si>
  <si>
    <t>IPCA + 8,9619%</t>
  </si>
  <si>
    <t>IPCA + 5,6031%</t>
  </si>
  <si>
    <t>IPCA + 7,0176%</t>
  </si>
  <si>
    <t>IPCA + 6,3854%</t>
  </si>
  <si>
    <t>IPCA + 7,6179%</t>
  </si>
  <si>
    <t>IPCA + 6,4370%</t>
  </si>
  <si>
    <t>IPCA + 7,1498%</t>
  </si>
  <si>
    <t>IPCA + 7,1000%</t>
  </si>
  <si>
    <t>IPCA + 5,8750%</t>
  </si>
  <si>
    <t>IPCA + 6,2792%</t>
  </si>
  <si>
    <t>IPCA + 6,1052%</t>
  </si>
  <si>
    <t>IPCA + 7,6245%</t>
  </si>
  <si>
    <t>IPCA + 5,8224%</t>
  </si>
  <si>
    <t>IPCA + 6,2137%</t>
  </si>
  <si>
    <t>IPCA + 6,8138%</t>
  </si>
  <si>
    <t>IPCA + 6,8500%</t>
  </si>
  <si>
    <t>IPCA + 6,3500%</t>
  </si>
  <si>
    <t>IPCA + 7,8081%</t>
  </si>
  <si>
    <t>IPCA + 6,6018%</t>
  </si>
  <si>
    <t>IPCA + 5,2306%</t>
  </si>
  <si>
    <t>IPCA + 6,1732%</t>
  </si>
  <si>
    <t>IPCA + 5,7138%</t>
  </si>
  <si>
    <t>IPCA + 6,8226%</t>
  </si>
  <si>
    <t>IPCA + 6,6230%</t>
  </si>
  <si>
    <t>IPCA + 6,0265%</t>
  </si>
  <si>
    <t>IPCA + 6,8798%</t>
  </si>
  <si>
    <t>IPCA + 7,0673%</t>
  </si>
  <si>
    <t>IPCA + 7,5500%</t>
  </si>
  <si>
    <t>IPCA + 8,1500%</t>
  </si>
  <si>
    <t>IPCA + 5,7697%</t>
  </si>
  <si>
    <t>IPCA + 3,7500%</t>
  </si>
  <si>
    <t>IPCA + 5,3455%</t>
  </si>
  <si>
    <t>IPCA + 6,1385%</t>
  </si>
  <si>
    <t>IPCA + 9,8297%</t>
  </si>
  <si>
    <t>IPCA + 6,0872%</t>
  </si>
  <si>
    <t>IPCA + 6,1566%</t>
  </si>
  <si>
    <t>IPCA + 6,2770%</t>
  </si>
  <si>
    <t>IPCA + 6,0996%</t>
  </si>
  <si>
    <t>IPCA + 6,5254%</t>
  </si>
  <si>
    <t>IPCA + 6,5891%</t>
  </si>
  <si>
    <t>IPCA + 7,0000%</t>
  </si>
  <si>
    <t>IPCA + 5,7158%</t>
  </si>
  <si>
    <t>IPCA + 8,3700%</t>
  </si>
  <si>
    <t>IPCA + 7,2731%</t>
  </si>
  <si>
    <t>IPCA + 8,2561%</t>
  </si>
  <si>
    <t>IPCA + 6,0029%</t>
  </si>
  <si>
    <t>IPCA + 6,0444%</t>
  </si>
  <si>
    <t>IPCA + 6,6647%</t>
  </si>
  <si>
    <t>IPCA + 8,2000%</t>
  </si>
  <si>
    <t>IPCA + 6,6579%</t>
  </si>
  <si>
    <t>IPCA + 6,2878%</t>
  </si>
  <si>
    <t>IPCA + 7,8067%</t>
  </si>
  <si>
    <t>IPCA + 5,5923%</t>
  </si>
  <si>
    <t>IPCA + 5,8041%</t>
  </si>
  <si>
    <t>IPCA + 6,4876%</t>
  </si>
  <si>
    <t>IPCA + 4,8295%</t>
  </si>
  <si>
    <t>IPCA + 8,8507%</t>
  </si>
  <si>
    <t>IPCA + 5,0900%</t>
  </si>
  <si>
    <t>IPCA + 7,2101%</t>
  </si>
  <si>
    <t>IPCA + 7,0605%</t>
  </si>
  <si>
    <t>IPCA + 6,0762%</t>
  </si>
  <si>
    <t>IPCA + 6,2339%</t>
  </si>
  <si>
    <t>IPCA + 4,9335%</t>
  </si>
  <si>
    <t>IPCA + 7,0657%</t>
  </si>
  <si>
    <t>IPCA + 7,6366%</t>
  </si>
  <si>
    <t>IPCA + 8,0525%</t>
  </si>
  <si>
    <t>IPCA + 8,3368%</t>
  </si>
  <si>
    <t>IPCA + 7,8910%</t>
  </si>
  <si>
    <t>IPCA + 6,7592%</t>
  </si>
  <si>
    <t>IPCA + 5,6904%</t>
  </si>
  <si>
    <t>IPCA + 5,9219%</t>
  </si>
  <si>
    <t>IPCA + 5,9645%</t>
  </si>
  <si>
    <t>IPCA + 7,0421%</t>
  </si>
  <si>
    <t>IPCA + 5,7283%</t>
  </si>
  <si>
    <t>IPCA + 10,0788%</t>
  </si>
  <si>
    <t>IPCA + 5,3058%</t>
  </si>
  <si>
    <t>IPCA + 5,4478%</t>
  </si>
  <si>
    <t>IPCA + 5,8935%</t>
  </si>
  <si>
    <t>IPCA + 5,9741%</t>
  </si>
  <si>
    <t>IPCA + 6,1076%</t>
  </si>
  <si>
    <t>IPCA + 6,5000%</t>
  </si>
  <si>
    <t>IPCA + 6,8000%</t>
  </si>
  <si>
    <t>IPCA + 7,9677%</t>
  </si>
  <si>
    <t>IPCA + 6,0188%</t>
  </si>
  <si>
    <t>IPCA + 6,2477%</t>
  </si>
  <si>
    <t>IPCA + 4,7605%</t>
  </si>
  <si>
    <t>IPCA + 5,8500%</t>
  </si>
  <si>
    <t>IPCA + 8,1693%</t>
  </si>
  <si>
    <t>IPCA + 5,7710%</t>
  </si>
  <si>
    <t>IPCA + 5,8640%</t>
  </si>
  <si>
    <t>IPCA + 9,6000%</t>
  </si>
  <si>
    <t>IPCA + 7,6840%</t>
  </si>
  <si>
    <t>IPCA + 6,5865%</t>
  </si>
  <si>
    <t>IPCA + 6,8596%</t>
  </si>
  <si>
    <t>IPCA + 5,8198%</t>
  </si>
  <si>
    <t>IPCA + 5,3418%</t>
  </si>
  <si>
    <t>IPCA + 6,8884%</t>
  </si>
  <si>
    <t>IPCA + 7,6897%</t>
  </si>
  <si>
    <t>IPCA + 9,0000%</t>
  </si>
  <si>
    <t>IPCA + 5,9559%</t>
  </si>
  <si>
    <t>IPCA + 9,3400%</t>
  </si>
  <si>
    <t>IPCA + 8,5914%</t>
  </si>
  <si>
    <t>IPCA + 6,1659%</t>
  </si>
  <si>
    <t>IPCA + 7,6276%</t>
  </si>
  <si>
    <t>IPCA + 4,8304%</t>
  </si>
  <si>
    <t>Pagamento anual. no dia 15-07. Primeiro em 15-07-2026</t>
  </si>
  <si>
    <t>Pagamento semestral, nos dias 15-jun e 15-dez. Primeiro em 15-jun-2024 e último no vencimento.</t>
  </si>
  <si>
    <t>2 parcelas iguais: 50% em 15-mai-2028 e 50% no vencimento.</t>
  </si>
  <si>
    <t>Pagamento semestral. Nos dias 15-jan e 15-jul. Primeiro em 15-jul-2024.</t>
  </si>
  <si>
    <t>Pagamento semestral. Nos dias 15-fev e 15-ago. Primeiro em 15-ago-2025.</t>
  </si>
  <si>
    <t>3 parcelas em 15-mai-2030, em 15-mai-2031 e no vencimento.</t>
  </si>
  <si>
    <t>3 parcelas em 15-mai-2035, em 15-mai-2036 e no vencimento.</t>
  </si>
  <si>
    <t>Pagamento semestral, nos dias 15-jan e 15-jul. Primeiro em 15-jul-2027 e último no vencimento.</t>
  </si>
  <si>
    <t>Pagamento semestral, nos dias 15-jan e 15-jul. Primeiro em 15-jul-2034 e último no vencimento.</t>
  </si>
  <si>
    <t>3 parcelas em 15-jan-2030, em 15-jan-2031 e no vencimento.</t>
  </si>
  <si>
    <t>Pagamento semestral, nos dias 15-abr e 15-out. Primeiro em 15-out-2023 e último no vencimento.</t>
  </si>
  <si>
    <t>Pagamento semestral, nos dias 15-fev e 15-ago. Primeiro em 15-fev-2021 e último no vencimento.</t>
  </si>
  <si>
    <t>Pagamento anual no dia 15-nov. Primeiro em 15-nov-2027 e última no vencimento.</t>
  </si>
  <si>
    <t>Pagamento Semestral. Nos dias 15-abr e 15-out. Primeiro em 15-abr-2024</t>
  </si>
  <si>
    <t>Pagamento semestral, nos dias 15-jun e 15-dez. Primeiro em 15-dez-2021 e último no vencimento.</t>
  </si>
  <si>
    <t>Pagamento Semestral. Nos dias 15-jun e 15-dez. primeiro em 15-dez-2021</t>
  </si>
  <si>
    <t>Pagamento semestral, nos dias 15-mar e 15-set. Primeiro em 15-mar-2026 e último no vencimento.</t>
  </si>
  <si>
    <t>2 parcelas iguais em 30-abr-2025 e no vencimento.</t>
  </si>
  <si>
    <t>Pagamento semestral. Nos dias 15-jun e 15-dez. Primeiro em 15-jun-2025</t>
  </si>
  <si>
    <t>Pagamento anual. No dia 15-jan. Primeiro em 15-jan-2028.</t>
  </si>
  <si>
    <t>3 parcelas em 15-abr-2029, em 15-abr-2030 e no vencimento.</t>
  </si>
  <si>
    <t>2 parcelas iguais: 50% em 15-out-2030 e 50% no vencimento</t>
  </si>
  <si>
    <t>3 parcelas em 15-abr-2030, em 15-abr-2031 e no vencimento.</t>
  </si>
  <si>
    <t>2 parcelas iguais: 50% em 15-jun-2028 e 50% no vencimento.</t>
  </si>
  <si>
    <t>Pagamento anual. Primeiro em 15-out-2029</t>
  </si>
  <si>
    <t>2 Parcelas iguais: 50% em 15-fev-2029 e 50% em 15-fev-2030</t>
  </si>
  <si>
    <t>Pagamento semestral. Nos dias 15-jun e 15-dez. primeiro em 15-jun-2022</t>
  </si>
  <si>
    <t>Pagamento semestral, nos dias 15-mar e 15-set. Primeiro em 15-set-2024 e último no vencimento.</t>
  </si>
  <si>
    <t>Pagamento semestral, nos dias 15-mai e 15-nov. Primeiro em 15-nov-2024 e último no vencimento.</t>
  </si>
  <si>
    <t>Pagamento semestral. nos dias 15-nov e 15-mai. Primeiro em 15-nov-2023</t>
  </si>
  <si>
    <t>Pagamento anual. Primeiro em 15-set-2024</t>
  </si>
  <si>
    <t>Pagamento anual: no dia 15-out. Primeiro em 15-out-2029</t>
  </si>
  <si>
    <t>3 parcelas em 15-jan-2033, em 15-jan-2034 e no vencimento.</t>
  </si>
  <si>
    <t>2 Parcelas iguais: 50% em 15-jul-2028 e 50% em 15-jul-2029</t>
  </si>
  <si>
    <t>3 parcelas em 15-mai-2029, em 15-mai-2030 e no vencimento.</t>
  </si>
  <si>
    <t>3 parcelas em 15-jul-2035, em 15-jul-2036 e no vencimento.</t>
  </si>
  <si>
    <t>Pagamento anual. No dia 15-dez. Primeiro em 15-dez-2023</t>
  </si>
  <si>
    <t>Pagamento semestral, nos dias 15-mar e 15-set. Primeiro em 15-set-2030 e último no vencimento.</t>
  </si>
  <si>
    <t>Pagamento Semestral. Nos dias 15-Jan e 15-Jul. Primeiro em 15-Jul-2022</t>
  </si>
  <si>
    <t>2 parcelas iguais em 15-jul-2028 e no vencimento.</t>
  </si>
  <si>
    <t>3 parcelas em 15-nov-2026, em 15-nov-2027 e no vencimento.</t>
  </si>
  <si>
    <t>Pagamento semestral, nos dias 15-jun e 15-dez. Primeiro em 15-jun-2026 e último no vencimento.</t>
  </si>
  <si>
    <t>3 parcelas em 15-abr-2027, em 15-abr-2028 e no vencimento.</t>
  </si>
  <si>
    <t>Pagamento anual no dia 15-jan. Primeiro em 15-jan-2030 e última no vencimento.</t>
  </si>
  <si>
    <t>3 parcelas em 15-jul-2030, em 15-jul-2031 e no vencimento.</t>
  </si>
  <si>
    <t>3 parcelas iguais: 33,33% em 15-set-2030, 33,33% em 15-set-2031 e 33,34% no vencimento</t>
  </si>
  <si>
    <t>3 parcelas iguais: 33,33% em 15-set-2035, 33,33% em 15-set-2036 e 33,34% no vencimento</t>
  </si>
  <si>
    <t>Pagamento semestral, nos dias 15-jun e 15-dez. Primeiro em 15-dez-2016 e último no vencimento.</t>
  </si>
  <si>
    <t>Pagamento semestral. Nos dias 15-mar e 15-set. Primeiro em 15-mar-2023.</t>
  </si>
  <si>
    <t>3 Parcelas iguais. 33,33% em 15-out-2029, 33,33% em 15-out-2030 e 33,34% no vencimento.</t>
  </si>
  <si>
    <t>Pagamento semestral. Nos dias 15-abr e 15-out. primeiro em 15-abr-2024</t>
  </si>
  <si>
    <t>Pagamento semestral, nos dias 15-mai e 15-nov. Primeiro em 15-nov-2025 e último no vencimento.</t>
  </si>
  <si>
    <t>Pagamento anual. Primeiro em 18-mar-2016.</t>
  </si>
  <si>
    <t>2 parcelas iguais: 50% em 15-dez-2025 e 50% no vencimento.</t>
  </si>
  <si>
    <t>Pagamento semestral, nos dias 15-mai e 15-nov. Primeiro em 15-mai-2026</t>
  </si>
  <si>
    <t>Pagamento anual. Primeiro em 15-dez-2029</t>
  </si>
  <si>
    <t>Pagamento anual no dia 15-set. Primeiro em 15-set-2029 e última no vencimento.</t>
  </si>
  <si>
    <t>Pagamento semestral. Nos dias 15-jun e 15-dez. Primeiro em 15-dez-2025</t>
  </si>
  <si>
    <t>3 parcelas iguais: 33,33% em 15-set-2028, 33,33% em 15-set-2029 e 33,34% no vencimento</t>
  </si>
  <si>
    <t>Pagamento anual. No dia 15-out. Primeiro em 15-out-2022.</t>
  </si>
  <si>
    <t>Pagamento semestral. Nos dias 15-mai e 15-nov. Primeiro em 15-nov-2022</t>
  </si>
  <si>
    <t>Pagamento semestral, nos dias 15-jan e 15-jul. Primeiro em 15-jul-2024 e último no vencimento.</t>
  </si>
  <si>
    <t>3 parcelas em 15-jun-2030, em 15-jun-2031 e no vencimento.</t>
  </si>
  <si>
    <t>Pagamento semestral, nos dias 15-jun e 15-dez. Primeiro em 15-jun-2017 e último no vencimento.</t>
  </si>
  <si>
    <t>Pagamento semestral, nos dias 15-mai e 15-nov. Primeiro em 15-nov-2023</t>
  </si>
  <si>
    <t>Pagamento anual no dia 15-ago. Primeiro em 15-ago-2027 e última no vencimento.</t>
  </si>
  <si>
    <t>Pagamento semestral, nos dias 15-abr e 15-out. Primeiro em 15-out-2024 e último no vencimento.</t>
  </si>
  <si>
    <t>3 parcelas em 15-jun-2029, em 15-jun-2030 e no vencimento.</t>
  </si>
  <si>
    <t>Pagamento semestral. Nos dias 15-fev e 15-ago. Primeiro em 15-fev-2025.</t>
  </si>
  <si>
    <t>Pagamento anual. Primeiro em 15-Dez-2034</t>
  </si>
  <si>
    <t>Pagamento anual. Primeiro em 15-jan-2035</t>
  </si>
  <si>
    <t>Pagamento semestral, nos dias 15-mai e 15-nov. Primeiro em 15-nov-2022 e último no vencimento.</t>
  </si>
  <si>
    <t>3 parcelas em 15-jul-2031, em 15-jul-2032 e no vencimento.</t>
  </si>
  <si>
    <t>3 parcelas em 15-jul-2036, em 15-jul-2037 e no vencimento.</t>
  </si>
  <si>
    <t>Pagamento anual. No dia 15-set. Primeiro em 15-set-2029</t>
  </si>
  <si>
    <t>Pagamento semestral. Nos dias 15-jun e 15-dez. Primeiro em 15-dez-2022</t>
  </si>
  <si>
    <t>Pagamento semestral. Nos dias 15-nov e 15-mai. Primeiro em 15-mai-2034</t>
  </si>
  <si>
    <t>2 Parcelas iguais: 50% em 15-abr-2030 e 50% no vencimento.</t>
  </si>
  <si>
    <t>2 parcelas iguais: 50% em 15-abr-2036 e 50% no vencimento</t>
  </si>
  <si>
    <t>Pagamento semestral. Nos dias 15-jun e 15-dez. Primeiro em 15-jun-2024.</t>
  </si>
  <si>
    <t>Pagamento anual no dia 15-jun. Primeiro em 15-jun-2026 e última no vencimento.</t>
  </si>
  <si>
    <t>Pagamento anual. Primeiro em 15-out-2037</t>
  </si>
  <si>
    <t>Pagamento semestral, nos dias 25-mar e 25-set. Primeiro em 25-mar-2024 e último no vencimento.</t>
  </si>
  <si>
    <t>Pagamento Semestral. Nos dias 13-mar e13-set. Primeiro em 15-mar-2023</t>
  </si>
  <si>
    <t>Pagamento anual no dia 15-ago. Primeiro em 15-ago-2026 e última no vencimento.</t>
  </si>
  <si>
    <t>Pagamento semestral. Nos dias 15-jan e 15-jul. primeiro em 15-jan-2025</t>
  </si>
  <si>
    <t>Pagamento anual. Primeiro em 15-out-2034</t>
  </si>
  <si>
    <t>Pagamento anual. No dia 15-mar. Primeiro em 15-mar-2023</t>
  </si>
  <si>
    <t>Pagamento semestral. Nos dias 15-jul e 15-jan. Primeiro em 15-jul-2020</t>
  </si>
  <si>
    <t>Pagamento anual no dia 15-mar. Primeiro em 15-mar-2027 e última no vencimento.</t>
  </si>
  <si>
    <t>Pagamento semestral, nos dias 15-jun e 15-dez. Primeiro em 15-jun-2027 e último no vencimento.</t>
  </si>
  <si>
    <t>Pagamento Semestral. Nos dias 15-jun e 15-dez. Primeiro em 15-jun-2022</t>
  </si>
  <si>
    <t>Pagamento semestral. Nos dias 15-jun e 15-dez. Primeiro em 15-jun-2018.</t>
  </si>
  <si>
    <t>Banco Bocom BBM SA</t>
  </si>
  <si>
    <t>Banco Modal SA</t>
  </si>
  <si>
    <t>Banco Safra SA</t>
  </si>
  <si>
    <t>Bc de Inv Credit Suisse Brasil SA</t>
  </si>
  <si>
    <t>Terra Investimentos DTVM Ltda</t>
  </si>
  <si>
    <t>Banco JP Morgan SA</t>
  </si>
  <si>
    <t>BRQUATDBS043</t>
  </si>
  <si>
    <t>BRAEABDBS007</t>
  </si>
  <si>
    <t>BRAESLDBS0L7</t>
  </si>
  <si>
    <t>BRTCIIDBS009</t>
  </si>
  <si>
    <t>BRAGVLDBS015</t>
  </si>
  <si>
    <t>BRGSTSDBS032</t>
  </si>
  <si>
    <t>BRGSTSDBS040</t>
  </si>
  <si>
    <t>BRRISPDBS020</t>
  </si>
  <si>
    <t>BRRISPDBS038</t>
  </si>
  <si>
    <t>BRRIS4DBS022</t>
  </si>
  <si>
    <t>BRRIS4DBS030</t>
  </si>
  <si>
    <t>BRALGTDBS0I0</t>
  </si>
  <si>
    <t>BRALGEDBS045</t>
  </si>
  <si>
    <t>BRFRRNDBS064</t>
  </si>
  <si>
    <t>BRANETDBS010</t>
  </si>
  <si>
    <t>BRAPOLDBS003</t>
  </si>
  <si>
    <t>BRTRGODBS009</t>
  </si>
  <si>
    <t>BRASABDBS007</t>
  </si>
  <si>
    <t>BRAPFDDBS032</t>
  </si>
  <si>
    <t>BRBRFSDBS026</t>
  </si>
  <si>
    <t>BRRMSADBS024</t>
  </si>
  <si>
    <t>BRCCRODBS0N1</t>
  </si>
  <si>
    <t>BRCEEDDBS027</t>
  </si>
  <si>
    <t>BRCGOSDBS029</t>
  </si>
  <si>
    <t>BRCEPEDBS0G7</t>
  </si>
  <si>
    <t>BRCEPEDBS0K9</t>
  </si>
  <si>
    <t>BRCMGDDBS0B0</t>
  </si>
  <si>
    <t>BRCMGTDBS0G1</t>
  </si>
  <si>
    <t>BRCEEBDBS0I9</t>
  </si>
  <si>
    <t>BRCEEBDBS0M1</t>
  </si>
  <si>
    <t>BRCEEBDBS0S8</t>
  </si>
  <si>
    <t>BRCOCEDBS0E5</t>
  </si>
  <si>
    <t>BRRPTADBS033</t>
  </si>
  <si>
    <t>BRCAJSDBS014</t>
  </si>
  <si>
    <t>BRECERDBS019</t>
  </si>
  <si>
    <t>BRRODTDBS014</t>
  </si>
  <si>
    <t>BRCONFDBS006</t>
  </si>
  <si>
    <t>BRCSMGDBS0I8</t>
  </si>
  <si>
    <t>BRCPLDDBS0A2</t>
  </si>
  <si>
    <t>BRCPGTDBS081</t>
  </si>
  <si>
    <t>BRCPGTDBS099</t>
  </si>
  <si>
    <t>BRCSRNDBS0G8</t>
  </si>
  <si>
    <t>BRCPFGDBS0B5</t>
  </si>
  <si>
    <t>BRCMINDBS020</t>
  </si>
  <si>
    <t>BRCMINDBS038</t>
  </si>
  <si>
    <t>BRECHPDBS024</t>
  </si>
  <si>
    <t>BRASCPDBS045</t>
  </si>
  <si>
    <t>BRASCPDBS052</t>
  </si>
  <si>
    <t>BRMGSPDBS017</t>
  </si>
  <si>
    <t>BREKTRDBS0L8</t>
  </si>
  <si>
    <t>BREKTRDBS0P9</t>
  </si>
  <si>
    <t>BRCTGEDBS002</t>
  </si>
  <si>
    <t>BRCTGEDBS010</t>
  </si>
  <si>
    <t>BRELPLDBS126</t>
  </si>
  <si>
    <t>BRENATDBS002</t>
  </si>
  <si>
    <t>BRENGIDBS0Q0</t>
  </si>
  <si>
    <t>BRENGIDBS0U2</t>
  </si>
  <si>
    <t>BRENGIDBS0V0</t>
  </si>
  <si>
    <t>BRENMTDBS0D7</t>
  </si>
  <si>
    <t>BRENMTDBS0F2</t>
  </si>
  <si>
    <t>BRENMTDBS0G0</t>
  </si>
  <si>
    <t>BRESSDDBS064</t>
  </si>
  <si>
    <t>BRENERDBS0F4</t>
  </si>
  <si>
    <t>BRENEVDBS0G6</t>
  </si>
  <si>
    <t>BRENEVDBS0H4</t>
  </si>
  <si>
    <t>BRENEVDBS0K8</t>
  </si>
  <si>
    <t>BRENEVDBS0L6</t>
  </si>
  <si>
    <t>BRENEVDBS0M4</t>
  </si>
  <si>
    <t>BREGIEDBS0B3</t>
  </si>
  <si>
    <t>BREOVCDBS002</t>
  </si>
  <si>
    <t>BRFLCLDBS0D8</t>
  </si>
  <si>
    <t>BRGBSPDBS002</t>
  </si>
  <si>
    <t>BRHVSPDBS008</t>
  </si>
  <si>
    <t>BRHBSADBS002</t>
  </si>
  <si>
    <t>BRHBSADBS010</t>
  </si>
  <si>
    <t>BRHARGDBS003</t>
  </si>
  <si>
    <t>BRIRJSDBS015</t>
  </si>
  <si>
    <t>BRIELMDBS012</t>
  </si>
  <si>
    <t>BRIRBRDBS022</t>
  </si>
  <si>
    <t>BRITPODBS041</t>
  </si>
  <si>
    <t>BRJALLDBS002</t>
  </si>
  <si>
    <t>BRJALLDBS010</t>
  </si>
  <si>
    <t>BRJALLDBS028</t>
  </si>
  <si>
    <t>BRJTEEDBS010</t>
  </si>
  <si>
    <t>BRCPTMDBS048</t>
  </si>
  <si>
    <t>BRLTTEDBS048</t>
  </si>
  <si>
    <t>BRLCAMDBS0U6</t>
  </si>
  <si>
    <t>BRMSGTDBS043</t>
  </si>
  <si>
    <t>BRMSGTDBS050</t>
  </si>
  <si>
    <t>BRMSGTDBS068</t>
  </si>
  <si>
    <t>BRTPNODBS025</t>
  </si>
  <si>
    <t>BRMEZ5DBS003</t>
  </si>
  <si>
    <t>BRMOVIDBS0H9</t>
  </si>
  <si>
    <t>BRMOVIDBS0I7</t>
  </si>
  <si>
    <t>BRMOVIDBS0J5</t>
  </si>
  <si>
    <t>BRNCENDBS001</t>
  </si>
  <si>
    <t>BRPTAZDBS002</t>
  </si>
  <si>
    <t>BRPEJADBS008</t>
  </si>
  <si>
    <t>BRPRPODBS016</t>
  </si>
  <si>
    <t>BRRESADBS070</t>
  </si>
  <si>
    <t>BRRESADBS088</t>
  </si>
  <si>
    <t>BRRDVEDBS003</t>
  </si>
  <si>
    <t>BRGASCDBS028</t>
  </si>
  <si>
    <t>BRGASCDBS044</t>
  </si>
  <si>
    <t>BRSAUCDBS003</t>
  </si>
  <si>
    <t>BRSBSPDBS1S9</t>
  </si>
  <si>
    <t>BRSBSPDBS1T7</t>
  </si>
  <si>
    <t>BRSAPRDBS0P9</t>
  </si>
  <si>
    <t>BRSMTODBS013</t>
  </si>
  <si>
    <t>BRSMTODBS021</t>
  </si>
  <si>
    <t>BRIBPBDBS004</t>
  </si>
  <si>
    <t>BRCSNADBS0H5</t>
  </si>
  <si>
    <t>BRCSNADBS0I3</t>
  </si>
  <si>
    <t>BRCSNADBS0J1</t>
  </si>
  <si>
    <t>BRSIMHDBS044</t>
  </si>
  <si>
    <t>BRSUZBDBS051</t>
  </si>
  <si>
    <t>BRSUZBDBS069</t>
  </si>
  <si>
    <t>BRTAEEDBS0I1</t>
  </si>
  <si>
    <t>BRTAEEDBS0M3</t>
  </si>
  <si>
    <t>BRTAEEDBS0P6</t>
  </si>
  <si>
    <t>BRTAEEDBS0Q4</t>
  </si>
  <si>
    <t>BRTAEEDBS0R2</t>
  </si>
  <si>
    <t>BRCJENDBS009</t>
  </si>
  <si>
    <t>BRTIMSDBS007</t>
  </si>
  <si>
    <t>BRTRPLDBS0F6</t>
  </si>
  <si>
    <t>BRTRPLDBS0G4</t>
  </si>
  <si>
    <t>BRTBCRDBS005</t>
  </si>
  <si>
    <t>BRTRCCDBS003</t>
  </si>
  <si>
    <t>BRCONXDBS009</t>
  </si>
  <si>
    <t>BRTNHLDBS002</t>
  </si>
  <si>
    <t>BRTVVHDBS004</t>
  </si>
  <si>
    <t>BRUHSMDBS023</t>
  </si>
  <si>
    <t>BRUSASDBS009</t>
  </si>
  <si>
    <t>BRVAMODBS074</t>
  </si>
  <si>
    <t>BRVDENDBS010</t>
  </si>
  <si>
    <t>BRVERODBS018</t>
  </si>
  <si>
    <t>BRVBCRDBS001</t>
  </si>
  <si>
    <t>BRVIMTDBS019</t>
  </si>
  <si>
    <t>BRVLIMDBS024</t>
  </si>
  <si>
    <t>BRWDPRDBS007</t>
  </si>
  <si>
    <t>BRXNGUDBS049</t>
  </si>
  <si>
    <t>Garantia Flutuante</t>
  </si>
  <si>
    <t>AES Cajuina Ab1 Holdings SA</t>
  </si>
  <si>
    <t>AES Tucano Holding II SA</t>
  </si>
  <si>
    <t>Agro Ind do Vale do Sao Francisco SA Agrovale</t>
  </si>
  <si>
    <t>Águas de Santa Teresina Saneameno Spe S/A</t>
  </si>
  <si>
    <t>Aguas do Rio 1 Spe SA</t>
  </si>
  <si>
    <t>Aguas do Rio 4 Spe SA</t>
  </si>
  <si>
    <t>All Norte</t>
  </si>
  <si>
    <t>Apollo 17 Participações SA</t>
  </si>
  <si>
    <t>Argo Transmissão de Energia S/A</t>
  </si>
  <si>
    <t>Asa Branca Holding S/A</t>
  </si>
  <si>
    <t>Autopista Fernao Dias S/A</t>
  </si>
  <si>
    <t>BRF SA</t>
  </si>
  <si>
    <t>Brk Ambiental Região Metro de Maceió S/A</t>
  </si>
  <si>
    <t>Celg</t>
  </si>
  <si>
    <t>Concessionaria Aguas de Juturnaiba SA</t>
  </si>
  <si>
    <t>Concessionária Ecovias do Cerrado S/A</t>
  </si>
  <si>
    <t>Concessionaria Rodovia Dos Tamoios SA</t>
  </si>
  <si>
    <t>Confluencia Energia S/A</t>
  </si>
  <si>
    <t>CPFL Geracao</t>
  </si>
  <si>
    <t>Edp Transmissao SP-MG SA</t>
  </si>
  <si>
    <t>Enauta Part</t>
  </si>
  <si>
    <t>F Cataguazes</t>
  </si>
  <si>
    <t>Gbs Participações SA</t>
  </si>
  <si>
    <t>Hidrovias</t>
  </si>
  <si>
    <t>Holding do Araguaia S/A</t>
  </si>
  <si>
    <t>Iguá Rio de Janeiro S/A</t>
  </si>
  <si>
    <t>Interligacao Eletrica do Madeira SA</t>
  </si>
  <si>
    <t>Irbbrasil Re</t>
  </si>
  <si>
    <t>Itapoa Terminais Portuarios SA</t>
  </si>
  <si>
    <t>Jallesmachad</t>
  </si>
  <si>
    <t>Ligga Telecomunicações SA</t>
  </si>
  <si>
    <t>Linhas de Taubate Transmissora de Energia SA</t>
  </si>
  <si>
    <t>Mez 5 Energia SA</t>
  </si>
  <si>
    <t>Movida</t>
  </si>
  <si>
    <t>Nc Energia SA</t>
  </si>
  <si>
    <t>Odoyá Transmissora de Energia S/A</t>
  </si>
  <si>
    <t>Orizon Meio Ambiente SA</t>
  </si>
  <si>
    <t>Parintins Amazonas Transmissora de Energia SA</t>
  </si>
  <si>
    <t>Petro Rio Jaguar Petroleo SA</t>
  </si>
  <si>
    <t>Pirapora II Solar Holding SA</t>
  </si>
  <si>
    <t>Rdve Subholding SA</t>
  </si>
  <si>
    <t>Rumo Malha Paulista S/A</t>
  </si>
  <si>
    <t>SA Usina Coruripe Açúcar e Álcool</t>
  </si>
  <si>
    <t>Sao Martinho</t>
  </si>
  <si>
    <t>Serra de Ibiapaba Transmissora de Energia SA</t>
  </si>
  <si>
    <t>Sid Nacional</t>
  </si>
  <si>
    <t>Simpar</t>
  </si>
  <si>
    <t>Suzano S.A.</t>
  </si>
  <si>
    <t>Tesc - Terminal Santa Catarina SA</t>
  </si>
  <si>
    <t>Tim</t>
  </si>
  <si>
    <t>Transbrasiliana Concess de Rodov S/A</t>
  </si>
  <si>
    <t>Transmissora Caminho do Café S/A</t>
  </si>
  <si>
    <t>Triple Play Brasil Participações S/A</t>
  </si>
  <si>
    <t>Tucano Holdings III SA</t>
  </si>
  <si>
    <t>Tvv Terminal de Vila Velha SA</t>
  </si>
  <si>
    <t>Uhe Sao Simao Energia SA</t>
  </si>
  <si>
    <t>Unifique</t>
  </si>
  <si>
    <t>Usina Santa Adelia SA</t>
  </si>
  <si>
    <t>Ventos de São Jorge Holding S/A</t>
  </si>
  <si>
    <t>Verde 08 Energia SA</t>
  </si>
  <si>
    <t>Vero S/A</t>
  </si>
  <si>
    <t>Via Brasil BR 163 Concess de Rodov S/A</t>
  </si>
  <si>
    <t>Via Brasil Mt 320 Concessionaria de Rodovias SA</t>
  </si>
  <si>
    <t>Vli Multimodal S/A</t>
  </si>
  <si>
    <t>Windepar Holding SA</t>
  </si>
  <si>
    <t>Xingu Rio Transmissora de Energia SA</t>
  </si>
  <si>
    <t>Abatedouros</t>
  </si>
  <si>
    <t>Transporte fluvial</t>
  </si>
  <si>
    <t>Seguradora e corretora de seguros</t>
  </si>
  <si>
    <t>Atividades auxiliares ao transporte aquático</t>
  </si>
  <si>
    <t>Outras outras indústrias</t>
  </si>
  <si>
    <t>Comércio atacadista</t>
  </si>
  <si>
    <t>Serviços de engenharia e arquitetura</t>
  </si>
  <si>
    <t>Outros cultivos</t>
  </si>
  <si>
    <t>Transformação de aço em produtos de aço</t>
  </si>
  <si>
    <t>Indústria de papel, celulose e papelão</t>
  </si>
  <si>
    <t>Operadoras de telecomunicações a cabo</t>
  </si>
  <si>
    <t>Indústria manufatureira</t>
  </si>
  <si>
    <t>Transporte e armazenamento</t>
  </si>
  <si>
    <t>Pagamento semestral. Nos dias 15-01 e 15-07. Primeiro em 15-01-2023</t>
  </si>
  <si>
    <t>Pagamento semestral, nos dias 15-jun e 15-dez. Primeiro em 15-dez-2023.</t>
  </si>
  <si>
    <t>Pagamento semestral, nos dias 15-mai e 15-nov. Primeiro em 15-nov-2022.</t>
  </si>
  <si>
    <t>Pagamento semestral. Nos dias 15-fev e 15-ago. Primeiro em 15-fev-2022.</t>
  </si>
  <si>
    <t>Pagamento semestral, nos dias 15-jan e 15-jul. Primeiro em 15-jan-2024.</t>
  </si>
  <si>
    <t>Pagamento semestral, nos dias 15-jan e 15-jul. Primeiro em 15-jul-2022.</t>
  </si>
  <si>
    <t>Pagamento semestral, nos dias 15-out e 15-abr. Primeiro em 15-out-2022.</t>
  </si>
  <si>
    <t>Pagamento semestral, nos dias 15-fev e 15-ago. Primeiro em 15-ago-2019.</t>
  </si>
  <si>
    <t>Pagamento semestral, nos dias 15-mai e 15-nov. Primeiro em 15-mai-2023.</t>
  </si>
  <si>
    <t>Pagamento semestral, nos dias 15-jun e 15-dez. Primeiro em 15-dez-2021.</t>
  </si>
  <si>
    <t>Pagamento semestral, nos dias 15-mar e 15-set. Primeiro em 15-mar-2023.</t>
  </si>
  <si>
    <t>Pagamento semestral, nos dias 30-abr e 30-out. Primeiro em 30-out-2019.</t>
  </si>
  <si>
    <t>Pagamento semestral. Nos dias 15-jun e 15-dez</t>
  </si>
  <si>
    <t>Pagamento semestral. Nos dias 15-jan e 15-jul. Primeiro em 15-jul-2022.</t>
  </si>
  <si>
    <t>Pagamento semestral. nos dias 15-jun e 15-dez. Primeiro em 15-jun-2023</t>
  </si>
  <si>
    <t>Pagamento semestral, nos dias 15-abr e 15-out. Primeiro em 15-out-2023.</t>
  </si>
  <si>
    <t>Pagamento semestral, nos dias 15-jun e 15-dez. Primeiro em 15-dez-2022.</t>
  </si>
  <si>
    <t>Pagamento semestral, nos dias 15-jun e 15-dez. Primeiro em 15-jun-2023.</t>
  </si>
  <si>
    <t>Pagamento semestral. nos dias 15-fev e 15-ago. Primeiro em 15-fev-2024</t>
  </si>
  <si>
    <t>Pagamento semestral. nos dias 15-nov e 15-mai. Primeiro em 15-mai-2023</t>
  </si>
  <si>
    <t>Pagamento anual. Primeiro em 15-set-2022</t>
  </si>
  <si>
    <t>Pagamento semestral. Nos dias 15-abr e 15-out. Primeiro em 15-abr-2022</t>
  </si>
  <si>
    <t>Pagamento semestral, nos dias 15-jan e 15-jul. Primeiro em 15-jul-2023.</t>
  </si>
  <si>
    <t>Pagamento Semestral. nos dias 15-jan e 15-jun. Primeiro no dia 15-jan-2023</t>
  </si>
  <si>
    <t>Pagamento semestral, nos dias 15-jan e 15-jul. Primeiro em 15-jan-2023.</t>
  </si>
  <si>
    <t>Pagamento semestral. Nos dias 15-jun e 15-dez. Primeiro em 15-jun-2022</t>
  </si>
  <si>
    <t>Pagamento semestral, nos dias 15-mar e 15-set. Primeiro em 15-set-2023.</t>
  </si>
  <si>
    <t>Pagamento semestral, nos dias 15-mai e 15-nov. Primeiro em 15-mai-2021.</t>
  </si>
  <si>
    <t>Pagamento Semestral. Nos dias 15-mar e 15-set. Primeiro em 15-mar-2024</t>
  </si>
  <si>
    <t>Pagamento semestral. Nos dias 15-mar e 15-set. Primeiro em 15-mar-2023</t>
  </si>
  <si>
    <t>Pagamento semestral, nos dias 15-jun e 15-dez. Primeiro em 15-dez-2016.</t>
  </si>
  <si>
    <t>Pagamento semestral. Nos dias 16-set e 16-mar. Primeiro em 16-set-2019</t>
  </si>
  <si>
    <t>Pagamento semestral. Nos dias 15-mar e 15-set. Primeiro em 15-set-2022.</t>
  </si>
  <si>
    <t>Pagamento semestral, nos dias 15-jun e 15-dez. Primeiro em 15-jun-2024.</t>
  </si>
  <si>
    <t>Pagamento semestral. Nos dias 15-abr e 15-out. Primeiro em 15-abr-2022.</t>
  </si>
  <si>
    <t>Pagamento semestral, nos dias 15-mai e 15-nov. Primeiro em 15-nov-2025.</t>
  </si>
  <si>
    <t>Pagamento anual. Primeiro em 18-mar-2014.</t>
  </si>
  <si>
    <t>Pagamento semestral, nos dias 15-jun e 15-dez. Primeiro em 15-jun-2021.</t>
  </si>
  <si>
    <t>Pagamento semestral, Nos dias 15-mai e 15-nov. Primeiro em 15-nov-2024</t>
  </si>
  <si>
    <t>Pagamento semestral. Nos dias 15-abr e 15-out. Primeiro em 15-out-2022.</t>
  </si>
  <si>
    <t>Pagamento semestral, nos dias 15-jan e 15-jul. Primeiro em 15-jul-2024.</t>
  </si>
  <si>
    <t>Pagamento Semestral. Nos dias 15-mar e 15-set. Primeiro em 15-mar-2022</t>
  </si>
  <si>
    <t>Pagamento semestral, Nos dias 15-mai e 15-nov. Primeiro em 15-mai-2022</t>
  </si>
  <si>
    <t>Pagamento semestral. Nos dias 15-abr e 15-out. primeiro em 15-abr-2023</t>
  </si>
  <si>
    <t>Pagamento semestral. Nos dias 15-fev e 15-ago. Primeiro em 15-fev-2023.</t>
  </si>
  <si>
    <t>Pagamento Semestral. Nos dias 15-jun e 15-dez. Primeiro em 15-jun-2020</t>
  </si>
  <si>
    <t>Pagamento semestral, nos dias 15-out e 15-abr. Primeiro em 15-out-2024.</t>
  </si>
  <si>
    <t>Pagamento semestral, nos dias 15-dez e 15-jun. Primeiro em 15-dez-2021.</t>
  </si>
  <si>
    <t>Pagamento semestral. Nos dias 15-fev e 15-ago. Primeiro em 15-ago-2022.</t>
  </si>
  <si>
    <t>Pagamento anual. Primeiro em 15-dez-2022</t>
  </si>
  <si>
    <t>Pagamento anual. Primeiro em 15-Dez-2022</t>
  </si>
  <si>
    <t>Pagamento Semestral. Nos dias 15-jan e 15-jul. Primeiro em 15-jul-2022</t>
  </si>
  <si>
    <t>Pagamento semestral. Nos dias 15-jan e 15-jul. Primeiro em 15-jul-2022</t>
  </si>
  <si>
    <t>Pagamento semestral. Nos dias 15-nov e 15-mai. Primeiro em 15-nov-2021</t>
  </si>
  <si>
    <t>Pagamento semestral. Nos dias 15-out e 15-abr. Primeiro em 15-out-2022</t>
  </si>
  <si>
    <t>Pagamento semestral. Nos dias 15-jun e 15-jdez. Primeiro em 15-jun-2022.</t>
  </si>
  <si>
    <t>Pagamento Semestral. Nos dias 15-abr e 15-out. Primeiro em 15-abr-2022</t>
  </si>
  <si>
    <t>Pagamento semestral, nos dias 25-mar e 25-set. Primeiro em 25-set-2023.</t>
  </si>
  <si>
    <t>Pagamento Semestral. Nos dias 13-mar e13-set. Primeiro em 15-mar-2019</t>
  </si>
  <si>
    <t>Pagamento semestral, nos dias 15-fev e 15-ago. Primeiro em 15-fev-2023.</t>
  </si>
  <si>
    <t>Pagamento semestral. Nos dias 15-jan e 15-jul. primeiro em 15-jan-2024</t>
  </si>
  <si>
    <t>Pagamento semestral. Nos dias 15-set e 15-mar. Primeiro em 15-set-2021</t>
  </si>
  <si>
    <t>Pagamento semestral. Nos dias 15-ago e 15-fev. Primeiro em 15-ago-2022</t>
  </si>
  <si>
    <t>Pagamento semestral. Nos dias 15-jul e 15-jan. Primeiro em 15-jan-2020</t>
  </si>
  <si>
    <t>Pagamento semestral. Nos dias 15-jan e 15-jul. Primeiro em 15-jul-2019</t>
  </si>
  <si>
    <t>Pagamento Semestral. Nos dias 15-jun e 15-dez. Primeiro em 15-dez-2021</t>
  </si>
  <si>
    <t>QUAT13</t>
  </si>
  <si>
    <t>AEAB11</t>
  </si>
  <si>
    <t>RIGEA3</t>
  </si>
  <si>
    <t>TCII11</t>
  </si>
  <si>
    <t>AGVF12</t>
  </si>
  <si>
    <t>GSTS14</t>
  </si>
  <si>
    <t>GSTS24</t>
  </si>
  <si>
    <t>RISP12</t>
  </si>
  <si>
    <t>RISP22</t>
  </si>
  <si>
    <t>RIS412</t>
  </si>
  <si>
    <t>RIS422</t>
  </si>
  <si>
    <t>ALGAC2</t>
  </si>
  <si>
    <t>ALIG15</t>
  </si>
  <si>
    <t>RUMOB1</t>
  </si>
  <si>
    <t>ANET12</t>
  </si>
  <si>
    <t>APOL11</t>
  </si>
  <si>
    <t>TRGO11</t>
  </si>
  <si>
    <t>ASAB11</t>
  </si>
  <si>
    <t>APFD19</t>
  </si>
  <si>
    <t>BRFS31</t>
  </si>
  <si>
    <t>RMSA12</t>
  </si>
  <si>
    <t>CCROB6</t>
  </si>
  <si>
    <t>CEED12</t>
  </si>
  <si>
    <t>CGOS13</t>
  </si>
  <si>
    <t>CEPEC1</t>
  </si>
  <si>
    <t>CEPEC2</t>
  </si>
  <si>
    <t>CMGD28</t>
  </si>
  <si>
    <t>CMTR29</t>
  </si>
  <si>
    <t>CEEBC3</t>
  </si>
  <si>
    <t>CEEBC4</t>
  </si>
  <si>
    <t>CEEBB6</t>
  </si>
  <si>
    <t>COCE18</t>
  </si>
  <si>
    <t>CART13</t>
  </si>
  <si>
    <t>CAJS12</t>
  </si>
  <si>
    <t>ECER12</t>
  </si>
  <si>
    <t>RODT12</t>
  </si>
  <si>
    <t>CONF11</t>
  </si>
  <si>
    <t>CSMGA6</t>
  </si>
  <si>
    <t>CPLD37</t>
  </si>
  <si>
    <t>CPGT27</t>
  </si>
  <si>
    <t>CPGT28</t>
  </si>
  <si>
    <t>CSRNC0</t>
  </si>
  <si>
    <t>CPFGA2</t>
  </si>
  <si>
    <t>CMIN12</t>
  </si>
  <si>
    <t>CMIN22</t>
  </si>
  <si>
    <t>ECHP22</t>
  </si>
  <si>
    <t>ASCP13</t>
  </si>
  <si>
    <t>ASCP23</t>
  </si>
  <si>
    <t>MGSP12</t>
  </si>
  <si>
    <t>EKTRC0</t>
  </si>
  <si>
    <t>EKTRC1</t>
  </si>
  <si>
    <t>CTGE11</t>
  </si>
  <si>
    <t>CTGE13</t>
  </si>
  <si>
    <t>ELPLA7</t>
  </si>
  <si>
    <t>ENAT11</t>
  </si>
  <si>
    <t>ENGIA5</t>
  </si>
  <si>
    <t>ENGIA6</t>
  </si>
  <si>
    <t>ENGIB6</t>
  </si>
  <si>
    <t>ENMTA4</t>
  </si>
  <si>
    <t>ENMTA5</t>
  </si>
  <si>
    <t>ENMTB5</t>
  </si>
  <si>
    <t>EDVP17</t>
  </si>
  <si>
    <t>ESULA6</t>
  </si>
  <si>
    <t>ENEV18</t>
  </si>
  <si>
    <t>ENEV28</t>
  </si>
  <si>
    <t>ENEV19</t>
  </si>
  <si>
    <t>ENEV29</t>
  </si>
  <si>
    <t>ENEV39</t>
  </si>
  <si>
    <t>EGIEA0</t>
  </si>
  <si>
    <t>EOVC11</t>
  </si>
  <si>
    <t>FLCLA0</t>
  </si>
  <si>
    <t>GBSP11</t>
  </si>
  <si>
    <t>HVSP11</t>
  </si>
  <si>
    <t>HBSA11</t>
  </si>
  <si>
    <t>HBSA21</t>
  </si>
  <si>
    <t>HARG11</t>
  </si>
  <si>
    <t>IRJS14</t>
  </si>
  <si>
    <t>IEMD12</t>
  </si>
  <si>
    <t>IRBR12</t>
  </si>
  <si>
    <t>ITPO14</t>
  </si>
  <si>
    <t>JALL11</t>
  </si>
  <si>
    <t>JALL21</t>
  </si>
  <si>
    <t>JALL13</t>
  </si>
  <si>
    <t>JTEE12</t>
  </si>
  <si>
    <t>CPTM15</t>
  </si>
  <si>
    <t>LTTE15</t>
  </si>
  <si>
    <t>LCAMD3</t>
  </si>
  <si>
    <t>MSGT13</t>
  </si>
  <si>
    <t>MSGT23</t>
  </si>
  <si>
    <t>MSGT33</t>
  </si>
  <si>
    <t>TPNO13</t>
  </si>
  <si>
    <t>MEZ511</t>
  </si>
  <si>
    <t>MOVI37</t>
  </si>
  <si>
    <t>MOVI18</t>
  </si>
  <si>
    <t>MOVI28</t>
  </si>
  <si>
    <t>NCEN11</t>
  </si>
  <si>
    <t>HZTC14</t>
  </si>
  <si>
    <t>PTAZ11</t>
  </si>
  <si>
    <t>PEJA11</t>
  </si>
  <si>
    <t>PRPO12</t>
  </si>
  <si>
    <t>RESA17</t>
  </si>
  <si>
    <t>RESA27</t>
  </si>
  <si>
    <t>RDVE11</t>
  </si>
  <si>
    <t>GASC22</t>
  </si>
  <si>
    <t>GASC23</t>
  </si>
  <si>
    <t>SAUC14</t>
  </si>
  <si>
    <t>SBSPE9</t>
  </si>
  <si>
    <t>SBSPF9</t>
  </si>
  <si>
    <t>SAPRB3</t>
  </si>
  <si>
    <t>SMTO14</t>
  </si>
  <si>
    <t>SMTO24</t>
  </si>
  <si>
    <t>IBPB11</t>
  </si>
  <si>
    <t>CSNAA4</t>
  </si>
  <si>
    <t>CSNAB4</t>
  </si>
  <si>
    <t>CSNAC4</t>
  </si>
  <si>
    <t>JSMLB5</t>
  </si>
  <si>
    <t>SUZB19</t>
  </si>
  <si>
    <t>SUZB29</t>
  </si>
  <si>
    <t>TAEE18</t>
  </si>
  <si>
    <t>TAEEA2</t>
  </si>
  <si>
    <t>TAEEB2</t>
  </si>
  <si>
    <t>TAEEC2</t>
  </si>
  <si>
    <t>TAEED2</t>
  </si>
  <si>
    <t>CJEN13</t>
  </si>
  <si>
    <t>TIMS12</t>
  </si>
  <si>
    <t>CTEE1B</t>
  </si>
  <si>
    <t>CTEE2B</t>
  </si>
  <si>
    <t>TBCR18</t>
  </si>
  <si>
    <t>TRCC11</t>
  </si>
  <si>
    <t>CONX12</t>
  </si>
  <si>
    <t>TNHL11</t>
  </si>
  <si>
    <t>TVVH11</t>
  </si>
  <si>
    <t>UHSM12</t>
  </si>
  <si>
    <t>UNTE11</t>
  </si>
  <si>
    <t>USAS11</t>
  </si>
  <si>
    <t>VAMO34</t>
  </si>
  <si>
    <t>VSJH11</t>
  </si>
  <si>
    <t>VDEN12</t>
  </si>
  <si>
    <t>VERO12</t>
  </si>
  <si>
    <t>VBRR11</t>
  </si>
  <si>
    <t>VIMT13</t>
  </si>
  <si>
    <t>VLIM13</t>
  </si>
  <si>
    <t>WDPR11</t>
  </si>
  <si>
    <t>XNGU17</t>
  </si>
  <si>
    <t>Trustee Dtvm Ltda</t>
  </si>
  <si>
    <t xml:space="preserve">Data Base: </t>
  </si>
  <si>
    <t xml:space="preserve">Data digitada: </t>
  </si>
  <si>
    <t xml:space="preserve">Benchmark: </t>
  </si>
  <si>
    <t xml:space="preserve">Último Balanço: </t>
  </si>
  <si>
    <t xml:space="preserve">Digitar Data: </t>
  </si>
  <si>
    <t xml:space="preserve">Trimestre: </t>
  </si>
  <si>
    <t xml:space="preserve">Deflator: </t>
  </si>
  <si>
    <t xml:space="preserve">Unidade: </t>
  </si>
  <si>
    <t xml:space="preserve">Data Balanço: </t>
  </si>
  <si>
    <t xml:space="preserve">Data: </t>
  </si>
  <si>
    <t xml:space="preserve">Código: </t>
  </si>
  <si>
    <t xml:space="preserve">Empresa: </t>
  </si>
  <si>
    <t xml:space="preserve">Data Inicial do Balanço: </t>
  </si>
  <si>
    <t xml:space="preserve">Data Últ. Balanço (Final): </t>
  </si>
  <si>
    <t xml:space="preserve">Período em Anos: </t>
  </si>
  <si>
    <t xml:space="preserve">Periodicidade: </t>
  </si>
  <si>
    <t xml:space="preserve">Unidades: </t>
  </si>
  <si>
    <t xml:space="preserve">Data da planilha Debênture: </t>
  </si>
  <si>
    <t>AESLA5&lt;BraANB&gt;</t>
  </si>
  <si>
    <t>AESLA7&lt;BraANB&gt;</t>
  </si>
  <si>
    <t>AESLB7&lt;BraANB&gt;</t>
  </si>
  <si>
    <t>AESOA1&lt;BraANB&gt;</t>
  </si>
  <si>
    <t>RISP14&lt;BraANB&gt;</t>
  </si>
  <si>
    <t>RISP24&lt;BraANB&gt;</t>
  </si>
  <si>
    <t>RIS414&lt;BraANB&gt;</t>
  </si>
  <si>
    <t>RIS424&lt;BraANB&gt;</t>
  </si>
  <si>
    <t>ASER12&lt;BraANB&gt;</t>
  </si>
  <si>
    <t>ALGTA4&lt;BraANB&gt;</t>
  </si>
  <si>
    <t>ALGE16&lt;BraANB&gt;</t>
  </si>
  <si>
    <t>ASSR21&lt;BraANB&gt;</t>
  </si>
  <si>
    <t>ACRC21&lt;BraANB&gt;</t>
  </si>
  <si>
    <t>AURE12&lt;BraANB&gt;</t>
  </si>
  <si>
    <t>BHSA11&lt;BraANB&gt;</t>
  </si>
  <si>
    <t>BARU11&lt;BraANB&gt;</t>
  </si>
  <si>
    <t>RRRP13&lt;BraANB&gt;</t>
  </si>
  <si>
    <t>CLNG11&lt;BraANB&gt;</t>
  </si>
  <si>
    <t>CASN23&lt;BraANB&gt;</t>
  </si>
  <si>
    <t>CEED13&lt;BraANB&gt;</t>
  </si>
  <si>
    <t>EEELA0&lt;BraANB&gt;</t>
  </si>
  <si>
    <t>EEELA1&lt;BraANB&gt;</t>
  </si>
  <si>
    <t>EEELB1&lt;BraANB&gt;</t>
  </si>
  <si>
    <t>CLCD26&lt;BraANB&gt;</t>
  </si>
  <si>
    <t>CLCD27&lt;BraANB&gt;</t>
  </si>
  <si>
    <t>CGOS24&lt;BraANB&gt;</t>
  </si>
  <si>
    <t>CGOS34&lt;BraANB&gt;</t>
  </si>
  <si>
    <t>CGOS16&lt;BraANB&gt;</t>
  </si>
  <si>
    <t>CEPEB3&lt;BraANB&gt;</t>
  </si>
  <si>
    <t>CESE32&lt;BraANB&gt;</t>
  </si>
  <si>
    <t>CMGDB0&lt;BraANB&gt;</t>
  </si>
  <si>
    <t>ELTN15&lt;BraANB&gt;</t>
  </si>
  <si>
    <t>CESPA3&lt;BraANB&gt;</t>
  </si>
  <si>
    <t>CAEC12&lt;BraANB&gt;</t>
  </si>
  <si>
    <t>CTGE15&lt;BraANB&gt;</t>
  </si>
  <si>
    <t>CHSF13&lt;BraANB&gt;</t>
  </si>
  <si>
    <t>CCLS11&lt;BraANB&gt;</t>
  </si>
  <si>
    <t>CCLS21&lt;BraANB&gt;</t>
  </si>
  <si>
    <t>BCPSA5&lt;BraANB&gt;</t>
  </si>
  <si>
    <t>CEEBB7&lt;BraANB&gt;</t>
  </si>
  <si>
    <t>COMR14&lt;BraANB&gt;</t>
  </si>
  <si>
    <t>COMR15&lt;BraANB&gt;</t>
  </si>
  <si>
    <t>CGASB1&lt;BraANB&gt;</t>
  </si>
  <si>
    <t>CEAP12&lt;BraANB&gt;</t>
  </si>
  <si>
    <t>CEAP14&lt;BraANB&gt;</t>
  </si>
  <si>
    <t>IVIAA0&lt;BraANB&gt;</t>
  </si>
  <si>
    <t>CLTM14&lt;BraANB&gt;</t>
  </si>
  <si>
    <t>ECPN11&lt;BraANB&gt;</t>
  </si>
  <si>
    <t>RDOE18&lt;BraANB&gt;</t>
  </si>
  <si>
    <t>CAJS11&lt;BraANB&gt;</t>
  </si>
  <si>
    <t>ECOV16&lt;BraANB&gt;</t>
  </si>
  <si>
    <t>RATL11&lt;BraANB&gt;</t>
  </si>
  <si>
    <t>CSMGB8&lt;BraANB&gt;</t>
  </si>
  <si>
    <t>CSMGB9&lt;BraANB&gt;</t>
  </si>
  <si>
    <t>CPLD29&lt;BraANB&gt;</t>
  </si>
  <si>
    <t>CSRNA1&lt;BraANB&gt;</t>
  </si>
  <si>
    <t>CSRNB2&lt;BraANB&gt;</t>
  </si>
  <si>
    <t>CPFPA5&lt;BraANB&gt;</t>
  </si>
  <si>
    <t>CPFPA7&lt;BraANB&gt;</t>
  </si>
  <si>
    <t>CPFPB7&lt;BraANB&gt;</t>
  </si>
  <si>
    <t>DESK17&lt;BraANB&gt;</t>
  </si>
  <si>
    <t>ECHP12&lt;BraANB&gt;</t>
  </si>
  <si>
    <t>ERDVC3&lt;BraANB&gt;</t>
  </si>
  <si>
    <t>ERDVA4&lt;BraANB&gt;</t>
  </si>
  <si>
    <t>ERDVB4&lt;BraANB&gt;</t>
  </si>
  <si>
    <t>ERDVC4&lt;BraANB&gt;</t>
  </si>
  <si>
    <t>EKTT11&lt;BraANB&gt;</t>
  </si>
  <si>
    <t>EKTRB3&lt;BraANB&gt;</t>
  </si>
  <si>
    <t>ELET14&lt;BraANB&gt;</t>
  </si>
  <si>
    <t>EBAS13&lt;BraANB&gt;</t>
  </si>
  <si>
    <t>ENAT12&lt;BraANB&gt;</t>
  </si>
  <si>
    <t>ENAT13&lt;BraANB&gt;</t>
  </si>
  <si>
    <t>ENAT33&lt;BraANB&gt;</t>
  </si>
  <si>
    <t>ENAT14&lt;BraANB&gt;</t>
  </si>
  <si>
    <t>ENAT24&lt;BraANB&gt;</t>
  </si>
  <si>
    <t>ENGIA9&lt;BraANB&gt;</t>
  </si>
  <si>
    <t>ENGIB9&lt;BraANB&gt;</t>
  </si>
  <si>
    <t>ENGIB0&lt;BraANB&gt;</t>
  </si>
  <si>
    <t>ENGIC0&lt;BraANB&gt;</t>
  </si>
  <si>
    <t>ENMTA7&lt;BraANB&gt;</t>
  </si>
  <si>
    <t>SAELA1&lt;BraANB&gt;</t>
  </si>
  <si>
    <t>SAELA3&lt;BraANB&gt;</t>
  </si>
  <si>
    <t>SAELB3&lt;BraANB&gt;</t>
  </si>
  <si>
    <t>ENSEA1&lt;BraANB&gt;</t>
  </si>
  <si>
    <t>ENERA1&lt;BraANB&gt;</t>
  </si>
  <si>
    <t>ENEVA0&lt;BraANB&gt;</t>
  </si>
  <si>
    <t>ENEVB0&lt;BraANB&gt;</t>
  </si>
  <si>
    <t>EGIEA1&lt;BraANB&gt;</t>
  </si>
  <si>
    <t>EGIEB1&lt;BraANB&gt;</t>
  </si>
  <si>
    <t>EGIEB2&lt;BraANB&gt;</t>
  </si>
  <si>
    <t>EUBE11&lt;BraANB&gt;</t>
  </si>
  <si>
    <t>EQMAA0&lt;BraANB&gt;</t>
  </si>
  <si>
    <t>FBRI13&lt;BraANB&gt;</t>
  </si>
  <si>
    <t>IRJS15&lt;BraANB&gt;</t>
  </si>
  <si>
    <t>ITGT11&lt;BraANB&gt;</t>
  </si>
  <si>
    <t>JALL14&lt;BraANB&gt;</t>
  </si>
  <si>
    <t>JALL24&lt;BraANB&gt;</t>
  </si>
  <si>
    <t>JALL15&lt;BraANB&gt;</t>
  </si>
  <si>
    <t>LGEN11&lt;BraANB&gt;</t>
  </si>
  <si>
    <t>MVLV16&lt;BraANB&gt;</t>
  </si>
  <si>
    <t>MRSAA1&lt;BraANB&gt;</t>
  </si>
  <si>
    <t>MRSAB1&lt;BraANB&gt;</t>
  </si>
  <si>
    <t>MRSAC1&lt;BraANB&gt;</t>
  </si>
  <si>
    <t>ORIG11&lt;BraANB&gt;</t>
  </si>
  <si>
    <t>PALFA3&lt;BraANB&gt;</t>
  </si>
  <si>
    <t>PALFB3&lt;BraANB&gt;</t>
  </si>
  <si>
    <t>PEJA22&lt;BraANB&gt;</t>
  </si>
  <si>
    <t>PEJA23&lt;BraANB&gt;</t>
  </si>
  <si>
    <t>RECV11&lt;BraANB&gt;</t>
  </si>
  <si>
    <t>SABP12&lt;BraANB&gt;</t>
  </si>
  <si>
    <t>RAHD11&lt;BraANB&gt;</t>
  </si>
  <si>
    <t>GASC15&lt;BraANB&gt;</t>
  </si>
  <si>
    <t>GASC25&lt;BraANB&gt;</t>
  </si>
  <si>
    <t>GASC16&lt;BraANB&gt;</t>
  </si>
  <si>
    <t>GASC26&lt;BraANB&gt;</t>
  </si>
  <si>
    <t>RUMOA7&lt;BraANB&gt;</t>
  </si>
  <si>
    <t>RUMOB7&lt;BraANB&gt;</t>
  </si>
  <si>
    <t>SAIP11&lt;BraANB&gt;</t>
  </si>
  <si>
    <t>CSNAA5&lt;BraANB&gt;</t>
  </si>
  <si>
    <t>CSNAB5&lt;BraANB&gt;</t>
  </si>
  <si>
    <t>SNRA13&lt;BraANB&gt;</t>
  </si>
  <si>
    <t>SUZBA0&lt;BraANB&gt;</t>
  </si>
  <si>
    <t>TAEEA4&lt;BraANB&gt;</t>
  </si>
  <si>
    <t>TAEEB4&lt;BraANB&gt;</t>
  </si>
  <si>
    <t>TAEEC4&lt;BraANB&gt;</t>
  </si>
  <si>
    <t>TRPLA4&lt;BraANB&gt;</t>
  </si>
  <si>
    <t>TRPLB4&lt;BraANB&gt;</t>
  </si>
  <si>
    <t>TSSG21&lt;BraANB&gt;</t>
  </si>
  <si>
    <t>VERO13&lt;BraANB&gt;</t>
  </si>
  <si>
    <t>VLIM14&lt;BraANB&gt;</t>
  </si>
  <si>
    <t>VLIM15&lt;BraANB&gt;</t>
  </si>
  <si>
    <t>BRSTNCNTB716&lt;BraANB&gt;</t>
  </si>
  <si>
    <t>BRAESLDBS0O1</t>
  </si>
  <si>
    <t>BRAESLDBS0R4</t>
  </si>
  <si>
    <t>BRAESLDBS0S2</t>
  </si>
  <si>
    <t>BRAESODBS010</t>
  </si>
  <si>
    <t>BRRISPDBS053</t>
  </si>
  <si>
    <t>BRRISPDBS061</t>
  </si>
  <si>
    <t>BRRIS4DBS055</t>
  </si>
  <si>
    <t>BRRIS4DBS063</t>
  </si>
  <si>
    <t>BRASERDBS013</t>
  </si>
  <si>
    <t>BRALGTDBS050</t>
  </si>
  <si>
    <t>BRALGTDBS0K6</t>
  </si>
  <si>
    <t>BRALGEDBS052</t>
  </si>
  <si>
    <t>BRAMERDBS008</t>
  </si>
  <si>
    <t>BRAMERDBS081</t>
  </si>
  <si>
    <t>BRASSRDBS013</t>
  </si>
  <si>
    <t>BRACRCDBS011</t>
  </si>
  <si>
    <t>BRAUREDBS019</t>
  </si>
  <si>
    <t>BRBHSADBS002</t>
  </si>
  <si>
    <t>BRBARUDBS007</t>
  </si>
  <si>
    <t>BRRRRPDBS056</t>
  </si>
  <si>
    <t>BRCLNGDBS000</t>
  </si>
  <si>
    <t>BRCASNDBS065</t>
  </si>
  <si>
    <t>BRCEEDDBS043</t>
  </si>
  <si>
    <t>BREEELDBS059</t>
  </si>
  <si>
    <t>BREEELDBS075</t>
  </si>
  <si>
    <t>BREEELDBS083</t>
  </si>
  <si>
    <t>BRCLCDDBS067</t>
  </si>
  <si>
    <t>BRCLCDDBS083</t>
  </si>
  <si>
    <t>BRCGOSDBS045</t>
  </si>
  <si>
    <t>BRCGOSDBS052</t>
  </si>
  <si>
    <t>BRCGOSDBS078</t>
  </si>
  <si>
    <t>BRCEPEDBS0O1</t>
  </si>
  <si>
    <t>BRCESEDBS033</t>
  </si>
  <si>
    <t>BRCMGDDBS0E4</t>
  </si>
  <si>
    <t>BRELTNDBS033</t>
  </si>
  <si>
    <t>BRCESPDBS2C6</t>
  </si>
  <si>
    <t>BRCAECDBS027</t>
  </si>
  <si>
    <t>BRCTGEDBS044</t>
  </si>
  <si>
    <t>BRCHSFDBS017</t>
  </si>
  <si>
    <t>BRCCLSDBS008</t>
  </si>
  <si>
    <t>BRCCLSDBS016</t>
  </si>
  <si>
    <t>BRBCPSDBS0C3</t>
  </si>
  <si>
    <t>BRCEEBDBS0W0</t>
  </si>
  <si>
    <t>BRCOMRDBS029</t>
  </si>
  <si>
    <t>BRCOMRDBS037</t>
  </si>
  <si>
    <t>BRCGASDBS0F8</t>
  </si>
  <si>
    <t>BRCEAPDBS011</t>
  </si>
  <si>
    <t>BRCEAPDBS037</t>
  </si>
  <si>
    <t>BRIVIADBS0C2</t>
  </si>
  <si>
    <t>BRCLTMDBS039</t>
  </si>
  <si>
    <t>BRECPNDBS006</t>
  </si>
  <si>
    <t>BRRDOEDBS0A5</t>
  </si>
  <si>
    <t>BRCAJSDBS006</t>
  </si>
  <si>
    <t>BRECOVDBS093</t>
  </si>
  <si>
    <t>BRRATLDBS008</t>
  </si>
  <si>
    <t>BRCSMGDBS0M0</t>
  </si>
  <si>
    <t>BRCSMGDBS0O6</t>
  </si>
  <si>
    <t>BRCPLDDBS0F1</t>
  </si>
  <si>
    <t>BRCSRNDBS0H6</t>
  </si>
  <si>
    <t>BRCSRNDBS0J2</t>
  </si>
  <si>
    <t>BRCPFPDBS0G3</t>
  </si>
  <si>
    <t>BRCPFPDBS0J7</t>
  </si>
  <si>
    <t>BRCPFPDBS0K5</t>
  </si>
  <si>
    <t>BRDESKDBS053</t>
  </si>
  <si>
    <t>BRECHPDBS016</t>
  </si>
  <si>
    <t>BRERDVDBS0O7</t>
  </si>
  <si>
    <t>BRERDVDBS0Q2</t>
  </si>
  <si>
    <t>BRERDVDBS0R0</t>
  </si>
  <si>
    <t>BRERDVDBS0S8</t>
  </si>
  <si>
    <t>BREKTTDBS008</t>
  </si>
  <si>
    <t>BREKTRDBS0T1</t>
  </si>
  <si>
    <t>BRELETDBS065</t>
  </si>
  <si>
    <t>BREBASDBS017</t>
  </si>
  <si>
    <t>BRENATDBS028</t>
  </si>
  <si>
    <t>BRENATDBS051</t>
  </si>
  <si>
    <t>BRENATDBS077</t>
  </si>
  <si>
    <t>BRENATDBS085</t>
  </si>
  <si>
    <t>BRENATDBS093</t>
  </si>
  <si>
    <t>BRENGIDBS119</t>
  </si>
  <si>
    <t>BRENGIDBS127</t>
  </si>
  <si>
    <t>BRENGIDBS150</t>
  </si>
  <si>
    <t>BRENGIDBS168</t>
  </si>
  <si>
    <t>BRENMTDBS0J4</t>
  </si>
  <si>
    <t>BRSAELDBS0E2</t>
  </si>
  <si>
    <t>BRSAELDBS0I3</t>
  </si>
  <si>
    <t>BRSAELDBS0J1</t>
  </si>
  <si>
    <t>BRENSEDBS0J5</t>
  </si>
  <si>
    <t>BRENERDBS0N8</t>
  </si>
  <si>
    <t>BRENEVDBS0N2</t>
  </si>
  <si>
    <t>BRENEVDBS0O0</t>
  </si>
  <si>
    <t>BREGIEDBS001</t>
  </si>
  <si>
    <t>BREGIEDBS0C1</t>
  </si>
  <si>
    <t>BREGIEDBS0D9</t>
  </si>
  <si>
    <t>BREGIEDBS0I8</t>
  </si>
  <si>
    <t>BREUBEDBS007</t>
  </si>
  <si>
    <t>BREQMADBS059</t>
  </si>
  <si>
    <t>BRFBRIDBS027</t>
  </si>
  <si>
    <t>BRIRJSDBS031</t>
  </si>
  <si>
    <t>BRITGTDBS007</t>
  </si>
  <si>
    <t>BRJALLDBS036</t>
  </si>
  <si>
    <t>BRJALLDBS044</t>
  </si>
  <si>
    <t>BRJALLDBS051</t>
  </si>
  <si>
    <t>BRLGERDBS007</t>
  </si>
  <si>
    <t>BRMVLVDBS050</t>
  </si>
  <si>
    <t>BRMRSADBS0H9</t>
  </si>
  <si>
    <t>BRMRSADBS0I7</t>
  </si>
  <si>
    <t>BRMRSADBS0J5</t>
  </si>
  <si>
    <t>BR0HJ5DBS000</t>
  </si>
  <si>
    <t>BRORMADBS023</t>
  </si>
  <si>
    <t>BRPALFDBS0H7</t>
  </si>
  <si>
    <t>BRPALFDBS0I5</t>
  </si>
  <si>
    <t>BRPEJADBS032</t>
  </si>
  <si>
    <t>BRPEJADBS057</t>
  </si>
  <si>
    <t>BRRECVDBS005</t>
  </si>
  <si>
    <t>BRSABPDBS013</t>
  </si>
  <si>
    <t>BRRAHDDBS000</t>
  </si>
  <si>
    <t>BRGASCDBS069</t>
  </si>
  <si>
    <t>BRGASCDBS077</t>
  </si>
  <si>
    <t>BRGASCDBS085</t>
  </si>
  <si>
    <t>BRGASCDBS093</t>
  </si>
  <si>
    <t>BRRAILDBS0A7</t>
  </si>
  <si>
    <t>BRRAILDBS0B5</t>
  </si>
  <si>
    <t>BRSAIPDBS000</t>
  </si>
  <si>
    <t>BRCSNADBS0K9</t>
  </si>
  <si>
    <t>BRCSNADBS0L7</t>
  </si>
  <si>
    <t>BRSNRADBS022</t>
  </si>
  <si>
    <t>BRSUZBDBS077</t>
  </si>
  <si>
    <t>BRTAEEDBS0T8</t>
  </si>
  <si>
    <t>BRTAEEDBS0U6</t>
  </si>
  <si>
    <t>BRTAEEDBS0V4</t>
  </si>
  <si>
    <t>BRTRPLDBS0L4</t>
  </si>
  <si>
    <t>BRTRPLDBS0M2</t>
  </si>
  <si>
    <t>BRTSSGDBS016</t>
  </si>
  <si>
    <t>BRFIQEDBS007</t>
  </si>
  <si>
    <t>BRVSJHDBS001</t>
  </si>
  <si>
    <t>BRVERODBS026</t>
  </si>
  <si>
    <t>BTG Pactual Serv Financeiros SA DTVM</t>
  </si>
  <si>
    <t>BTG Pactual Investment Banking Ltda</t>
  </si>
  <si>
    <t>Itau Unibanco Holding SA</t>
  </si>
  <si>
    <t>Nu Invest Corretora de Valores SA</t>
  </si>
  <si>
    <t>Banco BNP Paribas Brasil SA</t>
  </si>
  <si>
    <t>RB Capital Investimentos DTVM Ltda</t>
  </si>
  <si>
    <t>IPCA + 6,1774%</t>
  </si>
  <si>
    <t>IPCA + 6,1409%</t>
  </si>
  <si>
    <t>IPCA + 6,2031%</t>
  </si>
  <si>
    <t>IPCA + 6,4966%</t>
  </si>
  <si>
    <t>IPCA + 7,3591%</t>
  </si>
  <si>
    <t>IPCA + 7,6920%</t>
  </si>
  <si>
    <t>IPCA + 8,4051%</t>
  </si>
  <si>
    <t>IPCA + 6,3243%</t>
  </si>
  <si>
    <t>IPCA + 6,1451%</t>
  </si>
  <si>
    <t>IPCA + 7,1071%</t>
  </si>
  <si>
    <t>IPCA + 7,4150%</t>
  </si>
  <si>
    <t>IPCA + 6,2980%</t>
  </si>
  <si>
    <t>IPCA + 6,8413%</t>
  </si>
  <si>
    <t>IPCA + 7,7959%</t>
  </si>
  <si>
    <t>IPCA + 8,4166%</t>
  </si>
  <si>
    <t>IPCA + 8,7345%</t>
  </si>
  <si>
    <t>IPCA + 10,3294%</t>
  </si>
  <si>
    <t>IPCA + 6,0994%</t>
  </si>
  <si>
    <t>IPCA + 6,1572%</t>
  </si>
  <si>
    <t>IPCA + 6,5279%</t>
  </si>
  <si>
    <t>IPCA + 6,9534%</t>
  </si>
  <si>
    <t>IPCA + 6,4407%</t>
  </si>
  <si>
    <t>IPCA + 6,6789%</t>
  </si>
  <si>
    <t>IPCA + 6,4895%</t>
  </si>
  <si>
    <t>IPCA + 7,4941%</t>
  </si>
  <si>
    <t>IPCA + 6,1469%</t>
  </si>
  <si>
    <t>IPCA + 6,3423%</t>
  </si>
  <si>
    <t>IPCA + 6,1661%</t>
  </si>
  <si>
    <t>IPCA + 8,1891%</t>
  </si>
  <si>
    <t>IPCA + 6,7670%</t>
  </si>
  <si>
    <t>IPCA + 6,6739%</t>
  </si>
  <si>
    <t>IPCA + 6,8405%</t>
  </si>
  <si>
    <t>IPCA + 5,7687%</t>
  </si>
  <si>
    <t>IPCA + 7,9171%</t>
  </si>
  <si>
    <t>IPCA + 7,2209%</t>
  </si>
  <si>
    <t>IPCA + 6,4504%</t>
  </si>
  <si>
    <t>IPCA + 6,7500%</t>
  </si>
  <si>
    <t>IPCA + 6,8672%</t>
  </si>
  <si>
    <t>IPCA + 5,9500%</t>
  </si>
  <si>
    <t>IPCA + 5,4000%</t>
  </si>
  <si>
    <t>IPCA + 6,0950%</t>
  </si>
  <si>
    <t>IPCA + 7,1717%</t>
  </si>
  <si>
    <t>IPCA + 7,2735%</t>
  </si>
  <si>
    <t>IPCA + 6,2831%</t>
  </si>
  <si>
    <t>IPCA + 6,4482%</t>
  </si>
  <si>
    <t>IPCA + 6,0691%</t>
  </si>
  <si>
    <t>IPCA + 6,2350%</t>
  </si>
  <si>
    <t>IPCA + 6,3018%</t>
  </si>
  <si>
    <t>IPCA + 7,4408%</t>
  </si>
  <si>
    <t>IPCA + 6,8285%</t>
  </si>
  <si>
    <t>IPCA + 6,8233%</t>
  </si>
  <si>
    <t>IPCA + 7,1117%</t>
  </si>
  <si>
    <t>IPCA + 7,3108%</t>
  </si>
  <si>
    <t>IPCA + 6,4217%</t>
  </si>
  <si>
    <t>IPCA + 6,2587%</t>
  </si>
  <si>
    <t>IPCA + 6,3170%</t>
  </si>
  <si>
    <t>IPCA + 8,6000%</t>
  </si>
  <si>
    <t>IPCA + 7,1149%</t>
  </si>
  <si>
    <t>IPCA + 8,0618%</t>
  </si>
  <si>
    <t>IPCA + 8,2620%</t>
  </si>
  <si>
    <t>IPCA + 8,0560%</t>
  </si>
  <si>
    <t>IPCA + 8,2674%</t>
  </si>
  <si>
    <t>IPCA + 6,1666%</t>
  </si>
  <si>
    <t>IPCA + 6,4526%</t>
  </si>
  <si>
    <t>IPCA + 6,1581%</t>
  </si>
  <si>
    <t>IPCA + 6,4045%</t>
  </si>
  <si>
    <t>IPCA + 6,0123%</t>
  </si>
  <si>
    <t>IPCA + 5,7360%</t>
  </si>
  <si>
    <t>IPCA + 6,5643%</t>
  </si>
  <si>
    <t>IPCA + 6,6737%</t>
  </si>
  <si>
    <t>IPCA + 5,9325%</t>
  </si>
  <si>
    <t>IPCA + 6,7766%</t>
  </si>
  <si>
    <t>IPCA + 6,4449%</t>
  </si>
  <si>
    <t>IPCA + 7,3609%</t>
  </si>
  <si>
    <t>IPCA + 7,1303%</t>
  </si>
  <si>
    <t>IPCA + 5,4174%</t>
  </si>
  <si>
    <t>IPCA + 7,1163%</t>
  </si>
  <si>
    <t>IPCA + 7,2340%</t>
  </si>
  <si>
    <t>IPCA + 6,6074%</t>
  </si>
  <si>
    <t>IPCA + 7,3287%</t>
  </si>
  <si>
    <t>IPCA + 7,1702%</t>
  </si>
  <si>
    <t>IPCA + 6,2414%</t>
  </si>
  <si>
    <t>IPCA + 6,3439%</t>
  </si>
  <si>
    <t>IPCA + 6,4496%</t>
  </si>
  <si>
    <t>IPCA + 8,4001%</t>
  </si>
  <si>
    <t>IPCA + 6,1753%</t>
  </si>
  <si>
    <t>IPCA + 6,4662%</t>
  </si>
  <si>
    <t>IPCA + 6,5102%</t>
  </si>
  <si>
    <t>IPCA + 7,3249%</t>
  </si>
  <si>
    <t>IPCA + 7,3274%</t>
  </si>
  <si>
    <t>IPCA + 7,8500%</t>
  </si>
  <si>
    <t>IPCA + 4,5200%</t>
  </si>
  <si>
    <t>IPCA + 5,7970%</t>
  </si>
  <si>
    <t>IPCA + 5,9284%</t>
  </si>
  <si>
    <t>IPCA + 6,4186%</t>
  </si>
  <si>
    <t>IPCA + 6,5318%</t>
  </si>
  <si>
    <t>IPCA + 5,7600%</t>
  </si>
  <si>
    <t>IPCA + 6,1830%</t>
  </si>
  <si>
    <t>IPCA + 6,7879%</t>
  </si>
  <si>
    <t>IPCA + 6,8300%</t>
  </si>
  <si>
    <t>IPCA + 6,9924%</t>
  </si>
  <si>
    <t>IPCA + 7,2867%</t>
  </si>
  <si>
    <t>IPCA + 6,1889%</t>
  </si>
  <si>
    <t>IPCA + 5,8741%</t>
  </si>
  <si>
    <t>IPCA + 6,0653%</t>
  </si>
  <si>
    <t>IPCA + 6,2709%</t>
  </si>
  <si>
    <t>IPCA + 4,0432%</t>
  </si>
  <si>
    <t>IPCA + 6,2607%</t>
  </si>
  <si>
    <t>IPCA + 6,4364%</t>
  </si>
  <si>
    <t>IPCA + 5,9851%</t>
  </si>
  <si>
    <t>IPCA + 8,4041%</t>
  </si>
  <si>
    <t>AESLA5</t>
  </si>
  <si>
    <t>AESLA7</t>
  </si>
  <si>
    <t>AESLB7</t>
  </si>
  <si>
    <t>AESOA1</t>
  </si>
  <si>
    <t>RISP14</t>
  </si>
  <si>
    <t>RISP24</t>
  </si>
  <si>
    <t>RIS414</t>
  </si>
  <si>
    <t>RIS424</t>
  </si>
  <si>
    <t>ASER12</t>
  </si>
  <si>
    <t>ALGTA4</t>
  </si>
  <si>
    <t>ALGE16</t>
  </si>
  <si>
    <t>ASSR21</t>
  </si>
  <si>
    <t>ACRC21</t>
  </si>
  <si>
    <t>AURE12</t>
  </si>
  <si>
    <t>BHSA11</t>
  </si>
  <si>
    <t>BARU11</t>
  </si>
  <si>
    <t>RRRP13</t>
  </si>
  <si>
    <t>CLNG11</t>
  </si>
  <si>
    <t>CASN23</t>
  </si>
  <si>
    <t>CEED13</t>
  </si>
  <si>
    <t>EEELA0</t>
  </si>
  <si>
    <t>EEELA1</t>
  </si>
  <si>
    <t>EEELB1</t>
  </si>
  <si>
    <t>CLCD26</t>
  </si>
  <si>
    <t>CLCD27</t>
  </si>
  <si>
    <t>CGOS24</t>
  </si>
  <si>
    <t>CGOS34</t>
  </si>
  <si>
    <t>CGOS16</t>
  </si>
  <si>
    <t>CEPEB3</t>
  </si>
  <si>
    <t>CESE32</t>
  </si>
  <si>
    <t>CMGDB0</t>
  </si>
  <si>
    <t>ELTN15</t>
  </si>
  <si>
    <t>CESPA3</t>
  </si>
  <si>
    <t>CAEC12</t>
  </si>
  <si>
    <t>CTGE15</t>
  </si>
  <si>
    <t>CHSF13</t>
  </si>
  <si>
    <t>CCLS11</t>
  </si>
  <si>
    <t>CCLS21</t>
  </si>
  <si>
    <t>BCPSA5</t>
  </si>
  <si>
    <t>CEEBB7</t>
  </si>
  <si>
    <t>COMR14</t>
  </si>
  <si>
    <t>COMR15</t>
  </si>
  <si>
    <t>CGASB1</t>
  </si>
  <si>
    <t>CEAP12</t>
  </si>
  <si>
    <t>CEAP14</t>
  </si>
  <si>
    <t>IVIAA0</t>
  </si>
  <si>
    <t>CLTM14</t>
  </si>
  <si>
    <t>ECPN11</t>
  </si>
  <si>
    <t>RDOE18</t>
  </si>
  <si>
    <t>CAJS11</t>
  </si>
  <si>
    <t>ECOV16</t>
  </si>
  <si>
    <t>RATL11</t>
  </si>
  <si>
    <t>CSMGB8</t>
  </si>
  <si>
    <t>CSMGB9</t>
  </si>
  <si>
    <t>CPLD29</t>
  </si>
  <si>
    <t>CSRNA1</t>
  </si>
  <si>
    <t>CSRNB2</t>
  </si>
  <si>
    <t>CPFPA5</t>
  </si>
  <si>
    <t>CPFPA7</t>
  </si>
  <si>
    <t>CPFPB7</t>
  </si>
  <si>
    <t>DESK17</t>
  </si>
  <si>
    <t>ECHP12</t>
  </si>
  <si>
    <t>ERDVC3</t>
  </si>
  <si>
    <t>ERDVA4</t>
  </si>
  <si>
    <t>ERDVB4</t>
  </si>
  <si>
    <t>ERDVC4</t>
  </si>
  <si>
    <t>EKTT11</t>
  </si>
  <si>
    <t>EKTRB3</t>
  </si>
  <si>
    <t>ELET14</t>
  </si>
  <si>
    <t>EBAS13</t>
  </si>
  <si>
    <t>ENAT12</t>
  </si>
  <si>
    <t>ENAT13</t>
  </si>
  <si>
    <t>ENAT33</t>
  </si>
  <si>
    <t>ENAT14</t>
  </si>
  <si>
    <t>ENAT24</t>
  </si>
  <si>
    <t>ENGIA9</t>
  </si>
  <si>
    <t>ENGIB9</t>
  </si>
  <si>
    <t>ENGIB0</t>
  </si>
  <si>
    <t>ENGIC0</t>
  </si>
  <si>
    <t>ENMTA7</t>
  </si>
  <si>
    <t>SAELA1</t>
  </si>
  <si>
    <t>SAELA3</t>
  </si>
  <si>
    <t>SAELB3</t>
  </si>
  <si>
    <t>ENSEA1</t>
  </si>
  <si>
    <t>ENERA1</t>
  </si>
  <si>
    <t>ENEVA0</t>
  </si>
  <si>
    <t>ENEVB0</t>
  </si>
  <si>
    <t>EGIEA1</t>
  </si>
  <si>
    <t>EGIEB1</t>
  </si>
  <si>
    <t>EGIEB2</t>
  </si>
  <si>
    <t>EUBE11</t>
  </si>
  <si>
    <t>EQMAA0</t>
  </si>
  <si>
    <t>FBRI13</t>
  </si>
  <si>
    <t>IRJS15</t>
  </si>
  <si>
    <t>ITGT11</t>
  </si>
  <si>
    <t>JALL14</t>
  </si>
  <si>
    <t>JALL24</t>
  </si>
  <si>
    <t>JALL15</t>
  </si>
  <si>
    <t>LGEN11</t>
  </si>
  <si>
    <t>MVLV16</t>
  </si>
  <si>
    <t>MRSAA1</t>
  </si>
  <si>
    <t>MRSAB1</t>
  </si>
  <si>
    <t>MRSAC1</t>
  </si>
  <si>
    <t>ORIG11</t>
  </si>
  <si>
    <t>PALFA3</t>
  </si>
  <si>
    <t>PALFB3</t>
  </si>
  <si>
    <t>PEJA22</t>
  </si>
  <si>
    <t>PEJA23</t>
  </si>
  <si>
    <t>RECV11</t>
  </si>
  <si>
    <t>SABP12</t>
  </si>
  <si>
    <t>RAHD11</t>
  </si>
  <si>
    <t>GASC15</t>
  </si>
  <si>
    <t>GASC25</t>
  </si>
  <si>
    <t>GASC16</t>
  </si>
  <si>
    <t>GASC26</t>
  </si>
  <si>
    <t>RUMOA7</t>
  </si>
  <si>
    <t>RUMOB7</t>
  </si>
  <si>
    <t>SAIP11</t>
  </si>
  <si>
    <t>CSNAA5</t>
  </si>
  <si>
    <t>CSNAB5</t>
  </si>
  <si>
    <t>SNRA13</t>
  </si>
  <si>
    <t>SUZBA0</t>
  </si>
  <si>
    <t>TAEEA4</t>
  </si>
  <si>
    <t>TAEEB4</t>
  </si>
  <si>
    <t>TAEEC4</t>
  </si>
  <si>
    <t>TRPLA4</t>
  </si>
  <si>
    <t>TRPLB4</t>
  </si>
  <si>
    <t>TSSG21</t>
  </si>
  <si>
    <t>VERO13</t>
  </si>
  <si>
    <t>3 parcelas em 15-out-2031, em 15-out-2032 e no vencimento.</t>
  </si>
  <si>
    <t>3 parcelas em 15-abr-2032, em 15-abr-2033 e no vencimento.</t>
  </si>
  <si>
    <t>3 parcelas em 15-abr-2037, em 15-abr-2038 e no vencimento.</t>
  </si>
  <si>
    <t>Pagamento semestral, nos dias 15-mar e 15-set. Primeiro em 15-mar-2028 e último no vencimento.</t>
  </si>
  <si>
    <t>Pagamento semestral, nos dias 15-mar e 15-set. Primeiro em 15-mar-2035 e último no vencimento.</t>
  </si>
  <si>
    <t>Pagamento semestral, nos dias 15-jun e 15-dez. Primeiro em 15-dez-2024 e último no vencimento.</t>
  </si>
  <si>
    <t>Pagamento anual no dia 15-nov. Primeiro em 15-nov-2030 e Ãºltimo no vencimento.</t>
  </si>
  <si>
    <t>Pagamento semestral, nos dias 15-mai e 15-nov. Primeiro em 15-nov-2024.</t>
  </si>
  <si>
    <t>Pagamento semestral, nos dias 15-jan e 15-jul. Primeiro em 15-jul-2026 e último no vencimento.</t>
  </si>
  <si>
    <t>Pagamento semestral, nos dias 15-mar e 15-set. Primeiro em 15-set-2025 e último no vencimento.</t>
  </si>
  <si>
    <t>Pagamento semestral, nos dias 15-mar e 15-set. Primeiro em 15-set-2027 e último no vencimento.</t>
  </si>
  <si>
    <t>Pagamento anual no dia 15-out. Primeiro em 15-out-2028 e último no vencimento.</t>
  </si>
  <si>
    <t>Pagamento semestral, nos dias 27-jun e 27-dez. Primeiro em 27-dez-2020.</t>
  </si>
  <si>
    <t>Pagamento semestral, nos dias 16-mai e 16-nov. Primeiro em 16-mai-2024 e último no vencimento.</t>
  </si>
  <si>
    <t>2 parcelas iguais em 15-jul-2029 e no vencimento.</t>
  </si>
  <si>
    <t>3 parcelas em 15-nov-2028, em 15-nov-2029 e no vencimento.</t>
  </si>
  <si>
    <t>Pagamento semestral, nos dias 15-jan e 15-jul. Primeiro em 15-jan-2032 e último no vencimento.</t>
  </si>
  <si>
    <t>3 parcelas em 15-out-2029, em 15-out-2030 e no vencimento.</t>
  </si>
  <si>
    <t>Pagamento anual no dia 15-out. Primeiro em 15-out-2032 e último no vencimento.</t>
  </si>
  <si>
    <t>Pagamento anual no dia 15-mai. Primeiro em 15-mai-2033 e última no vencimento.</t>
  </si>
  <si>
    <t>Pagamento anual no dia 15-nov. Primeiro em 15-nov-2031 e Ãºltimo no vencimento.</t>
  </si>
  <si>
    <t>2 parcelas em 15-set-2029 e no vencimento.</t>
  </si>
  <si>
    <t>3 parcelas em 15-fev-2032, em 15-fev-2033 e no vencimento.</t>
  </si>
  <si>
    <t>Pagamento semestral, nos dias 15-jun e 15-dez. Primeiro em 15-jun-2034 e último no vencimento.</t>
  </si>
  <si>
    <t>Pagamento semestral, nos dias 15-mai e 15-nov. Primeiro em 15-mai-2024 e último no vencimento.</t>
  </si>
  <si>
    <t>3 parcelas em 15-jul-2037, em 15-jul-2038 e no vencimento.</t>
  </si>
  <si>
    <t>3 parcelas em 15-dez-2031, em 15-dez-2032 e no vencimento.</t>
  </si>
  <si>
    <t>Pagamento semestral, nos dias 15-mai e 15-nov. Primeiro em 15-mai-2028 e último no vencimento.</t>
  </si>
  <si>
    <t>Pagamento anual no dia 15-out. Primeiro em 15-out-2022 e última no vencimento.</t>
  </si>
  <si>
    <t>Pagamento anual no dia 15-fev. Primeiro em 15-fev-2028 e última no vencimento.</t>
  </si>
  <si>
    <t>Pagamento semestral, nos dias 15-jun e 15-dez. Primeiro em 15-dez-2023 e último no vencimento.</t>
  </si>
  <si>
    <t>Pagamento trimestral. Nos dias 15-mar, 15-jun, 15-set e 15-dez. Primeiro em 15-set-2026.</t>
  </si>
  <si>
    <t>Pagamento trimestral. Nos dias 15-jan, 15-abr, 15-jul e 15-out. Primeiro em 15-jul-2027.</t>
  </si>
  <si>
    <t>Pagamento anual no dia 15-mai. Primeiro em 15-mai-2030 e última no vencimento.</t>
  </si>
  <si>
    <t>3 parcelas em 15-mar-2032, em 15-mar-2033 e no vencimento.</t>
  </si>
  <si>
    <t>Pagamento anual no dia 15-dez. Primeiro em 15-dez-2023 e Ãºltima no vencimento.</t>
  </si>
  <si>
    <t>3 parcelas em 15-jun-2032, em 15-jun-2033 e no vencimento.</t>
  </si>
  <si>
    <t>3 parcelas em 15-jun-2037, em 15-jun-2038 e no vencimento.</t>
  </si>
  <si>
    <t>Pagamento semestral, nos dias 15-mai e 15-nov. Primeiro em 15-nov-2026 e último no vencimento.</t>
  </si>
  <si>
    <t>3 parcelas em 15-set-2029, em 15-set-2030 e no vencimento.</t>
  </si>
  <si>
    <t>Pagamento semestral, nos dias 15-mai e 15-nov. Primeiro em 15-nov-2026.</t>
  </si>
  <si>
    <t>2 parcelas iguais em 15-set-2029 e no vencimento.</t>
  </si>
  <si>
    <t>3 parcelas em 15-set-2031, em 15-set-2032 e no vencimento.</t>
  </si>
  <si>
    <t>2 parcelas em 15-fev-2030 e no vencimento.</t>
  </si>
  <si>
    <t>2 parcelas iguais em 15-jan-2029 e no vencimento.</t>
  </si>
  <si>
    <t>3 parcelas em 15-nov-2031, em 15-nov-2032 e no vencimento.</t>
  </si>
  <si>
    <t>3 parcelas em 15-nov-2036, em 15-nov-2037 e no vencimento.</t>
  </si>
  <si>
    <t>3 parcelas iguais em 15-dez-2029, em 15-dez-2030 e no vencimento.</t>
  </si>
  <si>
    <t>Pagamento anual no dia 15-abr. Primeiro em 15-abr-2030 e última no vencimento.</t>
  </si>
  <si>
    <t>Pagamento semestral, nos dias 15-fev e 15-ago. Primeiro em 15-ago-2026 e último no vencimento.</t>
  </si>
  <si>
    <t>3 parcelas iguais em 15-out-2023, em 15-out-2024 e no vencimento.</t>
  </si>
  <si>
    <t>3 parcelas em 15-mai-2032, em 15-mai-2033 e no vencimento.</t>
  </si>
  <si>
    <t>Pagamento semestral. nos dias 15-jan e 15-jul. Primeiro em 15-jan-2022 e última no vencimento</t>
  </si>
  <si>
    <t>Pagamento semestral, nos dias 15-mar e 15-set. Primeiro em 15-set-2021 e último no vencimento.</t>
  </si>
  <si>
    <t>Pagamento no vencimento.</t>
  </si>
  <si>
    <t>3 parcelas em 15-set-2033, em 15-set-2034 e no vencimento.</t>
  </si>
  <si>
    <t>3 parcelas em 15-set-2036, em 15-set-2037 e no vencimento.</t>
  </si>
  <si>
    <t>Pagamento semestral, nos dias 15-jun e 15-dez. Primeiro em 15-jun-2029.</t>
  </si>
  <si>
    <t>3 parcelas em 15-out-2033, em 15-out-2034 e no vencimento.</t>
  </si>
  <si>
    <t>Pagamento semestral, nos dias 15-mai e 15-nov. Primeiro em 15-mai-2026 e último no vencimento.</t>
  </si>
  <si>
    <t>Pagamento semestral, nos dias 15-abr e 15-out. Primeiro em 15-abr-2024.</t>
  </si>
  <si>
    <t>3 parcelas em 15-mar-2037, em 15-mar-2038 e no vencimento.</t>
  </si>
  <si>
    <t>Pagamento anual, no dia 15-out. Primeiro em 15-out-2027 e última no vencimento</t>
  </si>
  <si>
    <t>Pagamento anual no dia 15-out. Primeiro em 15-out-2017 e última no vencimento.</t>
  </si>
  <si>
    <t>2 parcelas: 40% em 15-mai-2025 e 60% no vencimento.</t>
  </si>
  <si>
    <t>Pagamento anual no dia 15-nov. Primeiro em 15-nov-2024 e última no vencimento.</t>
  </si>
  <si>
    <t>2 parcelas iguais em 15-out-2032 e no vencimento.</t>
  </si>
  <si>
    <t>3 parcelas em 15-out-2036, em 15-out-2037 e no vencimento.</t>
  </si>
  <si>
    <t>3 parcelas em 15-mar-2029, em 15-mar-2030 e no vencimento.</t>
  </si>
  <si>
    <t>Outras atividades auxiliares ao transporte</t>
  </si>
  <si>
    <t>Serviço de armazenamento</t>
  </si>
  <si>
    <t>Indústria química</t>
  </si>
  <si>
    <t>Transporte de gás natural por tubos</t>
  </si>
  <si>
    <t>Águas do Sertão SA</t>
  </si>
  <si>
    <t>Assurua 5 Energia SA</t>
  </si>
  <si>
    <t>Atlas Luiz Carlos Comercializadora de Energia SA</t>
  </si>
  <si>
    <t>Auren</t>
  </si>
  <si>
    <t>Barreiras Holding S.A</t>
  </si>
  <si>
    <t>Barueri Energia Renovavel SA</t>
  </si>
  <si>
    <t>Brava</t>
  </si>
  <si>
    <t>Calango 6 Energia Renovavel SA</t>
  </si>
  <si>
    <t>Centrais Elétricas do Norte do Brasil SA</t>
  </si>
  <si>
    <t>Cia de Ger e Trans Energia Elet do Sul do Brasil</t>
  </si>
  <si>
    <t>Cia Hidro Eletrica Sao Francisco</t>
  </si>
  <si>
    <t>Ciclus Ambiental do Brasil SA</t>
  </si>
  <si>
    <t>Companhia de Eletricidade do Amapa Cea</t>
  </si>
  <si>
    <t>Conc Linhas 8 e 9 Sist Trens Metr de Sao Paulo SA</t>
  </si>
  <si>
    <t>Conc Ponte Rio-Niteroi S/A - Ecoponte</t>
  </si>
  <si>
    <t>Conces do Rodoanel Oeste S/A</t>
  </si>
  <si>
    <t>Concessionaria Rota do Atlantico SA</t>
  </si>
  <si>
    <t>Ektt 9 Serv de Transm de Energia Eletrica Spe SA</t>
  </si>
  <si>
    <t>Embasa Empresa Baiana de Aguas e Saneamento SA</t>
  </si>
  <si>
    <t>Energisa Sergipe Dist de Energia S/A</t>
  </si>
  <si>
    <t>Engie Sol Cidades Intel e Infra de Uberlandia SA</t>
  </si>
  <si>
    <t>Fibrasil Infraestrutura Fibra Otica SA</t>
  </si>
  <si>
    <t>Hélio Valgas Solar Participações SA</t>
  </si>
  <si>
    <t>Integração Transmissora de Energia</t>
  </si>
  <si>
    <t>Lagoa 1 Energia Renovável SA</t>
  </si>
  <si>
    <t>Origem Energia SA</t>
  </si>
  <si>
    <t>Petrorecsa</t>
  </si>
  <si>
    <t>Rio + Saneamento Bl 3 S/A</t>
  </si>
  <si>
    <t>Rio Alto Stl Holding S/A</t>
  </si>
  <si>
    <t>Salus Infra Protuaria S/A</t>
  </si>
  <si>
    <t>Sonora Estancia SA</t>
  </si>
  <si>
    <t>Transportadora Associada de Gas SA - Tag</t>
  </si>
  <si>
    <t>Pagamento semestral, nos dias 15-abr e 15-out. Primeiro em 15-out-2024.</t>
  </si>
  <si>
    <t>Pagamento semestral, nos dias 15-mar e 15-set. Primeiro em 15-mar-2025.</t>
  </si>
  <si>
    <t>Pagamento semestral, nos dias 15-mar e 15-set. Primeiro em 15-set-2024.</t>
  </si>
  <si>
    <t>Pagamento semestral, nos dias 15-jun e 15-dez. Primeiro em 15-dez-2024.</t>
  </si>
  <si>
    <t>Pagamento anual, nos dias 15-Jul. Primeiro em 15-jul-2027 e última no vencimento</t>
  </si>
  <si>
    <t>Pagamento semestral, nos dias 15-mai e 15-nov. Primeiro em 15-mai-2024.</t>
  </si>
  <si>
    <t>Pagamento semestral, nos dias 15-jan e 15-jul. Primeiro em 15-jul-2026.</t>
  </si>
  <si>
    <t>Pagamento semestral, nos dias 15-mar e 15-set. Primeiro em 15-set-2025.</t>
  </si>
  <si>
    <t>Pagamento semestral, nos dias 15-mar e 15-set. Primeiro em 15-mar-2028.</t>
  </si>
  <si>
    <t>Pagamento semestral, nos dias 27-jun e 27-dez. Primeiro em 27-dez-2018.</t>
  </si>
  <si>
    <t>Pagamento semestral, nos dias 16-mai e 16-nov. Primeiro em 16-mai-2024.</t>
  </si>
  <si>
    <t>Pagamento semestral, nos dias 15-jan e 15-jul. Primeiro em 15-jan-2025.</t>
  </si>
  <si>
    <t>Pagamento semestral, nos dias 15-mar e 15-set. Primeiro em 15-mar-2024.</t>
  </si>
  <si>
    <t>Pagamento semestral, nos dias 15-fev e 15-ago. Primeiro em 15-ago-2024.</t>
  </si>
  <si>
    <t>Pagamento mensal no dia 15. Primeiro em 15-out-2020 e último no vencimento.</t>
  </si>
  <si>
    <t>Pagamento semestral, nos dias 15-jun e 15-dez. Primeiro em 15-jdez-2023</t>
  </si>
  <si>
    <t>Pagamento semestral, nos dias 15-jun e 15-dez. Primeiro em 15-jun-2022.</t>
  </si>
  <si>
    <t>Pagamento trimestral. Nos dias 15-mar, 15-jun, 15-set e 15-dez. Primeiro em 15-dez-2023.</t>
  </si>
  <si>
    <t>Pagamento trimestral. Nos dias 15-jan, 15-abr, 15-jul e 15-out. Primeiro em 15-out-2024.</t>
  </si>
  <si>
    <t>Pagamento anual no dia 15-jun. Primeiro em 15-jun-2025 e última no vencimento.</t>
  </si>
  <si>
    <t>Pagamento semestral. Nos dias 15-abr e 15-out. primeiro em 15-out-2022</t>
  </si>
  <si>
    <t>Pagamento semestral, nos dias 15-fev e 15-ago. Primeiro em 15-ago-2026.</t>
  </si>
  <si>
    <t>Pagamento anual no dia 15-out. Primeiro em 15-out-2019 e Ãºltima no vencimento.</t>
  </si>
  <si>
    <t>Pagamento semestral, nos dias 15-mar e 15-set. Primeiro em 15-mar-2020.</t>
  </si>
  <si>
    <t>Pagamento semestral. Nos dias 15-mar e 15-set. Primeiro em 15-set-2021</t>
  </si>
  <si>
    <t>Pagamento anual, no dia 15-out. Primeiro em 15-out-2020</t>
  </si>
  <si>
    <t>Pagamento semestral, nos dias 15-fev e 15-ago. Primeiro em 15-fev-2024.</t>
  </si>
  <si>
    <t>Pagamento anual no dia 15-out. Primeiro em 15-out-2015 e última no vencimento.</t>
  </si>
  <si>
    <t>Pagamento anual, no dia 15-mai. Primeiro em 15-mai-2020.</t>
  </si>
  <si>
    <t>Pagamento semestral, nos dias 15-mai e 15-nov. Primeiro em 15-mai-2022.</t>
  </si>
  <si>
    <t>Pagamento anual, no dia 15-nov. Primeiro em 15-nov-2022</t>
  </si>
  <si>
    <t>Pagamento semestral, nos dias 15-jun e 15-dez. Primeiro em 15-jun-2020 e último no vencimento</t>
  </si>
  <si>
    <t>Aesoperacoes</t>
  </si>
  <si>
    <t>Casan</t>
  </si>
  <si>
    <t>Ceee-T</t>
  </si>
  <si>
    <t>Celesc Distribuição S/A</t>
  </si>
  <si>
    <t>Celse Centrais Eletricas de Sergipe SA</t>
  </si>
  <si>
    <t>Claro SA</t>
  </si>
  <si>
    <t>Comerc</t>
  </si>
  <si>
    <t>Desktopsigma</t>
  </si>
  <si>
    <t>Energisa Paraiba Dist e Energia S/A</t>
  </si>
  <si>
    <t>Eqtl Maranhao</t>
  </si>
  <si>
    <t>Movida Locação de Veículos S/A</t>
  </si>
  <si>
    <t>Serena</t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</si>
  <si>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</si>
  <si>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023A4A"/>
        <rFont val="Calibri"/>
        <family val="2"/>
        <scheme val="minor"/>
      </rPr>
      <t xml:space="preserve">Escolha Um </t>
    </r>
    <r>
      <rPr>
        <b/>
        <sz val="10"/>
        <color rgb="FFB1AE2D"/>
        <rFont val="Calibri"/>
        <family val="2"/>
        <scheme val="minor"/>
      </rPr>
      <t>Benchmark</t>
    </r>
  </si>
  <si>
    <r>
      <t xml:space="preserve">Debêntures </t>
    </r>
    <r>
      <rPr>
        <b/>
        <sz val="26"/>
        <color rgb="FFB1AE2D"/>
        <rFont val="Calibri"/>
        <family val="2"/>
        <scheme val="minor"/>
      </rPr>
      <t>IPCA-Spread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</si>
  <si>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C2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B1AE2D"/>
        <rFont val="Calibri"/>
        <family val="2"/>
        <scheme val="minor"/>
      </rPr>
      <t xml:space="preserve"> Célula C3</t>
    </r>
  </si>
  <si>
    <t>VLIM14</t>
  </si>
  <si>
    <t>VLIM15</t>
  </si>
  <si>
    <t>IPCA + 6,4512%</t>
  </si>
  <si>
    <t>IPCA + 6,1062%</t>
  </si>
  <si>
    <t>BRVLIMDBS032</t>
  </si>
  <si>
    <t>BRVLIMDBS040</t>
  </si>
  <si>
    <t>3 parcelas em 15-set-2028, em 15-set-2029 e no vencimento.</t>
  </si>
  <si>
    <r>
      <t xml:space="preserve">Debêntures </t>
    </r>
    <r>
      <rPr>
        <b/>
        <sz val="26"/>
        <color rgb="FFB1AE2D"/>
        <rFont val="Calibri"/>
        <family val="2"/>
        <scheme val="minor"/>
      </rPr>
      <t>Patrimonial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</si>
  <si>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 xml:space="preserve">Selecione o </t>
    </r>
    <r>
      <rPr>
        <b/>
        <sz val="10"/>
        <color rgb="FFB1AE2D"/>
        <rFont val="Calibri"/>
        <family val="2"/>
        <scheme val="minor"/>
      </rPr>
      <t>Período</t>
    </r>
  </si>
  <si>
    <r>
      <rPr>
        <b/>
        <sz val="10"/>
        <color rgb="FFB1AE2D"/>
        <rFont val="Calibri"/>
        <family val="2"/>
        <scheme val="minor"/>
      </rPr>
      <t>↓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023A4A"/>
        <rFont val="Calibri"/>
        <family val="2"/>
        <scheme val="minor"/>
      </rPr>
      <t xml:space="preserve">Escolha a </t>
    </r>
    <r>
      <rPr>
        <b/>
        <sz val="10"/>
        <color rgb="FFB1AE2D"/>
        <rFont val="Calibri"/>
        <family val="2"/>
        <scheme val="minor"/>
      </rPr>
      <t>Janela de Período</t>
    </r>
    <r>
      <rPr>
        <b/>
        <sz val="10"/>
        <color rgb="FF023A4A"/>
        <rFont val="Calibri"/>
        <family val="2"/>
        <scheme val="minor"/>
      </rPr>
      <t xml:space="preserve"> (Ex.: </t>
    </r>
    <r>
      <rPr>
        <b/>
        <sz val="10"/>
        <color rgb="FFB1AE2D"/>
        <rFont val="Calibri"/>
        <family val="2"/>
        <scheme val="minor"/>
      </rPr>
      <t>1D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1Dia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1W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1Semana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1M</t>
    </r>
    <r>
      <rPr>
        <b/>
        <sz val="10"/>
        <color rgb="FF023A4A"/>
        <rFont val="Calibri"/>
        <family val="2"/>
        <scheme val="minor"/>
      </rPr>
      <t xml:space="preserve"> =</t>
    </r>
    <r>
      <rPr>
        <b/>
        <sz val="10"/>
        <color rgb="FFB1AE2D"/>
        <rFont val="Calibri"/>
        <family val="2"/>
        <scheme val="minor"/>
      </rPr>
      <t xml:space="preserve"> 1Mês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1Q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1Trimestre</t>
    </r>
    <r>
      <rPr>
        <b/>
        <sz val="10"/>
        <color rgb="FF023A4A"/>
        <rFont val="Calibri"/>
        <family val="2"/>
        <scheme val="minor"/>
      </rPr>
      <t>,</t>
    </r>
    <r>
      <rPr>
        <b/>
        <sz val="10"/>
        <color rgb="FFB1AE2D"/>
        <rFont val="Calibri"/>
        <family val="2"/>
        <scheme val="minor"/>
      </rPr>
      <t xml:space="preserve"> 1Y </t>
    </r>
    <r>
      <rPr>
        <b/>
        <sz val="10"/>
        <color rgb="FF023A4A"/>
        <rFont val="Calibri"/>
        <family val="2"/>
        <scheme val="minor"/>
      </rPr>
      <t>=</t>
    </r>
    <r>
      <rPr>
        <b/>
        <sz val="10"/>
        <color rgb="FFB1AE2D"/>
        <rFont val="Calibri"/>
        <family val="2"/>
        <scheme val="minor"/>
      </rPr>
      <t xml:space="preserve"> 1Ano</t>
    </r>
    <r>
      <rPr>
        <b/>
        <sz val="10"/>
        <color rgb="FF023A4A"/>
        <rFont val="Calibri"/>
        <family val="2"/>
        <scheme val="minor"/>
      </rPr>
      <t>)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</si>
  <si>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023A4A"/>
        <rFont val="Calibri"/>
        <family val="2"/>
        <scheme val="minor"/>
      </rPr>
      <t>Escolha unidade em (</t>
    </r>
    <r>
      <rPr>
        <b/>
        <sz val="10"/>
        <color rgb="FFB1AE2D"/>
        <rFont val="Calibri"/>
        <family val="2"/>
        <scheme val="minor"/>
      </rPr>
      <t>Units</t>
    </r>
    <r>
      <rPr>
        <b/>
        <sz val="10"/>
        <color rgb="FF006B66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Thousands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Millions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Billions</t>
    </r>
    <r>
      <rPr>
        <b/>
        <sz val="10"/>
        <color rgb="FF023A4A"/>
        <rFont val="Calibri"/>
        <family val="2"/>
        <scheme val="minor"/>
      </rPr>
      <t>)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</si>
  <si>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023A4A"/>
        <rFont val="Calibri"/>
        <family val="2"/>
        <scheme val="minor"/>
      </rPr>
      <t>Escolha Deflator (</t>
    </r>
    <r>
      <rPr>
        <b/>
        <sz val="10"/>
        <color rgb="FFB1AE2D"/>
        <rFont val="Calibri"/>
        <family val="2"/>
        <scheme val="minor"/>
      </rPr>
      <t>Original Corrency</t>
    </r>
    <r>
      <rPr>
        <b/>
        <sz val="10"/>
        <color rgb="FF006B66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USD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EUR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Inflation Adjusted</t>
    </r>
    <r>
      <rPr>
        <b/>
        <sz val="10"/>
        <color rgb="FF023A4A"/>
        <rFont val="Calibri"/>
        <family val="2"/>
        <scheme val="minor"/>
      </rPr>
      <t>)</t>
    </r>
  </si>
  <si>
    <r>
      <t xml:space="preserve">Debêntures </t>
    </r>
    <r>
      <rPr>
        <b/>
        <sz val="26"/>
        <color rgb="FFB1AE2D"/>
        <rFont val="Calibri"/>
        <family val="2"/>
        <scheme val="minor"/>
      </rPr>
      <t>DRE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</si>
  <si>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 xml:space="preserve">Escolha Um </t>
    </r>
    <r>
      <rPr>
        <b/>
        <sz val="10"/>
        <color rgb="FFB1AE2D"/>
        <rFont val="Calibri"/>
        <family val="2"/>
        <scheme val="minor"/>
      </rPr>
      <t xml:space="preserve">Código 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</si>
  <si>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C5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C59C00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C6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</si>
  <si>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 xml:space="preserve">Escolha uma </t>
    </r>
    <r>
      <rPr>
        <b/>
        <sz val="10"/>
        <color rgb="FFB1AE2D"/>
        <rFont val="Calibri"/>
        <family val="2"/>
        <scheme val="minor"/>
      </rPr>
      <t>janela histórica</t>
    </r>
    <r>
      <rPr>
        <b/>
        <sz val="10"/>
        <color rgb="FF023A4A"/>
        <rFont val="Calibri"/>
        <family val="2"/>
        <scheme val="minor"/>
      </rPr>
      <t xml:space="preserve"> do seu estudo </t>
    </r>
    <r>
      <rPr>
        <b/>
        <sz val="10"/>
        <color rgb="FFB1AE2D"/>
        <rFont val="Calibri"/>
        <family val="2"/>
        <scheme val="minor"/>
      </rPr>
      <t>em Anos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</si>
  <si>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Escolha o intervalo (</t>
    </r>
    <r>
      <rPr>
        <b/>
        <sz val="10"/>
        <color rgb="FFB1AE2D"/>
        <rFont val="Calibri"/>
        <family val="2"/>
        <scheme val="minor"/>
      </rPr>
      <t xml:space="preserve">Q </t>
    </r>
    <r>
      <rPr>
        <b/>
        <sz val="10"/>
        <color rgb="FF023A4A"/>
        <rFont val="Calibri"/>
        <family val="2"/>
        <scheme val="minor"/>
      </rPr>
      <t xml:space="preserve">= </t>
    </r>
    <r>
      <rPr>
        <b/>
        <sz val="10"/>
        <color rgb="FFB1AE2D"/>
        <rFont val="Calibri"/>
        <family val="2"/>
        <scheme val="minor"/>
      </rPr>
      <t>Trimestre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Y</t>
    </r>
    <r>
      <rPr>
        <b/>
        <sz val="10"/>
        <color rgb="FF023A4A"/>
        <rFont val="Calibri"/>
        <family val="2"/>
        <scheme val="minor"/>
      </rPr>
      <t xml:space="preserve"> = </t>
    </r>
    <r>
      <rPr>
        <b/>
        <sz val="10"/>
        <color rgb="FFB1AE2D"/>
        <rFont val="Calibri"/>
        <family val="2"/>
        <scheme val="minor"/>
      </rPr>
      <t>Ano</t>
    </r>
    <r>
      <rPr>
        <b/>
        <sz val="10"/>
        <color rgb="FF023A4A"/>
        <rFont val="Calibri"/>
        <family val="2"/>
        <scheme val="minor"/>
      </rPr>
      <t>)</t>
    </r>
  </si>
  <si>
    <r>
      <t>Análise</t>
    </r>
    <r>
      <rPr>
        <b/>
        <sz val="26"/>
        <color rgb="FFB1AE2D"/>
        <rFont val="Calibri"/>
        <family val="2"/>
        <scheme val="minor"/>
      </rPr>
      <t xml:space="preserve"> Fundamentalista</t>
    </r>
  </si>
  <si>
    <r>
      <rPr>
        <b/>
        <sz val="10"/>
        <color rgb="FFB1AE2D"/>
        <rFont val="Calibri"/>
        <family val="2"/>
        <scheme val="minor"/>
      </rPr>
      <t>↓</t>
    </r>
    <r>
      <rPr>
        <b/>
        <sz val="10"/>
        <color rgb="FF023A4A"/>
        <rFont val="Calibri"/>
        <family val="2"/>
        <scheme val="minor"/>
      </rPr>
      <t xml:space="preserve"> Selecionar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Período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↓</t>
    </r>
  </si>
  <si>
    <r>
      <t xml:space="preserve">Planilha Auxiliar </t>
    </r>
    <r>
      <rPr>
        <b/>
        <sz val="28"/>
        <color rgb="FFB1AE2D"/>
        <rFont val="Calibri"/>
        <family val="2"/>
        <scheme val="minor"/>
      </rPr>
      <t>Não Modificar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</si>
</sst>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  <numFmt numFmtId="165" formatCode="0.00\ &quot;%&quot;"/>
    <numFmt numFmtId="166" formatCode="_-&quot;R$&quot;\ * #,##0_-;\-&quot;R$&quot;\ * #,##0_-;_-&quot;R$&quot;\ * &quot;-&quot;??_-;_-@_-"/>
    <numFmt numFmtId="167" formatCode="0.00\ &quot;x&quot;"/>
    <numFmt numFmtId="168" formatCode="0.00\ &quot;% DEBT&quot;"/>
    <numFmt numFmtId="169" formatCode="[$-416]mmm\-yy;@"/>
    <numFmt numFmtId="170" formatCode="_-* #,##0_-;\-* #,##0_-;_-* &quot;-&quot;??_-;_-@_-"/>
    <numFmt numFmtId="171" formatCode="yyyy"/>
    <numFmt numFmtId="172" formatCode="&quot;R$&quot;\ #,##0.00"/>
    <numFmt numFmtId="173" formatCode="&quot;R$&quot;\ #,##0"/>
    <numFmt numFmtId="174" formatCode="#,##0.00%;[Red]\-#,##0.00%"/>
    <numFmt numFmtId="175" formatCode="mmmm"/>
    <numFmt numFmtId="176" formatCode="mmm"/>
    <numFmt numFmtId="177" formatCode="_-&quot;R$&quot;\ * #,##0_-;[Red]\-&quot;R$&quot;\ * #,##0_-;_-&quot;R$&quot;\ * &quot;-&quot;??_-;_-@_-"/>
    <numFmt numFmtId="179" formatCode="#,##0.00\ &quot;x&quot;;[Red]\-#,##0.00\ &quot;x&quot;"/>
    <numFmt numFmtId="180" formatCode="0\ &quot;dias&quot;"/>
    <numFmt numFmtId="181" formatCode="_-&quot;R$&quot;\ * #,##0.0000_-;\-&quot;R$&quot;\ * #,##0.0000_-;_-&quot;R$&quot;\ * &quot;-&quot;????_-;_-@_-"/>
    <numFmt numFmtId="182" formatCode="00"/>
    <numFmt numFmtId="183" formatCode="000&quot;.&quot;000&quot;.&quot;000&quot;/&quot;0000&quot;-&quot;00"/>
    <numFmt numFmtId="184" formatCode="#,##0.00&quot;%&quot;;[Red]\-#,##0.00&quot;%&quot;"/>
    <numFmt numFmtId="185" formatCode="#,##0_ ;[Red]\-#,##0\ "/>
    <numFmt numFmtId="186" formatCode="#,##0.0000_ ;[Red]\-#,##0.0000\ "/>
    <numFmt numFmtId="187" formatCode="#,##0_ ;\-#,##0\ "/>
    <numFmt numFmtId="189" formatCode="dd/mm/yyyy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4384"/>
      <name val="Calibri"/>
      <family val="2"/>
      <scheme val="minor"/>
    </font>
    <font>
      <sz val="10"/>
      <color rgb="FF006B66"/>
      <name val="Calibri"/>
      <family val="2"/>
      <scheme val="minor"/>
    </font>
    <font>
      <b/>
      <sz val="12"/>
      <color rgb="FF006B6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59C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023A4A"/>
      <name val="Calibri"/>
      <family val="2"/>
      <scheme val="minor"/>
    </font>
    <font>
      <b/>
      <sz val="26"/>
      <color rgb="FFB1AE2D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DAE2DD"/>
      <name val="Calibri"/>
      <family val="2"/>
      <scheme val="minor"/>
    </font>
    <font>
      <b/>
      <sz val="12"/>
      <color rgb="FFCCD8DB"/>
      <name val="Calibri"/>
      <family val="2"/>
      <scheme val="minor"/>
    </font>
    <font>
      <b/>
      <sz val="11"/>
      <color rgb="FF023A4A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23A4A"/>
      <name val="Calibri"/>
      <family val="2"/>
      <scheme val="minor"/>
    </font>
    <font>
      <sz val="12"/>
      <color rgb="FFCCD8DB"/>
      <name val="Calibri"/>
      <family val="2"/>
      <scheme val="minor"/>
    </font>
    <font>
      <sz val="11"/>
      <color rgb="FF023A4A"/>
      <name val="Calibri"/>
      <family val="2"/>
      <scheme val="minor"/>
    </font>
    <font>
      <b/>
      <sz val="16"/>
      <color rgb="FF006B66"/>
      <name val="Calibri"/>
      <family val="2"/>
      <scheme val="minor"/>
    </font>
    <font>
      <b/>
      <sz val="28"/>
      <color rgb="FF023A4A"/>
      <name val="Calibri"/>
      <family val="2"/>
      <scheme val="minor"/>
    </font>
    <font>
      <b/>
      <sz val="28"/>
      <color rgb="FFB1AE2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5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C59C00"/>
      </left>
      <right style="medium">
        <color rgb="FFC59C00"/>
      </right>
      <top/>
      <bottom style="thick">
        <color rgb="FFC59C00"/>
      </bottom>
      <diagonal/>
    </border>
    <border>
      <left style="medium">
        <color rgb="FFC59C00"/>
      </left>
      <right style="thin">
        <color theme="0"/>
      </right>
      <top/>
      <bottom style="thick">
        <color rgb="FFC59C00"/>
      </bottom>
      <diagonal/>
    </border>
    <border>
      <left style="thin">
        <color theme="0"/>
      </left>
      <right style="medium">
        <color rgb="FFC59C00"/>
      </right>
      <top/>
      <bottom style="thick">
        <color rgb="FFC59C0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ck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 style="thin">
        <color rgb="FFB1AE2D"/>
      </bottom>
      <diagonal/>
    </border>
    <border>
      <left style="thick">
        <color rgb="FFB1AE2D"/>
      </left>
      <right/>
      <top style="thin">
        <color rgb="FFB1AE2D"/>
      </top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 style="thin">
        <color theme="0"/>
      </left>
      <right style="medium">
        <color rgb="FFB1AE2D"/>
      </right>
      <top style="thin">
        <color theme="0"/>
      </top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 style="thin">
        <color theme="0"/>
      </top>
      <bottom style="thick">
        <color rgb="FFB1AE2D"/>
      </bottom>
      <diagonal/>
    </border>
    <border>
      <left style="medium">
        <color rgb="FFB1AE2D"/>
      </left>
      <right style="thin">
        <color theme="0"/>
      </right>
      <top style="thin">
        <color theme="0"/>
      </top>
      <bottom style="thick">
        <color rgb="FFB1AE2D"/>
      </bottom>
      <diagonal/>
    </border>
    <border>
      <left style="thin">
        <color theme="0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thin">
        <color theme="0"/>
      </right>
      <top/>
      <bottom style="thick">
        <color rgb="FFB1AE2D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  <border>
      <left/>
      <right style="medium">
        <color rgb="FF023A4A"/>
      </right>
      <top style="thick">
        <color rgb="FFC59C00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C59C00"/>
      </top>
      <bottom style="thin">
        <color rgb="FF023A4A"/>
      </bottom>
      <diagonal/>
    </border>
    <border>
      <left style="medium">
        <color rgb="FF023A4A"/>
      </left>
      <right/>
      <top style="thick">
        <color rgb="FFC59C00"/>
      </top>
      <bottom style="thin">
        <color rgb="FF023A4A"/>
      </bottom>
      <diagonal/>
    </border>
    <border>
      <left/>
      <right/>
      <top/>
      <bottom style="thick">
        <color rgb="FFB1AE2D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B1AE2D"/>
      </left>
      <right/>
      <top style="thin">
        <color theme="0"/>
      </top>
      <bottom style="thick">
        <color rgb="FFB1AE2D"/>
      </bottom>
      <diagonal/>
    </border>
    <border>
      <left style="medium">
        <color rgb="FFB1AE2D"/>
      </left>
      <right/>
      <top/>
      <bottom style="thick">
        <color rgb="FFB1AE2D"/>
      </bottom>
      <diagonal/>
    </border>
    <border>
      <left style="thick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/>
      <bottom style="thick">
        <color theme="0"/>
      </bottom>
      <diagonal/>
    </border>
    <border>
      <left style="medium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theme="0"/>
      </top>
      <bottom style="thick">
        <color rgb="FFB1AE2D"/>
      </bottom>
      <diagonal/>
    </border>
    <border>
      <left/>
      <right style="medium">
        <color rgb="FFB1AE2D"/>
      </right>
      <top style="thin">
        <color theme="0"/>
      </top>
      <bottom style="thick">
        <color rgb="FFB1AE2D"/>
      </bottom>
      <diagonal/>
    </border>
    <border>
      <left/>
      <right style="medium">
        <color rgb="FF023A4A"/>
      </right>
      <top/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/>
      <bottom style="thin">
        <color rgb="FF023A4A"/>
      </bottom>
      <diagonal/>
    </border>
    <border>
      <left style="medium">
        <color rgb="FF023A4A"/>
      </left>
      <right/>
      <top/>
      <bottom style="thin">
        <color rgb="FF023A4A"/>
      </bottom>
      <diagonal/>
    </border>
    <border>
      <left/>
      <right style="medium">
        <color rgb="FFB1AE2D"/>
      </right>
      <top/>
      <bottom style="thick">
        <color rgb="FFB1AE2D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0" xfId="0" applyFont="1"/>
    <xf numFmtId="172" fontId="2" fillId="0" borderId="0" xfId="2" applyNumberFormat="1" applyFont="1" applyAlignment="1">
      <alignment horizontal="center"/>
    </xf>
    <xf numFmtId="173" fontId="2" fillId="0" borderId="0" xfId="2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0" fontId="2" fillId="0" borderId="0" xfId="3" applyNumberFormat="1" applyFont="1" applyAlignment="1">
      <alignment horizontal="center"/>
    </xf>
    <xf numFmtId="173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3" fontId="2" fillId="0" borderId="0" xfId="0" applyNumberFormat="1" applyFont="1"/>
    <xf numFmtId="10" fontId="2" fillId="0" borderId="0" xfId="3" applyNumberFormat="1" applyFont="1"/>
    <xf numFmtId="0" fontId="4" fillId="0" borderId="0" xfId="0" applyFont="1"/>
    <xf numFmtId="173" fontId="4" fillId="0" borderId="0" xfId="2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44" fontId="2" fillId="0" borderId="0" xfId="2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73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44" fontId="2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9" fillId="0" borderId="0" xfId="0" applyNumberFormat="1" applyFont="1" applyAlignment="1">
      <alignment horizontal="center"/>
    </xf>
    <xf numFmtId="165" fontId="9" fillId="0" borderId="0" xfId="2" applyNumberFormat="1" applyFont="1" applyAlignment="1">
      <alignment horizontal="center"/>
    </xf>
    <xf numFmtId="10" fontId="9" fillId="0" borderId="0" xfId="3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81" fontId="2" fillId="0" borderId="0" xfId="2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0" applyFont="1"/>
    <xf numFmtId="177" fontId="2" fillId="0" borderId="0" xfId="2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9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183" fontId="2" fillId="0" borderId="0" xfId="0" applyNumberFormat="1" applyFont="1" applyAlignment="1">
      <alignment horizontal="center" vertical="center"/>
    </xf>
    <xf numFmtId="182" fontId="2" fillId="0" borderId="0" xfId="0" applyNumberFormat="1" applyFont="1" applyAlignment="1">
      <alignment horizontal="center" vertical="center"/>
    </xf>
    <xf numFmtId="182" fontId="2" fillId="0" borderId="0" xfId="1" applyNumberFormat="1" applyFont="1" applyAlignment="1">
      <alignment horizontal="center" vertical="center"/>
    </xf>
    <xf numFmtId="166" fontId="2" fillId="0" borderId="0" xfId="2" applyNumberFormat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/>
    </xf>
    <xf numFmtId="170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83" fontId="6" fillId="0" borderId="0" xfId="0" applyNumberFormat="1" applyFont="1" applyAlignment="1">
      <alignment horizontal="center" vertical="center"/>
    </xf>
    <xf numFmtId="182" fontId="6" fillId="0" borderId="0" xfId="0" applyNumberFormat="1" applyFont="1" applyAlignment="1">
      <alignment horizontal="center" vertical="center"/>
    </xf>
    <xf numFmtId="182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0" fontId="13" fillId="0" borderId="0" xfId="1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1" applyNumberFormat="1" applyFont="1" applyAlignment="1">
      <alignment horizontal="center" vertical="center"/>
    </xf>
    <xf numFmtId="10" fontId="2" fillId="0" borderId="0" xfId="3" applyNumberFormat="1" applyFont="1" applyAlignment="1">
      <alignment horizontal="center" vertical="center"/>
    </xf>
    <xf numFmtId="185" fontId="9" fillId="0" borderId="0" xfId="2" applyNumberFormat="1" applyFont="1" applyAlignment="1">
      <alignment horizontal="center"/>
    </xf>
    <xf numFmtId="185" fontId="9" fillId="0" borderId="0" xfId="0" applyNumberFormat="1" applyFont="1" applyAlignment="1">
      <alignment horizontal="center"/>
    </xf>
    <xf numFmtId="185" fontId="11" fillId="0" borderId="0" xfId="0" applyNumberFormat="1" applyFont="1"/>
    <xf numFmtId="187" fontId="9" fillId="0" borderId="0" xfId="2" applyNumberFormat="1" applyFont="1" applyAlignment="1">
      <alignment horizontal="center"/>
    </xf>
    <xf numFmtId="186" fontId="9" fillId="0" borderId="0" xfId="2" applyNumberFormat="1" applyFont="1" applyAlignment="1">
      <alignment horizontal="center"/>
    </xf>
    <xf numFmtId="0" fontId="16" fillId="0" borderId="0" xfId="0" applyFont="1"/>
    <xf numFmtId="0" fontId="1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189" fontId="23" fillId="0" borderId="9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14" fontId="24" fillId="3" borderId="11" xfId="0" applyNumberFormat="1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2" fontId="26" fillId="4" borderId="2" xfId="0" applyNumberFormat="1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2" fontId="26" fillId="4" borderId="18" xfId="0" applyNumberFormat="1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/>
    </xf>
    <xf numFmtId="0" fontId="9" fillId="0" borderId="21" xfId="0" applyFont="1" applyBorder="1" applyAlignment="1">
      <alignment vertical="center"/>
    </xf>
    <xf numFmtId="185" fontId="9" fillId="0" borderId="21" xfId="2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/>
    </xf>
    <xf numFmtId="0" fontId="9" fillId="0" borderId="24" xfId="0" applyFont="1" applyBorder="1" applyAlignment="1">
      <alignment vertical="center"/>
    </xf>
    <xf numFmtId="185" fontId="9" fillId="0" borderId="24" xfId="2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/>
    </xf>
    <xf numFmtId="0" fontId="9" fillId="0" borderId="27" xfId="0" applyFont="1" applyBorder="1" applyAlignment="1">
      <alignment vertical="center"/>
    </xf>
    <xf numFmtId="185" fontId="9" fillId="0" borderId="27" xfId="2" applyNumberFormat="1" applyFont="1" applyBorder="1" applyAlignment="1">
      <alignment horizontal="center" vertical="center"/>
    </xf>
    <xf numFmtId="174" fontId="9" fillId="0" borderId="20" xfId="0" applyNumberFormat="1" applyFont="1" applyBorder="1" applyAlignment="1">
      <alignment horizontal="center" vertical="center"/>
    </xf>
    <xf numFmtId="174" fontId="9" fillId="0" borderId="21" xfId="0" applyNumberFormat="1" applyFont="1" applyBorder="1" applyAlignment="1">
      <alignment horizontal="center" vertical="center"/>
    </xf>
    <xf numFmtId="174" fontId="9" fillId="0" borderId="23" xfId="0" applyNumberFormat="1" applyFont="1" applyBorder="1" applyAlignment="1">
      <alignment horizontal="center" vertical="center"/>
    </xf>
    <xf numFmtId="174" fontId="9" fillId="0" borderId="24" xfId="0" applyNumberFormat="1" applyFont="1" applyBorder="1" applyAlignment="1">
      <alignment horizontal="center" vertical="center"/>
    </xf>
    <xf numFmtId="174" fontId="9" fillId="0" borderId="26" xfId="0" applyNumberFormat="1" applyFont="1" applyBorder="1" applyAlignment="1">
      <alignment horizontal="center" vertical="center"/>
    </xf>
    <xf numFmtId="174" fontId="9" fillId="0" borderId="27" xfId="0" applyNumberFormat="1" applyFont="1" applyBorder="1" applyAlignment="1">
      <alignment horizontal="center" vertical="center"/>
    </xf>
    <xf numFmtId="0" fontId="23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center"/>
    </xf>
    <xf numFmtId="185" fontId="9" fillId="3" borderId="24" xfId="2" applyNumberFormat="1" applyFont="1" applyFill="1" applyBorder="1" applyAlignment="1">
      <alignment horizontal="center" vertical="center"/>
    </xf>
    <xf numFmtId="174" fontId="9" fillId="3" borderId="23" xfId="0" applyNumberFormat="1" applyFont="1" applyFill="1" applyBorder="1" applyAlignment="1">
      <alignment horizontal="center" vertical="center"/>
    </xf>
    <xf numFmtId="174" fontId="9" fillId="3" borderId="24" xfId="0" applyNumberFormat="1" applyFont="1" applyFill="1" applyBorder="1" applyAlignment="1">
      <alignment horizontal="center" vertical="center"/>
    </xf>
    <xf numFmtId="0" fontId="0" fillId="0" borderId="0" xfId="0" applyFont="1"/>
    <xf numFmtId="14" fontId="0" fillId="0" borderId="0" xfId="0" applyNumberFormat="1" applyFont="1"/>
    <xf numFmtId="0" fontId="0" fillId="0" borderId="21" xfId="0" applyFont="1" applyBorder="1" applyAlignment="1">
      <alignment horizontal="center"/>
    </xf>
    <xf numFmtId="0" fontId="0" fillId="0" borderId="21" xfId="0" applyFont="1" applyBorder="1" applyAlignment="1">
      <alignment vertical="center"/>
    </xf>
    <xf numFmtId="183" fontId="0" fillId="0" borderId="21" xfId="0" applyNumberFormat="1" applyFont="1" applyBorder="1" applyAlignment="1">
      <alignment horizontal="center" vertical="center"/>
    </xf>
    <xf numFmtId="182" fontId="0" fillId="0" borderId="21" xfId="0" applyNumberFormat="1" applyFont="1" applyBorder="1" applyAlignment="1">
      <alignment horizontal="center" vertical="center"/>
    </xf>
    <xf numFmtId="182" fontId="0" fillId="0" borderId="21" xfId="1" applyNumberFormat="1" applyFont="1" applyBorder="1" applyAlignment="1">
      <alignment horizontal="center" vertical="center"/>
    </xf>
    <xf numFmtId="170" fontId="0" fillId="0" borderId="21" xfId="1" applyNumberFormat="1" applyFont="1" applyBorder="1" applyAlignment="1">
      <alignment horizontal="center" vertical="center"/>
    </xf>
    <xf numFmtId="185" fontId="0" fillId="0" borderId="21" xfId="2" applyNumberFormat="1" applyFont="1" applyBorder="1" applyAlignment="1">
      <alignment horizontal="center" vertical="center"/>
    </xf>
    <xf numFmtId="14" fontId="0" fillId="0" borderId="21" xfId="1" applyNumberFormat="1" applyFont="1" applyBorder="1" applyAlignment="1">
      <alignment horizontal="center" vertical="center"/>
    </xf>
    <xf numFmtId="14" fontId="0" fillId="0" borderId="21" xfId="1" applyNumberFormat="1" applyFont="1" applyBorder="1" applyAlignment="1">
      <alignment horizontal="left" vertical="center"/>
    </xf>
    <xf numFmtId="165" fontId="0" fillId="0" borderId="22" xfId="3" applyNumberFormat="1" applyFont="1" applyBorder="1" applyAlignment="1">
      <alignment horizontal="center" vertical="center"/>
    </xf>
    <xf numFmtId="14" fontId="0" fillId="0" borderId="29" xfId="0" applyNumberFormat="1" applyFont="1" applyBorder="1" applyAlignment="1">
      <alignment horizontal="center" vertical="center"/>
    </xf>
    <xf numFmtId="165" fontId="0" fillId="0" borderId="30" xfId="3" applyNumberFormat="1" applyFont="1" applyBorder="1" applyAlignment="1">
      <alignment horizontal="center" vertical="center"/>
    </xf>
    <xf numFmtId="184" fontId="18" fillId="0" borderId="30" xfId="1" applyNumberFormat="1" applyFont="1" applyBorder="1" applyAlignment="1">
      <alignment horizontal="center" vertical="center" wrapText="1"/>
    </xf>
    <xf numFmtId="9" fontId="0" fillId="0" borderId="30" xfId="3" applyFont="1" applyBorder="1" applyAlignment="1">
      <alignment horizontal="center" vertical="center"/>
    </xf>
    <xf numFmtId="2" fontId="0" fillId="0" borderId="30" xfId="3" applyNumberFormat="1" applyFont="1" applyBorder="1" applyAlignment="1">
      <alignment horizontal="center" vertical="center"/>
    </xf>
    <xf numFmtId="164" fontId="0" fillId="0" borderId="30" xfId="2" applyNumberFormat="1" applyFont="1" applyBorder="1" applyAlignment="1">
      <alignment horizontal="center" vertical="center"/>
    </xf>
    <xf numFmtId="10" fontId="0" fillId="0" borderId="30" xfId="3" applyNumberFormat="1" applyFont="1" applyBorder="1" applyAlignment="1">
      <alignment horizontal="center" vertical="center"/>
    </xf>
    <xf numFmtId="14" fontId="0" fillId="0" borderId="30" xfId="0" applyNumberFormat="1" applyFont="1" applyBorder="1" applyAlignment="1">
      <alignment horizontal="center" vertical="center"/>
    </xf>
    <xf numFmtId="2" fontId="0" fillId="0" borderId="30" xfId="0" applyNumberFormat="1" applyFont="1" applyBorder="1" applyAlignment="1">
      <alignment horizontal="center" vertical="center"/>
    </xf>
    <xf numFmtId="170" fontId="0" fillId="0" borderId="31" xfId="1" applyNumberFormat="1" applyFont="1" applyBorder="1" applyAlignment="1">
      <alignment horizontal="center" vertical="center"/>
    </xf>
    <xf numFmtId="174" fontId="0" fillId="0" borderId="20" xfId="0" applyNumberFormat="1" applyFont="1" applyBorder="1" applyAlignment="1">
      <alignment horizontal="center" vertical="center"/>
    </xf>
    <xf numFmtId="174" fontId="0" fillId="0" borderId="21" xfId="0" applyNumberFormat="1" applyFont="1" applyBorder="1" applyAlignment="1">
      <alignment horizontal="center" vertical="center"/>
    </xf>
    <xf numFmtId="165" fontId="0" fillId="0" borderId="22" xfId="0" applyNumberFormat="1" applyFont="1" applyBorder="1" applyAlignment="1">
      <alignment horizontal="center" vertical="center"/>
    </xf>
    <xf numFmtId="10" fontId="0" fillId="0" borderId="20" xfId="3" applyNumberFormat="1" applyFont="1" applyBorder="1" applyAlignment="1">
      <alignment horizontal="center" vertical="center"/>
    </xf>
    <xf numFmtId="10" fontId="0" fillId="0" borderId="21" xfId="3" applyNumberFormat="1" applyFont="1" applyBorder="1" applyAlignment="1">
      <alignment horizontal="center" vertical="center"/>
    </xf>
    <xf numFmtId="1" fontId="0" fillId="0" borderId="21" xfId="1" applyNumberFormat="1" applyFont="1" applyBorder="1" applyAlignment="1">
      <alignment horizontal="center" vertical="center"/>
    </xf>
    <xf numFmtId="2" fontId="0" fillId="0" borderId="21" xfId="1" applyNumberFormat="1" applyFont="1" applyBorder="1" applyAlignment="1">
      <alignment horizontal="center" vertical="center"/>
    </xf>
    <xf numFmtId="2" fontId="0" fillId="0" borderId="21" xfId="3" applyNumberFormat="1" applyFont="1" applyBorder="1" applyAlignment="1">
      <alignment horizontal="center" vertical="center"/>
    </xf>
    <xf numFmtId="0" fontId="0" fillId="0" borderId="21" xfId="1" applyNumberFormat="1" applyFont="1" applyBorder="1" applyAlignment="1">
      <alignment horizontal="center" vertical="center"/>
    </xf>
    <xf numFmtId="14" fontId="0" fillId="0" borderId="22" xfId="1" applyNumberFormat="1" applyFont="1" applyBorder="1" applyAlignment="1">
      <alignment horizontal="center" vertical="center"/>
    </xf>
    <xf numFmtId="0" fontId="0" fillId="3" borderId="24" xfId="0" applyFont="1" applyFill="1" applyBorder="1" applyAlignment="1">
      <alignment horizontal="center"/>
    </xf>
    <xf numFmtId="0" fontId="0" fillId="3" borderId="24" xfId="0" applyFont="1" applyFill="1" applyBorder="1" applyAlignment="1">
      <alignment vertical="center"/>
    </xf>
    <xf numFmtId="183" fontId="0" fillId="3" borderId="24" xfId="0" applyNumberFormat="1" applyFont="1" applyFill="1" applyBorder="1" applyAlignment="1">
      <alignment horizontal="center" vertical="center"/>
    </xf>
    <xf numFmtId="182" fontId="0" fillId="3" borderId="24" xfId="0" applyNumberFormat="1" applyFont="1" applyFill="1" applyBorder="1" applyAlignment="1">
      <alignment horizontal="center" vertical="center"/>
    </xf>
    <xf numFmtId="182" fontId="0" fillId="3" borderId="24" xfId="1" applyNumberFormat="1" applyFont="1" applyFill="1" applyBorder="1" applyAlignment="1">
      <alignment horizontal="center" vertical="center"/>
    </xf>
    <xf numFmtId="170" fontId="0" fillId="3" borderId="24" xfId="1" applyNumberFormat="1" applyFont="1" applyFill="1" applyBorder="1" applyAlignment="1">
      <alignment horizontal="center" vertical="center"/>
    </xf>
    <xf numFmtId="185" fontId="0" fillId="3" borderId="24" xfId="2" applyNumberFormat="1" applyFont="1" applyFill="1" applyBorder="1" applyAlignment="1">
      <alignment horizontal="center" vertical="center"/>
    </xf>
    <xf numFmtId="14" fontId="0" fillId="3" borderId="24" xfId="1" applyNumberFormat="1" applyFont="1" applyFill="1" applyBorder="1" applyAlignment="1">
      <alignment horizontal="center" vertical="center"/>
    </xf>
    <xf numFmtId="14" fontId="0" fillId="3" borderId="24" xfId="1" applyNumberFormat="1" applyFont="1" applyFill="1" applyBorder="1" applyAlignment="1">
      <alignment horizontal="left" vertical="center"/>
    </xf>
    <xf numFmtId="165" fontId="0" fillId="3" borderId="25" xfId="3" applyNumberFormat="1" applyFont="1" applyFill="1" applyBorder="1" applyAlignment="1">
      <alignment horizontal="center" vertical="center"/>
    </xf>
    <xf numFmtId="14" fontId="0" fillId="3" borderId="23" xfId="0" applyNumberFormat="1" applyFont="1" applyFill="1" applyBorder="1" applyAlignment="1">
      <alignment horizontal="center" vertical="center"/>
    </xf>
    <xf numFmtId="165" fontId="0" fillId="3" borderId="24" xfId="2" applyNumberFormat="1" applyFont="1" applyFill="1" applyBorder="1" applyAlignment="1">
      <alignment horizontal="center" vertical="center"/>
    </xf>
    <xf numFmtId="184" fontId="18" fillId="3" borderId="24" xfId="1" applyNumberFormat="1" applyFont="1" applyFill="1" applyBorder="1" applyAlignment="1">
      <alignment horizontal="center" vertical="center" wrapText="1"/>
    </xf>
    <xf numFmtId="9" fontId="0" fillId="3" borderId="24" xfId="3" applyFont="1" applyFill="1" applyBorder="1" applyAlignment="1">
      <alignment horizontal="center" vertical="center"/>
    </xf>
    <xf numFmtId="2" fontId="0" fillId="3" borderId="24" xfId="3" applyNumberFormat="1" applyFont="1" applyFill="1" applyBorder="1" applyAlignment="1">
      <alignment horizontal="center" vertical="center"/>
    </xf>
    <xf numFmtId="164" fontId="0" fillId="3" borderId="24" xfId="2" applyNumberFormat="1" applyFont="1" applyFill="1" applyBorder="1" applyAlignment="1">
      <alignment horizontal="center" vertical="center"/>
    </xf>
    <xf numFmtId="10" fontId="0" fillId="3" borderId="24" xfId="3" applyNumberFormat="1" applyFont="1" applyFill="1" applyBorder="1" applyAlignment="1">
      <alignment horizontal="center" vertical="center"/>
    </xf>
    <xf numFmtId="14" fontId="0" fillId="3" borderId="24" xfId="0" applyNumberFormat="1" applyFont="1" applyFill="1" applyBorder="1" applyAlignment="1">
      <alignment horizontal="center" vertical="center"/>
    </xf>
    <xf numFmtId="2" fontId="0" fillId="3" borderId="24" xfId="0" applyNumberFormat="1" applyFont="1" applyFill="1" applyBorder="1" applyAlignment="1">
      <alignment horizontal="center" vertical="center"/>
    </xf>
    <xf numFmtId="170" fontId="0" fillId="3" borderId="25" xfId="1" applyNumberFormat="1" applyFont="1" applyFill="1" applyBorder="1" applyAlignment="1">
      <alignment horizontal="center" vertical="center"/>
    </xf>
    <xf numFmtId="174" fontId="0" fillId="3" borderId="23" xfId="0" applyNumberFormat="1" applyFont="1" applyFill="1" applyBorder="1" applyAlignment="1">
      <alignment horizontal="center" vertical="center"/>
    </xf>
    <xf numFmtId="174" fontId="0" fillId="3" borderId="24" xfId="0" applyNumberFormat="1" applyFont="1" applyFill="1" applyBorder="1" applyAlignment="1">
      <alignment horizontal="center" vertical="center"/>
    </xf>
    <xf numFmtId="165" fontId="0" fillId="3" borderId="25" xfId="0" applyNumberFormat="1" applyFont="1" applyFill="1" applyBorder="1" applyAlignment="1">
      <alignment horizontal="center" vertical="center"/>
    </xf>
    <xf numFmtId="10" fontId="0" fillId="3" borderId="23" xfId="3" applyNumberFormat="1" applyFont="1" applyFill="1" applyBorder="1" applyAlignment="1">
      <alignment horizontal="center" vertical="center"/>
    </xf>
    <xf numFmtId="1" fontId="0" fillId="3" borderId="24" xfId="1" applyNumberFormat="1" applyFont="1" applyFill="1" applyBorder="1" applyAlignment="1">
      <alignment horizontal="center" vertical="center"/>
    </xf>
    <xf numFmtId="2" fontId="0" fillId="3" borderId="24" xfId="1" applyNumberFormat="1" applyFont="1" applyFill="1" applyBorder="1" applyAlignment="1">
      <alignment horizontal="center" vertical="center"/>
    </xf>
    <xf numFmtId="0" fontId="0" fillId="3" borderId="24" xfId="1" applyNumberFormat="1" applyFont="1" applyFill="1" applyBorder="1" applyAlignment="1">
      <alignment horizontal="center" vertical="center"/>
    </xf>
    <xf numFmtId="14" fontId="0" fillId="3" borderId="25" xfId="1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0" fontId="0" fillId="0" borderId="24" xfId="0" applyFont="1" applyBorder="1" applyAlignment="1">
      <alignment vertical="center"/>
    </xf>
    <xf numFmtId="183" fontId="0" fillId="0" borderId="24" xfId="0" applyNumberFormat="1" applyFont="1" applyBorder="1" applyAlignment="1">
      <alignment horizontal="center" vertical="center"/>
    </xf>
    <xf numFmtId="182" fontId="0" fillId="0" borderId="24" xfId="0" applyNumberFormat="1" applyFont="1" applyBorder="1" applyAlignment="1">
      <alignment horizontal="center" vertical="center"/>
    </xf>
    <xf numFmtId="182" fontId="0" fillId="0" borderId="24" xfId="1" applyNumberFormat="1" applyFont="1" applyBorder="1" applyAlignment="1">
      <alignment horizontal="center" vertical="center"/>
    </xf>
    <xf numFmtId="170" fontId="0" fillId="0" borderId="24" xfId="1" applyNumberFormat="1" applyFont="1" applyBorder="1" applyAlignment="1">
      <alignment horizontal="center" vertical="center"/>
    </xf>
    <xf numFmtId="185" fontId="0" fillId="0" borderId="24" xfId="2" applyNumberFormat="1" applyFont="1" applyBorder="1" applyAlignment="1">
      <alignment horizontal="center" vertical="center"/>
    </xf>
    <xf numFmtId="14" fontId="0" fillId="0" borderId="24" xfId="1" applyNumberFormat="1" applyFont="1" applyBorder="1" applyAlignment="1">
      <alignment horizontal="center" vertical="center"/>
    </xf>
    <xf numFmtId="14" fontId="0" fillId="0" borderId="24" xfId="1" applyNumberFormat="1" applyFont="1" applyBorder="1" applyAlignment="1">
      <alignment horizontal="left" vertical="center"/>
    </xf>
    <xf numFmtId="165" fontId="0" fillId="0" borderId="25" xfId="3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165" fontId="0" fillId="0" borderId="24" xfId="2" applyNumberFormat="1" applyFont="1" applyBorder="1" applyAlignment="1">
      <alignment horizontal="center" vertical="center"/>
    </xf>
    <xf numFmtId="184" fontId="18" fillId="0" borderId="24" xfId="1" applyNumberFormat="1" applyFont="1" applyBorder="1" applyAlignment="1">
      <alignment horizontal="center" vertical="center" wrapText="1"/>
    </xf>
    <xf numFmtId="9" fontId="0" fillId="0" borderId="24" xfId="3" applyFont="1" applyBorder="1" applyAlignment="1">
      <alignment horizontal="center" vertical="center"/>
    </xf>
    <xf numFmtId="2" fontId="0" fillId="0" borderId="24" xfId="3" applyNumberFormat="1" applyFont="1" applyBorder="1" applyAlignment="1">
      <alignment horizontal="center" vertical="center"/>
    </xf>
    <xf numFmtId="164" fontId="0" fillId="0" borderId="24" xfId="2" applyNumberFormat="1" applyFont="1" applyBorder="1" applyAlignment="1">
      <alignment horizontal="center" vertical="center"/>
    </xf>
    <xf numFmtId="10" fontId="0" fillId="0" borderId="24" xfId="3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2" fontId="0" fillId="0" borderId="24" xfId="0" applyNumberFormat="1" applyFont="1" applyBorder="1" applyAlignment="1">
      <alignment horizontal="center" vertical="center"/>
    </xf>
    <xf numFmtId="170" fontId="0" fillId="0" borderId="25" xfId="1" applyNumberFormat="1" applyFont="1" applyBorder="1" applyAlignment="1">
      <alignment horizontal="center" vertical="center"/>
    </xf>
    <xf numFmtId="174" fontId="0" fillId="0" borderId="23" xfId="0" applyNumberFormat="1" applyFont="1" applyBorder="1" applyAlignment="1">
      <alignment horizontal="center" vertical="center"/>
    </xf>
    <xf numFmtId="174" fontId="0" fillId="0" borderId="24" xfId="0" applyNumberFormat="1" applyFont="1" applyBorder="1" applyAlignment="1">
      <alignment horizontal="center" vertical="center"/>
    </xf>
    <xf numFmtId="165" fontId="0" fillId="0" borderId="25" xfId="0" applyNumberFormat="1" applyFont="1" applyBorder="1" applyAlignment="1">
      <alignment horizontal="center" vertical="center"/>
    </xf>
    <xf numFmtId="10" fontId="0" fillId="0" borderId="23" xfId="3" applyNumberFormat="1" applyFont="1" applyBorder="1" applyAlignment="1">
      <alignment horizontal="center" vertical="center"/>
    </xf>
    <xf numFmtId="1" fontId="0" fillId="0" borderId="24" xfId="1" applyNumberFormat="1" applyFont="1" applyBorder="1" applyAlignment="1">
      <alignment horizontal="center" vertical="center"/>
    </xf>
    <xf numFmtId="2" fontId="0" fillId="0" borderId="24" xfId="1" applyNumberFormat="1" applyFont="1" applyBorder="1" applyAlignment="1">
      <alignment horizontal="center" vertical="center"/>
    </xf>
    <xf numFmtId="0" fontId="0" fillId="0" borderId="24" xfId="1" applyNumberFormat="1" applyFont="1" applyBorder="1" applyAlignment="1">
      <alignment horizontal="center" vertical="center"/>
    </xf>
    <xf numFmtId="14" fontId="0" fillId="0" borderId="25" xfId="1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/>
    </xf>
    <xf numFmtId="0" fontId="0" fillId="0" borderId="27" xfId="0" applyFont="1" applyBorder="1" applyAlignment="1">
      <alignment vertical="center"/>
    </xf>
    <xf numFmtId="183" fontId="0" fillId="0" borderId="27" xfId="0" applyNumberFormat="1" applyFont="1" applyBorder="1" applyAlignment="1">
      <alignment horizontal="center" vertical="center"/>
    </xf>
    <xf numFmtId="182" fontId="0" fillId="0" borderId="27" xfId="0" applyNumberFormat="1" applyFont="1" applyBorder="1" applyAlignment="1">
      <alignment horizontal="center" vertical="center"/>
    </xf>
    <xf numFmtId="182" fontId="0" fillId="0" borderId="27" xfId="1" applyNumberFormat="1" applyFont="1" applyBorder="1" applyAlignment="1">
      <alignment horizontal="center" vertical="center"/>
    </xf>
    <xf numFmtId="170" fontId="0" fillId="0" borderId="27" xfId="1" applyNumberFormat="1" applyFont="1" applyBorder="1" applyAlignment="1">
      <alignment horizontal="center" vertical="center"/>
    </xf>
    <xf numFmtId="185" fontId="0" fillId="0" borderId="27" xfId="2" applyNumberFormat="1" applyFont="1" applyBorder="1" applyAlignment="1">
      <alignment horizontal="center" vertical="center"/>
    </xf>
    <xf numFmtId="14" fontId="0" fillId="0" borderId="27" xfId="1" applyNumberFormat="1" applyFont="1" applyBorder="1" applyAlignment="1">
      <alignment horizontal="center" vertical="center"/>
    </xf>
    <xf numFmtId="14" fontId="0" fillId="0" borderId="27" xfId="1" applyNumberFormat="1" applyFont="1" applyBorder="1" applyAlignment="1">
      <alignment horizontal="left" vertical="center"/>
    </xf>
    <xf numFmtId="165" fontId="0" fillId="0" borderId="28" xfId="3" applyNumberFormat="1" applyFont="1" applyBorder="1" applyAlignment="1">
      <alignment horizontal="center" vertical="center"/>
    </xf>
    <xf numFmtId="0" fontId="0" fillId="0" borderId="0" xfId="0" applyFont="1" applyBorder="1"/>
    <xf numFmtId="14" fontId="0" fillId="0" borderId="26" xfId="0" applyNumberFormat="1" applyFont="1" applyBorder="1" applyAlignment="1">
      <alignment horizontal="center" vertical="center"/>
    </xf>
    <xf numFmtId="165" fontId="0" fillId="0" borderId="27" xfId="2" applyNumberFormat="1" applyFont="1" applyBorder="1" applyAlignment="1">
      <alignment horizontal="center" vertical="center"/>
    </xf>
    <xf numFmtId="184" fontId="18" fillId="0" borderId="27" xfId="1" applyNumberFormat="1" applyFont="1" applyBorder="1" applyAlignment="1">
      <alignment horizontal="center" vertical="center" wrapText="1"/>
    </xf>
    <xf numFmtId="9" fontId="0" fillId="0" borderId="27" xfId="3" applyFont="1" applyBorder="1" applyAlignment="1">
      <alignment horizontal="center" vertical="center"/>
    </xf>
    <xf numFmtId="2" fontId="0" fillId="0" borderId="27" xfId="3" applyNumberFormat="1" applyFont="1" applyBorder="1" applyAlignment="1">
      <alignment horizontal="center" vertical="center"/>
    </xf>
    <xf numFmtId="164" fontId="0" fillId="0" borderId="27" xfId="2" applyNumberFormat="1" applyFont="1" applyBorder="1" applyAlignment="1">
      <alignment horizontal="center" vertical="center"/>
    </xf>
    <xf numFmtId="10" fontId="0" fillId="0" borderId="27" xfId="3" applyNumberFormat="1" applyFont="1" applyBorder="1" applyAlignment="1">
      <alignment horizontal="center" vertical="center"/>
    </xf>
    <xf numFmtId="14" fontId="0" fillId="0" borderId="27" xfId="0" applyNumberFormat="1" applyFont="1" applyBorder="1" applyAlignment="1">
      <alignment horizontal="center" vertical="center"/>
    </xf>
    <xf numFmtId="2" fontId="0" fillId="0" borderId="27" xfId="0" applyNumberFormat="1" applyFont="1" applyBorder="1" applyAlignment="1">
      <alignment horizontal="center" vertical="center"/>
    </xf>
    <xf numFmtId="170" fontId="0" fillId="0" borderId="28" xfId="1" applyNumberFormat="1" applyFont="1" applyBorder="1" applyAlignment="1">
      <alignment horizontal="center" vertical="center"/>
    </xf>
    <xf numFmtId="174" fontId="0" fillId="0" borderId="26" xfId="0" applyNumberFormat="1" applyFont="1" applyBorder="1" applyAlignment="1">
      <alignment horizontal="center" vertical="center"/>
    </xf>
    <xf numFmtId="174" fontId="0" fillId="0" borderId="27" xfId="0" applyNumberFormat="1" applyFont="1" applyBorder="1" applyAlignment="1">
      <alignment horizontal="center" vertical="center"/>
    </xf>
    <xf numFmtId="165" fontId="0" fillId="0" borderId="28" xfId="0" applyNumberFormat="1" applyFont="1" applyBorder="1" applyAlignment="1">
      <alignment horizontal="center" vertical="center"/>
    </xf>
    <xf numFmtId="10" fontId="0" fillId="0" borderId="26" xfId="3" applyNumberFormat="1" applyFont="1" applyBorder="1" applyAlignment="1">
      <alignment horizontal="center" vertical="center"/>
    </xf>
    <xf numFmtId="1" fontId="0" fillId="0" borderId="27" xfId="1" applyNumberFormat="1" applyFont="1" applyBorder="1" applyAlignment="1">
      <alignment horizontal="center" vertical="center"/>
    </xf>
    <xf numFmtId="2" fontId="0" fillId="0" borderId="27" xfId="1" applyNumberFormat="1" applyFont="1" applyBorder="1" applyAlignment="1">
      <alignment horizontal="center" vertical="center"/>
    </xf>
    <xf numFmtId="0" fontId="0" fillId="0" borderId="27" xfId="1" applyNumberFormat="1" applyFont="1" applyBorder="1" applyAlignment="1">
      <alignment horizontal="center" vertical="center"/>
    </xf>
    <xf numFmtId="14" fontId="0" fillId="0" borderId="28" xfId="1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1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3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182" fontId="2" fillId="0" borderId="0" xfId="1" applyNumberFormat="1" applyFont="1" applyBorder="1" applyAlignment="1">
      <alignment horizontal="center" vertical="center"/>
    </xf>
    <xf numFmtId="170" fontId="2" fillId="0" borderId="0" xfId="1" applyNumberFormat="1" applyFont="1" applyBorder="1" applyAlignment="1">
      <alignment horizontal="center" vertical="center"/>
    </xf>
    <xf numFmtId="166" fontId="2" fillId="0" borderId="0" xfId="2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4" fontId="2" fillId="0" borderId="0" xfId="2" applyFont="1" applyBorder="1" applyAlignment="1">
      <alignment horizontal="center" vertical="center"/>
    </xf>
    <xf numFmtId="165" fontId="2" fillId="0" borderId="0" xfId="0" applyNumberFormat="1" applyFont="1" applyBorder="1" applyAlignment="1">
      <alignment vertical="center"/>
    </xf>
    <xf numFmtId="167" fontId="2" fillId="0" borderId="0" xfId="0" applyNumberFormat="1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169" fontId="2" fillId="0" borderId="0" xfId="0" applyNumberFormat="1" applyFont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/>
    </xf>
    <xf numFmtId="0" fontId="24" fillId="3" borderId="34" xfId="4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165" fontId="2" fillId="0" borderId="32" xfId="0" applyNumberFormat="1" applyFont="1" applyBorder="1" applyAlignment="1">
      <alignment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175" fontId="24" fillId="3" borderId="6" xfId="0" applyNumberFormat="1" applyFont="1" applyFill="1" applyBorder="1" applyAlignment="1">
      <alignment horizontal="center" vertical="center"/>
    </xf>
    <xf numFmtId="171" fontId="24" fillId="3" borderId="6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10" fontId="22" fillId="0" borderId="0" xfId="3" applyNumberFormat="1" applyFont="1" applyAlignment="1">
      <alignment horizontal="center" vertical="center"/>
    </xf>
    <xf numFmtId="10" fontId="22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6" fillId="4" borderId="17" xfId="0" applyFont="1" applyFill="1" applyBorder="1" applyAlignment="1">
      <alignment horizontal="center" vertical="center"/>
    </xf>
    <xf numFmtId="170" fontId="26" fillId="4" borderId="18" xfId="1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/>
    </xf>
    <xf numFmtId="0" fontId="0" fillId="0" borderId="33" xfId="0" applyBorder="1"/>
    <xf numFmtId="0" fontId="2" fillId="0" borderId="33" xfId="0" applyFont="1" applyBorder="1" applyAlignment="1">
      <alignment horizontal="center" vertical="center"/>
    </xf>
    <xf numFmtId="170" fontId="2" fillId="0" borderId="33" xfId="1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10" fillId="0" borderId="33" xfId="0" applyFont="1" applyBorder="1" applyAlignment="1">
      <alignment vertical="center"/>
    </xf>
    <xf numFmtId="2" fontId="10" fillId="0" borderId="33" xfId="0" applyNumberFormat="1" applyFont="1" applyBorder="1" applyAlignment="1">
      <alignment vertical="center"/>
    </xf>
    <xf numFmtId="0" fontId="18" fillId="3" borderId="33" xfId="0" applyFont="1" applyFill="1" applyBorder="1" applyAlignment="1">
      <alignment horizontal="center" vertical="center"/>
    </xf>
    <xf numFmtId="173" fontId="5" fillId="0" borderId="0" xfId="2" applyNumberFormat="1" applyFont="1" applyAlignment="1">
      <alignment horizontal="left" vertical="center"/>
    </xf>
    <xf numFmtId="0" fontId="28" fillId="0" borderId="1" xfId="0" applyFont="1" applyBorder="1"/>
    <xf numFmtId="0" fontId="28" fillId="0" borderId="0" xfId="0" applyFont="1"/>
    <xf numFmtId="0" fontId="26" fillId="4" borderId="14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185" fontId="0" fillId="0" borderId="24" xfId="2" applyNumberFormat="1" applyFont="1" applyBorder="1" applyAlignment="1">
      <alignment horizontal="center"/>
    </xf>
    <xf numFmtId="0" fontId="0" fillId="0" borderId="21" xfId="0" applyFont="1" applyBorder="1"/>
    <xf numFmtId="14" fontId="0" fillId="0" borderId="21" xfId="0" applyNumberFormat="1" applyFont="1" applyBorder="1" applyAlignment="1">
      <alignment horizontal="center"/>
    </xf>
    <xf numFmtId="185" fontId="0" fillId="0" borderId="21" xfId="2" applyNumberFormat="1" applyFont="1" applyBorder="1" applyAlignment="1">
      <alignment horizontal="center"/>
    </xf>
    <xf numFmtId="179" fontId="0" fillId="0" borderId="21" xfId="2" applyNumberFormat="1" applyFont="1" applyBorder="1" applyAlignment="1">
      <alignment horizontal="center"/>
    </xf>
    <xf numFmtId="180" fontId="0" fillId="0" borderId="21" xfId="2" applyNumberFormat="1" applyFont="1" applyBorder="1" applyAlignment="1">
      <alignment horizontal="center"/>
    </xf>
    <xf numFmtId="180" fontId="0" fillId="0" borderId="22" xfId="2" applyNumberFormat="1" applyFont="1" applyBorder="1" applyAlignment="1">
      <alignment horizontal="center"/>
    </xf>
    <xf numFmtId="185" fontId="0" fillId="0" borderId="20" xfId="0" applyNumberFormat="1" applyFont="1" applyBorder="1" applyAlignment="1">
      <alignment horizontal="center"/>
    </xf>
    <xf numFmtId="185" fontId="0" fillId="0" borderId="21" xfId="0" applyNumberFormat="1" applyFont="1" applyBorder="1" applyAlignment="1">
      <alignment horizontal="center"/>
    </xf>
    <xf numFmtId="174" fontId="0" fillId="0" borderId="21" xfId="0" applyNumberFormat="1" applyFont="1" applyBorder="1" applyAlignment="1">
      <alignment horizontal="center"/>
    </xf>
    <xf numFmtId="174" fontId="0" fillId="0" borderId="22" xfId="0" applyNumberFormat="1" applyFont="1" applyBorder="1" applyAlignment="1">
      <alignment horizontal="center"/>
    </xf>
    <xf numFmtId="185" fontId="0" fillId="0" borderId="22" xfId="0" applyNumberFormat="1" applyFont="1" applyBorder="1" applyAlignment="1">
      <alignment horizontal="center"/>
    </xf>
    <xf numFmtId="0" fontId="0" fillId="0" borderId="24" xfId="0" applyFont="1" applyBorder="1"/>
    <xf numFmtId="14" fontId="0" fillId="0" borderId="24" xfId="0" applyNumberFormat="1" applyFont="1" applyBorder="1" applyAlignment="1">
      <alignment horizontal="center"/>
    </xf>
    <xf numFmtId="179" fontId="0" fillId="0" borderId="24" xfId="2" applyNumberFormat="1" applyFont="1" applyBorder="1" applyAlignment="1">
      <alignment horizontal="center"/>
    </xf>
    <xf numFmtId="180" fontId="0" fillId="0" borderId="24" xfId="2" applyNumberFormat="1" applyFont="1" applyBorder="1" applyAlignment="1">
      <alignment horizontal="center"/>
    </xf>
    <xf numFmtId="180" fontId="0" fillId="0" borderId="25" xfId="2" applyNumberFormat="1" applyFont="1" applyBorder="1" applyAlignment="1">
      <alignment horizontal="center"/>
    </xf>
    <xf numFmtId="185" fontId="0" fillId="0" borderId="23" xfId="0" applyNumberFormat="1" applyFont="1" applyBorder="1" applyAlignment="1">
      <alignment horizontal="center"/>
    </xf>
    <xf numFmtId="185" fontId="0" fillId="0" borderId="24" xfId="0" applyNumberFormat="1" applyFont="1" applyBorder="1" applyAlignment="1">
      <alignment horizontal="center"/>
    </xf>
    <xf numFmtId="174" fontId="0" fillId="0" borderId="24" xfId="0" applyNumberFormat="1" applyFont="1" applyBorder="1" applyAlignment="1">
      <alignment horizontal="center"/>
    </xf>
    <xf numFmtId="174" fontId="0" fillId="0" borderId="25" xfId="0" applyNumberFormat="1" applyFont="1" applyBorder="1" applyAlignment="1">
      <alignment horizontal="center"/>
    </xf>
    <xf numFmtId="185" fontId="0" fillId="0" borderId="25" xfId="0" applyNumberFormat="1" applyFont="1" applyBorder="1" applyAlignment="1">
      <alignment horizontal="center"/>
    </xf>
    <xf numFmtId="0" fontId="23" fillId="3" borderId="23" xfId="0" applyFont="1" applyFill="1" applyBorder="1" applyAlignment="1">
      <alignment vertical="center"/>
    </xf>
    <xf numFmtId="0" fontId="0" fillId="3" borderId="24" xfId="0" applyFont="1" applyFill="1" applyBorder="1"/>
    <xf numFmtId="14" fontId="0" fillId="3" borderId="24" xfId="0" applyNumberFormat="1" applyFont="1" applyFill="1" applyBorder="1" applyAlignment="1">
      <alignment horizontal="center"/>
    </xf>
    <xf numFmtId="185" fontId="0" fillId="3" borderId="24" xfId="2" applyNumberFormat="1" applyFont="1" applyFill="1" applyBorder="1" applyAlignment="1">
      <alignment horizontal="center"/>
    </xf>
    <xf numFmtId="179" fontId="0" fillId="3" borderId="24" xfId="2" applyNumberFormat="1" applyFont="1" applyFill="1" applyBorder="1" applyAlignment="1">
      <alignment horizontal="center"/>
    </xf>
    <xf numFmtId="180" fontId="0" fillId="3" borderId="24" xfId="2" applyNumberFormat="1" applyFont="1" applyFill="1" applyBorder="1" applyAlignment="1">
      <alignment horizontal="center"/>
    </xf>
    <xf numFmtId="180" fontId="0" fillId="3" borderId="25" xfId="2" applyNumberFormat="1" applyFont="1" applyFill="1" applyBorder="1" applyAlignment="1">
      <alignment horizontal="center"/>
    </xf>
    <xf numFmtId="185" fontId="0" fillId="3" borderId="23" xfId="0" applyNumberFormat="1" applyFont="1" applyFill="1" applyBorder="1" applyAlignment="1">
      <alignment horizontal="center"/>
    </xf>
    <xf numFmtId="185" fontId="0" fillId="3" borderId="24" xfId="0" applyNumberFormat="1" applyFont="1" applyFill="1" applyBorder="1" applyAlignment="1">
      <alignment horizontal="center"/>
    </xf>
    <xf numFmtId="174" fontId="0" fillId="3" borderId="24" xfId="0" applyNumberFormat="1" applyFont="1" applyFill="1" applyBorder="1" applyAlignment="1">
      <alignment horizontal="center"/>
    </xf>
    <xf numFmtId="174" fontId="0" fillId="3" borderId="25" xfId="0" applyNumberFormat="1" applyFont="1" applyFill="1" applyBorder="1" applyAlignment="1">
      <alignment horizontal="center"/>
    </xf>
    <xf numFmtId="185" fontId="0" fillId="3" borderId="25" xfId="0" applyNumberFormat="1" applyFont="1" applyFill="1" applyBorder="1" applyAlignment="1">
      <alignment horizontal="center"/>
    </xf>
    <xf numFmtId="0" fontId="0" fillId="0" borderId="35" xfId="0" applyBorder="1" applyAlignment="1">
      <alignment vertical="center"/>
    </xf>
    <xf numFmtId="0" fontId="26" fillId="4" borderId="36" xfId="0" applyFont="1" applyFill="1" applyBorder="1" applyAlignment="1">
      <alignment horizontal="center" vertical="center" wrapText="1"/>
    </xf>
    <xf numFmtId="0" fontId="26" fillId="4" borderId="37" xfId="0" applyFont="1" applyFill="1" applyBorder="1" applyAlignment="1">
      <alignment horizontal="center" vertical="center" wrapText="1"/>
    </xf>
    <xf numFmtId="0" fontId="31" fillId="0" borderId="0" xfId="0" applyFont="1"/>
    <xf numFmtId="0" fontId="29" fillId="0" borderId="35" xfId="0" applyFont="1" applyBorder="1"/>
    <xf numFmtId="0" fontId="24" fillId="3" borderId="38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4" fillId="3" borderId="40" xfId="0" applyFont="1" applyFill="1" applyBorder="1" applyAlignment="1">
      <alignment horizontal="center" vertical="center"/>
    </xf>
    <xf numFmtId="176" fontId="23" fillId="3" borderId="41" xfId="0" applyNumberFormat="1" applyFont="1" applyFill="1" applyBorder="1" applyAlignment="1">
      <alignment horizontal="center" vertical="center"/>
    </xf>
    <xf numFmtId="0" fontId="23" fillId="3" borderId="42" xfId="0" applyFont="1" applyFill="1" applyBorder="1" applyAlignment="1">
      <alignment horizontal="center" vertical="center"/>
    </xf>
    <xf numFmtId="176" fontId="23" fillId="3" borderId="43" xfId="0" applyNumberFormat="1" applyFont="1" applyFill="1" applyBorder="1" applyAlignment="1">
      <alignment horizontal="center" vertical="center"/>
    </xf>
    <xf numFmtId="176" fontId="23" fillId="3" borderId="42" xfId="0" applyNumberFormat="1" applyFont="1" applyFill="1" applyBorder="1" applyAlignment="1">
      <alignment horizontal="center" vertical="center"/>
    </xf>
    <xf numFmtId="0" fontId="23" fillId="3" borderId="43" xfId="0" applyFont="1" applyFill="1" applyBorder="1" applyAlignment="1">
      <alignment horizontal="center" vertical="center"/>
    </xf>
    <xf numFmtId="0" fontId="24" fillId="3" borderId="34" xfId="0" applyFont="1" applyFill="1" applyBorder="1" applyAlignment="1">
      <alignment horizontal="center" vertical="center"/>
    </xf>
    <xf numFmtId="176" fontId="23" fillId="3" borderId="44" xfId="0" applyNumberFormat="1" applyFont="1" applyFill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14" fontId="9" fillId="0" borderId="25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14" fontId="9" fillId="0" borderId="28" xfId="0" applyNumberFormat="1" applyFont="1" applyBorder="1" applyAlignment="1">
      <alignment horizontal="center" vertical="center"/>
    </xf>
    <xf numFmtId="185" fontId="9" fillId="0" borderId="20" xfId="2" applyNumberFormat="1" applyFont="1" applyBorder="1" applyAlignment="1">
      <alignment horizontal="center" vertical="center"/>
    </xf>
    <xf numFmtId="185" fontId="9" fillId="0" borderId="22" xfId="2" applyNumberFormat="1" applyFont="1" applyBorder="1" applyAlignment="1">
      <alignment horizontal="center" vertical="center"/>
    </xf>
    <xf numFmtId="185" fontId="9" fillId="0" borderId="23" xfId="2" applyNumberFormat="1" applyFont="1" applyBorder="1" applyAlignment="1">
      <alignment horizontal="center" vertical="center"/>
    </xf>
    <xf numFmtId="185" fontId="9" fillId="0" borderId="25" xfId="2" applyNumberFormat="1" applyFont="1" applyBorder="1" applyAlignment="1">
      <alignment horizontal="center" vertical="center"/>
    </xf>
    <xf numFmtId="185" fontId="9" fillId="0" borderId="26" xfId="2" applyNumberFormat="1" applyFont="1" applyBorder="1" applyAlignment="1">
      <alignment horizontal="center" vertical="center"/>
    </xf>
    <xf numFmtId="185" fontId="9" fillId="0" borderId="28" xfId="2" applyNumberFormat="1" applyFont="1" applyBorder="1" applyAlignment="1">
      <alignment horizontal="center" vertical="center"/>
    </xf>
    <xf numFmtId="174" fontId="9" fillId="0" borderId="20" xfId="2" applyNumberFormat="1" applyFont="1" applyBorder="1" applyAlignment="1">
      <alignment horizontal="center" vertical="center"/>
    </xf>
    <xf numFmtId="174" fontId="9" fillId="0" borderId="21" xfId="2" applyNumberFormat="1" applyFont="1" applyBorder="1" applyAlignment="1">
      <alignment horizontal="center" vertical="center"/>
    </xf>
    <xf numFmtId="174" fontId="9" fillId="0" borderId="22" xfId="2" applyNumberFormat="1" applyFont="1" applyBorder="1" applyAlignment="1">
      <alignment horizontal="center" vertical="center"/>
    </xf>
    <xf numFmtId="174" fontId="9" fillId="0" borderId="23" xfId="2" applyNumberFormat="1" applyFont="1" applyBorder="1" applyAlignment="1">
      <alignment horizontal="center" vertical="center"/>
    </xf>
    <xf numFmtId="174" fontId="9" fillId="0" borderId="24" xfId="2" applyNumberFormat="1" applyFont="1" applyBorder="1" applyAlignment="1">
      <alignment horizontal="center" vertical="center"/>
    </xf>
    <xf numFmtId="174" fontId="9" fillId="0" borderId="25" xfId="2" applyNumberFormat="1" applyFont="1" applyBorder="1" applyAlignment="1">
      <alignment horizontal="center" vertical="center"/>
    </xf>
    <xf numFmtId="174" fontId="9" fillId="0" borderId="26" xfId="2" applyNumberFormat="1" applyFont="1" applyBorder="1" applyAlignment="1">
      <alignment horizontal="center" vertical="center"/>
    </xf>
    <xf numFmtId="174" fontId="9" fillId="0" borderId="27" xfId="2" applyNumberFormat="1" applyFont="1" applyBorder="1" applyAlignment="1">
      <alignment horizontal="center" vertical="center"/>
    </xf>
    <xf numFmtId="174" fontId="9" fillId="0" borderId="28" xfId="2" applyNumberFormat="1" applyFont="1" applyBorder="1" applyAlignment="1">
      <alignment horizontal="center" vertical="center"/>
    </xf>
    <xf numFmtId="174" fontId="9" fillId="0" borderId="22" xfId="0" applyNumberFormat="1" applyFont="1" applyBorder="1" applyAlignment="1">
      <alignment horizontal="center" vertical="center"/>
    </xf>
    <xf numFmtId="174" fontId="9" fillId="0" borderId="25" xfId="0" applyNumberFormat="1" applyFont="1" applyBorder="1" applyAlignment="1">
      <alignment horizontal="center" vertical="center"/>
    </xf>
    <xf numFmtId="174" fontId="9" fillId="0" borderId="28" xfId="0" applyNumberFormat="1" applyFont="1" applyBorder="1" applyAlignment="1">
      <alignment horizontal="center" vertical="center"/>
    </xf>
    <xf numFmtId="186" fontId="9" fillId="0" borderId="20" xfId="0" applyNumberFormat="1" applyFont="1" applyBorder="1" applyAlignment="1">
      <alignment horizontal="center" vertical="center"/>
    </xf>
    <xf numFmtId="186" fontId="9" fillId="0" borderId="21" xfId="0" applyNumberFormat="1" applyFont="1" applyBorder="1" applyAlignment="1">
      <alignment horizontal="center" vertical="center"/>
    </xf>
    <xf numFmtId="186" fontId="9" fillId="0" borderId="22" xfId="0" applyNumberFormat="1" applyFont="1" applyBorder="1" applyAlignment="1">
      <alignment horizontal="center" vertical="center"/>
    </xf>
    <xf numFmtId="186" fontId="9" fillId="0" borderId="23" xfId="0" applyNumberFormat="1" applyFont="1" applyBorder="1" applyAlignment="1">
      <alignment horizontal="center" vertical="center"/>
    </xf>
    <xf numFmtId="186" fontId="9" fillId="0" borderId="24" xfId="0" applyNumberFormat="1" applyFont="1" applyBorder="1" applyAlignment="1">
      <alignment horizontal="center" vertical="center"/>
    </xf>
    <xf numFmtId="186" fontId="9" fillId="0" borderId="25" xfId="0" applyNumberFormat="1" applyFont="1" applyBorder="1" applyAlignment="1">
      <alignment horizontal="center" vertical="center"/>
    </xf>
    <xf numFmtId="186" fontId="9" fillId="0" borderId="26" xfId="0" applyNumberFormat="1" applyFont="1" applyBorder="1" applyAlignment="1">
      <alignment horizontal="center" vertical="center"/>
    </xf>
    <xf numFmtId="186" fontId="9" fillId="0" borderId="27" xfId="0" applyNumberFormat="1" applyFont="1" applyBorder="1" applyAlignment="1">
      <alignment horizontal="center" vertical="center"/>
    </xf>
    <xf numFmtId="186" fontId="9" fillId="0" borderId="28" xfId="0" applyNumberFormat="1" applyFont="1" applyBorder="1" applyAlignment="1">
      <alignment horizontal="center" vertical="center"/>
    </xf>
    <xf numFmtId="179" fontId="9" fillId="0" borderId="20" xfId="0" applyNumberFormat="1" applyFont="1" applyBorder="1" applyAlignment="1">
      <alignment horizontal="center" vertical="center"/>
    </xf>
    <xf numFmtId="179" fontId="9" fillId="0" borderId="21" xfId="0" applyNumberFormat="1" applyFont="1" applyBorder="1" applyAlignment="1">
      <alignment horizontal="center" vertical="center"/>
    </xf>
    <xf numFmtId="179" fontId="9" fillId="0" borderId="22" xfId="0" applyNumberFormat="1" applyFont="1" applyBorder="1" applyAlignment="1">
      <alignment horizontal="center" vertical="center"/>
    </xf>
    <xf numFmtId="179" fontId="9" fillId="0" borderId="23" xfId="0" applyNumberFormat="1" applyFont="1" applyBorder="1" applyAlignment="1">
      <alignment horizontal="center" vertical="center"/>
    </xf>
    <xf numFmtId="179" fontId="9" fillId="0" borderId="24" xfId="0" applyNumberFormat="1" applyFont="1" applyBorder="1" applyAlignment="1">
      <alignment horizontal="center" vertical="center"/>
    </xf>
    <xf numFmtId="179" fontId="9" fillId="0" borderId="25" xfId="0" applyNumberFormat="1" applyFont="1" applyBorder="1" applyAlignment="1">
      <alignment horizontal="center" vertical="center"/>
    </xf>
    <xf numFmtId="179" fontId="9" fillId="0" borderId="26" xfId="0" applyNumberFormat="1" applyFont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9" fontId="9" fillId="0" borderId="28" xfId="0" applyNumberFormat="1" applyFont="1" applyBorder="1" applyAlignment="1">
      <alignment horizontal="center" vertical="center"/>
    </xf>
    <xf numFmtId="179" fontId="9" fillId="3" borderId="23" xfId="0" applyNumberFormat="1" applyFont="1" applyFill="1" applyBorder="1" applyAlignment="1">
      <alignment horizontal="center" vertical="center"/>
    </xf>
    <xf numFmtId="179" fontId="9" fillId="3" borderId="24" xfId="0" applyNumberFormat="1" applyFont="1" applyFill="1" applyBorder="1" applyAlignment="1">
      <alignment horizontal="center" vertical="center"/>
    </xf>
    <xf numFmtId="179" fontId="9" fillId="3" borderId="25" xfId="0" applyNumberFormat="1" applyFont="1" applyFill="1" applyBorder="1" applyAlignment="1">
      <alignment horizontal="center" vertical="center"/>
    </xf>
    <xf numFmtId="174" fontId="9" fillId="3" borderId="25" xfId="0" applyNumberFormat="1" applyFont="1" applyFill="1" applyBorder="1" applyAlignment="1">
      <alignment horizontal="center" vertical="center"/>
    </xf>
    <xf numFmtId="186" fontId="9" fillId="3" borderId="24" xfId="0" applyNumberFormat="1" applyFont="1" applyFill="1" applyBorder="1" applyAlignment="1">
      <alignment horizontal="center" vertical="center"/>
    </xf>
    <xf numFmtId="186" fontId="9" fillId="3" borderId="25" xfId="0" applyNumberFormat="1" applyFont="1" applyFill="1" applyBorder="1" applyAlignment="1">
      <alignment horizontal="center" vertical="center"/>
    </xf>
    <xf numFmtId="186" fontId="9" fillId="3" borderId="23" xfId="0" applyNumberFormat="1" applyFont="1" applyFill="1" applyBorder="1" applyAlignment="1">
      <alignment horizontal="center" vertical="center"/>
    </xf>
    <xf numFmtId="185" fontId="9" fillId="3" borderId="23" xfId="2" applyNumberFormat="1" applyFont="1" applyFill="1" applyBorder="1" applyAlignment="1">
      <alignment horizontal="center" vertical="center"/>
    </xf>
    <xf numFmtId="185" fontId="9" fillId="3" borderId="25" xfId="2" applyNumberFormat="1" applyFont="1" applyFill="1" applyBorder="1" applyAlignment="1">
      <alignment horizontal="center" vertical="center"/>
    </xf>
    <xf numFmtId="174" fontId="9" fillId="3" borderId="23" xfId="2" applyNumberFormat="1" applyFont="1" applyFill="1" applyBorder="1" applyAlignment="1">
      <alignment horizontal="center" vertical="center"/>
    </xf>
    <xf numFmtId="174" fontId="9" fillId="3" borderId="24" xfId="2" applyNumberFormat="1" applyFont="1" applyFill="1" applyBorder="1" applyAlignment="1">
      <alignment horizontal="center" vertical="center"/>
    </xf>
    <xf numFmtId="174" fontId="9" fillId="3" borderId="25" xfId="2" applyNumberFormat="1" applyFont="1" applyFill="1" applyBorder="1" applyAlignment="1">
      <alignment horizontal="center" vertical="center"/>
    </xf>
    <xf numFmtId="14" fontId="9" fillId="3" borderId="25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185" fontId="11" fillId="0" borderId="0" xfId="0" applyNumberFormat="1" applyFont="1" applyBorder="1"/>
    <xf numFmtId="0" fontId="24" fillId="3" borderId="9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4" fontId="23" fillId="0" borderId="1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172" fontId="2" fillId="0" borderId="0" xfId="2" applyNumberFormat="1" applyFont="1" applyAlignment="1">
      <alignment horizontal="center" vertical="center"/>
    </xf>
    <xf numFmtId="173" fontId="19" fillId="0" borderId="0" xfId="2" applyNumberFormat="1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45" xfId="0" applyFont="1" applyBorder="1" applyAlignment="1">
      <alignment vertical="center"/>
    </xf>
    <xf numFmtId="173" fontId="2" fillId="0" borderId="0" xfId="2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0" fillId="0" borderId="0" xfId="0" applyFont="1"/>
    <xf numFmtId="0" fontId="16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 shrinkToFit="1"/>
    </xf>
    <xf numFmtId="0" fontId="18" fillId="3" borderId="32" xfId="0" applyFont="1" applyFill="1" applyBorder="1" applyAlignment="1">
      <alignment horizontal="center" vertical="center" shrinkToFit="1"/>
    </xf>
    <xf numFmtId="164" fontId="28" fillId="0" borderId="0" xfId="1" applyNumberFormat="1" applyFont="1" applyAlignment="1">
      <alignment horizontal="center" vertical="center"/>
    </xf>
    <xf numFmtId="173" fontId="28" fillId="0" borderId="0" xfId="1" applyNumberFormat="1" applyFont="1" applyAlignment="1">
      <alignment horizontal="center" vertical="center"/>
    </xf>
    <xf numFmtId="10" fontId="28" fillId="0" borderId="0" xfId="3" applyNumberFormat="1" applyFont="1" applyAlignment="1">
      <alignment horizontal="center" vertical="center"/>
    </xf>
    <xf numFmtId="10" fontId="28" fillId="0" borderId="0" xfId="3" applyNumberFormat="1" applyFont="1"/>
    <xf numFmtId="173" fontId="28" fillId="0" borderId="0" xfId="0" applyNumberFormat="1" applyFont="1"/>
    <xf numFmtId="14" fontId="26" fillId="4" borderId="47" xfId="0" applyNumberFormat="1" applyFont="1" applyFill="1" applyBorder="1" applyAlignment="1">
      <alignment horizontal="center" vertical="center" wrapText="1"/>
    </xf>
    <xf numFmtId="173" fontId="26" fillId="4" borderId="15" xfId="1" applyNumberFormat="1" applyFont="1" applyFill="1" applyBorder="1" applyAlignment="1">
      <alignment horizontal="center" vertical="center" wrapText="1"/>
    </xf>
    <xf numFmtId="164" fontId="26" fillId="4" borderId="36" xfId="1" applyNumberFormat="1" applyFont="1" applyFill="1" applyBorder="1" applyAlignment="1">
      <alignment horizontal="center" vertical="center" wrapText="1"/>
    </xf>
    <xf numFmtId="173" fontId="26" fillId="4" borderId="47" xfId="1" applyNumberFormat="1" applyFont="1" applyFill="1" applyBorder="1" applyAlignment="1">
      <alignment horizontal="center" vertical="center" wrapText="1"/>
    </xf>
    <xf numFmtId="10" fontId="26" fillId="4" borderId="15" xfId="3" applyNumberFormat="1" applyFont="1" applyFill="1" applyBorder="1" applyAlignment="1">
      <alignment horizontal="center" vertical="center" wrapText="1"/>
    </xf>
    <xf numFmtId="173" fontId="26" fillId="4" borderId="36" xfId="1" applyNumberFormat="1" applyFont="1" applyFill="1" applyBorder="1" applyAlignment="1">
      <alignment horizontal="center" vertical="center" wrapText="1"/>
    </xf>
    <xf numFmtId="173" fontId="26" fillId="4" borderId="46" xfId="1" applyNumberFormat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173" fontId="23" fillId="3" borderId="0" xfId="0" applyNumberFormat="1" applyFont="1" applyFill="1" applyAlignment="1">
      <alignment horizontal="center" vertical="center"/>
    </xf>
    <xf numFmtId="185" fontId="23" fillId="3" borderId="0" xfId="0" applyNumberFormat="1" applyFont="1" applyFill="1" applyAlignment="1">
      <alignment horizontal="center" vertical="center"/>
    </xf>
    <xf numFmtId="10" fontId="23" fillId="3" borderId="0" xfId="3" applyNumberFormat="1" applyFont="1" applyFill="1" applyAlignment="1">
      <alignment horizontal="center" vertical="center"/>
    </xf>
    <xf numFmtId="173" fontId="23" fillId="3" borderId="0" xfId="3" applyNumberFormat="1" applyFont="1" applyFill="1" applyAlignment="1">
      <alignment horizontal="center" vertical="center"/>
    </xf>
    <xf numFmtId="14" fontId="23" fillId="0" borderId="48" xfId="0" applyNumberFormat="1" applyFont="1" applyBorder="1" applyAlignment="1">
      <alignment horizontal="center"/>
    </xf>
    <xf numFmtId="14" fontId="23" fillId="0" borderId="23" xfId="0" applyNumberFormat="1" applyFont="1" applyBorder="1" applyAlignment="1">
      <alignment horizontal="center"/>
    </xf>
    <xf numFmtId="14" fontId="23" fillId="0" borderId="26" xfId="0" applyNumberFormat="1" applyFont="1" applyBorder="1" applyAlignment="1">
      <alignment horizontal="center"/>
    </xf>
    <xf numFmtId="14" fontId="23" fillId="3" borderId="23" xfId="0" applyNumberFormat="1" applyFont="1" applyFill="1" applyBorder="1" applyAlignment="1">
      <alignment horizontal="center"/>
    </xf>
    <xf numFmtId="0" fontId="1" fillId="0" borderId="0" xfId="0" applyFont="1"/>
    <xf numFmtId="187" fontId="1" fillId="0" borderId="49" xfId="2" applyNumberFormat="1" applyFont="1" applyBorder="1" applyAlignment="1">
      <alignment horizontal="center"/>
    </xf>
    <xf numFmtId="185" fontId="1" fillId="0" borderId="49" xfId="2" applyNumberFormat="1" applyFont="1" applyBorder="1" applyAlignment="1">
      <alignment horizontal="center"/>
    </xf>
    <xf numFmtId="186" fontId="1" fillId="0" borderId="50" xfId="2" applyNumberFormat="1" applyFont="1" applyBorder="1" applyAlignment="1">
      <alignment horizontal="center"/>
    </xf>
    <xf numFmtId="165" fontId="1" fillId="0" borderId="48" xfId="2" applyNumberFormat="1" applyFont="1" applyBorder="1" applyAlignment="1">
      <alignment horizontal="center"/>
    </xf>
    <xf numFmtId="165" fontId="1" fillId="0" borderId="49" xfId="2" applyNumberFormat="1" applyFont="1" applyBorder="1" applyAlignment="1">
      <alignment horizontal="center"/>
    </xf>
    <xf numFmtId="10" fontId="1" fillId="0" borderId="49" xfId="3" applyNumberFormat="1" applyFont="1" applyBorder="1" applyAlignment="1">
      <alignment horizontal="center"/>
    </xf>
    <xf numFmtId="167" fontId="1" fillId="0" borderId="49" xfId="0" applyNumberFormat="1" applyFont="1" applyBorder="1" applyAlignment="1">
      <alignment horizontal="center"/>
    </xf>
    <xf numFmtId="185" fontId="1" fillId="0" borderId="49" xfId="0" applyNumberFormat="1" applyFont="1" applyBorder="1" applyAlignment="1">
      <alignment horizontal="center"/>
    </xf>
    <xf numFmtId="165" fontId="1" fillId="0" borderId="49" xfId="0" applyNumberFormat="1" applyFont="1" applyBorder="1" applyAlignment="1">
      <alignment horizontal="center"/>
    </xf>
    <xf numFmtId="165" fontId="1" fillId="0" borderId="50" xfId="0" applyNumberFormat="1" applyFont="1" applyBorder="1" applyAlignment="1">
      <alignment horizontal="center"/>
    </xf>
    <xf numFmtId="187" fontId="1" fillId="3" borderId="24" xfId="2" applyNumberFormat="1" applyFont="1" applyFill="1" applyBorder="1" applyAlignment="1">
      <alignment horizontal="center"/>
    </xf>
    <xf numFmtId="185" fontId="1" fillId="3" borderId="24" xfId="2" applyNumberFormat="1" applyFont="1" applyFill="1" applyBorder="1" applyAlignment="1">
      <alignment horizontal="center"/>
    </xf>
    <xf numFmtId="186" fontId="1" fillId="3" borderId="25" xfId="2" applyNumberFormat="1" applyFont="1" applyFill="1" applyBorder="1" applyAlignment="1">
      <alignment horizontal="center"/>
    </xf>
    <xf numFmtId="165" fontId="1" fillId="3" borderId="23" xfId="2" applyNumberFormat="1" applyFont="1" applyFill="1" applyBorder="1" applyAlignment="1">
      <alignment horizontal="center"/>
    </xf>
    <xf numFmtId="165" fontId="1" fillId="3" borderId="24" xfId="2" applyNumberFormat="1" applyFont="1" applyFill="1" applyBorder="1" applyAlignment="1">
      <alignment horizontal="center"/>
    </xf>
    <xf numFmtId="10" fontId="1" fillId="3" borderId="24" xfId="3" applyNumberFormat="1" applyFont="1" applyFill="1" applyBorder="1" applyAlignment="1">
      <alignment horizontal="center"/>
    </xf>
    <xf numFmtId="167" fontId="1" fillId="3" borderId="24" xfId="0" applyNumberFormat="1" applyFont="1" applyFill="1" applyBorder="1" applyAlignment="1">
      <alignment horizontal="center"/>
    </xf>
    <xf numFmtId="185" fontId="1" fillId="3" borderId="24" xfId="0" applyNumberFormat="1" applyFont="1" applyFill="1" applyBorder="1" applyAlignment="1">
      <alignment horizontal="center"/>
    </xf>
    <xf numFmtId="165" fontId="1" fillId="3" borderId="24" xfId="0" applyNumberFormat="1" applyFont="1" applyFill="1" applyBorder="1" applyAlignment="1">
      <alignment horizontal="center"/>
    </xf>
    <xf numFmtId="165" fontId="1" fillId="3" borderId="25" xfId="0" applyNumberFormat="1" applyFont="1" applyFill="1" applyBorder="1" applyAlignment="1">
      <alignment horizontal="center"/>
    </xf>
    <xf numFmtId="187" fontId="1" fillId="0" borderId="24" xfId="2" applyNumberFormat="1" applyFont="1" applyBorder="1" applyAlignment="1">
      <alignment horizontal="center"/>
    </xf>
    <xf numFmtId="185" fontId="1" fillId="0" borderId="24" xfId="2" applyNumberFormat="1" applyFont="1" applyBorder="1" applyAlignment="1">
      <alignment horizontal="center"/>
    </xf>
    <xf numFmtId="186" fontId="1" fillId="0" borderId="25" xfId="2" applyNumberFormat="1" applyFont="1" applyBorder="1" applyAlignment="1">
      <alignment horizontal="center"/>
    </xf>
    <xf numFmtId="165" fontId="1" fillId="0" borderId="23" xfId="2" applyNumberFormat="1" applyFont="1" applyBorder="1" applyAlignment="1">
      <alignment horizontal="center"/>
    </xf>
    <xf numFmtId="165" fontId="1" fillId="0" borderId="24" xfId="2" applyNumberFormat="1" applyFont="1" applyBorder="1" applyAlignment="1">
      <alignment horizontal="center"/>
    </xf>
    <xf numFmtId="10" fontId="1" fillId="0" borderId="24" xfId="3" applyNumberFormat="1" applyFont="1" applyBorder="1" applyAlignment="1">
      <alignment horizontal="center"/>
    </xf>
    <xf numFmtId="167" fontId="1" fillId="0" borderId="24" xfId="0" applyNumberFormat="1" applyFont="1" applyBorder="1" applyAlignment="1">
      <alignment horizontal="center"/>
    </xf>
    <xf numFmtId="185" fontId="1" fillId="0" borderId="24" xfId="0" applyNumberFormat="1" applyFont="1" applyBorder="1" applyAlignment="1">
      <alignment horizontal="center"/>
    </xf>
    <xf numFmtId="165" fontId="1" fillId="0" borderId="24" xfId="0" applyNumberFormat="1" applyFont="1" applyBorder="1" applyAlignment="1">
      <alignment horizontal="center"/>
    </xf>
    <xf numFmtId="165" fontId="1" fillId="0" borderId="25" xfId="0" applyNumberFormat="1" applyFont="1" applyBorder="1" applyAlignment="1">
      <alignment horizontal="center"/>
    </xf>
    <xf numFmtId="187" fontId="1" fillId="0" borderId="27" xfId="2" applyNumberFormat="1" applyFont="1" applyBorder="1" applyAlignment="1">
      <alignment horizontal="center"/>
    </xf>
    <xf numFmtId="185" fontId="1" fillId="0" borderId="27" xfId="2" applyNumberFormat="1" applyFont="1" applyBorder="1" applyAlignment="1">
      <alignment horizontal="center"/>
    </xf>
    <xf numFmtId="186" fontId="1" fillId="0" borderId="28" xfId="2" applyNumberFormat="1" applyFont="1" applyBorder="1" applyAlignment="1">
      <alignment horizontal="center"/>
    </xf>
    <xf numFmtId="0" fontId="1" fillId="0" borderId="0" xfId="0" applyFont="1" applyBorder="1"/>
    <xf numFmtId="165" fontId="1" fillId="0" borderId="26" xfId="2" applyNumberFormat="1" applyFont="1" applyBorder="1" applyAlignment="1">
      <alignment horizontal="center"/>
    </xf>
    <xf numFmtId="165" fontId="1" fillId="0" borderId="27" xfId="2" applyNumberFormat="1" applyFont="1" applyBorder="1" applyAlignment="1">
      <alignment horizontal="center"/>
    </xf>
    <xf numFmtId="10" fontId="1" fillId="0" borderId="27" xfId="3" applyNumberFormat="1" applyFont="1" applyBorder="1" applyAlignment="1">
      <alignment horizontal="center"/>
    </xf>
    <xf numFmtId="167" fontId="1" fillId="0" borderId="27" xfId="0" applyNumberFormat="1" applyFont="1" applyBorder="1" applyAlignment="1">
      <alignment horizontal="center"/>
    </xf>
    <xf numFmtId="185" fontId="1" fillId="0" borderId="27" xfId="0" applyNumberFormat="1" applyFont="1" applyBorder="1" applyAlignment="1">
      <alignment horizontal="center"/>
    </xf>
    <xf numFmtId="165" fontId="1" fillId="0" borderId="27" xfId="0" applyNumberFormat="1" applyFont="1" applyBorder="1" applyAlignment="1">
      <alignment horizontal="center"/>
    </xf>
    <xf numFmtId="165" fontId="1" fillId="0" borderId="28" xfId="0" applyNumberFormat="1" applyFont="1" applyBorder="1" applyAlignment="1">
      <alignment horizontal="center"/>
    </xf>
    <xf numFmtId="173" fontId="33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172" fontId="28" fillId="0" borderId="0" xfId="2" applyNumberFormat="1" applyFont="1" applyAlignment="1">
      <alignment horizontal="center" vertical="center"/>
    </xf>
    <xf numFmtId="173" fontId="2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173" fontId="28" fillId="0" borderId="0" xfId="2" applyNumberFormat="1" applyFont="1" applyAlignment="1">
      <alignment horizontal="center" vertical="center"/>
    </xf>
    <xf numFmtId="165" fontId="28" fillId="0" borderId="0" xfId="2" applyNumberFormat="1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73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14" fontId="23" fillId="3" borderId="0" xfId="0" applyNumberFormat="1" applyFont="1" applyFill="1" applyAlignment="1">
      <alignment horizontal="center"/>
    </xf>
    <xf numFmtId="0" fontId="26" fillId="4" borderId="51" xfId="0" applyFont="1" applyFill="1" applyBorder="1" applyAlignment="1">
      <alignment horizontal="center" vertical="center"/>
    </xf>
    <xf numFmtId="0" fontId="26" fillId="4" borderId="37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/>
    </xf>
    <xf numFmtId="0" fontId="26" fillId="4" borderId="18" xfId="0" applyFont="1" applyFill="1" applyBorder="1" applyAlignment="1">
      <alignment horizontal="center"/>
    </xf>
    <xf numFmtId="0" fontId="26" fillId="4" borderId="37" xfId="0" applyFont="1" applyFill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3" borderId="25" xfId="0" applyFont="1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/>
    </xf>
    <xf numFmtId="14" fontId="0" fillId="0" borderId="27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9" fontId="23" fillId="0" borderId="11" xfId="0" applyNumberFormat="1" applyFont="1" applyBorder="1" applyAlignment="1">
      <alignment horizontal="center" vertical="center"/>
    </xf>
  </cellXfs>
  <cellStyles count="5">
    <cellStyle name="20% - Ênfase3" xfId="4" builtinId="38"/>
    <cellStyle name="Moeda" xfId="2" builtinId="4"/>
    <cellStyle name="Normal" xfId="0" builtinId="0"/>
    <cellStyle name="Porcentagem" xfId="3" builtinId="5"/>
    <cellStyle name="Vírgula" xfId="1" builtinId="3"/>
  </cellStyles>
  <dxfs count="12">
    <dxf>
      <numFmt numFmtId="190" formatCode="0.00\ \x"/>
    </dxf>
    <dxf>
      <numFmt numFmtId="3" formatCode="#,##0"/>
    </dxf>
    <dxf>
      <numFmt numFmtId="188" formatCode="[$$-409]#,##0"/>
    </dxf>
    <dxf>
      <numFmt numFmtId="188" formatCode="[$$-409]#,##0"/>
    </dxf>
    <dxf>
      <numFmt numFmtId="188" formatCode="[$$-409]#,##0"/>
    </dxf>
    <dxf>
      <numFmt numFmtId="188" formatCode="[$$-409]#,##0"/>
    </dxf>
    <dxf>
      <numFmt numFmtId="188" formatCode="[$$-409]#,##0"/>
    </dxf>
    <dxf>
      <numFmt numFmtId="188" formatCode="[$$-409]#,##0"/>
    </dxf>
    <dxf>
      <numFmt numFmtId="188" formatCode="[$$-409]#,##0"/>
    </dxf>
    <dxf>
      <numFmt numFmtId="188" formatCode="[$$-409]#,##0"/>
    </dxf>
    <dxf>
      <numFmt numFmtId="188" formatCode="[$$-409]#,##0"/>
    </dxf>
    <dxf>
      <numFmt numFmtId="188" formatCode="[$$-409]#,##0"/>
    </dxf>
  </dxfs>
  <tableStyles count="0" defaultTableStyle="TableStyleMedium2" defaultPivotStyle="PivotStyleLight16"/>
  <colors>
    <mruColors>
      <color rgb="FFB1AE2D"/>
      <color rgb="FFCCD8DB"/>
      <color rgb="FF023A4A"/>
      <color rgb="FFC59C00"/>
      <color rgb="FF006B66"/>
      <color rgb="FFDAE2DD"/>
      <color rgb="FF0075EA"/>
      <color rgb="FF004384"/>
      <color rgb="FF10A640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9d7a82c420e24e37af72e24b06b17f49">
      <tp>
        <v>2</v>
        <stp/>
        <stp>d4fafba9-753b-4761-801c-d1b99b1cdc31</stp>
        <tr r="BI9" s="21"/>
      </tp>
      <tp>
        <v>2</v>
        <stp/>
        <stp>5fd5c2ec-9c6a-4911-8cfe-c5045f59d83d</stp>
        <tr r="J9" s="21"/>
      </tp>
    </main>
    <main first="rtdsrv_eco_9d7a82c420e24e37af72e24b06b17f49">
      <tp>
        <v>2</v>
        <stp/>
        <stp>c9a0cbbe-d494-4537-8fa9-cc773cb138b0</stp>
        <tr r="M8" s="4"/>
      </tp>
    </main>
    <main first="rtdsrv_eco_9d7a82c420e24e37af72e24b06b17f49">
      <tp>
        <v>2</v>
        <stp/>
        <stp>95a731b4-e21b-471e-ba65-4e94c140976f</stp>
        <tr r="F9" s="23"/>
      </tp>
    </main>
    <main first="rtdsrv_eco_9d7a82c420e24e37af72e24b06b17f49">
      <tp>
        <v>2</v>
        <stp/>
        <stp>d74be89c-f658-4f79-8294-27e4794ad681</stp>
        <tr r="P14" s="20"/>
      </tp>
    </main>
    <main first="rtdsrv_eco_9d7a82c420e24e37af72e24b06b17f49">
      <tp>
        <v>2</v>
        <stp/>
        <stp>44541ef4-e952-45e5-8a8c-c96824cf3e7f</stp>
        <tr r="S9" s="21"/>
      </tp>
    </main>
    <main first="rtdsrv_eco_9d7a82c420e24e37af72e24b06b17f49">
      <tp>
        <v>2</v>
        <stp/>
        <stp>1751577d-6ec1-4a2d-8473-c046f21067aa</stp>
        <tr r="BG8" s="4"/>
      </tp>
    </main>
    <main first="rtdsrv_eco_9d7a82c420e24e37af72e24b06b17f49">
      <tp>
        <v>2</v>
        <stp/>
        <stp>f613d0ff-0132-44c5-a64c-67d67acea16f</stp>
        <tr r="AW9" s="21"/>
      </tp>
    </main>
    <main first="rtdsrv_eco_9d7a82c420e24e37af72e24b06b17f49">
      <tp>
        <v>2</v>
        <stp/>
        <stp>1e27e3d9-b02d-410e-ad25-6b6b07e65f83</stp>
        <tr r="BP8" s="4"/>
      </tp>
      <tp>
        <v>2</v>
        <stp/>
        <stp>7a64e9e9-72b1-4a7c-8d48-7d2fb852f4ff</stp>
        <tr r="AW8" s="4"/>
      </tp>
    </main>
    <main first="rtdsrv_eco_9d7a82c420e24e37af72e24b06b17f49">
      <tp>
        <v>2</v>
        <stp/>
        <stp>a002f83d-ac71-43dd-ac35-057efb86b9f6</stp>
        <tr r="AD9" s="21"/>
      </tp>
    </main>
    <main first="rtdsrv_eco_9d7a82c420e24e37af72e24b06b17f49">
      <tp>
        <v>2</v>
        <stp/>
        <stp>09bbd4c7-ad07-4f3f-a3dd-d9c0dc798d7b</stp>
        <tr r="J9" s="23"/>
      </tp>
    </main>
    <main first="rtdsrv_eco_9d7a82c420e24e37af72e24b06b17f49">
      <tp>
        <v>2</v>
        <stp/>
        <stp>5550852d-ccee-48ac-ba56-ac054771c137</stp>
        <tr r="I9" s="21"/>
      </tp>
    </main>
    <main first="rtdsrv_eco_9d7a82c420e24e37af72e24b06b17f49">
      <tp>
        <v>2</v>
        <stp/>
        <stp>5410ec81-c22c-4d85-9239-5303f120dc51</stp>
        <tr r="AT9" s="21"/>
      </tp>
    </main>
    <main first="rtdsrv_eco_9d7a82c420e24e37af72e24b06b17f49">
      <tp>
        <v>2</v>
        <stp/>
        <stp>a64ed5ed-0e10-45a6-8c4c-d43043c93e20</stp>
        <tr r="BE8" s="4"/>
      </tp>
    </main>
    <main first="rtdsrv_eco_9d7a82c420e24e37af72e24b06b17f49">
      <tp>
        <v>2</v>
        <stp/>
        <stp>fcc2e3a5-e853-427b-a3ca-8467a7cd4d79</stp>
        <tr r="J8" s="4"/>
      </tp>
    </main>
    <main first="rtdsrv_eco_9d7a82c420e24e37af72e24b06b17f49">
      <tp>
        <v>2</v>
        <stp/>
        <stp>2b9b9fb9-cc28-4e64-9aa5-8fd1ad56bcf6</stp>
        <tr r="W9" s="23"/>
      </tp>
    </main>
    <main first="rtdsrv_eco_9d7a82c420e24e37af72e24b06b17f49">
      <tp>
        <v>2</v>
        <stp/>
        <stp>75f81d73-c909-4e7a-873f-6c6c4c50c32d</stp>
        <tr r="H9" s="23"/>
      </tp>
    </main>
    <main first="rtdsrv_eco_9d7a82c420e24e37af72e24b06b17f49">
      <tp>
        <v>2</v>
        <stp/>
        <stp>ea61f4a7-f5d1-4768-8394-bf434b07fe16</stp>
        <tr r="AF8" s="4"/>
      </tp>
    </main>
    <main first="rtdsrv_eco_9d7a82c420e24e37af72e24b06b17f49">
      <tp>
        <v>2</v>
        <stp/>
        <stp>66603cfd-2d68-4bf1-8cb4-900c75354c05</stp>
        <tr r="G9" s="21"/>
      </tp>
      <tp>
        <v>2</v>
        <stp/>
        <stp>1b297dc9-8d5b-4709-aa57-445b5eeb21a9</stp>
        <tr r="P8" s="4"/>
      </tp>
    </main>
    <main first="rtdsrv_eco_9d7a82c420e24e37af72e24b06b17f49">
      <tp>
        <v>2</v>
        <stp/>
        <stp>0507ef0d-0eeb-4abb-a118-9239d42bbd46</stp>
        <tr r="AY6" s="4"/>
      </tp>
    </main>
    <main first="rtdsrv_eco_9d7a82c420e24e37af72e24b06b17f49">
      <tp>
        <v>2</v>
        <stp/>
        <stp>ab5e1e4a-e805-4481-b82e-d369faddbaa5</stp>
        <tr r="G8" s="4"/>
      </tp>
    </main>
    <main first="rtdsrv_eco_9d7a82c420e24e37af72e24b06b17f49">
      <tp>
        <v>2</v>
        <stp/>
        <stp>092d0e21-4e8e-41e3-a3b8-9bd0b60a2888</stp>
        <tr r="AG8" s="4"/>
      </tp>
    </main>
    <main first="rtdsrv_eco_9d7a82c420e24e37af72e24b06b17f49">
      <tp>
        <v>2</v>
        <stp/>
        <stp>4e9d778d-b8e6-42de-8db6-3e90eb474e44</stp>
        <tr r="W9" s="21"/>
      </tp>
    </main>
    <main first="rtdsrv_eco_9d7a82c420e24e37af72e24b06b17f49">
      <tp>
        <v>2</v>
        <stp/>
        <stp>d0ebcd58-841c-48f5-9f6c-96f439cd1599</stp>
        <tr r="BL9" s="21"/>
      </tp>
    </main>
    <main first="rtdsrv_eco_9d7a82c420e24e37af72e24b06b17f49">
      <tp>
        <v>2</v>
        <stp/>
        <stp>edf833fd-4d7f-41bb-9416-f2c55bd97536</stp>
        <tr r="M9" s="23"/>
      </tp>
    </main>
    <main first="rtdsrv_eco_9d7a82c420e24e37af72e24b06b17f49">
      <tp>
        <v>2</v>
        <stp/>
        <stp>8666baed-0268-48eb-a7cc-86b5411fb494</stp>
        <tr r="AO8" s="4"/>
      </tp>
    </main>
    <main first="rtdsrv_eco_9d7a82c420e24e37af72e24b06b17f49">
      <tp>
        <v>2</v>
        <stp/>
        <stp>06490629-c8d5-4c2f-918f-4b500334b90c</stp>
        <tr r="BC8" s="4"/>
      </tp>
    </main>
    <main first="rtdsrv_eco_9d7a82c420e24e37af72e24b06b17f49">
      <tp>
        <v>2</v>
        <stp/>
        <stp>0195c0dc-95aa-4789-b8af-1bf22a94a7a5</stp>
        <tr r="O14" s="20"/>
      </tp>
      <tp>
        <v>2</v>
        <stp/>
        <stp>ce26b4f9-7451-4172-9e1e-134535e727fa</stp>
        <tr r="AV9" s="21"/>
      </tp>
    </main>
    <main first="rtdsrv_eco_9d7a82c420e24e37af72e24b06b17f49">
      <tp>
        <v>2</v>
        <stp/>
        <stp>f8b9543a-b42c-444b-8679-db75585065e6</stp>
        <tr r="AE9" s="21"/>
      </tp>
    </main>
    <main first="rtdsrv_eco_9d7a82c420e24e37af72e24b06b17f49">
      <tp>
        <v>2</v>
        <stp/>
        <stp>b5f578d6-7269-46e9-8e21-b101ef8b424f</stp>
        <tr r="C3" s="20"/>
      </tp>
    </main>
    <main first="rtdsrv_eco_9d7a82c420e24e37af72e24b06b17f49">
      <tp>
        <v>2</v>
        <stp/>
        <stp>a541f807-f773-4777-9e99-afa1b59e3b75</stp>
        <tr r="B8" s="4"/>
      </tp>
    </main>
    <main first="rtdsrv_eco_9d7a82c420e24e37af72e24b06b17f49">
      <tp>
        <v>2</v>
        <stp/>
        <stp>5b8ffdc0-3a57-4431-ad4c-ce3c354ae448</stp>
        <tr r="T8" s="4"/>
      </tp>
    </main>
    <main first="rtdsrv_eco_9d7a82c420e24e37af72e24b06b17f49">
      <tp>
        <v>2</v>
        <stp/>
        <stp>fe0b2afb-7835-49d2-af8d-f85ce6ef2c53</stp>
        <tr r="E9" s="23"/>
      </tp>
    </main>
    <main first="rtdsrv_eco_9d7a82c420e24e37af72e24b06b17f49">
      <tp>
        <v>2</v>
        <stp/>
        <stp>bc8db5f8-d15f-4eed-885f-82d8adb23b8f</stp>
        <tr r="L9" s="23"/>
      </tp>
    </main>
    <main first="rtdsrv_eco_9d7a82c420e24e37af72e24b06b17f49">
      <tp>
        <v>2</v>
        <stp/>
        <stp>9b0ddc89-e1ed-4b31-a76b-b4bda4af04c1</stp>
        <tr r="N9" s="23"/>
      </tp>
    </main>
    <main first="rtdsrv_eco_9d7a82c420e24e37af72e24b06b17f49">
      <tp>
        <v>2</v>
        <stp/>
        <stp>75b9fb6e-b370-49ba-91e9-5195a1539f3c</stp>
        <tr r="Q14" s="20"/>
      </tp>
    </main>
    <main first="rtdsrv_eco_9d7a82c420e24e37af72e24b06b17f49">
      <tp>
        <v>2</v>
        <stp/>
        <stp>a694c649-4968-441e-93b5-04f343a32cce</stp>
        <tr r="G14" s="20"/>
      </tp>
    </main>
    <main first="rtdsrv_eco_9d7a82c420e24e37af72e24b06b17f49">
      <tp>
        <v>2</v>
        <stp/>
        <stp>cb8140ce-62e2-46ff-a4a0-aefd3ab5905b</stp>
        <tr r="AC14" s="20"/>
      </tp>
    </main>
    <main first="rtdsrv_eco_9d7a82c420e24e37af72e24b06b17f49">
      <tp>
        <v>2</v>
        <stp/>
        <stp>78dfdf1a-8c62-460a-9155-c2ad1a82266c</stp>
        <tr r="AI9" s="21"/>
      </tp>
    </main>
    <main first="rtdsrv_eco_9d7a82c420e24e37af72e24b06b17f49">
      <tp>
        <v>2</v>
        <stp/>
        <stp>abf8f64c-3915-4820-a065-8c7be458ca2a</stp>
        <tr r="V8" s="4"/>
      </tp>
    </main>
    <main first="rtdsrv_eco_9d7a82c420e24e37af72e24b06b17f49">
      <tp>
        <v>2</v>
        <stp/>
        <stp>c85560d6-da3a-4f98-8a63-e46f97eca7ce</stp>
        <tr r="Q8" s="4"/>
      </tp>
    </main>
    <main first="rtdsrv_eco_9d7a82c420e24e37af72e24b06b17f49">
      <tp>
        <v>2</v>
        <stp/>
        <stp>cef50cf7-9dc1-4fc1-b187-014cdd0475c8</stp>
        <tr r="AM9" s="21"/>
      </tp>
    </main>
    <main first="rtdsrv_eco_9d7a82c420e24e37af72e24b06b17f49">
      <tp>
        <v>2</v>
        <stp/>
        <stp>430ff402-5bd3-4e67-9bba-9972490ca126</stp>
        <tr r="K9" s="23"/>
      </tp>
      <tp>
        <v>2</v>
        <stp/>
        <stp>8e604af1-00ad-40e1-a5b2-3680413c36b3</stp>
        <tr r="Q9" s="21"/>
      </tp>
    </main>
    <main first="rtdsrv_eco_9d7a82c420e24e37af72e24b06b17f49">
      <tp>
        <v>2</v>
        <stp/>
        <stp>72f58864-7aff-4650-ae14-750e7e64453b</stp>
        <tr r="BV8" s="4"/>
      </tp>
    </main>
    <main first="rtdsrv_eco_9d7a82c420e24e37af72e24b06b17f49">
      <tp>
        <v>2</v>
        <stp/>
        <stp>3a514e33-ecf0-402c-a592-25b99dc503df</stp>
        <tr r="O8" s="4"/>
      </tp>
    </main>
    <main first="rtdsrv_eco_9d7a82c420e24e37af72e24b06b17f49">
      <tp>
        <v>2</v>
        <stp/>
        <stp>4b007f71-66da-4979-9c51-68b59f2c29c5</stp>
        <tr r="Z14" s="20"/>
      </tp>
    </main>
    <main first="rtdsrv_eco_9d7a82c420e24e37af72e24b06b17f49">
      <tp>
        <v>2</v>
        <stp/>
        <stp>0fd2cc07-50db-4b23-9138-1ae729d1f1ef</stp>
        <tr r="AZ9" s="21"/>
      </tp>
    </main>
    <main first="rtdsrv_eco_9d7a82c420e24e37af72e24b06b17f49">
      <tp>
        <v>2</v>
        <stp/>
        <stp>3dc2433f-5f2a-48ea-b8df-e891e577a3f1</stp>
        <tr r="D9" s="23"/>
      </tp>
    </main>
    <main first="rtdsrv_eco_9d7a82c420e24e37af72e24b06b17f49">
      <tp>
        <v>2</v>
        <stp/>
        <stp>7cd9f0e1-6f13-4116-b6b8-69b6d026ba50</stp>
        <tr r="BN8" s="4"/>
      </tp>
    </main>
    <main first="rtdsrv_eco_9d7a82c420e24e37af72e24b06b17f49">
      <tp>
        <v>2</v>
        <stp/>
        <stp>d25445e9-441b-46fc-8d06-d8c8234942da</stp>
        <tr r="H8" s="4"/>
      </tp>
    </main>
    <main first="rtdsrv_eco_9d7a82c420e24e37af72e24b06b17f49">
      <tp>
        <v>2</v>
        <stp/>
        <stp>e6bd09e8-69da-4bd4-a02e-cd67c78a551c</stp>
        <tr r="AO6" s="4"/>
      </tp>
    </main>
    <main first="rtdsrv_eco_9d7a82c420e24e37af72e24b06b17f49">
      <tp>
        <v>2</v>
        <stp/>
        <stp>bfd3c560-7828-444a-9e9f-8eaeafdb8fa5</stp>
        <tr r="K8" s="4"/>
      </tp>
    </main>
    <main first="rtdsrv_eco_9d7a82c420e24e37af72e24b06b17f49">
      <tp>
        <v>2</v>
        <stp/>
        <stp>f2e86b2f-ad8d-4e58-94f9-3d24ed41d6cc</stp>
        <tr r="AE8" s="4"/>
      </tp>
      <tp>
        <v>2</v>
        <stp/>
        <stp>e9dd8ef1-d202-4f06-b9e0-14315cedbe9b</stp>
        <tr r="J14" s="20"/>
      </tp>
      <tp>
        <v>2</v>
        <stp/>
        <stp>f7a75916-2188-42a0-acf5-00ecd076a26f</stp>
        <tr r="X8" s="4"/>
      </tp>
    </main>
    <main first="rtdsrv_eco_9d7a82c420e24e37af72e24b06b17f49">
      <tp>
        <v>2</v>
        <stp/>
        <stp>2018d75f-c204-4b22-8898-509da408e326</stp>
        <tr r="S14" s="20"/>
      </tp>
    </main>
    <main first="rtdsrv_eco_9d7a82c420e24e37af72e24b06b17f49">
      <tp>
        <v>2</v>
        <stp/>
        <stp>218c8f0a-84f0-4c8d-a716-96b53b3fb6be</stp>
        <tr r="C2" s="4"/>
      </tp>
      <tp>
        <v>2</v>
        <stp/>
        <stp>0c0fdb0b-6fc1-4ffc-91ec-cc1672915849</stp>
        <tr r="R9" s="21"/>
      </tp>
    </main>
    <main first="rtdsrv_eco_9d7a82c420e24e37af72e24b06b17f49">
      <tp>
        <v>2</v>
        <stp/>
        <stp>623aa384-9646-43db-a25a-2073c2f5f564</stp>
        <tr r="AR9" s="21"/>
      </tp>
    </main>
    <main first="rtdsrv_eco_9d7a82c420e24e37af72e24b06b17f49">
      <tp>
        <v>2</v>
        <stp/>
        <stp>f8eba2af-990c-4db9-a0ca-3ddd5bc35725</stp>
        <tr r="BY8" s="4"/>
      </tp>
    </main>
    <main first="rtdsrv_eco_9d7a82c420e24e37af72e24b06b17f49">
      <tp>
        <v>2</v>
        <stp/>
        <stp>66220bea-de48-42bc-bb31-269756e4782e</stp>
        <tr r="E4" s="22"/>
      </tp>
    </main>
    <main first="rtdsrv_eco_9d7a82c420e24e37af72e24b06b17f49">
      <tp>
        <v>2</v>
        <stp/>
        <stp>71acac79-d8d6-4be9-9d6d-ae0a8e61aaa3</stp>
        <tr r="H9" s="21"/>
      </tp>
    </main>
    <main first="rtdsrv_eco_9d7a82c420e24e37af72e24b06b17f49">
      <tp>
        <v>2</v>
        <stp/>
        <stp>37ad8916-3ee6-42b7-a024-f79e976f8c24</stp>
        <tr r="AA9" s="23"/>
      </tp>
    </main>
    <main first="rtdsrv_eco_9d7a82c420e24e37af72e24b06b17f49">
      <tp>
        <v>2</v>
        <stp/>
        <stp>c4346d9e-9ba3-4729-a8e7-654eabebb912</stp>
        <tr r="AC9" s="23"/>
      </tp>
    </main>
    <main first="rtdsrv_eco_9d7a82c420e24e37af72e24b06b17f49">
      <tp>
        <v>2</v>
        <stp/>
        <stp>631e83e9-68b4-4952-b598-8ba9e15d45f7</stp>
        <tr r="BK8" s="4"/>
      </tp>
    </main>
    <main first="rtdsrv_eco_9d7a82c420e24e37af72e24b06b17f49">
      <tp>
        <v>2</v>
        <stp/>
        <stp>b7335233-942c-4789-a791-d94d5957cf53</stp>
        <tr r="AH9" s="23"/>
      </tp>
    </main>
    <main first="rtdsrv_eco_9d7a82c420e24e37af72e24b06b17f49">
      <tp>
        <v>2</v>
        <stp/>
        <stp>b834e132-4506-4ce1-9dbe-c3fc2e42ab9f</stp>
        <tr r="O9" s="23"/>
      </tp>
    </main>
    <main first="rtdsrv_eco_9d7a82c420e24e37af72e24b06b17f49">
      <tp>
        <v>2</v>
        <stp/>
        <stp>7d2c99ee-079a-4e25-8689-b591199c365b</stp>
        <tr r="Z9" s="21"/>
      </tp>
    </main>
    <main first="rtdsrv_eco_9d7a82c420e24e37af72e24b06b17f49">
      <tp>
        <v>2</v>
        <stp/>
        <stp>f3fdd62c-8915-4b0d-a7d8-cc3a1274f1ac</stp>
        <tr r="R8" s="4"/>
      </tp>
    </main>
    <main first="rtdsrv_eco_9d7a82c420e24e37af72e24b06b17f49">
      <tp>
        <v>2</v>
        <stp/>
        <stp>1319f0d0-39d3-49d9-b8a0-d65a352e7691</stp>
        <tr r="I9" s="23"/>
      </tp>
    </main>
    <main first="rtdsrv_eco_9d7a82c420e24e37af72e24b06b17f49">
      <tp>
        <v>2</v>
        <stp/>
        <stp>1c7e7f07-73d6-4683-a185-e72a65942fce</stp>
        <tr r="AS6" s="4"/>
      </tp>
    </main>
    <main first="rtdsrv_eco_9d7a82c420e24e37af72e24b06b17f49">
      <tp>
        <v>2</v>
        <stp/>
        <stp>726f28ad-6595-4323-9fc5-f7bdf63bb110</stp>
        <tr r="BI8" s="4"/>
      </tp>
    </main>
    <main first="rtdsrv_eco_9d7a82c420e24e37af72e24b06b17f49">
      <tp>
        <v>2</v>
        <stp/>
        <stp>7c414a85-f2cb-4daa-a484-724622f28a70</stp>
        <tr r="E8" s="4"/>
      </tp>
    </main>
    <main first="rtdsrv_eco_9d7a82c420e24e37af72e24b06b17f49">
      <tp>
        <v>2</v>
        <stp/>
        <stp>d9dabaed-8ea0-4dda-ae56-d038b9febb54</stp>
        <tr r="M14" s="20"/>
      </tp>
    </main>
    <main first="rtdsrv_eco_9d7a82c420e24e37af72e24b06b17f49">
      <tp>
        <v>2</v>
        <stp/>
        <stp>af5e7326-6c49-44e2-9693-4c850f9b826b</stp>
        <tr r="BA8" s="4"/>
      </tp>
    </main>
    <main first="rtdsrv_eco_9d7a82c420e24e37af72e24b06b17f49">
      <tp>
        <v>2</v>
        <stp/>
        <stp>c40905e1-904f-4ffd-b0ce-6b316c29faea</stp>
        <tr r="CB8" s="4"/>
      </tp>
    </main>
    <main first="rtdsrv_eco_9d7a82c420e24e37af72e24b06b17f49">
      <tp>
        <v>2</v>
        <stp/>
        <stp>90eb0a14-f723-4414-b422-c64baa8fb946</stp>
        <tr r="AS9" s="21"/>
      </tp>
    </main>
    <main first="rtdsrv_eco_9d7a82c420e24e37af72e24b06b17f49">
      <tp>
        <v>2</v>
        <stp/>
        <stp>6aa8ecbb-8813-4bf7-ab0e-6b7c7bcfbc02</stp>
        <tr r="AQ8" s="4"/>
      </tp>
    </main>
    <main first="rtdsrv_eco_9d7a82c420e24e37af72e24b06b17f49">
      <tp>
        <v>2</v>
        <stp/>
        <stp>7458e987-0c4f-4f15-8a3c-c6c311bd5b0c</stp>
        <tr r="L14" s="20"/>
      </tp>
    </main>
    <main first="rtdsrv_eco_9d7a82c420e24e37af72e24b06b17f49">
      <tp>
        <v>2</v>
        <stp/>
        <stp>17d68762-59c4-4742-920f-343609890d86</stp>
        <tr r="BE6" s="4"/>
      </tp>
    </main>
    <main first="rtdsrv_eco_9d7a82c420e24e37af72e24b06b17f49">
      <tp>
        <v>2</v>
        <stp/>
        <stp>f1cb0d35-853c-4186-9203-2612342b2744</stp>
        <tr r="F14" s="20"/>
      </tp>
    </main>
    <main first="rtdsrv_eco_9d7a82c420e24e37af72e24b06b17f49">
      <tp>
        <v>2</v>
        <stp/>
        <stp>a603c2a8-82b0-4fad-b8fe-525071086cea</stp>
        <tr r="BC6" s="4"/>
      </tp>
      <tp>
        <v>2</v>
        <stp/>
        <stp>5466c185-751b-41de-ba59-783b55aa617e</stp>
        <tr r="AA14" s="20"/>
      </tp>
    </main>
    <main first="rtdsrv_eco_9d7a82c420e24e37af72e24b06b17f49">
      <tp>
        <v>2</v>
        <stp/>
        <stp>9f162177-407e-4af5-b679-63479b379118</stp>
        <tr r="AN9" s="21"/>
      </tp>
    </main>
    <main first="rtdsrv_eco_9d7a82c420e24e37af72e24b06b17f49">
      <tp>
        <v>2</v>
        <stp/>
        <stp>9d9e5b38-e2cb-41ff-b691-c9e87023a4d1</stp>
        <tr r="I14" s="20"/>
      </tp>
    </main>
    <main first="rtdsrv_eco_9d7a82c420e24e37af72e24b06b17f49">
      <tp>
        <v>2</v>
        <stp/>
        <stp>d4c48a5b-c848-48e3-ad78-0295adb9ce25</stp>
        <tr r="N14" s="20"/>
      </tp>
    </main>
    <main first="rtdsrv_eco_9d7a82c420e24e37af72e24b06b17f49">
      <tp>
        <v>2</v>
        <stp/>
        <stp>1d6c4020-6e8b-4ba3-93fb-463141c88106</stp>
        <tr r="BQ8" s="4"/>
      </tp>
    </main>
    <main first="rtdsrv_eco_9d7a82c420e24e37af72e24b06b17f49">
      <tp>
        <v>2</v>
        <stp/>
        <stp>dd2b0977-9f23-4e16-93fc-4352610e07b8</stp>
        <tr r="T9" s="23"/>
      </tp>
    </main>
    <main first="rtdsrv_eco_9d7a82c420e24e37af72e24b06b17f49">
      <tp>
        <v>2</v>
        <stp/>
        <stp>debf008a-6505-4943-836f-3a1b77dd813c</stp>
        <tr r="N9" s="21"/>
      </tp>
    </main>
    <main first="rtdsrv_eco_9d7a82c420e24e37af72e24b06b17f49">
      <tp>
        <v>2</v>
        <stp/>
        <stp>fb8b3fc7-7190-4717-a0f6-84fb43172e04</stp>
        <tr r="AY8" s="4"/>
      </tp>
    </main>
    <main first="rtdsrv_eco_9d7a82c420e24e37af72e24b06b17f49">
      <tp>
        <v>2</v>
        <stp/>
        <stp>62e5e60c-c582-4670-8e7b-8d9ac3b0278e</stp>
        <tr r="BG6" s="4"/>
      </tp>
    </main>
    <main first="rtdsrv_eco_9d7a82c420e24e37af72e24b06b17f49">
      <tp>
        <v>2</v>
        <stp/>
        <stp>b3f6483f-efba-407b-ac4f-3c27b975ab21</stp>
        <tr r="AB8" s="4"/>
      </tp>
      <tp>
        <v>2</v>
        <stp/>
        <stp>a4d16aa3-12d6-44f1-a8aa-5fa0faf6033e</stp>
        <tr r="AU6" s="4"/>
      </tp>
    </main>
    <main first="rtdsrv_eco_9d7a82c420e24e37af72e24b06b17f49">
      <tp>
        <v>2</v>
        <stp/>
        <stp>f4ee771c-47b1-4fc1-8cc2-87599cf931d6</stp>
        <tr r="AW6" s="4"/>
      </tp>
    </main>
    <main first="rtdsrv_eco_9d7a82c420e24e37af72e24b06b17f49">
      <tp>
        <v>2</v>
        <stp/>
        <stp>153e6caf-095b-477f-b615-6c93f7d27f94</stp>
        <tr r="BA9" s="21"/>
      </tp>
      <tp>
        <v>2</v>
        <stp/>
        <stp>b282fa90-0299-40a4-9959-953ec275ef4c</stp>
        <tr r="O9" s="21"/>
      </tp>
    </main>
    <main first="rtdsrv_eco_9d7a82c420e24e37af72e24b06b17f49">
      <tp>
        <v>2</v>
        <stp/>
        <stp>81321139-6be2-4e7d-84f9-594347b09969</stp>
        <tr r="BJ9" s="21"/>
      </tp>
    </main>
    <main first="rtdsrv_eco_9d7a82c420e24e37af72e24b06b17f49">
      <tp>
        <v>2</v>
        <stp/>
        <stp>3e7350fd-a1ef-4c3b-b770-0384603f3a00</stp>
        <tr r="AA9" s="21"/>
      </tp>
      <tp>
        <v>2</v>
        <stp/>
        <stp>aa802602-fe45-42be-96aa-333de05625ac</stp>
        <tr r="Q9" s="23"/>
      </tp>
      <tp>
        <v>2</v>
        <stp/>
        <stp>b1e821ac-abab-46cf-a575-d6457a41fd8c</stp>
        <tr r="U9" s="21"/>
      </tp>
    </main>
    <main first="rtdsrv_eco_9d7a82c420e24e37af72e24b06b17f49">
      <tp>
        <v>2</v>
        <stp/>
        <stp>1f91df32-c391-4aa5-908d-9c08e9795753</stp>
        <tr r="N8" s="4"/>
      </tp>
      <tp>
        <v>2</v>
        <stp/>
        <stp>cafa85f9-2462-43bc-a486-58bfada79c16</stp>
        <tr r="R14" s="20"/>
      </tp>
    </main>
    <main first="rtdsrv_eco_9d7a82c420e24e37af72e24b06b17f49">
      <tp>
        <v>2</v>
        <stp/>
        <stp>5c0e67f2-8503-4635-9903-79d75ae263c7</stp>
        <tr r="F8" s="4"/>
      </tp>
    </main>
    <main first="rtdsrv_eco_9d7a82c420e24e37af72e24b06b17f49">
      <tp>
        <v>2</v>
        <stp/>
        <stp>b618cafb-10e6-4a68-b821-190a6ddf931a</stp>
        <tr r="G9" s="23"/>
      </tp>
    </main>
    <main first="rtdsrv_eco_9d7a82c420e24e37af72e24b06b17f49">
      <tp>
        <v>2</v>
        <stp/>
        <stp>6ee31a74-6c43-44f8-ae82-2686d52233bd</stp>
        <tr r="C5" s="20"/>
      </tp>
    </main>
    <main first="rtdsrv_eco_9d7a82c420e24e37af72e24b06b17f49">
      <tp>
        <v>2</v>
        <stp/>
        <stp>d7dfd000-a226-41b5-be6d-1f8e7d239ef8</stp>
        <tr r="G4" s="22"/>
      </tp>
    </main>
    <main first="rtdsrv_eco_9d7a82c420e24e37af72e24b06b17f49">
      <tp>
        <v>2</v>
        <stp/>
        <stp>589649b5-32c0-48d0-91b0-fa0ea747342d</stp>
        <tr r="C8" s="4"/>
      </tp>
    </main>
    <main first="rtdsrv_eco_9d7a82c420e24e37af72e24b06b17f49">
      <tp>
        <v>2</v>
        <stp/>
        <stp>8001872c-0f56-46a2-96d5-4d45669d26eb</stp>
        <tr r="AE9" s="23"/>
      </tp>
    </main>
    <main first="rtdsrv_eco_9d7a82c420e24e37af72e24b06b17f49">
      <tp>
        <v>2</v>
        <stp/>
        <stp>f2c7a747-1d24-4720-b598-0adefaedf848</stp>
        <tr r="L9" s="21"/>
      </tp>
    </main>
    <main first="rtdsrv_eco_9d7a82c420e24e37af72e24b06b17f49">
      <tp>
        <v>2</v>
        <stp/>
        <stp>c0f20120-0f6f-4cce-9b53-72c92f23e046</stp>
        <tr r="BA6" s="4"/>
      </tp>
    </main>
    <main first="rtdsrv_eco_9d7a82c420e24e37af72e24b06b17f49">
      <tp>
        <v>2</v>
        <stp/>
        <stp>d4ed5dbd-5142-4849-9b6f-7c9a0960558e</stp>
        <tr r="AM8" s="4"/>
      </tp>
    </main>
    <main first="rtdsrv_eco_9d7a82c420e24e37af72e24b06b17f49">
      <tp>
        <v>2</v>
        <stp/>
        <stp>ab004877-75d6-4b4c-9d1e-10ee53408872</stp>
        <tr r="BS8" s="4"/>
      </tp>
    </main>
    <main first="rtdsrv_eco_9d7a82c420e24e37af72e24b06b17f49">
      <tp>
        <v>2</v>
        <stp/>
        <stp>5a60b306-08eb-4a5a-8bcd-bef3db231c92</stp>
        <tr r="AG9" s="23"/>
      </tp>
    </main>
    <main first="rtdsrv_eco_9d7a82c420e24e37af72e24b06b17f49">
      <tp>
        <v>2</v>
        <stp/>
        <stp>85b0bdc5-8db1-4a45-bf37-591b3c8af1b2</stp>
        <tr r="V9" s="23"/>
      </tp>
      <tp>
        <v>2</v>
        <stp/>
        <stp>4be41af2-70c5-434a-9313-882c7a161995</stp>
        <tr r="AP9" s="21"/>
      </tp>
    </main>
    <main first="rtdsrv_eco_9d7a82c420e24e37af72e24b06b17f49">
      <tp>
        <v>2</v>
        <stp/>
        <stp>411845cb-6fd3-48cf-9767-f187cb19e560</stp>
        <tr r="W8" s="4"/>
      </tp>
      <tp>
        <v>2</v>
        <stp/>
        <stp>62901a11-a53d-4dbd-917e-0f0b5af62b3f</stp>
        <tr r="AI8" s="4"/>
      </tp>
      <tp>
        <v>2</v>
        <stp/>
        <stp>f59d415e-f4e9-401d-94b4-d538db18673d</stp>
        <tr r="BE9" s="21"/>
      </tp>
    </main>
    <main first="rtdsrv_eco_9d7a82c420e24e37af72e24b06b17f49">
      <tp>
        <v>2</v>
        <stp/>
        <stp>ba7b2756-0a17-431f-ad6e-3a66fff4f516</stp>
        <tr r="BM9" s="21"/>
      </tp>
      <tp>
        <v>2</v>
        <stp/>
        <stp>f4ad4517-b414-4655-b782-a772dd80b91b</stp>
        <tr r="AG9" s="21"/>
      </tp>
    </main>
    <main first="rtdsrv_eco_9d7a82c420e24e37af72e24b06b17f49">
      <tp>
        <v>2</v>
        <stp/>
        <stp>21c3746b-6df8-4c99-868d-5a8d22b49ecb</stp>
        <tr r="AK9" s="21"/>
      </tp>
      <tp>
        <v>2</v>
        <stp/>
        <stp>beef97d7-8483-47dd-9177-0530699781d8</stp>
        <tr r="X9" s="23"/>
      </tp>
    </main>
    <main first="rtdsrv_eco_9d7a82c420e24e37af72e24b06b17f49">
      <tp>
        <v>2</v>
        <stp/>
        <stp>c17ac0eb-70fa-4373-b152-b6f6a56c345c</stp>
        <tr r="CC8" s="4"/>
      </tp>
    </main>
    <main first="rtdsrv_eco_9d7a82c420e24e37af72e24b06b17f49">
      <tp>
        <v>2</v>
        <stp/>
        <stp>dcc8abeb-7404-451b-bfcb-359d57acc20b</stp>
        <tr r="BT8" s="4"/>
      </tp>
      <tp>
        <v>2</v>
        <stp/>
        <stp>0aa6a466-20c5-480a-8f5e-bbaa4a8ae7c7</stp>
        <tr r="BI6" s="4"/>
      </tp>
    </main>
    <main first="rtdsrv_eco_9d7a82c420e24e37af72e24b06b17f49">
      <tp>
        <v>2</v>
        <stp/>
        <stp>887521dd-a98d-40af-843c-467a64c91889</stp>
        <tr r="U9" s="23"/>
      </tp>
    </main>
    <main first="rtdsrv_eco_9d7a82c420e24e37af72e24b06b17f49">
      <tp>
        <v>2</v>
        <stp/>
        <stp>06f5145b-7f48-40bf-bca5-81456b279fa1</stp>
        <tr r="AF9" s="21"/>
      </tp>
      <tp>
        <v>2</v>
        <stp/>
        <stp>d9ea4583-cd78-45e8-b899-b647a9ea9f99</stp>
        <tr r="BD9" s="21"/>
      </tp>
    </main>
    <main first="rtdsrv_eco_9d7a82c420e24e37af72e24b06b17f49">
      <tp>
        <v>2</v>
        <stp/>
        <stp>9a987700-6180-4336-9352-356f12434cc9</stp>
        <tr r="BR8" s="4"/>
      </tp>
    </main>
    <main first="rtdsrv_eco_9d7a82c420e24e37af72e24b06b17f49">
      <tp>
        <v>2</v>
        <stp/>
        <stp>b6b8fff7-e244-42ce-8e6a-2495ae99409f</stp>
        <tr r="Y9" s="23"/>
      </tp>
    </main>
    <main first="rtdsrv_eco_9d7a82c420e24e37af72e24b06b17f49">
      <tp>
        <v>2</v>
        <stp/>
        <stp>3e6d81ce-aa2f-467c-90b4-901b472a6536</stp>
        <tr r="CA8" s="4"/>
      </tp>
    </main>
    <main first="rtdsrv_eco_9d7a82c420e24e37af72e24b06b17f49">
      <tp>
        <v>2</v>
        <stp/>
        <stp>fe86e026-16c7-45ca-bb7a-b4c74f7f4f33</stp>
        <tr r="AB9" s="23"/>
      </tp>
    </main>
    <main first="rtdsrv_eco_9d7a82c420e24e37af72e24b06b17f49">
      <tp>
        <v>2</v>
        <stp/>
        <stp>c95d496e-bc5e-4ecb-ae5d-bd38f4bb4c62</stp>
        <tr r="M9" s="21"/>
      </tp>
    </main>
    <main first="rtdsrv_eco_9d7a82c420e24e37af72e24b06b17f49">
      <tp>
        <v>2</v>
        <stp/>
        <stp>ccaf688e-6192-4a9a-bfae-bba9a9846031</stp>
        <tr r="X9" s="21"/>
      </tp>
    </main>
    <main first="rtdsrv_eco_9d7a82c420e24e37af72e24b06b17f49">
      <tp>
        <v>2</v>
        <stp/>
        <stp>09308218-6665-406f-8265-e411ac3a831e</stp>
        <tr r="BH9" s="21"/>
      </tp>
    </main>
    <main first="rtdsrv_eco_9d7a82c420e24e37af72e24b06b17f49">
      <tp>
        <v>2</v>
        <stp/>
        <stp>800e6aca-75ec-4a8f-8a54-ba705ee9488c</stp>
        <tr r="AK8" s="4"/>
      </tp>
      <tp>
        <v>2</v>
        <stp/>
        <stp>7e0e895d-7bcc-4647-84f4-9e748d8432e1</stp>
        <tr r="I8" s="4"/>
      </tp>
    </main>
    <main first="rtdsrv_eco_9d7a82c420e24e37af72e24b06b17f49">
      <tp>
        <v>2</v>
        <stp/>
        <stp>6566daf1-8a79-4a9f-83e9-cf73dc121c3e</stp>
        <tr r="BW8" s="4"/>
      </tp>
    </main>
    <main first="rtdsrv_eco_9d7a82c420e24e37af72e24b06b17f49">
      <tp>
        <v>2</v>
        <stp/>
        <stp>deb7eca0-138d-40b8-b576-6558378a534a</stp>
        <tr r="AJ9" s="21"/>
      </tp>
    </main>
    <main first="rtdsrv_eco_9d7a82c420e24e37af72e24b06b17f49">
      <tp>
        <v>2</v>
        <stp/>
        <stp>f9882439-7223-471a-a33c-2379bd1c9687</stp>
        <tr r="AC8" s="4"/>
      </tp>
    </main>
    <main first="rtdsrv_eco_9d7a82c420e24e37af72e24b06b17f49">
      <tp>
        <v>2</v>
        <stp/>
        <stp>33e8810f-3fa1-4151-a068-69a5cdb78bcf</stp>
        <tr r="V14" s="20"/>
      </tp>
    </main>
    <main first="rtdsrv_eco_9d7a82c420e24e37af72e24b06b17f49">
      <tp>
        <v>2</v>
        <stp/>
        <stp>e2629c3e-8e52-446f-a1b3-9baa5ed4dc8e</stp>
        <tr r="AX9" s="21"/>
      </tp>
    </main>
    <main first="rtdsrv_eco_9d7a82c420e24e37af72e24b06b17f49">
      <tp>
        <v>2</v>
        <stp/>
        <stp>9320d0c7-ab13-4ab1-b924-a8d162544b91</stp>
        <tr r="BM8" s="4"/>
      </tp>
    </main>
    <main first="rtdsrv_eco_9d7a82c420e24e37af72e24b06b17f49">
      <tp>
        <v>2</v>
        <stp/>
        <stp>0dce8e60-d18a-4b69-aaed-96dbf3dbf425</stp>
        <tr r="AJ9" s="23"/>
      </tp>
    </main>
    <main first="rtdsrv_eco_9d7a82c420e24e37af72e24b06b17f49">
      <tp>
        <v>2</v>
        <stp/>
        <stp>bcad4f83-c11e-4051-9041-68acb577cf78</stp>
        <tr r="AO9" s="21"/>
      </tp>
    </main>
    <main first="rtdsrv_eco_9d7a82c420e24e37af72e24b06b17f49">
      <tp>
        <v>2</v>
        <stp/>
        <stp>753230e9-fa12-41c6-abb9-eea148afeb5a</stp>
        <tr r="U8" s="4"/>
      </tp>
    </main>
    <main first="rtdsrv_eco_9d7a82c420e24e37af72e24b06b17f49">
      <tp>
        <v>2</v>
        <stp/>
        <stp>a44efd62-af34-42b9-a7aa-845160f7de0a</stp>
        <tr r="E14" s="20"/>
      </tp>
    </main>
    <main first="rtdsrv_eco_9d7a82c420e24e37af72e24b06b17f49">
      <tp>
        <v>2</v>
        <stp/>
        <stp>fd65847c-7924-47c6-ba92-0159a72a2fde</stp>
        <tr r="D8" s="4"/>
      </tp>
    </main>
    <main first="rtdsrv_eco_9d7a82c420e24e37af72e24b06b17f49">
      <tp>
        <v>2</v>
        <stp/>
        <stp>eb61011b-b2bc-4ea9-a0b7-7c37e418d62c</stp>
        <tr r="AU8" s="4"/>
      </tp>
    </main>
    <main first="rtdsrv_eco_9d7a82c420e24e37af72e24b06b17f49">
      <tp>
        <v>2</v>
        <stp/>
        <stp>f5b3c8e4-3b0a-4be3-9678-0087117c50eb</stp>
        <tr r="D14" s="20"/>
      </tp>
    </main>
    <main first="rtdsrv_eco_9d7a82c420e24e37af72e24b06b17f49">
      <tp>
        <v>2</v>
        <stp/>
        <stp>1680167c-7706-4ee4-ae28-dce798903a58</stp>
        <tr r="AB9" s="21"/>
      </tp>
    </main>
    <main first="rtdsrv_eco_9d7a82c420e24e37af72e24b06b17f49">
      <tp>
        <v>2</v>
        <stp/>
        <stp>b60bbcaa-b467-4a29-8424-b65ff468858a</stp>
        <tr r="AL8" s="4"/>
      </tp>
    </main>
    <main first="rtdsrv_eco_9d7a82c420e24e37af72e24b06b17f49">
      <tp>
        <v>2</v>
        <stp/>
        <stp>cb3522cd-c452-4e84-852a-59ee50bad64b</stp>
        <tr r="S8" s="4"/>
      </tp>
    </main>
    <main first="rtdsrv_eco_9d7a82c420e24e37af72e24b06b17f49">
      <tp>
        <v>2</v>
        <stp/>
        <stp>c10c824d-ac01-4801-8501-f93a56686f35</stp>
        <tr r="BB9" s="21"/>
      </tp>
      <tp>
        <v>2</v>
        <stp/>
        <stp>daec85fa-71f5-472a-a86f-b147585ff751</stp>
        <tr r="Y8" s="4"/>
      </tp>
    </main>
    <main first="rtdsrv_eco_9d7a82c420e24e37af72e24b06b17f49">
      <tp>
        <v>2</v>
        <stp/>
        <stp>ca1d7b36-a081-4e4c-930f-57185561f955</stp>
        <tr r="BZ8" s="4"/>
      </tp>
    </main>
    <main first="rtdsrv_eco_9d7a82c420e24e37af72e24b06b17f49">
      <tp>
        <v>2</v>
        <stp/>
        <stp>bb441702-fc3f-466a-b10f-e8627d50736f</stp>
        <tr r="U14" s="20"/>
      </tp>
      <tp>
        <v>2</v>
        <stp/>
        <stp>76ecd3e4-2fd0-4092-9cc2-ef08258808d3</stp>
        <tr r="Y14" s="20"/>
      </tp>
    </main>
    <main first="rtdsrv_eco_9d7a82c420e24e37af72e24b06b17f49">
      <tp>
        <v>2</v>
        <stp/>
        <stp>0087187c-e19c-42f1-8c04-7504f1775e47</stp>
        <tr r="L8" s="4"/>
      </tp>
    </main>
    <main first="rtdsrv_eco_9d7a82c420e24e37af72e24b06b17f49">
      <tp>
        <v>2</v>
        <stp/>
        <stp>7e83045d-1fba-4120-8e91-4fe7b37bb145</stp>
        <tr r="T14" s="20"/>
      </tp>
    </main>
    <main first="rtdsrv_eco_9d7a82c420e24e37af72e24b06b17f49">
      <tp>
        <v>2</v>
        <stp/>
        <stp>bf6400fc-2e11-42d8-b30b-64368049de0e</stp>
        <tr r="BK6" s="4"/>
      </tp>
      <tp>
        <v>2</v>
        <stp/>
        <stp>e93a4b0e-72b5-4b00-89fb-30725d2fdc60</stp>
        <tr r="CE8" s="4"/>
      </tp>
    </main>
    <main first="rtdsrv_eco_9d7a82c420e24e37af72e24b06b17f49">
      <tp>
        <v>2</v>
        <stp/>
        <stp>1c5f8f79-6115-416e-a2df-970158e730f2</stp>
        <tr r="BO8" s="4"/>
      </tp>
    </main>
    <main first="rtdsrv_eco_9d7a82c420e24e37af72e24b06b17f49">
      <tp>
        <v>2</v>
        <stp/>
        <stp>90d19a99-52ae-4bd8-aca0-8f47f2c1ae85</stp>
        <tr r="E9" s="21"/>
      </tp>
    </main>
    <main first="rtdsrv_eco_9d7a82c420e24e37af72e24b06b17f49">
      <tp>
        <v>2</v>
        <stp/>
        <stp>e52a3547-ca93-489a-a90e-3f4c8a08f979</stp>
        <tr r="V9" s="21"/>
      </tp>
    </main>
    <main first="rtdsrv_eco_9d7a82c420e24e37af72e24b06b17f49">
      <tp>
        <v>2</v>
        <stp/>
        <stp>001f5a77-0b8f-49bf-a016-1f64984f7de4</stp>
        <tr r="D9" s="21"/>
      </tp>
    </main>
    <main first="rtdsrv_eco_9d7a82c420e24e37af72e24b06b17f49">
      <tp>
        <v>2</v>
        <stp/>
        <stp>5e0af446-85b6-4e56-8b2f-c5980b9dc671</stp>
        <tr r="C9" s="21"/>
      </tp>
    </main>
    <main first="rtdsrv_eco_9d7a82c420e24e37af72e24b06b17f49">
      <tp>
        <v>2</v>
        <stp/>
        <stp>8027561c-ba2c-442f-9e81-26f0e854f8bc</stp>
        <tr r="AB14" s="20"/>
      </tp>
    </main>
    <main first="rtdsrv_eco_9d7a82c420e24e37af72e24b06b17f49">
      <tp>
        <v>2</v>
        <stp/>
        <stp>cf28d008-783a-440d-8ed5-08715aeac496</stp>
        <tr r="AQ6" s="4"/>
      </tp>
    </main>
    <main first="rtdsrv_eco_9d7a82c420e24e37af72e24b06b17f49">
      <tp>
        <v>2</v>
        <stp/>
        <stp>f12d0866-b3ba-4ffb-b4bf-4e421c4a4a64</stp>
        <tr r="B14" s="20"/>
      </tp>
    </main>
    <main first="rtdsrv_eco_9d7a82c420e24e37af72e24b06b17f49">
      <tp>
        <v>2</v>
        <stp/>
        <stp>57347cc4-99b4-4a50-a22b-c3b2647aad97</stp>
        <tr r="K14" s="20"/>
      </tp>
    </main>
    <main first="rtdsrv_eco_9d7a82c420e24e37af72e24b06b17f49">
      <tp>
        <v>2</v>
        <stp/>
        <stp>bf9df826-624c-4934-a875-90875fa152ee</stp>
        <tr r="AD9" s="23"/>
      </tp>
    </main>
    <main first="rtdsrv_eco_9d7a82c420e24e37af72e24b06b17f49">
      <tp>
        <v>2</v>
        <stp/>
        <stp>c740bc3d-5315-4065-b898-e8832b25983d</stp>
        <tr r="BF9" s="21"/>
      </tp>
    </main>
    <main first="rtdsrv_eco_9d7a82c420e24e37af72e24b06b17f49">
      <tp>
        <v>2</v>
        <stp/>
        <stp>9d6274c3-ee01-4168-910e-07c26c07df87</stp>
        <tr r="AH8" s="4"/>
      </tp>
    </main>
    <main first="rtdsrv_eco_9d7a82c420e24e37af72e24b06b17f49">
      <tp>
        <v>2</v>
        <stp/>
        <stp>cff3dc27-a077-41f8-9435-f02e54ed2e64</stp>
        <tr r="B9" s="23"/>
      </tp>
    </main>
    <main first="rtdsrv_eco_9d7a82c420e24e37af72e24b06b17f49">
      <tp>
        <v>2</v>
        <stp/>
        <stp>78235ac5-3a4f-4bab-bc02-2b432ee9a1e7</stp>
        <tr r="CD8" s="4"/>
      </tp>
      <tp>
        <v>2</v>
        <stp/>
        <stp>7a5908b8-91cb-4dbd-a92c-fec35d4329dc</stp>
        <tr r="C9" s="23"/>
      </tp>
    </main>
    <main first="rtdsrv_eco_9d7a82c420e24e37af72e24b06b17f49">
      <tp>
        <v>2</v>
        <stp/>
        <stp>8af5c709-b64d-4e98-8801-fba4238a6c01</stp>
        <tr r="AF9" s="23"/>
      </tp>
      <tp>
        <v>2</v>
        <stp/>
        <stp>39cf173d-72b9-4cb2-b1f7-4f4b4ca22f82</stp>
        <tr r="AI9" s="23"/>
      </tp>
    </main>
    <main first="rtdsrv_eco_9d7a82c420e24e37af72e24b06b17f49">
      <tp>
        <v>2</v>
        <stp/>
        <stp>2b240dc9-3818-48ed-9cbb-1774a2eaa8e9</stp>
        <tr r="F4" s="22"/>
      </tp>
    </main>
    <main first="rtdsrv_eco_9d7a82c420e24e37af72e24b06b17f49">
      <tp>
        <v>2</v>
        <stp/>
        <stp>1fea5d76-65a0-4aa7-9a43-24ee1861f595</stp>
        <tr r="B9" s="21"/>
      </tp>
      <tp>
        <v>2</v>
        <stp/>
        <stp>15bae585-5c04-4c88-b4d5-d2323a08441e</stp>
        <tr r="P9" s="23"/>
      </tp>
    </main>
    <main first="rtdsrv_eco_9d7a82c420e24e37af72e24b06b17f49">
      <tp>
        <v>2</v>
        <stp/>
        <stp>8b648302-567c-4ba7-96b2-e802f6f31150</stp>
        <tr r="R9" s="23"/>
      </tp>
    </main>
    <main first="rtdsrv_eco_9d7a82c420e24e37af72e24b06b17f49">
      <tp>
        <v>2</v>
        <stp/>
        <stp>6faa39c0-121b-4687-9ea0-b3e2b477f143</stp>
        <tr r="BU8" s="4"/>
      </tp>
    </main>
    <main first="rtdsrv_eco_9d7a82c420e24e37af72e24b06b17f49">
      <tp>
        <v>2</v>
        <stp/>
        <stp>a5fbffed-1533-4404-a2a5-08cc203c4143</stp>
        <tr r="AS8" s="4"/>
      </tp>
    </main>
    <main first="rtdsrv_eco_9d7a82c420e24e37af72e24b06b17f49">
      <tp>
        <v>2</v>
        <stp/>
        <stp>0c55b51c-9096-41e2-953a-3a1c9def3efc</stp>
        <tr r="BN9" s="21"/>
      </tp>
    </main>
    <main first="rtdsrv_eco_9d7a82c420e24e37af72e24b06b17f49">
      <tp>
        <v>2</v>
        <stp/>
        <stp>8375fb23-d694-4d01-98bb-e3f458dc8c9a</stp>
        <tr r="BX8" s="4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59531</xdr:rowOff>
    </xdr:from>
    <xdr:to>
      <xdr:col>2</xdr:col>
      <xdr:colOff>1121039</xdr:colOff>
      <xdr:row>0</xdr:row>
      <xdr:rowOff>625154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02E90A-EE78-420F-8E53-CE415A7663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250032" y="59531"/>
          <a:ext cx="2355003" cy="556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59531</xdr:rowOff>
    </xdr:from>
    <xdr:to>
      <xdr:col>2</xdr:col>
      <xdr:colOff>1121514</xdr:colOff>
      <xdr:row>0</xdr:row>
      <xdr:rowOff>625154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CE1E3F-5DAF-49F2-ADE6-170B351105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34804" y="55721"/>
          <a:ext cx="2338810" cy="5694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59531</xdr:rowOff>
    </xdr:from>
    <xdr:to>
      <xdr:col>2</xdr:col>
      <xdr:colOff>1120561</xdr:colOff>
      <xdr:row>0</xdr:row>
      <xdr:rowOff>628964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E6771B-EA5D-4A82-BA97-E5C305311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34804" y="55721"/>
          <a:ext cx="2343095" cy="5732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325278</xdr:colOff>
      <xdr:row>0</xdr:row>
      <xdr:rowOff>108585</xdr:rowOff>
    </xdr:from>
    <xdr:to>
      <xdr:col>2</xdr:col>
      <xdr:colOff>968162</xdr:colOff>
      <xdr:row>0</xdr:row>
      <xdr:rowOff>666588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2CAD4C9-183E-4E43-9EBF-2432DDB9D4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444341" y="108585"/>
          <a:ext cx="2357861" cy="5675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194309</xdr:colOff>
      <xdr:row>0</xdr:row>
      <xdr:rowOff>108585</xdr:rowOff>
    </xdr:from>
    <xdr:to>
      <xdr:col>2</xdr:col>
      <xdr:colOff>549063</xdr:colOff>
      <xdr:row>0</xdr:row>
      <xdr:rowOff>670398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162012-1248-48D0-AE06-6E0937234A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84809" y="108585"/>
          <a:ext cx="2358338" cy="567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023A4A"/>
  </sheetPr>
  <dimension ref="A1:CF580"/>
  <sheetViews>
    <sheetView showGridLines="0" tabSelected="1" zoomScale="80" zoomScaleNormal="80" workbookViewId="0"/>
  </sheetViews>
  <sheetFormatPr defaultColWidth="21.77734375" defaultRowHeight="14.4" x14ac:dyDescent="0.3"/>
  <cols>
    <col min="1" max="1" width="2.88671875" style="30" customWidth="1"/>
    <col min="2" max="2" width="19.6640625" style="40" bestFit="1" customWidth="1"/>
    <col min="3" max="3" width="16.77734375" style="40" customWidth="1"/>
    <col min="4" max="4" width="49.88671875" style="30" bestFit="1" customWidth="1"/>
    <col min="5" max="5" width="53" style="30" bestFit="1" customWidth="1"/>
    <col min="6" max="7" width="19.77734375" style="41" customWidth="1"/>
    <col min="8" max="8" width="11.88671875" style="41" customWidth="1"/>
    <col min="9" max="9" width="11.88671875" style="42" customWidth="1"/>
    <col min="10" max="10" width="11.88671875" style="43" customWidth="1"/>
    <col min="11" max="11" width="34.5546875" style="43" bestFit="1" customWidth="1"/>
    <col min="12" max="12" width="32.21875" style="43" customWidth="1"/>
    <col min="13" max="13" width="32.77734375" style="43" bestFit="1" customWidth="1"/>
    <col min="14" max="14" width="14.6640625" style="43" customWidth="1"/>
    <col min="15" max="15" width="14.44140625" style="46" bestFit="1" customWidth="1"/>
    <col min="16" max="16" width="16" style="44" bestFit="1" customWidth="1"/>
    <col min="17" max="17" width="16" style="44" customWidth="1"/>
    <col min="18" max="18" width="11.21875" style="45" customWidth="1"/>
    <col min="19" max="19" width="13.88671875" style="45" customWidth="1"/>
    <col min="20" max="20" width="65" style="63" customWidth="1"/>
    <col min="21" max="21" width="79.77734375" style="63" bestFit="1" customWidth="1"/>
    <col min="22" max="22" width="18.44140625" style="45" bestFit="1" customWidth="1"/>
    <col min="23" max="26" width="13.77734375" style="45" customWidth="1"/>
    <col min="27" max="27" width="2.88671875" customWidth="1"/>
    <col min="28" max="28" width="13.77734375" style="31" customWidth="1"/>
    <col min="29" max="29" width="13.77734375" style="47" customWidth="1"/>
    <col min="30" max="30" width="13.77734375" style="48" customWidth="1"/>
    <col min="31" max="33" width="13.77734375" style="66" customWidth="1"/>
    <col min="34" max="35" width="13.77734375" style="19" customWidth="1"/>
    <col min="36" max="37" width="13.77734375" style="31" customWidth="1"/>
    <col min="38" max="38" width="13.77734375" style="66" customWidth="1"/>
    <col min="39" max="39" width="13.77734375" style="46" customWidth="1"/>
    <col min="40" max="40" width="2.88671875" customWidth="1"/>
    <col min="41" max="41" width="13.6640625" style="30" customWidth="1"/>
    <col min="42" max="63" width="13.6640625" style="49" customWidth="1"/>
    <col min="64" max="64" width="2.88671875" customWidth="1"/>
    <col min="65" max="66" width="13.77734375" style="44" customWidth="1"/>
    <col min="67" max="69" width="13.77734375" style="50" customWidth="1"/>
    <col min="70" max="72" width="13.77734375" style="51" customWidth="1"/>
    <col min="73" max="74" width="13.77734375" style="52" customWidth="1"/>
    <col min="75" max="76" width="13.77734375" style="31" customWidth="1"/>
    <col min="77" max="77" width="13.77734375" style="68" customWidth="1"/>
    <col min="78" max="79" width="13.77734375" style="53" customWidth="1"/>
    <col min="80" max="81" width="13.77734375" style="54" customWidth="1"/>
    <col min="82" max="82" width="13.77734375" style="31" customWidth="1"/>
    <col min="83" max="83" width="13.77734375" style="54" customWidth="1"/>
    <col min="85" max="16384" width="21.77734375" style="3"/>
  </cols>
  <sheetData>
    <row r="1" spans="1:84" ht="60" customHeight="1" x14ac:dyDescent="0.3">
      <c r="D1" s="58"/>
      <c r="E1" s="76" t="s">
        <v>2862</v>
      </c>
      <c r="F1" s="59"/>
      <c r="G1" s="59"/>
      <c r="H1" s="59"/>
      <c r="I1" s="60"/>
      <c r="J1" s="61"/>
      <c r="K1" s="61"/>
      <c r="CD1" s="54"/>
    </row>
    <row r="2" spans="1:84" ht="16.05" customHeight="1" x14ac:dyDescent="0.3">
      <c r="B2" s="78" t="s">
        <v>2179</v>
      </c>
      <c r="C2" s="79">
        <f>IF(C3="",_xll.ECONOMATICA("IDA Geral","Date of Last Quote"),C3)</f>
        <v>45552</v>
      </c>
      <c r="D2" s="77" t="s">
        <v>2860</v>
      </c>
      <c r="E2" s="16"/>
      <c r="F2" s="3"/>
      <c r="G2" s="3"/>
      <c r="H2" s="3"/>
      <c r="I2" s="58"/>
      <c r="J2" s="62"/>
      <c r="K2" s="62"/>
      <c r="L2" s="31"/>
      <c r="M2" s="31"/>
      <c r="N2" s="31"/>
      <c r="P2" s="31"/>
      <c r="Q2" s="31"/>
      <c r="R2" s="31"/>
      <c r="S2" s="31"/>
      <c r="T2" s="64"/>
      <c r="U2" s="64"/>
      <c r="V2" s="31"/>
      <c r="W2" s="31"/>
      <c r="X2" s="31"/>
      <c r="Y2" s="31"/>
      <c r="Z2" s="31"/>
      <c r="AC2" s="30"/>
      <c r="AD2" s="30"/>
      <c r="AE2" s="67"/>
      <c r="AF2" s="67"/>
      <c r="AG2" s="67"/>
      <c r="AH2" s="30"/>
      <c r="AI2" s="30"/>
      <c r="AJ2" s="30"/>
      <c r="AK2" s="30"/>
      <c r="AL2" s="67"/>
      <c r="AM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M2" s="31"/>
      <c r="BN2" s="31"/>
      <c r="BO2" s="31"/>
      <c r="BP2" s="31"/>
      <c r="BQ2" s="31"/>
      <c r="BR2" s="31"/>
      <c r="BS2" s="31"/>
      <c r="BT2" s="31"/>
      <c r="BU2" s="31"/>
      <c r="BV2" s="31"/>
      <c r="BY2" s="66"/>
      <c r="BZ2" s="31"/>
      <c r="CA2" s="31"/>
      <c r="CB2" s="31"/>
      <c r="CC2" s="31"/>
      <c r="CE2" s="31"/>
    </row>
    <row r="3" spans="1:84" ht="16.05" customHeight="1" x14ac:dyDescent="0.3">
      <c r="B3" s="80" t="s">
        <v>2180</v>
      </c>
      <c r="C3" s="82"/>
      <c r="D3" s="77" t="s">
        <v>2863</v>
      </c>
      <c r="E3"/>
      <c r="F3"/>
      <c r="G3"/>
      <c r="H3"/>
      <c r="I3"/>
      <c r="J3"/>
      <c r="K3"/>
      <c r="L3" s="55"/>
      <c r="M3" s="55"/>
      <c r="N3" s="55"/>
      <c r="O3" s="65"/>
      <c r="P3" s="55"/>
      <c r="Q3" s="55"/>
      <c r="R3" s="55"/>
      <c r="S3" s="55"/>
      <c r="T3" s="56"/>
      <c r="U3" s="56"/>
      <c r="V3" s="55"/>
      <c r="W3" s="55"/>
      <c r="X3" s="55"/>
      <c r="Y3" s="55"/>
      <c r="Z3" s="55"/>
      <c r="AC3" s="30"/>
      <c r="AD3" s="30"/>
      <c r="AE3" s="67"/>
      <c r="AF3" s="67"/>
      <c r="AG3" s="67"/>
      <c r="AH3" s="30"/>
      <c r="AI3" s="30"/>
      <c r="AJ3" s="30"/>
      <c r="AK3" s="30"/>
      <c r="AL3" s="67"/>
      <c r="AM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M3" s="31"/>
      <c r="BN3" s="31"/>
      <c r="BO3" s="31"/>
      <c r="BP3" s="31"/>
      <c r="BQ3" s="31"/>
      <c r="BR3" s="31"/>
      <c r="BS3" s="31"/>
      <c r="BT3" s="31"/>
      <c r="BU3" s="31"/>
      <c r="BV3" s="31"/>
      <c r="BY3" s="66"/>
      <c r="BZ3" s="31"/>
      <c r="CA3" s="31"/>
      <c r="CB3" s="31"/>
      <c r="CC3" s="31"/>
      <c r="CE3" s="31"/>
      <c r="CF3" s="2"/>
    </row>
    <row r="4" spans="1:84" ht="16.05" customHeight="1" x14ac:dyDescent="0.3">
      <c r="B4" s="81" t="s">
        <v>2181</v>
      </c>
      <c r="C4" s="83" t="s">
        <v>339</v>
      </c>
      <c r="D4" s="77" t="s">
        <v>2861</v>
      </c>
      <c r="E4"/>
      <c r="F4"/>
      <c r="G4"/>
      <c r="H4"/>
      <c r="I4"/>
      <c r="J4"/>
      <c r="K4"/>
      <c r="L4" s="31"/>
      <c r="M4" s="31"/>
      <c r="N4" s="31"/>
      <c r="P4" s="31"/>
      <c r="Q4" s="31"/>
      <c r="R4" s="31"/>
      <c r="S4" s="31"/>
      <c r="T4" s="64"/>
      <c r="U4" s="64"/>
      <c r="V4" s="31"/>
      <c r="W4" s="31"/>
      <c r="X4" s="31"/>
      <c r="Y4" s="31"/>
      <c r="Z4" s="31"/>
      <c r="AC4" s="30"/>
      <c r="AD4" s="30"/>
      <c r="AE4" s="67"/>
      <c r="AF4" s="67"/>
      <c r="AG4" s="67"/>
      <c r="AH4" s="30"/>
      <c r="AI4" s="30"/>
      <c r="AJ4" s="30"/>
      <c r="AK4" s="30"/>
      <c r="AL4" s="67"/>
      <c r="AM4" s="30"/>
      <c r="AP4" s="30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CF4" s="2"/>
    </row>
    <row r="5" spans="1:84" ht="16.05" customHeight="1" thickBot="1" x14ac:dyDescent="0.35">
      <c r="B5" s="30"/>
      <c r="C5" s="30"/>
      <c r="D5" s="31"/>
      <c r="E5" s="255" t="s">
        <v>395</v>
      </c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B5" s="255" t="s">
        <v>283</v>
      </c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O5" s="258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M5" s="255" t="s">
        <v>15</v>
      </c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"/>
    </row>
    <row r="6" spans="1:84" ht="16.05" customHeight="1" thickTop="1" x14ac:dyDescent="0.3">
      <c r="B6" s="30"/>
      <c r="C6" s="30"/>
      <c r="D6"/>
      <c r="AC6" s="30"/>
      <c r="AD6" s="30"/>
      <c r="AE6" s="67"/>
      <c r="AF6" s="67"/>
      <c r="AG6" s="67"/>
      <c r="AH6" s="30"/>
      <c r="AI6" s="30"/>
      <c r="AJ6" s="30"/>
      <c r="AK6" s="30"/>
      <c r="AL6" s="67"/>
      <c r="AM6" s="30"/>
      <c r="AO6" s="265">
        <f>_xll.ECONOMATICA($C$4,"RETURN","1D",$C$2,,,,"DECIMAL")</f>
        <v>4.8014488492999999E-4</v>
      </c>
      <c r="AP6" s="265"/>
      <c r="AQ6" s="265">
        <f>_xll.ECONOMATICA($C$4,"RETURN","MTD",$C$2,,,,"DECIMAL")</f>
        <v>-2.1750675296E-4</v>
      </c>
      <c r="AR6" s="265"/>
      <c r="AS6" s="265">
        <f>_xll.ECONOMATICA($C$4,"RETURN","YTD",$C$2,,,,"DECIMAL")</f>
        <v>1.4725835055000001E-2</v>
      </c>
      <c r="AT6" s="265"/>
      <c r="AU6" s="265">
        <f>_xll.ECONOMATICA($C$4,"RETURN",AU7,$C$2,,,,"DECIMAL")</f>
        <v>-1.3068582596E-2</v>
      </c>
      <c r="AV6" s="265"/>
      <c r="AW6" s="265">
        <f>_xll.ECONOMATICA($C$4,"RETURN",AW7,$C$2,,,,"DECIMAL")</f>
        <v>2.3995067788E-2</v>
      </c>
      <c r="AX6" s="265"/>
      <c r="AY6" s="265">
        <f>_xll.ECONOMATICA($C$4,"RETURN",AY7,$C$2,,,,"DECIMAL")</f>
        <v>1.4242254790000001E-2</v>
      </c>
      <c r="AZ6" s="265"/>
      <c r="BA6" s="265">
        <f>_xll.ECONOMATICA($C$4,"RETURN",BA7,$C$2,,,,"DECIMAL")</f>
        <v>5.3486964557999998E-2</v>
      </c>
      <c r="BB6" s="265"/>
      <c r="BC6" s="265">
        <f>_xll.ECONOMATICA($C$4,"RETURN",BC7,$C$2,,,,"DECIMAL")</f>
        <v>0.19430856649</v>
      </c>
      <c r="BD6" s="265"/>
      <c r="BE6" s="265">
        <f>_xll.ECONOMATICA($C$4,"RETURN",BE7,$C$2,,,,"DECIMAL")</f>
        <v>0.26171933953999998</v>
      </c>
      <c r="BF6" s="265"/>
      <c r="BG6" s="265">
        <f>_xll.ECONOMATICA($C$4,"RETURN",BG7,$C$2,,,,"DECIMAL")</f>
        <v>0.30891664881000003</v>
      </c>
      <c r="BH6" s="265"/>
      <c r="BI6" s="265">
        <f>_xll.ECONOMATICA($C$4,"RETURN",BI7,$C$2,,,,"DECIMAL")</f>
        <v>0.37294301008000003</v>
      </c>
      <c r="BJ6" s="265"/>
      <c r="BK6" s="266">
        <f>_xll.ECONOMATICA($C$4,"VOLATILITY",BK7,$C$2,,,,"DECIMAL")</f>
        <v>4.0769425973999997E-2</v>
      </c>
      <c r="BM6" s="267" t="s">
        <v>2873</v>
      </c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"/>
    </row>
    <row r="7" spans="1:84" ht="16.05" customHeight="1" thickBot="1" x14ac:dyDescent="0.35">
      <c r="B7" s="270"/>
      <c r="C7" s="270"/>
      <c r="D7" s="271"/>
      <c r="E7" s="271"/>
      <c r="F7" s="271"/>
      <c r="G7" s="271"/>
      <c r="H7" s="271"/>
      <c r="I7" s="271"/>
      <c r="J7" s="271"/>
      <c r="K7" s="271"/>
      <c r="L7" s="272"/>
      <c r="M7" s="272"/>
      <c r="N7" s="272"/>
      <c r="O7" s="273"/>
      <c r="P7" s="272"/>
      <c r="Q7" s="272"/>
      <c r="R7" s="272"/>
      <c r="S7" s="272"/>
      <c r="T7" s="274"/>
      <c r="U7" s="274"/>
      <c r="V7" s="272"/>
      <c r="W7" s="272"/>
      <c r="X7" s="272"/>
      <c r="Y7" s="272"/>
      <c r="Z7" s="272"/>
      <c r="AA7" s="271"/>
      <c r="AB7" s="272"/>
      <c r="AC7" s="275"/>
      <c r="AD7" s="275"/>
      <c r="AE7" s="276"/>
      <c r="AF7" s="276"/>
      <c r="AG7" s="276"/>
      <c r="AH7" s="257" t="s">
        <v>8</v>
      </c>
      <c r="AI7" s="256" t="s">
        <v>2872</v>
      </c>
      <c r="AJ7" s="275"/>
      <c r="AK7" s="275"/>
      <c r="AL7" s="276"/>
      <c r="AM7" s="275"/>
      <c r="AN7" s="271"/>
      <c r="AO7" s="260" t="s">
        <v>14</v>
      </c>
      <c r="AP7" s="261"/>
      <c r="AQ7" s="262">
        <f>$C$2</f>
        <v>45552</v>
      </c>
      <c r="AR7" s="262"/>
      <c r="AS7" s="263">
        <f>$C$2</f>
        <v>45552</v>
      </c>
      <c r="AT7" s="263"/>
      <c r="AU7" s="261" t="s">
        <v>5</v>
      </c>
      <c r="AV7" s="261"/>
      <c r="AW7" s="261" t="s">
        <v>6</v>
      </c>
      <c r="AX7" s="261"/>
      <c r="AY7" s="261" t="s">
        <v>7</v>
      </c>
      <c r="AZ7" s="261"/>
      <c r="BA7" s="261" t="s">
        <v>8</v>
      </c>
      <c r="BB7" s="261"/>
      <c r="BC7" s="261" t="s">
        <v>9</v>
      </c>
      <c r="BD7" s="261"/>
      <c r="BE7" s="261" t="s">
        <v>10</v>
      </c>
      <c r="BF7" s="261"/>
      <c r="BG7" s="261" t="s">
        <v>11</v>
      </c>
      <c r="BH7" s="261"/>
      <c r="BI7" s="261" t="s">
        <v>12</v>
      </c>
      <c r="BJ7" s="261"/>
      <c r="BK7" s="264" t="s">
        <v>8</v>
      </c>
      <c r="BL7" s="271"/>
      <c r="BM7" s="277" t="s">
        <v>8</v>
      </c>
      <c r="BN7" s="277"/>
      <c r="BO7" s="277"/>
      <c r="BP7" s="277"/>
      <c r="BQ7" s="277"/>
      <c r="BR7" s="277"/>
      <c r="BS7" s="277"/>
      <c r="BT7" s="277"/>
      <c r="BU7" s="277"/>
      <c r="BV7" s="277"/>
      <c r="BW7" s="277"/>
      <c r="BX7" s="277"/>
      <c r="BY7" s="277"/>
      <c r="BZ7" s="277"/>
      <c r="CA7" s="277"/>
      <c r="CB7" s="277"/>
      <c r="CC7" s="277"/>
      <c r="CD7" s="277"/>
      <c r="CE7" s="277"/>
      <c r="CF7" s="2"/>
    </row>
    <row r="8" spans="1:84" ht="48" thickTop="1" thickBot="1" x14ac:dyDescent="0.35">
      <c r="A8" s="24"/>
      <c r="B8" s="268" t="str">
        <f>_xll.ECOSECURITIES("corporatebond","ACTIVE",,"BRA",,,,"Tipo de debênture=IPCA Spread")</f>
        <v>Código</v>
      </c>
      <c r="C8" s="92" t="str">
        <f>_xll.ECONOMATICA($B$9:$B$570,"ticker")</f>
        <v>Código</v>
      </c>
      <c r="D8" s="92" t="str">
        <f>_xll.ECONOMATICA($B$9:$B$570,"name")</f>
        <v>Nome</v>
      </c>
      <c r="E8" s="92" t="str">
        <f>_xll.ECONOMATICA($B$9:$B$570,"Sector NAICS",,,,,,,,,"Setor NAICS")</f>
        <v>Setor NAICS</v>
      </c>
      <c r="F8" s="92" t="str">
        <f>_xll.ECONOMATICA($B$9:$B$570,"Employer ID Number",,,,,,,,,"CNPJ")</f>
        <v>CNPJ</v>
      </c>
      <c r="G8" s="92" t="str">
        <f>_xll.ECONOMATICA($B$9:$B$570,"ISIN",,,,,,,,,"ISIN")</f>
        <v>ISIN</v>
      </c>
      <c r="H8" s="92" t="str">
        <f>_xll.ECONOMATICA($B$9:$B$570,"Classe da debênture",,,,,,,,,"Classe")</f>
        <v>Classe</v>
      </c>
      <c r="I8" s="92" t="str">
        <f>_xll.ECONOMATICA($B$9:$B$570,"Número de emissão",,,,,,,,,"Nº da Emissão")</f>
        <v>Nº da Emissão</v>
      </c>
      <c r="J8" s="92" t="str">
        <f>_xll.ECONOMATICA($B$9:$B$570,"Series",,,,,,,,,"Nº da Série")</f>
        <v>Nº da Série</v>
      </c>
      <c r="K8" s="92" t="str">
        <f>_xll.ECONOMATICA($B$9:$B$570,"Agente fiduciário",,,,,,,,,"Agente fiduciário")</f>
        <v>Agente fiduciário</v>
      </c>
      <c r="L8" s="92" t="str">
        <f>_xll.ECONOMATICA($B$9:$B$570,"Líder",,,,,,,,,"Líder")</f>
        <v>Líder</v>
      </c>
      <c r="M8" s="92" t="str">
        <f>_xll.ECONOMATICA($B$9:$B$570,"Banco Mandatário",,,,,,,,,"Banco Mandatário")</f>
        <v>Banco Mandatário</v>
      </c>
      <c r="N8" s="92" t="str">
        <f>_xll.ECONOMATICA($B$9:$B$570,"Incentivada (Lei 12.431)",,,,,,,,,"Incentivada
 (Lei 12.431)")</f>
        <v>Incentivada
 (Lei 12.431)</v>
      </c>
      <c r="O8" s="269" t="str">
        <f>_xll.ECONOMATICA($B$9:$B$570,"Quantidade",,,,,,,,,"Quantidade")</f>
        <v>Quantidade</v>
      </c>
      <c r="P8" s="92" t="str">
        <f>_xll.ECONOMATICA($B$9:$B$570,"Amount issued",,,,,,,,,"Volume da Emissão")</f>
        <v>Volume da Emissão</v>
      </c>
      <c r="Q8" s="92" t="str">
        <f>_xll.ECONOMATICA($B$9:$B$570,"Par value",,,,,,,,,"Valor Nominal")</f>
        <v>Valor Nominal</v>
      </c>
      <c r="R8" s="92" t="str">
        <f>_xll.ECONOMATICA($B$9:$B$570,"Issue Date",,,,,,,,,"Data de Emissão")</f>
        <v>Data de Emissão</v>
      </c>
      <c r="S8" s="92" t="str">
        <f>_xll.ECONOMATICA($B$9:$B$570,"Vencimento/ Repactuação",,,,,,,,,"Vencimento/ Repactuação")</f>
        <v>Vencimento/ Repactuação</v>
      </c>
      <c r="T8" s="92" t="str">
        <f>_xll.ECONOMATICA($B$9:$B$570,"Remuneração",,,,,,,,,"Remuneração")</f>
        <v>Remuneração</v>
      </c>
      <c r="U8" s="92" t="str">
        <f>_xll.ECONOMATICA($B$9:$B$570,"Amortização",,,,,,,,,"Amortização")</f>
        <v>Amortização</v>
      </c>
      <c r="V8" s="92" t="str">
        <f>_xll.ECONOMATICA($B$9:$B$570,"Espécie",,,,,,,,,"Espécie")</f>
        <v>Espécie</v>
      </c>
      <c r="W8" s="92" t="str">
        <f>_xll.ECONOMATICA($B$9:$B$570,"Tipo de Debênture",,,,,,,,,"Tipo de Debênture")</f>
        <v>Tipo de Debênture</v>
      </c>
      <c r="X8" s="92" t="str">
        <f>_xll.ECONOMATICA($B$9:$B$570,"Índice de correção",,,,,,,,,"Índice de Correção 
Emissão")</f>
        <v>Índice de Correção 
Emissão</v>
      </c>
      <c r="Y8" s="92" t="str">
        <f>_xll.ECONOMATICA($B$9:$B$570,"Referência NTN-B",,,,,,,,,"Referência NTN-B")</f>
        <v>Referência NTN-B</v>
      </c>
      <c r="Z8" s="94" t="s">
        <v>235</v>
      </c>
      <c r="AB8" s="90" t="str">
        <f>_xll.ECONOMATICA($B$9:$B$570,"date of last quote",,,,,,,,,"Data da Última Cotação")</f>
        <v>Data da Última Cotação</v>
      </c>
      <c r="AC8" s="87" t="str">
        <f>_xll.ECONOMATICA($B$9:$B$570,"YTM","1D",$C$2,,,,,,,"Taxa YTM")</f>
        <v>Taxa YTM</v>
      </c>
      <c r="AD8" s="87" t="s">
        <v>236</v>
      </c>
      <c r="AE8" s="88" t="str">
        <f>_xll.ECONOMATICA($B$9:$B$570,"Standard deviation","1D",$C$2,,,,,,,"Desvio Padrão da Taxa")</f>
        <v>Desvio Padrão da Taxa</v>
      </c>
      <c r="AF8" s="88" t="str">
        <f>_xll.ECONOMATICA($B$9:$B$570,"Buying rate","1D",$C$2,,,,,,,"Taxa de Compra")</f>
        <v>Taxa de Compra</v>
      </c>
      <c r="AG8" s="88" t="str">
        <f>_xll.ECONOMATICA($B$9:$B$570,"Selling rate","1D",$C$2,,,,,,,"Taxa de Venda")</f>
        <v>Taxa de Venda</v>
      </c>
      <c r="AH8" s="87" t="str">
        <f>_xll.ECONOMATICA($B$9:$B$570,"Close",,$C$2,,,,,,,"PU (R$)")</f>
        <v>PU (R$)</v>
      </c>
      <c r="AI8" s="87" t="str">
        <f>_xll.ECONOMATICA($B$9:$B$570,"Max of the Serie",$AH$7,$C$2,,,,,,,"Máximo PU (R$) "&amp;AH7,)</f>
        <v>Máximo PU (R$) 12M</v>
      </c>
      <c r="AJ8" s="87" t="s">
        <v>4</v>
      </c>
      <c r="AK8" s="87" t="str">
        <f>_xll.ECONOMATICA($B$9:$B$570,"Max of the Serie",$AH$7,$C$2,,,,,,,"Data do Máximo "&amp;AH7,{"std.tec.cals=0";"std.tec.dtovlr=true"})</f>
        <v>Data do Máximo 12M</v>
      </c>
      <c r="AL8" s="88" t="str">
        <f>_xll.ECONOMATICA($B$9:$B$570,"% PU Par","1D",$C$2,,,,,,,"% PU no par")</f>
        <v>% PU no par</v>
      </c>
      <c r="AM8" s="89" t="str">
        <f>_xll.ECONOMATICA($B$9:$B$570,"Duration (BD)",,$C$2,,,,,,,"Duration (D.U.)")</f>
        <v>Duration (D.U.)</v>
      </c>
      <c r="AO8" s="91" t="str">
        <f>_xll.ECONOMATICA($B$9:$B$570,"RETURN","1D",$C$2,,,,"DECIMAL",,,"%")</f>
        <v>%</v>
      </c>
      <c r="AP8" s="92" t="s">
        <v>13</v>
      </c>
      <c r="AQ8" s="92" t="str">
        <f>_xll.ECONOMATICA($B$9:$B$570,"RETURN","IN THE MONTH",$C$2,,,,"DECIMAL",,,"%")</f>
        <v>%</v>
      </c>
      <c r="AR8" s="92" t="s">
        <v>13</v>
      </c>
      <c r="AS8" s="92" t="str">
        <f>_xll.ECONOMATICA($B$9:$B$570,"RETURN","IN THE YEAR",$C$2,,,,"DECIMAL",,,"%")</f>
        <v>%</v>
      </c>
      <c r="AT8" s="92" t="s">
        <v>13</v>
      </c>
      <c r="AU8" s="92" t="str">
        <f>_xll.ECONOMATICA($B$9:$B$570,"RETURN",AU7,$C$2,,,,"DECIMAL",,,"%")</f>
        <v>%</v>
      </c>
      <c r="AV8" s="92" t="s">
        <v>13</v>
      </c>
      <c r="AW8" s="92" t="str">
        <f>_xll.ECONOMATICA($B$9:$B$570,"RETURN",AW7,$C$2,,,,"DECIMAL",,,"%")</f>
        <v>%</v>
      </c>
      <c r="AX8" s="92" t="s">
        <v>13</v>
      </c>
      <c r="AY8" s="92" t="str">
        <f>_xll.ECONOMATICA($B$9:$B$570,"RETURN",AY7,$C$2,,,,"DECIMAL",,,"%")</f>
        <v>%</v>
      </c>
      <c r="AZ8" s="92" t="s">
        <v>13</v>
      </c>
      <c r="BA8" s="92" t="str">
        <f>_xll.ECONOMATICA($B$9:$B$570,"RETURN",BA7,$C$2,,,,"DECIMAL",,,"%")</f>
        <v>%</v>
      </c>
      <c r="BB8" s="92" t="s">
        <v>13</v>
      </c>
      <c r="BC8" s="92" t="str">
        <f>_xll.ECONOMATICA($B$9:$B$570,"RETURN",BC7,$C$2,,,,"DECIMAL",,,"%")</f>
        <v>%</v>
      </c>
      <c r="BD8" s="92" t="s">
        <v>13</v>
      </c>
      <c r="BE8" s="92" t="str">
        <f>_xll.ECONOMATICA($B$9:$B$570,"RETURN",BE7,$C$2,,,,"DECIMAL",,,"%")</f>
        <v>%</v>
      </c>
      <c r="BF8" s="92" t="s">
        <v>13</v>
      </c>
      <c r="BG8" s="92" t="str">
        <f>_xll.ECONOMATICA($B$9:$B$570,"RETURN",BG7,$C$2,,,,"DECIMAL",,,"%")</f>
        <v>%</v>
      </c>
      <c r="BH8" s="92" t="s">
        <v>13</v>
      </c>
      <c r="BI8" s="92" t="str">
        <f>_xll.ECONOMATICA($B$9:$B$570,"RETURN",BI7,$C$2,,,,"DECIMAL",,,"%")</f>
        <v>%</v>
      </c>
      <c r="BJ8" s="92" t="s">
        <v>13</v>
      </c>
      <c r="BK8" s="94" t="str">
        <f>_xll.ECONOMATICA($B$9:$B$570,"volatility",$BK$7,$C$2,,,,,,,"Volatilidade")</f>
        <v>Volatilidade</v>
      </c>
      <c r="BM8" s="91" t="str">
        <f>_xll.ECONOMATICA($B$9:$B$570,"Return M",$BM$7,$C$2,,,,"decimal",,,"Maior Retorno Diário",{"jtc.per=0";"std.tec.dret.per=0"})</f>
        <v>Maior Retorno Diário</v>
      </c>
      <c r="BN8" s="92" t="str">
        <f>_xll.ECONOMATICA($B$9:$B$570,"Return M",$BM$7,$C$2,,,,"decimal",,,"Menor Retorno Diário",{"jtc.per=0";"std.tec.dret.per=0";"std.tec.dret.mom=true"})</f>
        <v>Menor Retorno Diário</v>
      </c>
      <c r="BO8" s="92" t="str">
        <f>_xll.ECONOMATICA($B$9:$B$570,"Return M",$BM$7,$C$2,,,,"decimal",,,"Maior Retorno Mensal",)</f>
        <v>Maior Retorno Mensal</v>
      </c>
      <c r="BP8" s="92" t="str">
        <f>_xll.ECONOMATICA($B$9:$B$570,"Return M",$BM$7,$C$2,,,,"decimal",,,"Menor Retorno Mensal",{"std.tec.dret.mom=true"})</f>
        <v>Menor Retorno Mensal</v>
      </c>
      <c r="BQ8" s="92" t="str">
        <f>_xll.ECONOMATICA($B$9:$B$570,"Number Return",$BM$7,$C$2,,,,,,,"Meses Positivos",{"std.tec.dret.noprc=true"})</f>
        <v>Meses Positivos</v>
      </c>
      <c r="BR8" s="92" t="str">
        <f>_xll.ECONOMATICA($B$9:$B$570,"Number Return",$BM$7,$C$2,,,,,,,"Meses Negativos",{"std.tec.dret.cmp=-1";"std.tec.dret.noprc=true"})</f>
        <v>Meses Negativos</v>
      </c>
      <c r="BS8" s="92" t="str">
        <f>_xll.ECONOMATICA($B$9:$B$570,"Number Premium",$BM$7,$C$2,,,,,,,"Meses Acima do CDI",{"std.tec.dret.noprc=true"})</f>
        <v>Meses Acima do CDI</v>
      </c>
      <c r="BT8" s="92" t="str">
        <f>_xll.ECONOMATICA($B$9:$B$570,"Number Premium",$BM$7,$C$2,,,,,,,"Meses Abaixo do CDI",{"std.tec.dret.cmp=-1";"std.tec.dret.noprc=true"})</f>
        <v>Meses Abaixo do CDI</v>
      </c>
      <c r="BU8" s="92" t="str">
        <f>_xll.ECONOMATICA($B$9:$B$570,"Sharpe",$BM$7,$C$2,,,,,,,"Sharpe")</f>
        <v>Sharpe</v>
      </c>
      <c r="BV8" s="92" t="str">
        <f>_xll.ECONOMATICA($B$9:$B$570,"Sharpe","36M",$C$2,,,,,,,"Sharpe 36M")</f>
        <v>Sharpe 36M</v>
      </c>
      <c r="BW8" s="92" t="str">
        <f>_xll.ECONOMATICA($B$9:$B$570,"VAR %",$BM$7,$C$2,,,,"decimal",,,"VaR 95%")</f>
        <v>VaR 95%</v>
      </c>
      <c r="BX8" s="92" t="str">
        <f>_xll.ECONOMATICA($B$9:$B$570,"VAR %","1M",$C$2,,,,"decimal",,,"VaR 95% (1M)")</f>
        <v>VaR 95% (1M)</v>
      </c>
      <c r="BY8" s="93" t="str">
        <f>_xll.ECONOMATICA($B$9:$B$570,"Alpha",$BM$7,$C$2,,,,,,,"Alfa vs CDI",{"std.tec.stt.rf=0:4924,1:2288,2:78983,3:3422,4:13817,5:0,6:0,7:0,8:0,9:0,10:9605,11:16733,12:0,13:0,14:0,15:0,16:0,17:0,18:0,19:0,20:0,21:0,22:0,23:0,24:0,25:0,26:0,27:0,28:0,29:0,30:0,31:0";"std.tec.stt.rf=,32:0,33:0,34:0,35:0,36:0,37:0,38:0,39:0,40:0,41:0,42:0,43:0,44:0,45:0,46:0,47:0,48:0,49:0,50:0,51:0,52:0,53:0,54:0,55:0,56:0,57:0,58:0,59:0,60:0,61:0,62:0,63:0,64:0,65:0,66:0,67:0,68:0,69:0,70:0,71:0,72:0,73:0,74:0,75:0,76:0,77:0,78:0,79:0"})</f>
        <v>Alfa vs CDI</v>
      </c>
      <c r="BZ8" s="92" t="str">
        <f>_xll.ECONOMATICA($B$9:$B$570,"MaxDrawdown",$BM$7,$C$2,,,,"decimal",,,"Máximo Drawdown")</f>
        <v>Máximo Drawdown</v>
      </c>
      <c r="CA8" s="92" t="str">
        <f>_xll.ECONOMATICA($B$9:$B$570,"MaxLoss",$BM$7,$C$2,,,,"decimal",,,"Perda Máxima")</f>
        <v>Perda Máxima</v>
      </c>
      <c r="CB8" s="92" t="str">
        <f>_xll.ECONOMATICA($B$9:$B$570,"MaxLoss",$BM$7,$C$2,,,,,,,"Data do Pico",{"std.tec.tpmdd=2"})</f>
        <v>Data do Pico</v>
      </c>
      <c r="CC8" s="92" t="str">
        <f>_xll.ECONOMATICA($B$9:$B$570,"MaxLoss",$BM$7,$C$2,,,,,,,"Data do Fundo",{"std.tec.tpmdd=3"})</f>
        <v>Data do Fundo</v>
      </c>
      <c r="CD8" s="92" t="str">
        <f>_xll.ECONOMATICA($B$9:$B$570,"MaxLoss",$BM$7,$C$2,,,,,,,"Dias de Recuperação",{"std.tec.tpmdd=1"})</f>
        <v>Dias de Recuperação</v>
      </c>
      <c r="CE8" s="94" t="str">
        <f>_xll.ECONOMATICA($B$9:$B$570,"MaxLoss",$BM$7,$C$2,,,,,,,"Data da Recuperação",{"std.tec.tpmdd=4"})</f>
        <v>Data da Recuperação</v>
      </c>
      <c r="CF8" s="2"/>
    </row>
    <row r="9" spans="1:84" ht="16.2" thickTop="1" x14ac:dyDescent="0.3">
      <c r="B9" s="95" t="s">
        <v>1089</v>
      </c>
      <c r="C9" s="117" t="s">
        <v>1253</v>
      </c>
      <c r="D9" s="118" t="s">
        <v>1130</v>
      </c>
      <c r="E9" s="118" t="s">
        <v>1147</v>
      </c>
      <c r="F9" s="119">
        <v>60855574000173</v>
      </c>
      <c r="G9" s="119" t="s">
        <v>1151</v>
      </c>
      <c r="H9" s="119" t="s">
        <v>388</v>
      </c>
      <c r="I9" s="120">
        <v>2</v>
      </c>
      <c r="J9" s="121" t="s">
        <v>107</v>
      </c>
      <c r="K9" s="121" t="s">
        <v>126</v>
      </c>
      <c r="L9" s="121" t="s">
        <v>118</v>
      </c>
      <c r="M9" s="121" t="s">
        <v>114</v>
      </c>
      <c r="N9" s="121" t="s">
        <v>109</v>
      </c>
      <c r="O9" s="122">
        <v>201830</v>
      </c>
      <c r="P9" s="123">
        <v>201830000</v>
      </c>
      <c r="Q9" s="123">
        <v>1000</v>
      </c>
      <c r="R9" s="124">
        <v>44150</v>
      </c>
      <c r="S9" s="124">
        <v>45976</v>
      </c>
      <c r="T9" s="125" t="s">
        <v>1225</v>
      </c>
      <c r="U9" s="125" t="s">
        <v>161</v>
      </c>
      <c r="V9" s="124" t="s">
        <v>105</v>
      </c>
      <c r="W9" s="124" t="s">
        <v>102</v>
      </c>
      <c r="X9" s="124" t="s">
        <v>1291</v>
      </c>
      <c r="Y9" s="124">
        <v>45792</v>
      </c>
      <c r="Z9" s="126">
        <f>IFERROR(INDEX(Base!G:G,MATCH('Debêntures IPCA-Spread'!Y9,Base!F:F,0)),"")</f>
        <v>5.73</v>
      </c>
      <c r="AA9" s="115"/>
      <c r="AB9" s="127">
        <v>45552</v>
      </c>
      <c r="AC9" s="128">
        <v>6.3032000000000004</v>
      </c>
      <c r="AD9" s="129">
        <f t="shared" ref="AD9:AD40" si="0">IF(AND(Z9&lt;&gt;"",AC9&lt;&gt;""),AC9-Z9,"")</f>
        <v>0.57319999999999993</v>
      </c>
      <c r="AE9" s="130">
        <v>0.06</v>
      </c>
      <c r="AF9" s="131">
        <v>6.5209000000000001</v>
      </c>
      <c r="AG9" s="131">
        <v>6.1231</v>
      </c>
      <c r="AH9" s="132">
        <v>1302.0233940000001</v>
      </c>
      <c r="AI9" s="132">
        <v>1302.0233940000001</v>
      </c>
      <c r="AJ9" s="133">
        <f t="shared" ref="AJ9:AJ40" si="1">IFERROR(AH9/AI9,"")</f>
        <v>1</v>
      </c>
      <c r="AK9" s="134">
        <v>45552</v>
      </c>
      <c r="AL9" s="135">
        <v>100.95</v>
      </c>
      <c r="AM9" s="136">
        <v>281</v>
      </c>
      <c r="AN9" s="115"/>
      <c r="AO9" s="137">
        <v>7.5931440733E-4</v>
      </c>
      <c r="AP9" s="138">
        <f>IF(AO9="","",AO9-AO$6)</f>
        <v>2.791695224E-4</v>
      </c>
      <c r="AQ9" s="138">
        <v>8.1377359364999992E-3</v>
      </c>
      <c r="AR9" s="138">
        <f>IF(AQ9="","",AQ9-AQ$6)</f>
        <v>8.3552426894599983E-3</v>
      </c>
      <c r="AS9" s="138">
        <v>9.2230038949999996E-2</v>
      </c>
      <c r="AT9" s="138">
        <f>IF(AS9="","",AS9-AS$6)</f>
        <v>7.7504203894999998E-2</v>
      </c>
      <c r="AU9" s="138">
        <v>1.1693847174E-2</v>
      </c>
      <c r="AV9" s="138">
        <f>IF(AU9="","",AU9-AU$6)</f>
        <v>2.476242977E-2</v>
      </c>
      <c r="AW9" s="138">
        <v>2.9810386170000001E-2</v>
      </c>
      <c r="AX9" s="138">
        <f>IF(AW9="","",AW9-AW$6)</f>
        <v>5.815318382000001E-3</v>
      </c>
      <c r="AY9" s="138">
        <v>5.5638196091E-2</v>
      </c>
      <c r="AZ9" s="138">
        <f>IF(AY9="","",AY9-AY$6)</f>
        <v>4.1395941301000001E-2</v>
      </c>
      <c r="BA9" s="138">
        <v>0.12428644766999999</v>
      </c>
      <c r="BB9" s="138">
        <f>IF(BA9="","",BA9-BA$6)</f>
        <v>7.0799483111999989E-2</v>
      </c>
      <c r="BC9" s="138">
        <v>0.26323654045</v>
      </c>
      <c r="BD9" s="138">
        <f>IF(BC9="","",BC9-BC$6)</f>
        <v>6.892797396E-2</v>
      </c>
      <c r="BE9" s="138"/>
      <c r="BF9" s="138" t="str">
        <f>IF(BE9="","",BE9-BE$6)</f>
        <v/>
      </c>
      <c r="BG9" s="138"/>
      <c r="BH9" s="138" t="str">
        <f>IF(BG9="","",BG9-BG$6)</f>
        <v/>
      </c>
      <c r="BI9" s="138"/>
      <c r="BJ9" s="138" t="str">
        <f>IF(BI9="","",BI9-BI$6)</f>
        <v/>
      </c>
      <c r="BK9" s="139">
        <v>2.136720425</v>
      </c>
      <c r="BL9" s="115"/>
      <c r="BM9" s="140">
        <v>4.7482785467000002E-3</v>
      </c>
      <c r="BN9" s="141">
        <v>-4.9011228739000001E-3</v>
      </c>
      <c r="BO9" s="141">
        <v>1.7287492607999999E-2</v>
      </c>
      <c r="BP9" s="141">
        <v>-4.5318894536000001E-4</v>
      </c>
      <c r="BQ9" s="142">
        <v>11</v>
      </c>
      <c r="BR9" s="142">
        <v>1</v>
      </c>
      <c r="BS9" s="142">
        <v>8</v>
      </c>
      <c r="BT9" s="142">
        <v>4</v>
      </c>
      <c r="BU9" s="143">
        <v>0.53716513572000002</v>
      </c>
      <c r="BV9" s="143">
        <v>-4.0538287753000002E-2</v>
      </c>
      <c r="BW9" s="141">
        <v>2.2078768083E-3</v>
      </c>
      <c r="BX9" s="141">
        <v>1.5230095439E-3</v>
      </c>
      <c r="BY9" s="144">
        <v>1.0791802573</v>
      </c>
      <c r="BZ9" s="141">
        <v>-6.9441028957999999E-3</v>
      </c>
      <c r="CA9" s="141">
        <v>-6.9441028957999999E-3</v>
      </c>
      <c r="CB9" s="124">
        <v>45209</v>
      </c>
      <c r="CC9" s="124">
        <v>45217</v>
      </c>
      <c r="CD9" s="145">
        <v>11</v>
      </c>
      <c r="CE9" s="146">
        <v>45225</v>
      </c>
      <c r="CF9" s="116"/>
    </row>
    <row r="10" spans="1:84" ht="15.6" x14ac:dyDescent="0.3">
      <c r="B10" s="110" t="s">
        <v>1388</v>
      </c>
      <c r="C10" s="147" t="s">
        <v>2034</v>
      </c>
      <c r="D10" s="148" t="s">
        <v>1130</v>
      </c>
      <c r="E10" s="148" t="s">
        <v>1147</v>
      </c>
      <c r="F10" s="149">
        <v>60855574000173</v>
      </c>
      <c r="G10" s="149" t="s">
        <v>1747</v>
      </c>
      <c r="H10" s="149" t="s">
        <v>388</v>
      </c>
      <c r="I10" s="150">
        <v>3</v>
      </c>
      <c r="J10" s="151" t="s">
        <v>108</v>
      </c>
      <c r="K10" s="151" t="s">
        <v>111</v>
      </c>
      <c r="L10" s="151" t="s">
        <v>125</v>
      </c>
      <c r="M10" s="151" t="s">
        <v>986</v>
      </c>
      <c r="N10" s="151" t="s">
        <v>109</v>
      </c>
      <c r="O10" s="152">
        <v>450000</v>
      </c>
      <c r="P10" s="153">
        <v>450000000</v>
      </c>
      <c r="Q10" s="153">
        <v>1000</v>
      </c>
      <c r="R10" s="154">
        <v>44757</v>
      </c>
      <c r="S10" s="154">
        <v>49140</v>
      </c>
      <c r="T10" s="155" t="s">
        <v>1968</v>
      </c>
      <c r="U10" s="155" t="s">
        <v>1648</v>
      </c>
      <c r="V10" s="154" t="s">
        <v>105</v>
      </c>
      <c r="W10" s="154" t="s">
        <v>102</v>
      </c>
      <c r="X10" s="154" t="s">
        <v>1532</v>
      </c>
      <c r="Y10" s="154">
        <v>47710</v>
      </c>
      <c r="Z10" s="156">
        <f>IFERROR(INDEX(Base!G:G,MATCH('Debêntures IPCA-Spread'!Y10,Base!F:F,0)),"")</f>
        <v>6.3273999999999999</v>
      </c>
      <c r="AA10" s="115"/>
      <c r="AB10" s="157">
        <v>45552</v>
      </c>
      <c r="AC10" s="158">
        <v>6.9202000000000004</v>
      </c>
      <c r="AD10" s="159">
        <f t="shared" si="0"/>
        <v>0.59280000000000044</v>
      </c>
      <c r="AE10" s="160">
        <v>7.0000000000000007E-2</v>
      </c>
      <c r="AF10" s="161">
        <v>7.1471</v>
      </c>
      <c r="AG10" s="161">
        <v>6.6525999999999996</v>
      </c>
      <c r="AH10" s="162">
        <v>1146.4447540000001</v>
      </c>
      <c r="AI10" s="162">
        <v>1149.26035</v>
      </c>
      <c r="AJ10" s="163">
        <f t="shared" si="1"/>
        <v>0.99755007992749434</v>
      </c>
      <c r="AK10" s="164">
        <v>45527</v>
      </c>
      <c r="AL10" s="165">
        <v>104.14</v>
      </c>
      <c r="AM10" s="166">
        <v>1162</v>
      </c>
      <c r="AN10" s="115"/>
      <c r="AO10" s="167">
        <v>1.5163793505000001E-3</v>
      </c>
      <c r="AP10" s="168">
        <f>IF(AO10="","",AO10-AO$6)</f>
        <v>1.0362344655700001E-3</v>
      </c>
      <c r="AQ10" s="168">
        <v>8.7088614782000005E-3</v>
      </c>
      <c r="AR10" s="168">
        <f>IF(AQ10="","",AQ10-AQ$6)</f>
        <v>8.9263682311599996E-3</v>
      </c>
      <c r="AS10" s="168">
        <v>9.4696228204999996E-2</v>
      </c>
      <c r="AT10" s="168">
        <f>IF(AS10="","",AS10-AS$6)</f>
        <v>7.9970393149999999E-2</v>
      </c>
      <c r="AU10" s="168">
        <v>5.4080792451999997E-3</v>
      </c>
      <c r="AV10" s="168">
        <f>IF(AU10="","",AU10-AU$6)</f>
        <v>1.84766618412E-2</v>
      </c>
      <c r="AW10" s="168">
        <v>5.1502902853999999E-2</v>
      </c>
      <c r="AX10" s="168">
        <f>IF(AW10="","",AW10-AW$6)</f>
        <v>2.7507835065999998E-2</v>
      </c>
      <c r="AY10" s="168">
        <v>4.6315230726000002E-2</v>
      </c>
      <c r="AZ10" s="168">
        <f>IF(AY10="","",AY10-AY$6)</f>
        <v>3.2072975936000003E-2</v>
      </c>
      <c r="BA10" s="168">
        <v>0.12378159372</v>
      </c>
      <c r="BB10" s="168">
        <f>IF(BA10="","",BA10-BA$6)</f>
        <v>7.0294629161999994E-2</v>
      </c>
      <c r="BC10" s="168"/>
      <c r="BD10" s="168" t="str">
        <f>IF(BC10="","",BC10-BC$6)</f>
        <v/>
      </c>
      <c r="BE10" s="168"/>
      <c r="BF10" s="168" t="str">
        <f>IF(BE10="","",BE10-BE$6)</f>
        <v/>
      </c>
      <c r="BG10" s="168"/>
      <c r="BH10" s="168" t="str">
        <f>IF(BG10="","",BG10-BG$6)</f>
        <v/>
      </c>
      <c r="BI10" s="168"/>
      <c r="BJ10" s="168" t="str">
        <f>IF(BI10="","",BI10-BI$6)</f>
        <v/>
      </c>
      <c r="BK10" s="169">
        <v>5.324517298</v>
      </c>
      <c r="BL10" s="115"/>
      <c r="BM10" s="170">
        <v>2.1327649616000002E-2</v>
      </c>
      <c r="BN10" s="163">
        <v>-1.3414447301999999E-2</v>
      </c>
      <c r="BO10" s="163">
        <v>3.1367118014000002E-2</v>
      </c>
      <c r="BP10" s="163">
        <v>-1.5567663345E-2</v>
      </c>
      <c r="BQ10" s="171">
        <v>10</v>
      </c>
      <c r="BR10" s="171">
        <v>2</v>
      </c>
      <c r="BS10" s="171">
        <v>7</v>
      </c>
      <c r="BT10" s="171">
        <v>5</v>
      </c>
      <c r="BU10" s="172">
        <v>0.22942757764999999</v>
      </c>
      <c r="BV10" s="172"/>
      <c r="BW10" s="163">
        <v>5.5088508833999999E-3</v>
      </c>
      <c r="BX10" s="163">
        <v>4.2140849669000001E-3</v>
      </c>
      <c r="BY10" s="161">
        <v>0.75134723304999995</v>
      </c>
      <c r="BZ10" s="163">
        <v>-2.1973143279999999E-2</v>
      </c>
      <c r="CA10" s="163">
        <v>-2.1973143279999999E-2</v>
      </c>
      <c r="CB10" s="154">
        <v>45189</v>
      </c>
      <c r="CC10" s="154">
        <v>45202</v>
      </c>
      <c r="CD10" s="173">
        <v>45</v>
      </c>
      <c r="CE10" s="174">
        <v>45257</v>
      </c>
      <c r="CF10" s="116"/>
    </row>
    <row r="11" spans="1:84" ht="15.6" x14ac:dyDescent="0.3">
      <c r="B11" s="98" t="s">
        <v>488</v>
      </c>
      <c r="C11" s="175" t="s">
        <v>653</v>
      </c>
      <c r="D11" s="176" t="s">
        <v>608</v>
      </c>
      <c r="E11" s="176" t="s">
        <v>231</v>
      </c>
      <c r="F11" s="177">
        <v>8827501000158</v>
      </c>
      <c r="G11" s="177" t="s">
        <v>808</v>
      </c>
      <c r="H11" s="177" t="s">
        <v>388</v>
      </c>
      <c r="I11" s="178">
        <v>3</v>
      </c>
      <c r="J11" s="179">
        <v>2</v>
      </c>
      <c r="K11" s="179" t="s">
        <v>126</v>
      </c>
      <c r="L11" s="179" t="s">
        <v>118</v>
      </c>
      <c r="M11" s="179" t="s">
        <v>114</v>
      </c>
      <c r="N11" s="179" t="s">
        <v>117</v>
      </c>
      <c r="O11" s="180">
        <v>6650</v>
      </c>
      <c r="P11" s="181">
        <v>66500000</v>
      </c>
      <c r="Q11" s="181">
        <v>10000</v>
      </c>
      <c r="R11" s="182">
        <v>43296</v>
      </c>
      <c r="S11" s="182">
        <v>45853</v>
      </c>
      <c r="T11" s="183" t="s">
        <v>744</v>
      </c>
      <c r="U11" s="183" t="s">
        <v>898</v>
      </c>
      <c r="V11" s="182" t="s">
        <v>105</v>
      </c>
      <c r="W11" s="182" t="s">
        <v>102</v>
      </c>
      <c r="X11" s="182" t="s">
        <v>955</v>
      </c>
      <c r="Y11" s="182">
        <v>45792</v>
      </c>
      <c r="Z11" s="184">
        <f>IFERROR(INDEX(Base!G:G,MATCH('Debêntures IPCA-Spread'!Y11,Base!F:F,0)),"")</f>
        <v>5.73</v>
      </c>
      <c r="AA11" s="115"/>
      <c r="AB11" s="185">
        <v>45552</v>
      </c>
      <c r="AC11" s="186">
        <v>9.6096000000000004</v>
      </c>
      <c r="AD11" s="187">
        <f t="shared" si="0"/>
        <v>3.8795999999999999</v>
      </c>
      <c r="AE11" s="188">
        <v>0.12</v>
      </c>
      <c r="AF11" s="189">
        <v>9.7949999999999999</v>
      </c>
      <c r="AG11" s="189"/>
      <c r="AH11" s="190">
        <v>6854.0783780000002</v>
      </c>
      <c r="AI11" s="190">
        <v>6854.0783780000002</v>
      </c>
      <c r="AJ11" s="191">
        <f t="shared" si="1"/>
        <v>1</v>
      </c>
      <c r="AK11" s="192">
        <v>45552</v>
      </c>
      <c r="AL11" s="193">
        <v>98.12</v>
      </c>
      <c r="AM11" s="194">
        <v>205</v>
      </c>
      <c r="AN11" s="115"/>
      <c r="AO11" s="195">
        <v>6.9066473952000005E-4</v>
      </c>
      <c r="AP11" s="196">
        <f>IF(AO11="","",AO11-AO$6)</f>
        <v>2.1051985459000005E-4</v>
      </c>
      <c r="AQ11" s="196">
        <v>7.8299851175000004E-3</v>
      </c>
      <c r="AR11" s="196">
        <f>IF(AQ11="","",AQ11-AQ$6)</f>
        <v>8.0474918704599996E-3</v>
      </c>
      <c r="AS11" s="196">
        <v>9.8389402242999996E-2</v>
      </c>
      <c r="AT11" s="196">
        <f>IF(AS11="","",AS11-AS$6)</f>
        <v>8.3663567187999999E-2</v>
      </c>
      <c r="AU11" s="196">
        <v>8.5037379648999992E-3</v>
      </c>
      <c r="AV11" s="196">
        <f>IF(AU11="","",AU11-AU$6)</f>
        <v>2.1572320560899999E-2</v>
      </c>
      <c r="AW11" s="196">
        <v>3.5569616856999997E-2</v>
      </c>
      <c r="AX11" s="196">
        <f>IF(AW11="","",AW11-AW$6)</f>
        <v>1.1574549068999997E-2</v>
      </c>
      <c r="AY11" s="196">
        <v>6.9158759175000001E-2</v>
      </c>
      <c r="AZ11" s="196">
        <f>IF(AY11="","",AY11-AY$6)</f>
        <v>5.4916504385000002E-2</v>
      </c>
      <c r="BA11" s="196">
        <v>0.13882029666000001</v>
      </c>
      <c r="BB11" s="196">
        <f>IF(BA11="","",BA11-BA$6)</f>
        <v>8.5333332102000004E-2</v>
      </c>
      <c r="BC11" s="196">
        <v>0.25783859522000002</v>
      </c>
      <c r="BD11" s="196">
        <f>IF(BC11="","",BC11-BC$6)</f>
        <v>6.3530028730000021E-2</v>
      </c>
      <c r="BE11" s="196">
        <v>0.39814113301999998</v>
      </c>
      <c r="BF11" s="196">
        <f>IF(BE11="","",BE11-BE$6)</f>
        <v>0.13642179348</v>
      </c>
      <c r="BG11" s="196">
        <v>0.53363028370999999</v>
      </c>
      <c r="BH11" s="196">
        <f>IF(BG11="","",BG11-BG$6)</f>
        <v>0.22471363489999996</v>
      </c>
      <c r="BI11" s="196"/>
      <c r="BJ11" s="196" t="str">
        <f>IF(BI11="","",BI11-BI$6)</f>
        <v/>
      </c>
      <c r="BK11" s="197">
        <v>1.2456551167000001</v>
      </c>
      <c r="BL11" s="115"/>
      <c r="BM11" s="198">
        <v>5.3821587388999999E-3</v>
      </c>
      <c r="BN11" s="191">
        <v>-1.9192007003000001E-3</v>
      </c>
      <c r="BO11" s="191">
        <v>1.5973510379000001E-2</v>
      </c>
      <c r="BP11" s="191">
        <v>5.7901940926999998E-3</v>
      </c>
      <c r="BQ11" s="199">
        <v>12</v>
      </c>
      <c r="BR11" s="199">
        <v>0</v>
      </c>
      <c r="BS11" s="199">
        <v>9</v>
      </c>
      <c r="BT11" s="199">
        <v>3</v>
      </c>
      <c r="BU11" s="200">
        <v>1.9542076945</v>
      </c>
      <c r="BV11" s="200">
        <v>3.9489551582000001E-2</v>
      </c>
      <c r="BW11" s="191">
        <v>1.2881956397E-3</v>
      </c>
      <c r="BX11" s="191">
        <v>1.5975773788999999E-3</v>
      </c>
      <c r="BY11" s="189">
        <v>2.5568521345000002</v>
      </c>
      <c r="BZ11" s="191">
        <v>-3.3097469255000001E-3</v>
      </c>
      <c r="CA11" s="191">
        <v>-3.3097469255000001E-3</v>
      </c>
      <c r="CB11" s="182">
        <v>45517</v>
      </c>
      <c r="CC11" s="182">
        <v>45524</v>
      </c>
      <c r="CD11" s="201">
        <v>14</v>
      </c>
      <c r="CE11" s="202">
        <v>45537</v>
      </c>
      <c r="CF11" s="116"/>
    </row>
    <row r="12" spans="1:84" ht="15.6" x14ac:dyDescent="0.3">
      <c r="B12" s="110" t="s">
        <v>396</v>
      </c>
      <c r="C12" s="147" t="s">
        <v>417</v>
      </c>
      <c r="D12" s="148" t="s">
        <v>609</v>
      </c>
      <c r="E12" s="148" t="s">
        <v>226</v>
      </c>
      <c r="F12" s="149">
        <v>37663076000107</v>
      </c>
      <c r="G12" s="149" t="s">
        <v>432</v>
      </c>
      <c r="H12" s="149" t="s">
        <v>388</v>
      </c>
      <c r="I12" s="150">
        <v>8</v>
      </c>
      <c r="J12" s="151" t="s">
        <v>107</v>
      </c>
      <c r="K12" s="151" t="s">
        <v>111</v>
      </c>
      <c r="L12" s="151" t="s">
        <v>118</v>
      </c>
      <c r="M12" s="151" t="s">
        <v>106</v>
      </c>
      <c r="N12" s="151" t="s">
        <v>109</v>
      </c>
      <c r="O12" s="152">
        <v>200000</v>
      </c>
      <c r="P12" s="153">
        <v>200000000</v>
      </c>
      <c r="Q12" s="153">
        <v>1000</v>
      </c>
      <c r="R12" s="154">
        <v>43235</v>
      </c>
      <c r="S12" s="154">
        <v>47618</v>
      </c>
      <c r="T12" s="155" t="s">
        <v>1087</v>
      </c>
      <c r="U12" s="155" t="s">
        <v>1193</v>
      </c>
      <c r="V12" s="154" t="s">
        <v>194</v>
      </c>
      <c r="W12" s="154" t="s">
        <v>102</v>
      </c>
      <c r="X12" s="154" t="s">
        <v>441</v>
      </c>
      <c r="Y12" s="154">
        <v>46522</v>
      </c>
      <c r="Z12" s="156">
        <f>IFERROR(INDEX(Base!G:G,MATCH('Debêntures IPCA-Spread'!Y12,Base!F:F,0)),"")</f>
        <v>6.391</v>
      </c>
      <c r="AA12" s="115"/>
      <c r="AB12" s="157">
        <v>45552</v>
      </c>
      <c r="AC12" s="158">
        <v>6.5837000000000003</v>
      </c>
      <c r="AD12" s="159">
        <f t="shared" si="0"/>
        <v>0.19270000000000032</v>
      </c>
      <c r="AE12" s="160">
        <v>0.04</v>
      </c>
      <c r="AF12" s="161">
        <v>6.7740999999999998</v>
      </c>
      <c r="AG12" s="161">
        <v>6.4595000000000002</v>
      </c>
      <c r="AH12" s="162">
        <v>969.50289999999995</v>
      </c>
      <c r="AI12" s="162">
        <v>969.50289999999995</v>
      </c>
      <c r="AJ12" s="163">
        <f t="shared" si="1"/>
        <v>1</v>
      </c>
      <c r="AK12" s="164">
        <v>45552</v>
      </c>
      <c r="AL12" s="165">
        <v>98.47</v>
      </c>
      <c r="AM12" s="166">
        <v>735</v>
      </c>
      <c r="AN12" s="115"/>
      <c r="AO12" s="167">
        <v>1.5796822044E-3</v>
      </c>
      <c r="AP12" s="168">
        <f>IF(AO12="","",AO12-AO$6)</f>
        <v>1.09953731947E-3</v>
      </c>
      <c r="AQ12" s="168">
        <v>7.7447451877000004E-3</v>
      </c>
      <c r="AR12" s="168">
        <f>IF(AQ12="","",AQ12-AQ$6)</f>
        <v>7.9622519406599996E-3</v>
      </c>
      <c r="AS12" s="168">
        <v>6.4830601042999994E-2</v>
      </c>
      <c r="AT12" s="168">
        <f>IF(AS12="","",AS12-AS$6)</f>
        <v>5.0104765987999997E-2</v>
      </c>
      <c r="AU12" s="168">
        <v>6.2940029656999999E-3</v>
      </c>
      <c r="AV12" s="168">
        <f>IF(AU12="","",AU12-AU$6)</f>
        <v>1.9362585561700001E-2</v>
      </c>
      <c r="AW12" s="168">
        <v>3.5778469753000003E-2</v>
      </c>
      <c r="AX12" s="168">
        <f>IF(AW12="","",AW12-AW$6)</f>
        <v>1.1783401965000002E-2</v>
      </c>
      <c r="AY12" s="168">
        <v>3.6376592171999997E-2</v>
      </c>
      <c r="AZ12" s="168">
        <f>IF(AY12="","",AY12-AY$6)</f>
        <v>2.2134337381999998E-2</v>
      </c>
      <c r="BA12" s="168">
        <v>9.4605792768999997E-2</v>
      </c>
      <c r="BB12" s="168">
        <f>IF(BA12="","",BA12-BA$6)</f>
        <v>4.1118828210999998E-2</v>
      </c>
      <c r="BC12" s="168">
        <v>0.23011066739</v>
      </c>
      <c r="BD12" s="168">
        <f>IF(BC12="","",BC12-BC$6)</f>
        <v>3.5802100899999995E-2</v>
      </c>
      <c r="BE12" s="168">
        <v>0.34494348758999999</v>
      </c>
      <c r="BF12" s="168">
        <f>IF(BE12="","",BE12-BE$6)</f>
        <v>8.3224148050000002E-2</v>
      </c>
      <c r="BG12" s="168">
        <v>0.47573978671</v>
      </c>
      <c r="BH12" s="168">
        <f>IF(BG12="","",BG12-BG$6)</f>
        <v>0.16682313789999997</v>
      </c>
      <c r="BI12" s="168">
        <v>0.52433298665000005</v>
      </c>
      <c r="BJ12" s="168">
        <f>IF(BI12="","",BI12-BI$6)</f>
        <v>0.15138997657000003</v>
      </c>
      <c r="BK12" s="169">
        <v>3.3177107845</v>
      </c>
      <c r="BL12" s="115"/>
      <c r="BM12" s="170">
        <v>6.0315353566999996E-3</v>
      </c>
      <c r="BN12" s="163">
        <v>-7.0311370682000001E-3</v>
      </c>
      <c r="BO12" s="163">
        <v>2.4713572804000002E-2</v>
      </c>
      <c r="BP12" s="163">
        <v>-1.0183723667999999E-2</v>
      </c>
      <c r="BQ12" s="171">
        <v>9</v>
      </c>
      <c r="BR12" s="171">
        <v>3</v>
      </c>
      <c r="BS12" s="171">
        <v>8</v>
      </c>
      <c r="BT12" s="171">
        <v>4</v>
      </c>
      <c r="BU12" s="172">
        <v>-0.44913134941999999</v>
      </c>
      <c r="BV12" s="172">
        <v>-0.29209201793</v>
      </c>
      <c r="BW12" s="163">
        <v>3.4277171908000002E-3</v>
      </c>
      <c r="BX12" s="163">
        <v>2.9088745324999999E-3</v>
      </c>
      <c r="BY12" s="161">
        <v>-2.1249404839000001</v>
      </c>
      <c r="BZ12" s="163">
        <v>-1.8703365037E-2</v>
      </c>
      <c r="CA12" s="163">
        <v>-1.8703365037E-2</v>
      </c>
      <c r="CB12" s="154">
        <v>45187</v>
      </c>
      <c r="CC12" s="154">
        <v>45229</v>
      </c>
      <c r="CD12" s="173">
        <v>41</v>
      </c>
      <c r="CE12" s="174">
        <v>45247</v>
      </c>
      <c r="CF12" s="116"/>
    </row>
    <row r="13" spans="1:84" ht="15.6" x14ac:dyDescent="0.3">
      <c r="B13" s="98" t="s">
        <v>489</v>
      </c>
      <c r="C13" s="175" t="s">
        <v>654</v>
      </c>
      <c r="D13" s="176" t="s">
        <v>609</v>
      </c>
      <c r="E13" s="176" t="s">
        <v>226</v>
      </c>
      <c r="F13" s="177">
        <v>37663076000107</v>
      </c>
      <c r="G13" s="177" t="s">
        <v>809</v>
      </c>
      <c r="H13" s="177" t="s">
        <v>388</v>
      </c>
      <c r="I13" s="178">
        <v>9</v>
      </c>
      <c r="J13" s="179">
        <v>2</v>
      </c>
      <c r="K13" s="179" t="s">
        <v>111</v>
      </c>
      <c r="L13" s="179" t="s">
        <v>112</v>
      </c>
      <c r="M13" s="179" t="s">
        <v>106</v>
      </c>
      <c r="N13" s="179" t="s">
        <v>109</v>
      </c>
      <c r="O13" s="180">
        <v>641090</v>
      </c>
      <c r="P13" s="181">
        <v>641090000</v>
      </c>
      <c r="Q13" s="181">
        <v>1000</v>
      </c>
      <c r="R13" s="182">
        <v>43539</v>
      </c>
      <c r="S13" s="182">
        <v>47192</v>
      </c>
      <c r="T13" s="183" t="s">
        <v>745</v>
      </c>
      <c r="U13" s="183" t="s">
        <v>899</v>
      </c>
      <c r="V13" s="182" t="s">
        <v>105</v>
      </c>
      <c r="W13" s="182" t="s">
        <v>102</v>
      </c>
      <c r="X13" s="182" t="s">
        <v>956</v>
      </c>
      <c r="Y13" s="182">
        <v>46980</v>
      </c>
      <c r="Z13" s="184">
        <f>IFERROR(INDEX(Base!G:G,MATCH('Debêntures IPCA-Spread'!Y13,Base!F:F,0)),"")</f>
        <v>6.4702000000000002</v>
      </c>
      <c r="AA13" s="115"/>
      <c r="AB13" s="185">
        <v>45552</v>
      </c>
      <c r="AC13" s="186">
        <v>6.5236999999999998</v>
      </c>
      <c r="AD13" s="187">
        <f t="shared" si="0"/>
        <v>5.3499999999999659E-2</v>
      </c>
      <c r="AE13" s="188">
        <v>0.08</v>
      </c>
      <c r="AF13" s="189">
        <v>6.6391</v>
      </c>
      <c r="AG13" s="189">
        <v>6.4253</v>
      </c>
      <c r="AH13" s="190">
        <v>1273.183229</v>
      </c>
      <c r="AI13" s="190">
        <v>1274.283649</v>
      </c>
      <c r="AJ13" s="191">
        <f t="shared" si="1"/>
        <v>0.99913644030443027</v>
      </c>
      <c r="AK13" s="192">
        <v>45548</v>
      </c>
      <c r="AL13" s="193">
        <v>94.63</v>
      </c>
      <c r="AM13" s="194">
        <v>809</v>
      </c>
      <c r="AN13" s="115"/>
      <c r="AO13" s="195">
        <v>1.4224216192E-3</v>
      </c>
      <c r="AP13" s="196">
        <f>IF(AO13="","",AO13-AO$6)</f>
        <v>9.4227673426999997E-4</v>
      </c>
      <c r="AQ13" s="196">
        <v>5.0327496210000001E-3</v>
      </c>
      <c r="AR13" s="196">
        <f>IF(AQ13="","",AQ13-AQ$6)</f>
        <v>5.2502563739600001E-3</v>
      </c>
      <c r="AS13" s="196">
        <v>7.0289266924999996E-2</v>
      </c>
      <c r="AT13" s="196">
        <f>IF(AS13="","",AS13-AS$6)</f>
        <v>5.5563431869999999E-2</v>
      </c>
      <c r="AU13" s="196">
        <v>3.8286477175000001E-3</v>
      </c>
      <c r="AV13" s="196">
        <f>IF(AU13="","",AU13-AU$6)</f>
        <v>1.6897230313499999E-2</v>
      </c>
      <c r="AW13" s="196">
        <v>3.7936835907999997E-2</v>
      </c>
      <c r="AX13" s="196">
        <f>IF(AW13="","",AW13-AW$6)</f>
        <v>1.3941768119999996E-2</v>
      </c>
      <c r="AY13" s="196">
        <v>3.7749227922E-2</v>
      </c>
      <c r="AZ13" s="196">
        <f>IF(AY13="","",AY13-AY$6)</f>
        <v>2.3506973132000002E-2</v>
      </c>
      <c r="BA13" s="196">
        <v>0.10747724063</v>
      </c>
      <c r="BB13" s="196">
        <f>IF(BA13="","",BA13-BA$6)</f>
        <v>5.3990276072E-2</v>
      </c>
      <c r="BC13" s="196">
        <v>0.22847614398999999</v>
      </c>
      <c r="BD13" s="196">
        <f>IF(BC13="","",BC13-BC$6)</f>
        <v>3.416757749999999E-2</v>
      </c>
      <c r="BE13" s="196">
        <v>0.32777006820999999</v>
      </c>
      <c r="BF13" s="196">
        <f>IF(BE13="","",BE13-BE$6)</f>
        <v>6.6050728670000003E-2</v>
      </c>
      <c r="BG13" s="196">
        <v>0.43188306077999999</v>
      </c>
      <c r="BH13" s="196">
        <f>IF(BG13="","",BG13-BG$6)</f>
        <v>0.12296641196999997</v>
      </c>
      <c r="BI13" s="196">
        <v>0.50020183654999995</v>
      </c>
      <c r="BJ13" s="196">
        <f>IF(BI13="","",BI13-BI$6)</f>
        <v>0.12725882646999992</v>
      </c>
      <c r="BK13" s="197">
        <v>3.5057689229000002</v>
      </c>
      <c r="BL13" s="115"/>
      <c r="BM13" s="198">
        <v>6.8269733347000004E-3</v>
      </c>
      <c r="BN13" s="191">
        <v>-6.7675147666000001E-3</v>
      </c>
      <c r="BO13" s="191">
        <v>2.4860252467999999E-2</v>
      </c>
      <c r="BP13" s="191">
        <v>-1.3446629845E-2</v>
      </c>
      <c r="BQ13" s="199">
        <v>9</v>
      </c>
      <c r="BR13" s="199">
        <v>3</v>
      </c>
      <c r="BS13" s="199">
        <v>7</v>
      </c>
      <c r="BT13" s="199">
        <v>5</v>
      </c>
      <c r="BU13" s="200">
        <v>-9.2814430419999996E-2</v>
      </c>
      <c r="BV13" s="200">
        <v>-0.34458972551</v>
      </c>
      <c r="BW13" s="191">
        <v>3.6234049429E-3</v>
      </c>
      <c r="BX13" s="191">
        <v>2.1427355733000001E-3</v>
      </c>
      <c r="BY13" s="189">
        <v>-0.81197678742000001</v>
      </c>
      <c r="BZ13" s="191">
        <v>-1.6266754719999998E-2</v>
      </c>
      <c r="CA13" s="191">
        <v>-1.6266754719999998E-2</v>
      </c>
      <c r="CB13" s="182">
        <v>45187</v>
      </c>
      <c r="CC13" s="182">
        <v>45202</v>
      </c>
      <c r="CD13" s="201">
        <v>40</v>
      </c>
      <c r="CE13" s="202">
        <v>45246</v>
      </c>
      <c r="CF13" s="116"/>
    </row>
    <row r="14" spans="1:84" ht="15.6" x14ac:dyDescent="0.3">
      <c r="B14" s="110" t="s">
        <v>490</v>
      </c>
      <c r="C14" s="147" t="s">
        <v>655</v>
      </c>
      <c r="D14" s="148" t="s">
        <v>609</v>
      </c>
      <c r="E14" s="148" t="s">
        <v>226</v>
      </c>
      <c r="F14" s="149">
        <v>37663076000107</v>
      </c>
      <c r="G14" s="149" t="s">
        <v>810</v>
      </c>
      <c r="H14" s="149" t="s">
        <v>388</v>
      </c>
      <c r="I14" s="150">
        <v>9</v>
      </c>
      <c r="J14" s="151">
        <v>3</v>
      </c>
      <c r="K14" s="151" t="s">
        <v>111</v>
      </c>
      <c r="L14" s="151" t="s">
        <v>112</v>
      </c>
      <c r="M14" s="151" t="s">
        <v>106</v>
      </c>
      <c r="N14" s="151" t="s">
        <v>109</v>
      </c>
      <c r="O14" s="152">
        <v>178910</v>
      </c>
      <c r="P14" s="153">
        <v>178910000</v>
      </c>
      <c r="Q14" s="153">
        <v>1000</v>
      </c>
      <c r="R14" s="154">
        <v>43539</v>
      </c>
      <c r="S14" s="154">
        <v>47192</v>
      </c>
      <c r="T14" s="155" t="s">
        <v>746</v>
      </c>
      <c r="U14" s="155" t="s">
        <v>900</v>
      </c>
      <c r="V14" s="154" t="s">
        <v>105</v>
      </c>
      <c r="W14" s="154" t="s">
        <v>102</v>
      </c>
      <c r="X14" s="154" t="s">
        <v>956</v>
      </c>
      <c r="Y14" s="154">
        <v>46980</v>
      </c>
      <c r="Z14" s="156">
        <f>IFERROR(INDEX(Base!G:G,MATCH('Debêntures IPCA-Spread'!Y14,Base!F:F,0)),"")</f>
        <v>6.4702000000000002</v>
      </c>
      <c r="AA14" s="115"/>
      <c r="AB14" s="157">
        <v>45552</v>
      </c>
      <c r="AC14" s="158">
        <v>6.4882</v>
      </c>
      <c r="AD14" s="159">
        <f t="shared" si="0"/>
        <v>1.7999999999999794E-2</v>
      </c>
      <c r="AE14" s="160">
        <v>0.17</v>
      </c>
      <c r="AF14" s="161">
        <v>6.6318999999999999</v>
      </c>
      <c r="AG14" s="161">
        <v>6.4451999999999998</v>
      </c>
      <c r="AH14" s="162">
        <v>1305.44911</v>
      </c>
      <c r="AI14" s="162">
        <v>1305.44911</v>
      </c>
      <c r="AJ14" s="163">
        <f t="shared" si="1"/>
        <v>1</v>
      </c>
      <c r="AK14" s="164">
        <v>45552</v>
      </c>
      <c r="AL14" s="165">
        <v>94.79</v>
      </c>
      <c r="AM14" s="166">
        <v>800</v>
      </c>
      <c r="AN14" s="115"/>
      <c r="AO14" s="167">
        <v>2.2457829327000001E-3</v>
      </c>
      <c r="AP14" s="168">
        <f>IF(AO14="","",AO14-AO$6)</f>
        <v>1.7656380477700001E-3</v>
      </c>
      <c r="AQ14" s="168">
        <v>8.5692371649000003E-3</v>
      </c>
      <c r="AR14" s="168">
        <f>IF(AQ14="","",AQ14-AQ$6)</f>
        <v>8.7867439178599994E-3</v>
      </c>
      <c r="AS14" s="168">
        <v>7.2995240683999998E-2</v>
      </c>
      <c r="AT14" s="168">
        <f>IF(AS14="","",AS14-AS$6)</f>
        <v>5.8269405629000001E-2</v>
      </c>
      <c r="AU14" s="168">
        <v>5.6286176367999997E-3</v>
      </c>
      <c r="AV14" s="168">
        <f>IF(AU14="","",AU14-AU$6)</f>
        <v>1.8697200232799999E-2</v>
      </c>
      <c r="AW14" s="168">
        <v>4.2902178449000003E-2</v>
      </c>
      <c r="AX14" s="168">
        <f>IF(AW14="","",AW14-AW$6)</f>
        <v>1.8907110661000003E-2</v>
      </c>
      <c r="AY14" s="168">
        <v>4.4502932219999999E-2</v>
      </c>
      <c r="AZ14" s="168">
        <f>IF(AY14="","",AY14-AY$6)</f>
        <v>3.0260677430000001E-2</v>
      </c>
      <c r="BA14" s="168">
        <v>0.10651019402</v>
      </c>
      <c r="BB14" s="168">
        <f>IF(BA14="","",BA14-BA$6)</f>
        <v>5.3023229462000006E-2</v>
      </c>
      <c r="BC14" s="168">
        <v>0.22906055920000001</v>
      </c>
      <c r="BD14" s="168">
        <f>IF(BC14="","",BC14-BC$6)</f>
        <v>3.4751992710000013E-2</v>
      </c>
      <c r="BE14" s="168">
        <v>0.33237006031999999</v>
      </c>
      <c r="BF14" s="168">
        <f>IF(BE14="","",BE14-BE$6)</f>
        <v>7.0650720780000009E-2</v>
      </c>
      <c r="BG14" s="168">
        <v>0.43706561180999998</v>
      </c>
      <c r="BH14" s="168">
        <f>IF(BG14="","",BG14-BG$6)</f>
        <v>0.12814896299999995</v>
      </c>
      <c r="BI14" s="168">
        <v>0.50597128629999999</v>
      </c>
      <c r="BJ14" s="168">
        <f>IF(BI14="","",BI14-BI$6)</f>
        <v>0.13302827621999996</v>
      </c>
      <c r="BK14" s="169">
        <v>3.7401409954</v>
      </c>
      <c r="BL14" s="115"/>
      <c r="BM14" s="170">
        <v>6.8163592041000001E-3</v>
      </c>
      <c r="BN14" s="163">
        <v>-7.7379418153000002E-3</v>
      </c>
      <c r="BO14" s="163">
        <v>2.519681923E-2</v>
      </c>
      <c r="BP14" s="163">
        <v>-1.4421136120999999E-2</v>
      </c>
      <c r="BQ14" s="171">
        <v>9</v>
      </c>
      <c r="BR14" s="171">
        <v>3</v>
      </c>
      <c r="BS14" s="171">
        <v>7</v>
      </c>
      <c r="BT14" s="171">
        <v>5</v>
      </c>
      <c r="BU14" s="172">
        <v>-0.10799801085999999</v>
      </c>
      <c r="BV14" s="172">
        <v>-0.31406889888</v>
      </c>
      <c r="BW14" s="163">
        <v>3.8655455498E-3</v>
      </c>
      <c r="BX14" s="163">
        <v>2.682711849E-3</v>
      </c>
      <c r="BY14" s="161">
        <v>-0.93953483727999998</v>
      </c>
      <c r="BZ14" s="163">
        <v>-1.6644183662999999E-2</v>
      </c>
      <c r="CA14" s="163">
        <v>-1.6644183662999999E-2</v>
      </c>
      <c r="CB14" s="154">
        <v>45379</v>
      </c>
      <c r="CC14" s="154">
        <v>45399</v>
      </c>
      <c r="CD14" s="173">
        <v>43</v>
      </c>
      <c r="CE14" s="174">
        <v>45443</v>
      </c>
      <c r="CF14" s="116"/>
    </row>
    <row r="15" spans="1:84" ht="15.6" x14ac:dyDescent="0.3">
      <c r="B15" s="98" t="s">
        <v>1389</v>
      </c>
      <c r="C15" s="175" t="s">
        <v>2035</v>
      </c>
      <c r="D15" s="176" t="s">
        <v>1889</v>
      </c>
      <c r="E15" s="176" t="s">
        <v>104</v>
      </c>
      <c r="F15" s="177">
        <v>45024644000158</v>
      </c>
      <c r="G15" s="177" t="s">
        <v>1748</v>
      </c>
      <c r="H15" s="177" t="s">
        <v>388</v>
      </c>
      <c r="I15" s="178">
        <v>1</v>
      </c>
      <c r="J15" s="179" t="s">
        <v>107</v>
      </c>
      <c r="K15" s="179" t="s">
        <v>111</v>
      </c>
      <c r="L15" s="179" t="s">
        <v>1252</v>
      </c>
      <c r="M15" s="179" t="s">
        <v>986</v>
      </c>
      <c r="N15" s="179" t="s">
        <v>109</v>
      </c>
      <c r="O15" s="180">
        <v>950000</v>
      </c>
      <c r="P15" s="181">
        <v>950000000</v>
      </c>
      <c r="Q15" s="181">
        <v>1000</v>
      </c>
      <c r="R15" s="182">
        <v>44727</v>
      </c>
      <c r="S15" s="182">
        <v>52763</v>
      </c>
      <c r="T15" s="183" t="s">
        <v>1969</v>
      </c>
      <c r="U15" s="183" t="s">
        <v>1649</v>
      </c>
      <c r="V15" s="182" t="s">
        <v>105</v>
      </c>
      <c r="W15" s="182" t="s">
        <v>102</v>
      </c>
      <c r="X15" s="182" t="s">
        <v>1533</v>
      </c>
      <c r="Y15" s="182">
        <v>49444</v>
      </c>
      <c r="Z15" s="184">
        <f>IFERROR(INDEX(Base!G:G,MATCH('Debêntures IPCA-Spread'!Y15,Base!F:F,0)),"")</f>
        <v>6.3137999999999996</v>
      </c>
      <c r="AA15" s="115"/>
      <c r="AB15" s="185">
        <v>45552</v>
      </c>
      <c r="AC15" s="186">
        <v>7.0029000000000003</v>
      </c>
      <c r="AD15" s="187">
        <f t="shared" si="0"/>
        <v>0.68910000000000071</v>
      </c>
      <c r="AE15" s="188">
        <v>0.06</v>
      </c>
      <c r="AF15" s="189">
        <v>7.1379000000000001</v>
      </c>
      <c r="AG15" s="189">
        <v>6.8685</v>
      </c>
      <c r="AH15" s="190">
        <v>1170.0653950000001</v>
      </c>
      <c r="AI15" s="190">
        <v>1183.122042</v>
      </c>
      <c r="AJ15" s="191">
        <f t="shared" si="1"/>
        <v>0.98896424330162225</v>
      </c>
      <c r="AK15" s="192">
        <v>45544</v>
      </c>
      <c r="AL15" s="193">
        <v>100.53</v>
      </c>
      <c r="AM15" s="194">
        <v>2088</v>
      </c>
      <c r="AN15" s="115"/>
      <c r="AO15" s="195">
        <v>1.7596568759E-3</v>
      </c>
      <c r="AP15" s="196">
        <f>IF(AO15="","",AO15-AO$6)</f>
        <v>1.27951199097E-3</v>
      </c>
      <c r="AQ15" s="196">
        <v>1.3407303113999999E-2</v>
      </c>
      <c r="AR15" s="196">
        <f>IF(AQ15="","",AQ15-AQ$6)</f>
        <v>1.3624809866959998E-2</v>
      </c>
      <c r="AS15" s="196">
        <v>6.6556908553999997E-2</v>
      </c>
      <c r="AT15" s="196">
        <f>IF(AS15="","",AS15-AS$6)</f>
        <v>5.1831073498999999E-2</v>
      </c>
      <c r="AU15" s="196">
        <v>-7.1024037560999996E-3</v>
      </c>
      <c r="AV15" s="196">
        <f>IF(AU15="","",AU15-AU$6)</f>
        <v>5.9661788399000002E-3</v>
      </c>
      <c r="AW15" s="196">
        <v>7.1941676255000003E-2</v>
      </c>
      <c r="AX15" s="196">
        <f>IF(AW15="","",AW15-AW$6)</f>
        <v>4.7946608467000003E-2</v>
      </c>
      <c r="AY15" s="196">
        <v>4.0300945428000001E-2</v>
      </c>
      <c r="AZ15" s="196">
        <f>IF(AY15="","",AY15-AY$6)</f>
        <v>2.6058690638000002E-2</v>
      </c>
      <c r="BA15" s="196">
        <v>0.12512589578</v>
      </c>
      <c r="BB15" s="196">
        <f>IF(BA15="","",BA15-BA$6)</f>
        <v>7.1638931221999991E-2</v>
      </c>
      <c r="BC15" s="196"/>
      <c r="BD15" s="196" t="str">
        <f>IF(BC15="","",BC15-BC$6)</f>
        <v/>
      </c>
      <c r="BE15" s="196"/>
      <c r="BF15" s="196" t="str">
        <f>IF(BE15="","",BE15-BE$6)</f>
        <v/>
      </c>
      <c r="BG15" s="196"/>
      <c r="BH15" s="196" t="str">
        <f>IF(BG15="","",BG15-BG$6)</f>
        <v/>
      </c>
      <c r="BI15" s="196"/>
      <c r="BJ15" s="196" t="str">
        <f>IF(BI15="","",BI15-BI$6)</f>
        <v/>
      </c>
      <c r="BK15" s="197">
        <v>9.8565410269000004</v>
      </c>
      <c r="BL15" s="115"/>
      <c r="BM15" s="198">
        <v>1.991925563E-2</v>
      </c>
      <c r="BN15" s="191">
        <v>-2.4508344755000001E-2</v>
      </c>
      <c r="BO15" s="191">
        <v>5.5302485056000002E-2</v>
      </c>
      <c r="BP15" s="191">
        <v>-2.9487172746E-2</v>
      </c>
      <c r="BQ15" s="199">
        <v>9</v>
      </c>
      <c r="BR15" s="199">
        <v>3</v>
      </c>
      <c r="BS15" s="199">
        <v>7</v>
      </c>
      <c r="BT15" s="199">
        <v>5</v>
      </c>
      <c r="BU15" s="200">
        <v>0.17177436894000001</v>
      </c>
      <c r="BV15" s="200"/>
      <c r="BW15" s="191">
        <v>1.0189256391999999E-2</v>
      </c>
      <c r="BX15" s="191">
        <v>9.5074591319000007E-3</v>
      </c>
      <c r="BY15" s="189">
        <v>0.93669725962000006</v>
      </c>
      <c r="BZ15" s="191">
        <v>-5.6758822023999997E-2</v>
      </c>
      <c r="CA15" s="191">
        <v>-5.6758822023999997E-2</v>
      </c>
      <c r="CB15" s="182">
        <v>45331</v>
      </c>
      <c r="CC15" s="182">
        <v>45474</v>
      </c>
      <c r="CD15" s="201">
        <v>124</v>
      </c>
      <c r="CE15" s="202">
        <v>45512</v>
      </c>
      <c r="CF15" s="116"/>
    </row>
    <row r="16" spans="1:84" ht="15.6" x14ac:dyDescent="0.3">
      <c r="B16" s="110" t="s">
        <v>491</v>
      </c>
      <c r="C16" s="147" t="s">
        <v>656</v>
      </c>
      <c r="D16" s="148" t="s">
        <v>610</v>
      </c>
      <c r="E16" s="148" t="s">
        <v>226</v>
      </c>
      <c r="F16" s="149">
        <v>2016440000162</v>
      </c>
      <c r="G16" s="149" t="s">
        <v>811</v>
      </c>
      <c r="H16" s="149" t="s">
        <v>388</v>
      </c>
      <c r="I16" s="150">
        <v>7</v>
      </c>
      <c r="J16" s="151" t="s">
        <v>107</v>
      </c>
      <c r="K16" s="151" t="s">
        <v>126</v>
      </c>
      <c r="L16" s="151" t="s">
        <v>112</v>
      </c>
      <c r="M16" s="151" t="s">
        <v>106</v>
      </c>
      <c r="N16" s="151" t="s">
        <v>109</v>
      </c>
      <c r="O16" s="152">
        <v>219600</v>
      </c>
      <c r="P16" s="153">
        <v>219600000</v>
      </c>
      <c r="Q16" s="153">
        <v>1000</v>
      </c>
      <c r="R16" s="154">
        <v>43347</v>
      </c>
      <c r="S16" s="154">
        <v>45884</v>
      </c>
      <c r="T16" s="155" t="s">
        <v>747</v>
      </c>
      <c r="U16" s="155" t="s">
        <v>901</v>
      </c>
      <c r="V16" s="154" t="s">
        <v>105</v>
      </c>
      <c r="W16" s="154" t="s">
        <v>102</v>
      </c>
      <c r="X16" s="154" t="s">
        <v>1292</v>
      </c>
      <c r="Y16" s="154">
        <v>45792</v>
      </c>
      <c r="Z16" s="156">
        <f>IFERROR(INDEX(Base!G:G,MATCH('Debêntures IPCA-Spread'!Y16,Base!F:F,0)),"")</f>
        <v>5.73</v>
      </c>
      <c r="AA16" s="115"/>
      <c r="AB16" s="157">
        <v>45552</v>
      </c>
      <c r="AC16" s="158">
        <v>5.7343999999999999</v>
      </c>
      <c r="AD16" s="159">
        <f t="shared" si="0"/>
        <v>4.3999999999995154E-3</v>
      </c>
      <c r="AE16" s="160">
        <v>0.17</v>
      </c>
      <c r="AF16" s="161">
        <v>5.9947999999999997</v>
      </c>
      <c r="AG16" s="161">
        <v>5.6032999999999999</v>
      </c>
      <c r="AH16" s="162">
        <v>692.80852600000003</v>
      </c>
      <c r="AI16" s="162">
        <v>692.80852600000003</v>
      </c>
      <c r="AJ16" s="163">
        <f t="shared" si="1"/>
        <v>1</v>
      </c>
      <c r="AK16" s="164">
        <v>45552</v>
      </c>
      <c r="AL16" s="165">
        <v>100.06</v>
      </c>
      <c r="AM16" s="166">
        <v>225</v>
      </c>
      <c r="AN16" s="115"/>
      <c r="AO16" s="167">
        <v>4.1108621008000001E-4</v>
      </c>
      <c r="AP16" s="168">
        <f>IF(AO16="","",AO16-AO$6)</f>
        <v>-6.9058674849999981E-5</v>
      </c>
      <c r="AQ16" s="168">
        <v>6.9380301319999999E-3</v>
      </c>
      <c r="AR16" s="168">
        <f>IF(AQ16="","",AQ16-AQ$6)</f>
        <v>7.1555368849599999E-3</v>
      </c>
      <c r="AS16" s="168">
        <v>8.3268478356E-2</v>
      </c>
      <c r="AT16" s="168">
        <f>IF(AS16="","",AS16-AS$6)</f>
        <v>6.8542643301000003E-2</v>
      </c>
      <c r="AU16" s="168">
        <v>9.1100968421000007E-3</v>
      </c>
      <c r="AV16" s="168">
        <f>IF(AU16="","",AU16-AU$6)</f>
        <v>2.21786794381E-2</v>
      </c>
      <c r="AW16" s="168">
        <v>2.7542171851999999E-2</v>
      </c>
      <c r="AX16" s="168">
        <f>IF(AW16="","",AW16-AW$6)</f>
        <v>3.5471040639999986E-3</v>
      </c>
      <c r="AY16" s="168">
        <v>5.0817882249000003E-2</v>
      </c>
      <c r="AZ16" s="168">
        <f>IF(AY16="","",AY16-AY$6)</f>
        <v>3.6575627459000004E-2</v>
      </c>
      <c r="BA16" s="168">
        <v>0.11561512303</v>
      </c>
      <c r="BB16" s="168">
        <f>IF(BA16="","",BA16-BA$6)</f>
        <v>6.2128158472000004E-2</v>
      </c>
      <c r="BC16" s="168">
        <v>0.23289996741999999</v>
      </c>
      <c r="BD16" s="168">
        <f>IF(BC16="","",BC16-BC$6)</f>
        <v>3.8591400929999992E-2</v>
      </c>
      <c r="BE16" s="168">
        <v>0.38725454315000002</v>
      </c>
      <c r="BF16" s="168">
        <f>IF(BE16="","",BE16-BE$6)</f>
        <v>0.12553520361000003</v>
      </c>
      <c r="BG16" s="168">
        <v>0.48392943468999999</v>
      </c>
      <c r="BH16" s="168">
        <f>IF(BG16="","",BG16-BG$6)</f>
        <v>0.17501278587999997</v>
      </c>
      <c r="BI16" s="168"/>
      <c r="BJ16" s="168" t="str">
        <f>IF(BI16="","",BI16-BI$6)</f>
        <v/>
      </c>
      <c r="BK16" s="169">
        <v>1.0931554656</v>
      </c>
      <c r="BL16" s="115"/>
      <c r="BM16" s="170">
        <v>3.0606518903000001E-3</v>
      </c>
      <c r="BN16" s="163">
        <v>-2.2995007121E-3</v>
      </c>
      <c r="BO16" s="163">
        <v>1.3639616457999999E-2</v>
      </c>
      <c r="BP16" s="163">
        <v>3.8041120279000001E-3</v>
      </c>
      <c r="BQ16" s="171">
        <v>12</v>
      </c>
      <c r="BR16" s="171">
        <v>0</v>
      </c>
      <c r="BS16" s="171">
        <v>7</v>
      </c>
      <c r="BT16" s="171">
        <v>5</v>
      </c>
      <c r="BU16" s="172">
        <v>0.32097187780999997</v>
      </c>
      <c r="BV16" s="172">
        <v>-6.2178319540999998E-2</v>
      </c>
      <c r="BW16" s="163">
        <v>1.1298108897999999E-3</v>
      </c>
      <c r="BX16" s="163">
        <v>1.4687466790999999E-3</v>
      </c>
      <c r="BY16" s="161">
        <v>0.23537323194000001</v>
      </c>
      <c r="BZ16" s="163">
        <v>-3.3583747256000001E-3</v>
      </c>
      <c r="CA16" s="163">
        <v>-3.3583747256000001E-3</v>
      </c>
      <c r="CB16" s="154">
        <v>45209</v>
      </c>
      <c r="CC16" s="154">
        <v>45212</v>
      </c>
      <c r="CD16" s="173">
        <v>10</v>
      </c>
      <c r="CE16" s="174">
        <v>45224</v>
      </c>
      <c r="CF16" s="116"/>
    </row>
    <row r="17" spans="2:84" ht="15.6" x14ac:dyDescent="0.3">
      <c r="B17" s="98" t="s">
        <v>1390</v>
      </c>
      <c r="C17" s="175" t="s">
        <v>2036</v>
      </c>
      <c r="D17" s="176" t="s">
        <v>610</v>
      </c>
      <c r="E17" s="176" t="s">
        <v>226</v>
      </c>
      <c r="F17" s="177">
        <v>2016440000162</v>
      </c>
      <c r="G17" s="177" t="s">
        <v>1749</v>
      </c>
      <c r="H17" s="177" t="s">
        <v>388</v>
      </c>
      <c r="I17" s="178">
        <v>13</v>
      </c>
      <c r="J17" s="179" t="s">
        <v>107</v>
      </c>
      <c r="K17" s="179" t="s">
        <v>126</v>
      </c>
      <c r="L17" s="179" t="s">
        <v>112</v>
      </c>
      <c r="M17" s="179" t="s">
        <v>106</v>
      </c>
      <c r="N17" s="179" t="s">
        <v>109</v>
      </c>
      <c r="O17" s="180">
        <v>493000</v>
      </c>
      <c r="P17" s="181">
        <v>493000000</v>
      </c>
      <c r="Q17" s="181">
        <v>1000</v>
      </c>
      <c r="R17" s="182">
        <v>44700</v>
      </c>
      <c r="S17" s="182">
        <v>47253</v>
      </c>
      <c r="T17" s="183" t="s">
        <v>1970</v>
      </c>
      <c r="U17" s="183" t="s">
        <v>1650</v>
      </c>
      <c r="V17" s="182" t="s">
        <v>105</v>
      </c>
      <c r="W17" s="182" t="s">
        <v>102</v>
      </c>
      <c r="X17" s="182" t="s">
        <v>1534</v>
      </c>
      <c r="Y17" s="182">
        <v>46980</v>
      </c>
      <c r="Z17" s="184">
        <f>IFERROR(INDEX(Base!G:G,MATCH('Debêntures IPCA-Spread'!Y17,Base!F:F,0)),"")</f>
        <v>6.4702000000000002</v>
      </c>
      <c r="AA17" s="115"/>
      <c r="AB17" s="185">
        <v>45552</v>
      </c>
      <c r="AC17" s="186">
        <v>6.2999000000000001</v>
      </c>
      <c r="AD17" s="187">
        <f t="shared" si="0"/>
        <v>-0.17030000000000012</v>
      </c>
      <c r="AE17" s="188">
        <v>0.13</v>
      </c>
      <c r="AF17" s="189">
        <v>6.4958999999999998</v>
      </c>
      <c r="AG17" s="189">
        <v>6.1215999999999999</v>
      </c>
      <c r="AH17" s="190">
        <v>1099.810457</v>
      </c>
      <c r="AI17" s="190">
        <v>1100.4174479999999</v>
      </c>
      <c r="AJ17" s="191">
        <f t="shared" si="1"/>
        <v>0.99944839933145091</v>
      </c>
      <c r="AK17" s="192">
        <v>45548</v>
      </c>
      <c r="AL17" s="193">
        <v>98.93</v>
      </c>
      <c r="AM17" s="194">
        <v>917</v>
      </c>
      <c r="AN17" s="115"/>
      <c r="AO17" s="195">
        <v>1.7053529955E-3</v>
      </c>
      <c r="AP17" s="196">
        <f>IF(AO17="","",AO17-AO$6)</f>
        <v>1.22520811057E-3</v>
      </c>
      <c r="AQ17" s="196">
        <v>6.0001622223000003E-3</v>
      </c>
      <c r="AR17" s="196">
        <f>IF(AQ17="","",AQ17-AQ$6)</f>
        <v>6.2176689752600003E-3</v>
      </c>
      <c r="AS17" s="196">
        <v>6.1348095966000001E-2</v>
      </c>
      <c r="AT17" s="196">
        <f>IF(AS17="","",AS17-AS$6)</f>
        <v>4.6622260910999996E-2</v>
      </c>
      <c r="AU17" s="196">
        <v>4.3663338182999998E-3</v>
      </c>
      <c r="AV17" s="196">
        <f>IF(AU17="","",AU17-AU$6)</f>
        <v>1.7434916414299999E-2</v>
      </c>
      <c r="AW17" s="196">
        <v>3.6564078882000001E-2</v>
      </c>
      <c r="AX17" s="196">
        <f>IF(AW17="","",AW17-AW$6)</f>
        <v>1.2569011094E-2</v>
      </c>
      <c r="AY17" s="196">
        <v>2.6111332885000001E-2</v>
      </c>
      <c r="AZ17" s="196">
        <f>IF(AY17="","",AY17-AY$6)</f>
        <v>1.1869078095000001E-2</v>
      </c>
      <c r="BA17" s="196">
        <v>9.1717329075999998E-2</v>
      </c>
      <c r="BB17" s="196">
        <f>IF(BA17="","",BA17-BA$6)</f>
        <v>3.8230364518E-2</v>
      </c>
      <c r="BC17" s="196"/>
      <c r="BD17" s="196" t="str">
        <f>IF(BC17="","",BC17-BC$6)</f>
        <v/>
      </c>
      <c r="BE17" s="196"/>
      <c r="BF17" s="196" t="str">
        <f>IF(BE17="","",BE17-BE$6)</f>
        <v/>
      </c>
      <c r="BG17" s="196"/>
      <c r="BH17" s="196" t="str">
        <f>IF(BG17="","",BG17-BG$6)</f>
        <v/>
      </c>
      <c r="BI17" s="196"/>
      <c r="BJ17" s="196" t="str">
        <f>IF(BI17="","",BI17-BI$6)</f>
        <v/>
      </c>
      <c r="BK17" s="197">
        <v>4.0929754556000004</v>
      </c>
      <c r="BL17" s="115"/>
      <c r="BM17" s="198">
        <v>9.3001953372999994E-3</v>
      </c>
      <c r="BN17" s="191">
        <v>-7.1517705155000003E-3</v>
      </c>
      <c r="BO17" s="191">
        <v>2.5072559285000001E-2</v>
      </c>
      <c r="BP17" s="191">
        <v>-1.6990794080999998E-2</v>
      </c>
      <c r="BQ17" s="199">
        <v>9</v>
      </c>
      <c r="BR17" s="199">
        <v>3</v>
      </c>
      <c r="BS17" s="199">
        <v>7</v>
      </c>
      <c r="BT17" s="199">
        <v>5</v>
      </c>
      <c r="BU17" s="200">
        <v>-0.42070507760999998</v>
      </c>
      <c r="BV17" s="200"/>
      <c r="BW17" s="191">
        <v>4.2295588968000002E-3</v>
      </c>
      <c r="BX17" s="191">
        <v>3.6143200699000001E-3</v>
      </c>
      <c r="BY17" s="189">
        <v>-2.468370164</v>
      </c>
      <c r="BZ17" s="191">
        <v>-1.9909073874E-2</v>
      </c>
      <c r="CA17" s="191">
        <v>-1.9909073874E-2</v>
      </c>
      <c r="CB17" s="182">
        <v>45187</v>
      </c>
      <c r="CC17" s="182">
        <v>45202</v>
      </c>
      <c r="CD17" s="201">
        <v>41</v>
      </c>
      <c r="CE17" s="202">
        <v>45247</v>
      </c>
      <c r="CF17" s="116"/>
    </row>
    <row r="18" spans="2:84" ht="15.6" x14ac:dyDescent="0.3">
      <c r="B18" s="110" t="s">
        <v>2197</v>
      </c>
      <c r="C18" s="147" t="s">
        <v>2582</v>
      </c>
      <c r="D18" s="148" t="s">
        <v>610</v>
      </c>
      <c r="E18" s="148" t="s">
        <v>226</v>
      </c>
      <c r="F18" s="149">
        <v>2016440000162</v>
      </c>
      <c r="G18" s="149" t="s">
        <v>2329</v>
      </c>
      <c r="H18" s="149" t="s">
        <v>388</v>
      </c>
      <c r="I18" s="150">
        <v>15</v>
      </c>
      <c r="J18" s="151" t="s">
        <v>107</v>
      </c>
      <c r="K18" s="151" t="s">
        <v>126</v>
      </c>
      <c r="L18" s="151" t="s">
        <v>112</v>
      </c>
      <c r="M18" s="151" t="s">
        <v>114</v>
      </c>
      <c r="N18" s="151" t="s">
        <v>109</v>
      </c>
      <c r="O18" s="152">
        <v>250000</v>
      </c>
      <c r="P18" s="153">
        <v>250000000</v>
      </c>
      <c r="Q18" s="153">
        <v>1000</v>
      </c>
      <c r="R18" s="154">
        <v>45214</v>
      </c>
      <c r="S18" s="154">
        <v>48867</v>
      </c>
      <c r="T18" s="155" t="s">
        <v>2816</v>
      </c>
      <c r="U18" s="155" t="s">
        <v>2711</v>
      </c>
      <c r="V18" s="154" t="s">
        <v>105</v>
      </c>
      <c r="W18" s="154" t="s">
        <v>102</v>
      </c>
      <c r="X18" s="154" t="s">
        <v>2471</v>
      </c>
      <c r="Y18" s="154">
        <v>48441</v>
      </c>
      <c r="Z18" s="156">
        <f>IFERROR(INDEX(Base!G:G,MATCH('Debêntures IPCA-Spread'!Y18,Base!F:F,0)),"")</f>
        <v>6.3467000000000002</v>
      </c>
      <c r="AA18" s="115"/>
      <c r="AB18" s="157">
        <v>45552</v>
      </c>
      <c r="AC18" s="158">
        <v>6.4821</v>
      </c>
      <c r="AD18" s="159">
        <f t="shared" si="0"/>
        <v>0.13539999999999974</v>
      </c>
      <c r="AE18" s="160">
        <v>0.05</v>
      </c>
      <c r="AF18" s="161">
        <v>6.6483999999999996</v>
      </c>
      <c r="AG18" s="161">
        <v>6.3696999999999999</v>
      </c>
      <c r="AH18" s="162">
        <v>1046.189838</v>
      </c>
      <c r="AI18" s="162"/>
      <c r="AJ18" s="163" t="str">
        <f t="shared" si="1"/>
        <v/>
      </c>
      <c r="AK18" s="164"/>
      <c r="AL18" s="165">
        <v>98.22</v>
      </c>
      <c r="AM18" s="166">
        <v>1581</v>
      </c>
      <c r="AN18" s="115"/>
      <c r="AO18" s="167">
        <v>-4.6338172797E-4</v>
      </c>
      <c r="AP18" s="168">
        <f>IF(AO18="","",AO18-AO$6)</f>
        <v>-9.4352661289999994E-4</v>
      </c>
      <c r="AQ18" s="168">
        <v>9.4734721642000005E-4</v>
      </c>
      <c r="AR18" s="168">
        <f>IF(AQ18="","",AQ18-AQ$6)</f>
        <v>1.1648539693800001E-3</v>
      </c>
      <c r="AS18" s="168"/>
      <c r="AT18" s="168" t="str">
        <f>IF(AS18="","",AS18-AS$6)</f>
        <v/>
      </c>
      <c r="AU18" s="168">
        <v>-1.4525288536E-2</v>
      </c>
      <c r="AV18" s="168">
        <f>IF(AU18="","",AU18-AU$6)</f>
        <v>-1.4567059400000006E-3</v>
      </c>
      <c r="AW18" s="168">
        <v>3.6086568303E-2</v>
      </c>
      <c r="AX18" s="168">
        <f>IF(AW18="","",AW18-AW$6)</f>
        <v>1.2091500514999999E-2</v>
      </c>
      <c r="AY18" s="168"/>
      <c r="AZ18" s="168" t="str">
        <f>IF(AY18="","",AY18-AY$6)</f>
        <v/>
      </c>
      <c r="BA18" s="168"/>
      <c r="BB18" s="168" t="str">
        <f>IF(BA18="","",BA18-BA$6)</f>
        <v/>
      </c>
      <c r="BC18" s="168"/>
      <c r="BD18" s="168" t="str">
        <f>IF(BC18="","",BC18-BC$6)</f>
        <v/>
      </c>
      <c r="BE18" s="168"/>
      <c r="BF18" s="168" t="str">
        <f>IF(BE18="","",BE18-BE$6)</f>
        <v/>
      </c>
      <c r="BG18" s="168"/>
      <c r="BH18" s="168" t="str">
        <f>IF(BG18="","",BG18-BG$6)</f>
        <v/>
      </c>
      <c r="BI18" s="168"/>
      <c r="BJ18" s="168" t="str">
        <f>IF(BI18="","",BI18-BI$6)</f>
        <v/>
      </c>
      <c r="BK18" s="169"/>
      <c r="BL18" s="115"/>
      <c r="BM18" s="170">
        <v>8.3262957196000003E-3</v>
      </c>
      <c r="BN18" s="163">
        <v>-1.1638598925E-2</v>
      </c>
      <c r="BO18" s="163">
        <v>2.6170211400000001E-2</v>
      </c>
      <c r="BP18" s="163">
        <v>-2.5226254467000001E-2</v>
      </c>
      <c r="BQ18" s="171"/>
      <c r="BR18" s="171"/>
      <c r="BS18" s="171"/>
      <c r="BT18" s="171"/>
      <c r="BU18" s="172"/>
      <c r="BV18" s="172"/>
      <c r="BW18" s="163"/>
      <c r="BX18" s="163">
        <v>5.1864049366000002E-3</v>
      </c>
      <c r="BY18" s="161"/>
      <c r="BZ18" s="163">
        <v>-2.9454810399000001E-2</v>
      </c>
      <c r="CA18" s="163">
        <v>-2.9454810399000001E-2</v>
      </c>
      <c r="CB18" s="154">
        <v>45378</v>
      </c>
      <c r="CC18" s="154">
        <v>45475</v>
      </c>
      <c r="CD18" s="173">
        <v>73</v>
      </c>
      <c r="CE18" s="174">
        <v>45484</v>
      </c>
      <c r="CF18" s="116"/>
    </row>
    <row r="19" spans="2:84" ht="15.6" x14ac:dyDescent="0.3">
      <c r="B19" s="98" t="s">
        <v>2198</v>
      </c>
      <c r="C19" s="175" t="s">
        <v>2583</v>
      </c>
      <c r="D19" s="176" t="s">
        <v>610</v>
      </c>
      <c r="E19" s="176" t="s">
        <v>226</v>
      </c>
      <c r="F19" s="177">
        <v>2016440000162</v>
      </c>
      <c r="G19" s="177" t="s">
        <v>2330</v>
      </c>
      <c r="H19" s="177" t="s">
        <v>388</v>
      </c>
      <c r="I19" s="178">
        <v>17</v>
      </c>
      <c r="J19" s="179">
        <v>1</v>
      </c>
      <c r="K19" s="179" t="s">
        <v>126</v>
      </c>
      <c r="L19" s="179" t="s">
        <v>112</v>
      </c>
      <c r="M19" s="179" t="s">
        <v>114</v>
      </c>
      <c r="N19" s="179" t="s">
        <v>109</v>
      </c>
      <c r="O19" s="180">
        <v>556800</v>
      </c>
      <c r="P19" s="181">
        <v>556800000</v>
      </c>
      <c r="Q19" s="181">
        <v>1000</v>
      </c>
      <c r="R19" s="182">
        <v>45397</v>
      </c>
      <c r="S19" s="182">
        <v>49049</v>
      </c>
      <c r="T19" s="183" t="s">
        <v>2816</v>
      </c>
      <c r="U19" s="183" t="s">
        <v>2712</v>
      </c>
      <c r="V19" s="182" t="s">
        <v>105</v>
      </c>
      <c r="W19" s="182" t="s">
        <v>102</v>
      </c>
      <c r="X19" s="182" t="s">
        <v>2472</v>
      </c>
      <c r="Y19" s="182">
        <v>48714</v>
      </c>
      <c r="Z19" s="184">
        <f>IFERROR(INDEX(Base!G:G,MATCH('Debêntures IPCA-Spread'!Y19,Base!F:F,0)),"")</f>
        <v>6.3373999999999997</v>
      </c>
      <c r="AA19" s="115"/>
      <c r="AB19" s="185">
        <v>45552</v>
      </c>
      <c r="AC19" s="186">
        <v>6.5080999999999998</v>
      </c>
      <c r="AD19" s="187">
        <f t="shared" si="0"/>
        <v>0.17070000000000007</v>
      </c>
      <c r="AE19" s="188">
        <v>0.12</v>
      </c>
      <c r="AF19" s="189">
        <v>6.6517999999999997</v>
      </c>
      <c r="AG19" s="189">
        <v>6.4085999999999999</v>
      </c>
      <c r="AH19" s="190">
        <v>1007.621358</v>
      </c>
      <c r="AI19" s="190"/>
      <c r="AJ19" s="191" t="str">
        <f t="shared" si="1"/>
        <v/>
      </c>
      <c r="AK19" s="192"/>
      <c r="AL19" s="193">
        <v>97.74</v>
      </c>
      <c r="AM19" s="194">
        <v>1666</v>
      </c>
      <c r="AN19" s="115"/>
      <c r="AO19" s="195">
        <v>-4.5079038564000001E-3</v>
      </c>
      <c r="AP19" s="196">
        <f>IF(AO19="","",AO19-AO$6)</f>
        <v>-4.9880487413300001E-3</v>
      </c>
      <c r="AQ19" s="196">
        <v>3.2052275201000001E-3</v>
      </c>
      <c r="AR19" s="196">
        <f>IF(AQ19="","",AQ19-AQ$6)</f>
        <v>3.4227342730600002E-3</v>
      </c>
      <c r="AS19" s="196"/>
      <c r="AT19" s="196" t="str">
        <f>IF(AS19="","",AS19-AS$6)</f>
        <v/>
      </c>
      <c r="AU19" s="196">
        <v>-1.1598277567E-2</v>
      </c>
      <c r="AV19" s="196">
        <f>IF(AU19="","",AU19-AU$6)</f>
        <v>1.4703050290000002E-3</v>
      </c>
      <c r="AW19" s="196"/>
      <c r="AX19" s="196" t="str">
        <f>IF(AW19="","",AW19-AW$6)</f>
        <v/>
      </c>
      <c r="AY19" s="196"/>
      <c r="AZ19" s="196" t="str">
        <f>IF(AY19="","",AY19-AY$6)</f>
        <v/>
      </c>
      <c r="BA19" s="196"/>
      <c r="BB19" s="196" t="str">
        <f>IF(BA19="","",BA19-BA$6)</f>
        <v/>
      </c>
      <c r="BC19" s="196"/>
      <c r="BD19" s="196" t="str">
        <f>IF(BC19="","",BC19-BC$6)</f>
        <v/>
      </c>
      <c r="BE19" s="196"/>
      <c r="BF19" s="196" t="str">
        <f>IF(BE19="","",BE19-BE$6)</f>
        <v/>
      </c>
      <c r="BG19" s="196"/>
      <c r="BH19" s="196" t="str">
        <f>IF(BG19="","",BG19-BG$6)</f>
        <v/>
      </c>
      <c r="BI19" s="196"/>
      <c r="BJ19" s="196" t="str">
        <f>IF(BI19="","",BI19-BI$6)</f>
        <v/>
      </c>
      <c r="BK19" s="197"/>
      <c r="BL19" s="115"/>
      <c r="BM19" s="198">
        <v>1.3210464181E-2</v>
      </c>
      <c r="BN19" s="191">
        <v>-8.4775864497999998E-3</v>
      </c>
      <c r="BO19" s="191">
        <v>2.9274288805E-2</v>
      </c>
      <c r="BP19" s="191">
        <v>3.2052275201000001E-3</v>
      </c>
      <c r="BQ19" s="199"/>
      <c r="BR19" s="199"/>
      <c r="BS19" s="199"/>
      <c r="BT19" s="199"/>
      <c r="BU19" s="200"/>
      <c r="BV19" s="200"/>
      <c r="BW19" s="191"/>
      <c r="BX19" s="191">
        <v>4.7136313072000001E-3</v>
      </c>
      <c r="BY19" s="189"/>
      <c r="BZ19" s="191">
        <v>-1.3973306535999999E-2</v>
      </c>
      <c r="CA19" s="191">
        <v>-2.0514336112000001E-2</v>
      </c>
      <c r="CB19" s="182">
        <v>45518</v>
      </c>
      <c r="CC19" s="182">
        <v>45534</v>
      </c>
      <c r="CD19" s="201"/>
      <c r="CE19" s="202"/>
      <c r="CF19" s="116"/>
    </row>
    <row r="20" spans="2:84" ht="15.6" x14ac:dyDescent="0.3">
      <c r="B20" s="110" t="s">
        <v>2199</v>
      </c>
      <c r="C20" s="147" t="s">
        <v>2584</v>
      </c>
      <c r="D20" s="148" t="s">
        <v>610</v>
      </c>
      <c r="E20" s="148" t="s">
        <v>226</v>
      </c>
      <c r="F20" s="149">
        <v>2016440000162</v>
      </c>
      <c r="G20" s="149" t="s">
        <v>2331</v>
      </c>
      <c r="H20" s="149" t="s">
        <v>388</v>
      </c>
      <c r="I20" s="150">
        <v>17</v>
      </c>
      <c r="J20" s="151">
        <v>2</v>
      </c>
      <c r="K20" s="151" t="s">
        <v>126</v>
      </c>
      <c r="L20" s="151" t="s">
        <v>112</v>
      </c>
      <c r="M20" s="151" t="s">
        <v>114</v>
      </c>
      <c r="N20" s="151" t="s">
        <v>109</v>
      </c>
      <c r="O20" s="152">
        <v>139200</v>
      </c>
      <c r="P20" s="153">
        <v>139200000</v>
      </c>
      <c r="Q20" s="153">
        <v>1000</v>
      </c>
      <c r="R20" s="154">
        <v>45397</v>
      </c>
      <c r="S20" s="154">
        <v>50875</v>
      </c>
      <c r="T20" s="155" t="s">
        <v>2816</v>
      </c>
      <c r="U20" s="155" t="s">
        <v>2713</v>
      </c>
      <c r="V20" s="154" t="s">
        <v>105</v>
      </c>
      <c r="W20" s="154" t="s">
        <v>102</v>
      </c>
      <c r="X20" s="154" t="s">
        <v>2473</v>
      </c>
      <c r="Y20" s="154">
        <v>51363</v>
      </c>
      <c r="Z20" s="156">
        <f>IFERROR(INDEX(Base!G:G,MATCH('Debêntures IPCA-Spread'!Y20,Base!F:F,0)),"")</f>
        <v>6.2279</v>
      </c>
      <c r="AA20" s="115"/>
      <c r="AB20" s="157">
        <v>45552</v>
      </c>
      <c r="AC20" s="158">
        <v>6.3696999999999999</v>
      </c>
      <c r="AD20" s="159">
        <f t="shared" si="0"/>
        <v>0.14179999999999993</v>
      </c>
      <c r="AE20" s="160">
        <v>0.09</v>
      </c>
      <c r="AF20" s="161">
        <v>6.5147000000000004</v>
      </c>
      <c r="AG20" s="161">
        <v>6.2057000000000002</v>
      </c>
      <c r="AH20" s="162">
        <v>1016.445321</v>
      </c>
      <c r="AI20" s="162"/>
      <c r="AJ20" s="163" t="str">
        <f t="shared" si="1"/>
        <v/>
      </c>
      <c r="AK20" s="164"/>
      <c r="AL20" s="165">
        <v>98.57</v>
      </c>
      <c r="AM20" s="166">
        <v>2304</v>
      </c>
      <c r="AN20" s="115"/>
      <c r="AO20" s="167">
        <v>9.3264269343999999E-4</v>
      </c>
      <c r="AP20" s="168">
        <f>IF(AO20="","",AO20-AO$6)</f>
        <v>4.5249780851E-4</v>
      </c>
      <c r="AQ20" s="168">
        <v>4.4002121594999997E-3</v>
      </c>
      <c r="AR20" s="168">
        <f>IF(AQ20="","",AQ20-AQ$6)</f>
        <v>4.6177189124599997E-3</v>
      </c>
      <c r="AS20" s="168"/>
      <c r="AT20" s="168" t="str">
        <f>IF(AS20="","",AS20-AS$6)</f>
        <v/>
      </c>
      <c r="AU20" s="168">
        <v>-1.6646568333E-2</v>
      </c>
      <c r="AV20" s="168">
        <f>IF(AU20="","",AU20-AU$6)</f>
        <v>-3.5779857369999998E-3</v>
      </c>
      <c r="AW20" s="168"/>
      <c r="AX20" s="168" t="str">
        <f>IF(AW20="","",AW20-AW$6)</f>
        <v/>
      </c>
      <c r="AY20" s="168"/>
      <c r="AZ20" s="168" t="str">
        <f>IF(AY20="","",AY20-AY$6)</f>
        <v/>
      </c>
      <c r="BA20" s="168"/>
      <c r="BB20" s="168" t="str">
        <f>IF(BA20="","",BA20-BA$6)</f>
        <v/>
      </c>
      <c r="BC20" s="168"/>
      <c r="BD20" s="168" t="str">
        <f>IF(BC20="","",BC20-BC$6)</f>
        <v/>
      </c>
      <c r="BE20" s="168"/>
      <c r="BF20" s="168" t="str">
        <f>IF(BE20="","",BE20-BE$6)</f>
        <v/>
      </c>
      <c r="BG20" s="168"/>
      <c r="BH20" s="168" t="str">
        <f>IF(BG20="","",BG20-BG$6)</f>
        <v/>
      </c>
      <c r="BI20" s="168"/>
      <c r="BJ20" s="168" t="str">
        <f>IF(BI20="","",BI20-BI$6)</f>
        <v/>
      </c>
      <c r="BK20" s="169"/>
      <c r="BL20" s="115"/>
      <c r="BM20" s="170">
        <v>3.0878282369999999E-2</v>
      </c>
      <c r="BN20" s="163">
        <v>-1.1448922584E-2</v>
      </c>
      <c r="BO20" s="163">
        <v>3.5808883288999997E-2</v>
      </c>
      <c r="BP20" s="163">
        <v>4.4002121594999997E-3</v>
      </c>
      <c r="BQ20" s="171"/>
      <c r="BR20" s="171"/>
      <c r="BS20" s="171"/>
      <c r="BT20" s="171"/>
      <c r="BU20" s="172"/>
      <c r="BV20" s="172"/>
      <c r="BW20" s="163"/>
      <c r="BX20" s="163">
        <v>1.0510209963999999E-2</v>
      </c>
      <c r="BY20" s="161"/>
      <c r="BZ20" s="163">
        <v>-2.6665683294999999E-2</v>
      </c>
      <c r="CA20" s="163">
        <v>-4.3106261476000003E-2</v>
      </c>
      <c r="CB20" s="154">
        <v>45518</v>
      </c>
      <c r="CC20" s="154">
        <v>45538</v>
      </c>
      <c r="CD20" s="173"/>
      <c r="CE20" s="174"/>
      <c r="CF20" s="116"/>
    </row>
    <row r="21" spans="2:84" ht="15.6" x14ac:dyDescent="0.3">
      <c r="B21" s="98" t="s">
        <v>1391</v>
      </c>
      <c r="C21" s="175" t="s">
        <v>2037</v>
      </c>
      <c r="D21" s="176" t="s">
        <v>1890</v>
      </c>
      <c r="E21" s="176" t="s">
        <v>104</v>
      </c>
      <c r="F21" s="177">
        <v>34623550000189</v>
      </c>
      <c r="G21" s="177" t="s">
        <v>1750</v>
      </c>
      <c r="H21" s="177" t="s">
        <v>388</v>
      </c>
      <c r="I21" s="178">
        <v>1</v>
      </c>
      <c r="J21" s="179" t="s">
        <v>107</v>
      </c>
      <c r="K21" s="179" t="s">
        <v>111</v>
      </c>
      <c r="L21" s="179" t="s">
        <v>125</v>
      </c>
      <c r="M21" s="179" t="s">
        <v>986</v>
      </c>
      <c r="N21" s="179" t="s">
        <v>109</v>
      </c>
      <c r="O21" s="180">
        <v>300000</v>
      </c>
      <c r="P21" s="181">
        <v>300000000</v>
      </c>
      <c r="Q21" s="181">
        <v>1000</v>
      </c>
      <c r="R21" s="182">
        <v>44454</v>
      </c>
      <c r="S21" s="182">
        <v>51759</v>
      </c>
      <c r="T21" s="183" t="s">
        <v>1651</v>
      </c>
      <c r="U21" s="183" t="s">
        <v>1651</v>
      </c>
      <c r="V21" s="182" t="s">
        <v>105</v>
      </c>
      <c r="W21" s="182" t="s">
        <v>102</v>
      </c>
      <c r="X21" s="182" t="s">
        <v>1535</v>
      </c>
      <c r="Y21" s="182">
        <v>48714</v>
      </c>
      <c r="Z21" s="184">
        <f>IFERROR(INDEX(Base!G:G,MATCH('Debêntures IPCA-Spread'!Y21,Base!F:F,0)),"")</f>
        <v>6.3373999999999997</v>
      </c>
      <c r="AA21" s="115"/>
      <c r="AB21" s="185">
        <v>45552</v>
      </c>
      <c r="AC21" s="186">
        <v>6.6300999999999997</v>
      </c>
      <c r="AD21" s="187">
        <f t="shared" si="0"/>
        <v>0.29269999999999996</v>
      </c>
      <c r="AE21" s="188">
        <v>0.4</v>
      </c>
      <c r="AF21" s="189">
        <v>6.9332000000000003</v>
      </c>
      <c r="AG21" s="189">
        <v>6.4391999999999996</v>
      </c>
      <c r="AH21" s="190">
        <v>1226.708331</v>
      </c>
      <c r="AI21" s="190">
        <v>1236.454117</v>
      </c>
      <c r="AJ21" s="191">
        <f t="shared" si="1"/>
        <v>0.99211795580118567</v>
      </c>
      <c r="AK21" s="192">
        <v>45544</v>
      </c>
      <c r="AL21" s="193">
        <v>96.37</v>
      </c>
      <c r="AM21" s="194">
        <v>1721</v>
      </c>
      <c r="AN21" s="115"/>
      <c r="AO21" s="195">
        <v>-1.5429284239E-3</v>
      </c>
      <c r="AP21" s="196">
        <f>IF(AO21="","",AO21-AO$6)</f>
        <v>-2.02307330883E-3</v>
      </c>
      <c r="AQ21" s="196">
        <v>1.9725924123000001E-2</v>
      </c>
      <c r="AR21" s="196">
        <f>IF(AQ21="","",AQ21-AQ$6)</f>
        <v>1.9943430875960001E-2</v>
      </c>
      <c r="AS21" s="196">
        <v>8.5491578402000001E-2</v>
      </c>
      <c r="AT21" s="196">
        <f>IF(AS21="","",AS21-AS$6)</f>
        <v>7.0765743347000004E-2</v>
      </c>
      <c r="AU21" s="196">
        <v>-4.0803804950000002E-4</v>
      </c>
      <c r="AV21" s="196">
        <f>IF(AU21="","",AU21-AU$6)</f>
        <v>1.2660544546499999E-2</v>
      </c>
      <c r="AW21" s="196">
        <v>6.1521726154999998E-2</v>
      </c>
      <c r="AX21" s="196">
        <f>IF(AW21="","",AW21-AW$6)</f>
        <v>3.7526658366999997E-2</v>
      </c>
      <c r="AY21" s="196">
        <v>4.5363722591000001E-2</v>
      </c>
      <c r="AZ21" s="196">
        <f>IF(AY21="","",AY21-AY$6)</f>
        <v>3.1121467801000002E-2</v>
      </c>
      <c r="BA21" s="196">
        <v>0.13232262378000001</v>
      </c>
      <c r="BB21" s="196">
        <f>IF(BA21="","",BA21-BA$6)</f>
        <v>7.8835659222000004E-2</v>
      </c>
      <c r="BC21" s="196">
        <v>0.30505920071999998</v>
      </c>
      <c r="BD21" s="196">
        <f>IF(BC21="","",BC21-BC$6)</f>
        <v>0.11075063422999998</v>
      </c>
      <c r="BE21" s="196"/>
      <c r="BF21" s="196" t="str">
        <f>IF(BE21="","",BE21-BE$6)</f>
        <v/>
      </c>
      <c r="BG21" s="196"/>
      <c r="BH21" s="196" t="str">
        <f>IF(BG21="","",BG21-BG$6)</f>
        <v/>
      </c>
      <c r="BI21" s="196"/>
      <c r="BJ21" s="196" t="str">
        <f>IF(BI21="","",BI21-BI$6)</f>
        <v/>
      </c>
      <c r="BK21" s="197">
        <v>7.2101244623999996</v>
      </c>
      <c r="BL21" s="115"/>
      <c r="BM21" s="198">
        <v>1.4223441692000001E-2</v>
      </c>
      <c r="BN21" s="191">
        <v>-1.4303383058E-2</v>
      </c>
      <c r="BO21" s="191">
        <v>4.4326743367000002E-2</v>
      </c>
      <c r="BP21" s="191">
        <v>-2.1835660970999999E-2</v>
      </c>
      <c r="BQ21" s="199">
        <v>8</v>
      </c>
      <c r="BR21" s="199">
        <v>4</v>
      </c>
      <c r="BS21" s="199">
        <v>6</v>
      </c>
      <c r="BT21" s="199">
        <v>6</v>
      </c>
      <c r="BU21" s="200">
        <v>0.29302831811000002</v>
      </c>
      <c r="BV21" s="200"/>
      <c r="BW21" s="191">
        <v>7.4525488279000001E-3</v>
      </c>
      <c r="BX21" s="191">
        <v>8.3777143517000004E-3</v>
      </c>
      <c r="BY21" s="189">
        <v>1.6075686443999999</v>
      </c>
      <c r="BZ21" s="191">
        <v>-3.4269202313999998E-2</v>
      </c>
      <c r="CA21" s="191">
        <v>-3.4269202313999998E-2</v>
      </c>
      <c r="CB21" s="182">
        <v>45358</v>
      </c>
      <c r="CC21" s="182">
        <v>45455</v>
      </c>
      <c r="CD21" s="201">
        <v>86</v>
      </c>
      <c r="CE21" s="202">
        <v>45483</v>
      </c>
      <c r="CF21" s="116"/>
    </row>
    <row r="22" spans="2:84" ht="15.6" x14ac:dyDescent="0.3">
      <c r="B22" s="110" t="s">
        <v>2200</v>
      </c>
      <c r="C22" s="147" t="s">
        <v>2585</v>
      </c>
      <c r="D22" s="148" t="s">
        <v>2848</v>
      </c>
      <c r="E22" s="148" t="s">
        <v>226</v>
      </c>
      <c r="F22" s="149">
        <v>194724000113</v>
      </c>
      <c r="G22" s="149" t="s">
        <v>2332</v>
      </c>
      <c r="H22" s="149" t="s">
        <v>388</v>
      </c>
      <c r="I22" s="150">
        <v>11</v>
      </c>
      <c r="J22" s="151" t="s">
        <v>107</v>
      </c>
      <c r="K22" s="151" t="s">
        <v>126</v>
      </c>
      <c r="L22" s="151" t="s">
        <v>125</v>
      </c>
      <c r="M22" s="151" t="s">
        <v>114</v>
      </c>
      <c r="N22" s="151" t="s">
        <v>109</v>
      </c>
      <c r="O22" s="152">
        <v>600000</v>
      </c>
      <c r="P22" s="153">
        <v>600000000</v>
      </c>
      <c r="Q22" s="153">
        <v>1000</v>
      </c>
      <c r="R22" s="154">
        <v>45366</v>
      </c>
      <c r="S22" s="154">
        <v>50479</v>
      </c>
      <c r="T22" s="155" t="s">
        <v>2817</v>
      </c>
      <c r="U22" s="155" t="s">
        <v>2714</v>
      </c>
      <c r="V22" s="154" t="s">
        <v>105</v>
      </c>
      <c r="W22" s="154" t="s">
        <v>102</v>
      </c>
      <c r="X22" s="154" t="s">
        <v>2474</v>
      </c>
      <c r="Y22" s="154">
        <v>48714</v>
      </c>
      <c r="Z22" s="156">
        <f>IFERROR(INDEX(Base!G:G,MATCH('Debêntures IPCA-Spread'!Y22,Base!F:F,0)),"")</f>
        <v>6.3373999999999997</v>
      </c>
      <c r="AA22" s="115"/>
      <c r="AB22" s="157">
        <v>45552</v>
      </c>
      <c r="AC22" s="158">
        <v>6.6947000000000001</v>
      </c>
      <c r="AD22" s="159">
        <f t="shared" si="0"/>
        <v>0.3573000000000004</v>
      </c>
      <c r="AE22" s="160">
        <v>0.02</v>
      </c>
      <c r="AF22" s="161">
        <v>6.8834</v>
      </c>
      <c r="AG22" s="161">
        <v>6.5824999999999996</v>
      </c>
      <c r="AH22" s="162">
        <v>1029.331322</v>
      </c>
      <c r="AI22" s="162"/>
      <c r="AJ22" s="163" t="str">
        <f t="shared" si="1"/>
        <v/>
      </c>
      <c r="AK22" s="164"/>
      <c r="AL22" s="165">
        <v>98.78</v>
      </c>
      <c r="AM22" s="166">
        <v>1655</v>
      </c>
      <c r="AN22" s="115"/>
      <c r="AO22" s="167">
        <v>1.2133338368E-3</v>
      </c>
      <c r="AP22" s="168">
        <f>IF(AO22="","",AO22-AO$6)</f>
        <v>7.3318895186999999E-4</v>
      </c>
      <c r="AQ22" s="168">
        <v>8.2029861550999997E-4</v>
      </c>
      <c r="AR22" s="168">
        <f>IF(AQ22="","",AQ22-AQ$6)</f>
        <v>1.0378053684699999E-3</v>
      </c>
      <c r="AS22" s="168"/>
      <c r="AT22" s="168" t="str">
        <f>IF(AS22="","",AS22-AS$6)</f>
        <v/>
      </c>
      <c r="AU22" s="168">
        <v>-1.1372638488000001E-2</v>
      </c>
      <c r="AV22" s="168">
        <f>IF(AU22="","",AU22-AU$6)</f>
        <v>1.6959441079999991E-3</v>
      </c>
      <c r="AW22" s="168">
        <v>4.9607150106000003E-2</v>
      </c>
      <c r="AX22" s="168">
        <f>IF(AW22="","",AW22-AW$6)</f>
        <v>2.5612082318000003E-2</v>
      </c>
      <c r="AY22" s="168"/>
      <c r="AZ22" s="168" t="str">
        <f>IF(AY22="","",AY22-AY$6)</f>
        <v/>
      </c>
      <c r="BA22" s="168"/>
      <c r="BB22" s="168" t="str">
        <f>IF(BA22="","",BA22-BA$6)</f>
        <v/>
      </c>
      <c r="BC22" s="168"/>
      <c r="BD22" s="168" t="str">
        <f>IF(BC22="","",BC22-BC$6)</f>
        <v/>
      </c>
      <c r="BE22" s="168"/>
      <c r="BF22" s="168" t="str">
        <f>IF(BE22="","",BE22-BE$6)</f>
        <v/>
      </c>
      <c r="BG22" s="168"/>
      <c r="BH22" s="168" t="str">
        <f>IF(BG22="","",BG22-BG$6)</f>
        <v/>
      </c>
      <c r="BI22" s="168"/>
      <c r="BJ22" s="168" t="str">
        <f>IF(BI22="","",BI22-BI$6)</f>
        <v/>
      </c>
      <c r="BK22" s="169"/>
      <c r="BL22" s="115"/>
      <c r="BM22" s="170">
        <v>9.2945889792000001E-3</v>
      </c>
      <c r="BN22" s="163">
        <v>-9.4333209090000005E-3</v>
      </c>
      <c r="BO22" s="163">
        <v>3.1879546320999999E-2</v>
      </c>
      <c r="BP22" s="163">
        <v>-1.0455555058000001E-2</v>
      </c>
      <c r="BQ22" s="171"/>
      <c r="BR22" s="171"/>
      <c r="BS22" s="171"/>
      <c r="BT22" s="171"/>
      <c r="BU22" s="172"/>
      <c r="BV22" s="172"/>
      <c r="BW22" s="163"/>
      <c r="BX22" s="163">
        <v>4.2630909527000002E-3</v>
      </c>
      <c r="BY22" s="161"/>
      <c r="BZ22" s="163">
        <v>-1.7808002696999999E-2</v>
      </c>
      <c r="CA22" s="163">
        <v>-1.9560782717999999E-2</v>
      </c>
      <c r="CB22" s="154">
        <v>45518</v>
      </c>
      <c r="CC22" s="154">
        <v>45538</v>
      </c>
      <c r="CD22" s="173"/>
      <c r="CE22" s="174"/>
      <c r="CF22" s="116"/>
    </row>
    <row r="23" spans="2:84" ht="15.6" x14ac:dyDescent="0.3">
      <c r="B23" s="98" t="s">
        <v>1392</v>
      </c>
      <c r="C23" s="175" t="s">
        <v>2038</v>
      </c>
      <c r="D23" s="176" t="s">
        <v>1891</v>
      </c>
      <c r="E23" s="176" t="s">
        <v>1147</v>
      </c>
      <c r="F23" s="177">
        <v>13642699000135</v>
      </c>
      <c r="G23" s="177" t="s">
        <v>1751</v>
      </c>
      <c r="H23" s="177" t="s">
        <v>388</v>
      </c>
      <c r="I23" s="178">
        <v>2</v>
      </c>
      <c r="J23" s="179" t="s">
        <v>107</v>
      </c>
      <c r="K23" s="179" t="s">
        <v>128</v>
      </c>
      <c r="L23" s="179" t="s">
        <v>1741</v>
      </c>
      <c r="M23" s="179" t="s">
        <v>128</v>
      </c>
      <c r="N23" s="179" t="s">
        <v>109</v>
      </c>
      <c r="O23" s="180">
        <v>120000</v>
      </c>
      <c r="P23" s="181">
        <v>120000000</v>
      </c>
      <c r="Q23" s="181">
        <v>1000</v>
      </c>
      <c r="R23" s="182">
        <v>44423</v>
      </c>
      <c r="S23" s="182">
        <v>46614</v>
      </c>
      <c r="T23" s="183" t="s">
        <v>1971</v>
      </c>
      <c r="U23" s="183" t="s">
        <v>1652</v>
      </c>
      <c r="V23" s="182" t="s">
        <v>194</v>
      </c>
      <c r="W23" s="182" t="s">
        <v>102</v>
      </c>
      <c r="X23" s="182" t="s">
        <v>1536</v>
      </c>
      <c r="Y23" s="182">
        <v>46249</v>
      </c>
      <c r="Z23" s="184">
        <f>IFERROR(INDEX(Base!G:G,MATCH('Debêntures IPCA-Spread'!Y23,Base!F:F,0)),"")</f>
        <v>6.5365000000000002</v>
      </c>
      <c r="AA23" s="115"/>
      <c r="AB23" s="185">
        <v>45552</v>
      </c>
      <c r="AC23" s="186">
        <v>6.9054000000000002</v>
      </c>
      <c r="AD23" s="187">
        <f t="shared" si="0"/>
        <v>0.36890000000000001</v>
      </c>
      <c r="AE23" s="188">
        <v>7.0000000000000007E-2</v>
      </c>
      <c r="AF23" s="189">
        <v>7.0930999999999997</v>
      </c>
      <c r="AG23" s="189">
        <v>6.7449000000000003</v>
      </c>
      <c r="AH23" s="190">
        <v>1188.9591029999999</v>
      </c>
      <c r="AI23" s="190">
        <v>1188.9591029999999</v>
      </c>
      <c r="AJ23" s="191">
        <f t="shared" si="1"/>
        <v>1</v>
      </c>
      <c r="AK23" s="192">
        <v>45552</v>
      </c>
      <c r="AL23" s="193">
        <v>99.77</v>
      </c>
      <c r="AM23" s="194">
        <v>452</v>
      </c>
      <c r="AN23" s="115"/>
      <c r="AO23" s="195">
        <v>8.1509808115000002E-4</v>
      </c>
      <c r="AP23" s="196">
        <f>IF(AO23="","",AO23-AO$6)</f>
        <v>3.3495319622000002E-4</v>
      </c>
      <c r="AQ23" s="196">
        <v>6.2010725342000004E-3</v>
      </c>
      <c r="AR23" s="196">
        <f>IF(AQ23="","",AQ23-AQ$6)</f>
        <v>6.4185792871600004E-3</v>
      </c>
      <c r="AS23" s="196">
        <v>7.1937314204E-2</v>
      </c>
      <c r="AT23" s="196">
        <f>IF(AS23="","",AS23-AS$6)</f>
        <v>5.7211479149000002E-2</v>
      </c>
      <c r="AU23" s="196">
        <v>2.9790946263999999E-3</v>
      </c>
      <c r="AV23" s="196">
        <f>IF(AU23="","",AU23-AU$6)</f>
        <v>1.6047677222400001E-2</v>
      </c>
      <c r="AW23" s="196">
        <v>2.5723896586000002E-2</v>
      </c>
      <c r="AX23" s="196">
        <f>IF(AW23="","",AW23-AW$6)</f>
        <v>1.7288287980000011E-3</v>
      </c>
      <c r="AY23" s="196">
        <v>3.7755703075000001E-2</v>
      </c>
      <c r="AZ23" s="196">
        <f>IF(AY23="","",AY23-AY$6)</f>
        <v>2.3513448285000002E-2</v>
      </c>
      <c r="BA23" s="196">
        <v>0.11240158799</v>
      </c>
      <c r="BB23" s="196">
        <f>IF(BA23="","",BA23-BA$6)</f>
        <v>5.8914623431999998E-2</v>
      </c>
      <c r="BC23" s="196">
        <v>0.24699150818999999</v>
      </c>
      <c r="BD23" s="196">
        <f>IF(BC23="","",BC23-BC$6)</f>
        <v>5.2682941699999986E-2</v>
      </c>
      <c r="BE23" s="196"/>
      <c r="BF23" s="196" t="str">
        <f>IF(BE23="","",BE23-BE$6)</f>
        <v/>
      </c>
      <c r="BG23" s="196"/>
      <c r="BH23" s="196" t="str">
        <f>IF(BG23="","",BG23-BG$6)</f>
        <v/>
      </c>
      <c r="BI23" s="196"/>
      <c r="BJ23" s="196" t="str">
        <f>IF(BI23="","",BI23-BI$6)</f>
        <v/>
      </c>
      <c r="BK23" s="197">
        <v>2.7640088022999998</v>
      </c>
      <c r="BL23" s="115"/>
      <c r="BM23" s="198">
        <v>8.377599308E-3</v>
      </c>
      <c r="BN23" s="191">
        <v>-6.9361084988000003E-3</v>
      </c>
      <c r="BO23" s="191">
        <v>2.2771451208999999E-2</v>
      </c>
      <c r="BP23" s="191">
        <v>-3.9014196581999999E-3</v>
      </c>
      <c r="BQ23" s="199">
        <v>11</v>
      </c>
      <c r="BR23" s="199">
        <v>1</v>
      </c>
      <c r="BS23" s="199">
        <v>8</v>
      </c>
      <c r="BT23" s="199">
        <v>4</v>
      </c>
      <c r="BU23" s="200">
        <v>3.418625594E-2</v>
      </c>
      <c r="BV23" s="200"/>
      <c r="BW23" s="191">
        <v>2.8565591963E-3</v>
      </c>
      <c r="BX23" s="191">
        <v>2.2895730994E-3</v>
      </c>
      <c r="BY23" s="189">
        <v>-0.24957831433</v>
      </c>
      <c r="BZ23" s="191">
        <v>-1.2657176242999999E-2</v>
      </c>
      <c r="CA23" s="191">
        <v>-1.2657176242999999E-2</v>
      </c>
      <c r="CB23" s="182">
        <v>45190</v>
      </c>
      <c r="CC23" s="182">
        <v>45222</v>
      </c>
      <c r="CD23" s="201">
        <v>29</v>
      </c>
      <c r="CE23" s="202">
        <v>45233</v>
      </c>
      <c r="CF23" s="116"/>
    </row>
    <row r="24" spans="2:84" ht="15.6" x14ac:dyDescent="0.3">
      <c r="B24" s="110" t="s">
        <v>1393</v>
      </c>
      <c r="C24" s="147" t="s">
        <v>2039</v>
      </c>
      <c r="D24" s="148" t="s">
        <v>1892</v>
      </c>
      <c r="E24" s="148" t="s">
        <v>231</v>
      </c>
      <c r="F24" s="149">
        <v>27157474000106</v>
      </c>
      <c r="G24" s="149" t="s">
        <v>1752</v>
      </c>
      <c r="H24" s="149" t="s">
        <v>388</v>
      </c>
      <c r="I24" s="150">
        <v>4</v>
      </c>
      <c r="J24" s="151">
        <v>1</v>
      </c>
      <c r="K24" s="151" t="s">
        <v>111</v>
      </c>
      <c r="L24" s="151" t="s">
        <v>112</v>
      </c>
      <c r="M24" s="151" t="s">
        <v>986</v>
      </c>
      <c r="N24" s="151" t="s">
        <v>109</v>
      </c>
      <c r="O24" s="152">
        <v>409317</v>
      </c>
      <c r="P24" s="153">
        <v>409317000</v>
      </c>
      <c r="Q24" s="153">
        <v>1000</v>
      </c>
      <c r="R24" s="154">
        <v>44696</v>
      </c>
      <c r="S24" s="154">
        <v>48349</v>
      </c>
      <c r="T24" s="155" t="s">
        <v>1970</v>
      </c>
      <c r="U24" s="155" t="s">
        <v>1653</v>
      </c>
      <c r="V24" s="154" t="s">
        <v>105</v>
      </c>
      <c r="W24" s="154" t="s">
        <v>102</v>
      </c>
      <c r="X24" s="154" t="s">
        <v>1537</v>
      </c>
      <c r="Y24" s="154">
        <v>47710</v>
      </c>
      <c r="Z24" s="156">
        <f>IFERROR(INDEX(Base!G:G,MATCH('Debêntures IPCA-Spread'!Y24,Base!F:F,0)),"")</f>
        <v>6.3273999999999999</v>
      </c>
      <c r="AA24" s="115"/>
      <c r="AB24" s="157">
        <v>45552</v>
      </c>
      <c r="AC24" s="158">
        <v>6.8358999999999996</v>
      </c>
      <c r="AD24" s="159">
        <f t="shared" si="0"/>
        <v>0.50849999999999973</v>
      </c>
      <c r="AE24" s="160">
        <v>0.05</v>
      </c>
      <c r="AF24" s="161">
        <v>7.0570000000000004</v>
      </c>
      <c r="AG24" s="161">
        <v>6.6722999999999999</v>
      </c>
      <c r="AH24" s="162">
        <v>1095.510935</v>
      </c>
      <c r="AI24" s="162">
        <v>1108.9903489999999</v>
      </c>
      <c r="AJ24" s="163">
        <f t="shared" si="1"/>
        <v>0.98784532794883695</v>
      </c>
      <c r="AK24" s="164">
        <v>45518</v>
      </c>
      <c r="AL24" s="165">
        <v>98.41</v>
      </c>
      <c r="AM24" s="166">
        <v>1346</v>
      </c>
      <c r="AN24" s="115"/>
      <c r="AO24" s="167">
        <v>2.7313895225000002E-4</v>
      </c>
      <c r="AP24" s="168">
        <f>IF(AO24="","",AO24-AO$6)</f>
        <v>-2.0700593267999998E-4</v>
      </c>
      <c r="AQ24" s="168">
        <v>1.6196984325E-4</v>
      </c>
      <c r="AR24" s="168">
        <f>IF(AQ24="","",AQ24-AQ$6)</f>
        <v>3.7947659621E-4</v>
      </c>
      <c r="AS24" s="168">
        <v>8.5616257049E-2</v>
      </c>
      <c r="AT24" s="168">
        <f>IF(AS24="","",AS24-AS$6)</f>
        <v>7.0890421994000002E-2</v>
      </c>
      <c r="AU24" s="168">
        <v>-6.4781458414000003E-3</v>
      </c>
      <c r="AV24" s="168">
        <f>IF(AU24="","",AU24-AU$6)</f>
        <v>6.5904367545999995E-3</v>
      </c>
      <c r="AW24" s="168">
        <v>3.5974768320000003E-2</v>
      </c>
      <c r="AX24" s="168">
        <f>IF(AW24="","",AW24-AW$6)</f>
        <v>1.1979700532000002E-2</v>
      </c>
      <c r="AY24" s="168">
        <v>3.4764347719999998E-2</v>
      </c>
      <c r="AZ24" s="168">
        <f>IF(AY24="","",AY24-AY$6)</f>
        <v>2.0522092929999999E-2</v>
      </c>
      <c r="BA24" s="168">
        <v>0.12567616952999999</v>
      </c>
      <c r="BB24" s="168">
        <f>IF(BA24="","",BA24-BA$6)</f>
        <v>7.2189204971999987E-2</v>
      </c>
      <c r="BC24" s="168"/>
      <c r="BD24" s="168" t="str">
        <f>IF(BC24="","",BC24-BC$6)</f>
        <v/>
      </c>
      <c r="BE24" s="168"/>
      <c r="BF24" s="168" t="str">
        <f>IF(BE24="","",BE24-BE$6)</f>
        <v/>
      </c>
      <c r="BG24" s="168"/>
      <c r="BH24" s="168" t="str">
        <f>IF(BG24="","",BG24-BG$6)</f>
        <v/>
      </c>
      <c r="BI24" s="168"/>
      <c r="BJ24" s="168" t="str">
        <f>IF(BI24="","",BI24-BI$6)</f>
        <v/>
      </c>
      <c r="BK24" s="169">
        <v>5.5154810667999996</v>
      </c>
      <c r="BL24" s="115"/>
      <c r="BM24" s="170">
        <v>1.9228034517999999E-2</v>
      </c>
      <c r="BN24" s="163">
        <v>-1.0261291552E-2</v>
      </c>
      <c r="BO24" s="163">
        <v>3.4711042487999999E-2</v>
      </c>
      <c r="BP24" s="163">
        <v>-2.2890784564999999E-2</v>
      </c>
      <c r="BQ24" s="171">
        <v>9</v>
      </c>
      <c r="BR24" s="171">
        <v>3</v>
      </c>
      <c r="BS24" s="171">
        <v>7</v>
      </c>
      <c r="BT24" s="171">
        <v>5</v>
      </c>
      <c r="BU24" s="172">
        <v>0.25429651176000001</v>
      </c>
      <c r="BV24" s="172"/>
      <c r="BW24" s="163">
        <v>5.7078041749000002E-3</v>
      </c>
      <c r="BX24" s="163">
        <v>4.8599803144999997E-3</v>
      </c>
      <c r="BY24" s="161">
        <v>1.0053518563999999</v>
      </c>
      <c r="BZ24" s="163">
        <v>-2.3765076715999998E-2</v>
      </c>
      <c r="CA24" s="163">
        <v>-2.3765076715999998E-2</v>
      </c>
      <c r="CB24" s="154">
        <v>45378</v>
      </c>
      <c r="CC24" s="154">
        <v>45412</v>
      </c>
      <c r="CD24" s="173">
        <v>70</v>
      </c>
      <c r="CE24" s="174">
        <v>45481</v>
      </c>
      <c r="CF24" s="116"/>
    </row>
    <row r="25" spans="2:84" ht="15.6" x14ac:dyDescent="0.3">
      <c r="B25" s="98" t="s">
        <v>1394</v>
      </c>
      <c r="C25" s="175" t="s">
        <v>2040</v>
      </c>
      <c r="D25" s="176" t="s">
        <v>1892</v>
      </c>
      <c r="E25" s="176" t="s">
        <v>231</v>
      </c>
      <c r="F25" s="177">
        <v>27157474000106</v>
      </c>
      <c r="G25" s="177" t="s">
        <v>1753</v>
      </c>
      <c r="H25" s="177" t="s">
        <v>388</v>
      </c>
      <c r="I25" s="178">
        <v>4</v>
      </c>
      <c r="J25" s="179">
        <v>2</v>
      </c>
      <c r="K25" s="179" t="s">
        <v>111</v>
      </c>
      <c r="L25" s="179" t="s">
        <v>112</v>
      </c>
      <c r="M25" s="179" t="s">
        <v>986</v>
      </c>
      <c r="N25" s="179" t="s">
        <v>109</v>
      </c>
      <c r="O25" s="180">
        <v>190683</v>
      </c>
      <c r="P25" s="181">
        <v>190683000</v>
      </c>
      <c r="Q25" s="181">
        <v>1000</v>
      </c>
      <c r="R25" s="182">
        <v>44696</v>
      </c>
      <c r="S25" s="182">
        <v>50175</v>
      </c>
      <c r="T25" s="183" t="s">
        <v>1970</v>
      </c>
      <c r="U25" s="183" t="s">
        <v>1654</v>
      </c>
      <c r="V25" s="182" t="s">
        <v>105</v>
      </c>
      <c r="W25" s="182" t="s">
        <v>102</v>
      </c>
      <c r="X25" s="182" t="s">
        <v>1538</v>
      </c>
      <c r="Y25" s="182">
        <v>49444</v>
      </c>
      <c r="Z25" s="184">
        <f>IFERROR(INDEX(Base!G:G,MATCH('Debêntures IPCA-Spread'!Y25,Base!F:F,0)),"")</f>
        <v>6.3137999999999996</v>
      </c>
      <c r="AA25" s="115"/>
      <c r="AB25" s="185">
        <v>45552</v>
      </c>
      <c r="AC25" s="186">
        <v>7.0235000000000003</v>
      </c>
      <c r="AD25" s="187">
        <f t="shared" si="0"/>
        <v>0.70970000000000066</v>
      </c>
      <c r="AE25" s="188">
        <v>0.05</v>
      </c>
      <c r="AF25" s="189">
        <v>7.1916000000000002</v>
      </c>
      <c r="AG25" s="189">
        <v>6.8506</v>
      </c>
      <c r="AH25" s="190">
        <v>1101.0463689999999</v>
      </c>
      <c r="AI25" s="190">
        <v>1124.880271</v>
      </c>
      <c r="AJ25" s="191">
        <f t="shared" si="1"/>
        <v>0.97881205438974217</v>
      </c>
      <c r="AK25" s="192">
        <v>45519</v>
      </c>
      <c r="AL25" s="193">
        <v>98.8</v>
      </c>
      <c r="AM25" s="194">
        <v>1891</v>
      </c>
      <c r="AN25" s="115"/>
      <c r="AO25" s="195">
        <v>-1.8215925301999999E-3</v>
      </c>
      <c r="AP25" s="196">
        <f>IF(AO25="","",AO25-AO$6)</f>
        <v>-2.3017374151299997E-3</v>
      </c>
      <c r="AQ25" s="196">
        <v>-1.5497308505000001E-4</v>
      </c>
      <c r="AR25" s="196">
        <f>IF(AQ25="","",AQ25-AQ$6)</f>
        <v>6.2533667909999991E-5</v>
      </c>
      <c r="AS25" s="196">
        <v>9.5076110251999996E-2</v>
      </c>
      <c r="AT25" s="196">
        <f>IF(AS25="","",AS25-AS$6)</f>
        <v>8.0350275196999998E-2</v>
      </c>
      <c r="AU25" s="196">
        <v>-2.0323536885999999E-2</v>
      </c>
      <c r="AV25" s="196">
        <f>IF(AU25="","",AU25-AU$6)</f>
        <v>-7.2549542899999989E-3</v>
      </c>
      <c r="AW25" s="196">
        <v>5.6176257437999998E-2</v>
      </c>
      <c r="AX25" s="196">
        <f>IF(AW25="","",AW25-AW$6)</f>
        <v>3.2181189649999997E-2</v>
      </c>
      <c r="AY25" s="196">
        <v>3.1563780489E-2</v>
      </c>
      <c r="AZ25" s="196">
        <f>IF(AY25="","",AY25-AY$6)</f>
        <v>1.7321525699000001E-2</v>
      </c>
      <c r="BA25" s="196">
        <v>0.13677725827000001</v>
      </c>
      <c r="BB25" s="196">
        <f>IF(BA25="","",BA25-BA$6)</f>
        <v>8.3290293712000002E-2</v>
      </c>
      <c r="BC25" s="196"/>
      <c r="BD25" s="196" t="str">
        <f>IF(BC25="","",BC25-BC$6)</f>
        <v/>
      </c>
      <c r="BE25" s="196"/>
      <c r="BF25" s="196" t="str">
        <f>IF(BE25="","",BE25-BE$6)</f>
        <v/>
      </c>
      <c r="BG25" s="196"/>
      <c r="BH25" s="196" t="str">
        <f>IF(BG25="","",BG25-BG$6)</f>
        <v/>
      </c>
      <c r="BI25" s="196"/>
      <c r="BJ25" s="196" t="str">
        <f>IF(BI25="","",BI25-BI$6)</f>
        <v/>
      </c>
      <c r="BK25" s="197">
        <v>7.3354120034000001</v>
      </c>
      <c r="BL25" s="115"/>
      <c r="BM25" s="198">
        <v>2.3828078807000001E-2</v>
      </c>
      <c r="BN25" s="191">
        <v>-1.4870762544999999E-2</v>
      </c>
      <c r="BO25" s="191">
        <v>5.2562682684000002E-2</v>
      </c>
      <c r="BP25" s="191">
        <v>-3.3087458302000002E-2</v>
      </c>
      <c r="BQ25" s="199">
        <v>8</v>
      </c>
      <c r="BR25" s="199">
        <v>4</v>
      </c>
      <c r="BS25" s="199">
        <v>6</v>
      </c>
      <c r="BT25" s="199">
        <v>6</v>
      </c>
      <c r="BU25" s="200">
        <v>0.34362841275</v>
      </c>
      <c r="BV25" s="200"/>
      <c r="BW25" s="191">
        <v>7.5920041949999999E-3</v>
      </c>
      <c r="BX25" s="191">
        <v>5.8304115493000002E-3</v>
      </c>
      <c r="BY25" s="189">
        <v>1.994208572</v>
      </c>
      <c r="BZ25" s="191">
        <v>-3.3508223231000001E-2</v>
      </c>
      <c r="CA25" s="191">
        <v>-3.3508223231000001E-2</v>
      </c>
      <c r="CB25" s="182">
        <v>45370</v>
      </c>
      <c r="CC25" s="182">
        <v>45412</v>
      </c>
      <c r="CD25" s="201">
        <v>78</v>
      </c>
      <c r="CE25" s="202">
        <v>45483</v>
      </c>
      <c r="CF25" s="116"/>
    </row>
    <row r="26" spans="2:84" ht="15.6" x14ac:dyDescent="0.3">
      <c r="B26" s="110" t="s">
        <v>1395</v>
      </c>
      <c r="C26" s="147" t="s">
        <v>2041</v>
      </c>
      <c r="D26" s="148" t="s">
        <v>1893</v>
      </c>
      <c r="E26" s="148" t="s">
        <v>231</v>
      </c>
      <c r="F26" s="149">
        <v>42310775000103</v>
      </c>
      <c r="G26" s="149" t="s">
        <v>1754</v>
      </c>
      <c r="H26" s="149" t="s">
        <v>388</v>
      </c>
      <c r="I26" s="150">
        <v>2</v>
      </c>
      <c r="J26" s="151">
        <v>1</v>
      </c>
      <c r="K26" s="151" t="s">
        <v>111</v>
      </c>
      <c r="L26" s="151" t="s">
        <v>112</v>
      </c>
      <c r="M26" s="151" t="s">
        <v>986</v>
      </c>
      <c r="N26" s="151" t="s">
        <v>109</v>
      </c>
      <c r="O26" s="152">
        <v>166991706</v>
      </c>
      <c r="P26" s="153">
        <v>1669917060</v>
      </c>
      <c r="Q26" s="153">
        <v>10</v>
      </c>
      <c r="R26" s="154">
        <v>45122</v>
      </c>
      <c r="S26" s="154">
        <v>48959</v>
      </c>
      <c r="T26" s="155" t="s">
        <v>1972</v>
      </c>
      <c r="U26" s="155" t="s">
        <v>1655</v>
      </c>
      <c r="V26" s="154" t="s">
        <v>194</v>
      </c>
      <c r="W26" s="154" t="s">
        <v>102</v>
      </c>
      <c r="X26" s="154" t="s">
        <v>1331</v>
      </c>
      <c r="Y26" s="154">
        <v>47710</v>
      </c>
      <c r="Z26" s="156">
        <f>IFERROR(INDEX(Base!G:G,MATCH('Debêntures IPCA-Spread'!Y26,Base!F:F,0)),"")</f>
        <v>6.3273999999999999</v>
      </c>
      <c r="AA26" s="115"/>
      <c r="AB26" s="157">
        <v>45552</v>
      </c>
      <c r="AC26" s="158">
        <v>7.5698999999999996</v>
      </c>
      <c r="AD26" s="159">
        <f t="shared" si="0"/>
        <v>1.2424999999999997</v>
      </c>
      <c r="AE26" s="160">
        <v>0.11</v>
      </c>
      <c r="AF26" s="161">
        <v>7.8738000000000001</v>
      </c>
      <c r="AG26" s="161">
        <v>7.4885999999999999</v>
      </c>
      <c r="AH26" s="162">
        <v>10.227957999999999</v>
      </c>
      <c r="AI26" s="162">
        <v>10.298971999999999</v>
      </c>
      <c r="AJ26" s="163">
        <f t="shared" si="1"/>
        <v>0.99310474870695831</v>
      </c>
      <c r="AK26" s="164">
        <v>45518</v>
      </c>
      <c r="AL26" s="165">
        <v>96.66</v>
      </c>
      <c r="AM26" s="166">
        <v>1366</v>
      </c>
      <c r="AN26" s="115"/>
      <c r="AO26" s="167">
        <v>4.3847249235E-3</v>
      </c>
      <c r="AP26" s="168">
        <f>IF(AO26="","",AO26-AO$6)</f>
        <v>3.90458003857E-3</v>
      </c>
      <c r="AQ26" s="168">
        <v>8.2742312134000007E-3</v>
      </c>
      <c r="AR26" s="168">
        <f>IF(AQ26="","",AQ26-AQ$6)</f>
        <v>8.4917379663599999E-3</v>
      </c>
      <c r="AS26" s="168">
        <v>4.8921514444000003E-2</v>
      </c>
      <c r="AT26" s="168">
        <f>IF(AS26="","",AS26-AS$6)</f>
        <v>3.4195679389000005E-2</v>
      </c>
      <c r="AU26" s="168">
        <v>-4.3082245273999998E-3</v>
      </c>
      <c r="AV26" s="168">
        <f>IF(AU26="","",AU26-AU$6)</f>
        <v>8.7603580686E-3</v>
      </c>
      <c r="AW26" s="168">
        <v>4.3562114317000002E-2</v>
      </c>
      <c r="AX26" s="168">
        <f>IF(AW26="","",AW26-AW$6)</f>
        <v>1.9567046529000001E-2</v>
      </c>
      <c r="AY26" s="168">
        <v>2.187130327E-2</v>
      </c>
      <c r="AZ26" s="168">
        <f>IF(AY26="","",AY26-AY$6)</f>
        <v>7.6290484799999992E-3</v>
      </c>
      <c r="BA26" s="168">
        <v>8.7614443365999994E-2</v>
      </c>
      <c r="BB26" s="168">
        <f>IF(BA26="","",BA26-BA$6)</f>
        <v>3.4127478807999996E-2</v>
      </c>
      <c r="BC26" s="168"/>
      <c r="BD26" s="168" t="str">
        <f>IF(BC26="","",BC26-BC$6)</f>
        <v/>
      </c>
      <c r="BE26" s="168"/>
      <c r="BF26" s="168" t="str">
        <f>IF(BE26="","",BE26-BE$6)</f>
        <v/>
      </c>
      <c r="BG26" s="168"/>
      <c r="BH26" s="168" t="str">
        <f>IF(BG26="","",BG26-BG$6)</f>
        <v/>
      </c>
      <c r="BI26" s="168"/>
      <c r="BJ26" s="168" t="str">
        <f>IF(BI26="","",BI26-BI$6)</f>
        <v/>
      </c>
      <c r="BK26" s="169">
        <v>4.8202692650000003</v>
      </c>
      <c r="BL26" s="115"/>
      <c r="BM26" s="170">
        <v>9.4038239112999994E-3</v>
      </c>
      <c r="BN26" s="163">
        <v>-7.9068633295000003E-3</v>
      </c>
      <c r="BO26" s="163">
        <v>3.2225158890000001E-2</v>
      </c>
      <c r="BP26" s="163">
        <v>-2.1503483948000002E-2</v>
      </c>
      <c r="BQ26" s="171">
        <v>9</v>
      </c>
      <c r="BR26" s="171">
        <v>3</v>
      </c>
      <c r="BS26" s="171">
        <v>5</v>
      </c>
      <c r="BT26" s="171">
        <v>7</v>
      </c>
      <c r="BU26" s="172">
        <v>-0.42739944907999999</v>
      </c>
      <c r="BV26" s="172"/>
      <c r="BW26" s="163">
        <v>4.9804838402999997E-3</v>
      </c>
      <c r="BX26" s="163">
        <v>4.5137266632000001E-3</v>
      </c>
      <c r="BY26" s="161">
        <v>-2.9802526449000002</v>
      </c>
      <c r="BZ26" s="163">
        <v>-2.9293365070000001E-2</v>
      </c>
      <c r="CA26" s="163">
        <v>-2.9293365070000001E-2</v>
      </c>
      <c r="CB26" s="154">
        <v>45364</v>
      </c>
      <c r="CC26" s="154">
        <v>45474</v>
      </c>
      <c r="CD26" s="173">
        <v>99</v>
      </c>
      <c r="CE26" s="174">
        <v>45506</v>
      </c>
      <c r="CF26" s="116"/>
    </row>
    <row r="27" spans="2:84" ht="15.6" x14ac:dyDescent="0.3">
      <c r="B27" s="98" t="s">
        <v>1396</v>
      </c>
      <c r="C27" s="175" t="s">
        <v>2042</v>
      </c>
      <c r="D27" s="176" t="s">
        <v>1893</v>
      </c>
      <c r="E27" s="176" t="s">
        <v>231</v>
      </c>
      <c r="F27" s="177">
        <v>42310775000103</v>
      </c>
      <c r="G27" s="177" t="s">
        <v>1755</v>
      </c>
      <c r="H27" s="177" t="s">
        <v>388</v>
      </c>
      <c r="I27" s="178">
        <v>2</v>
      </c>
      <c r="J27" s="179">
        <v>2</v>
      </c>
      <c r="K27" s="179" t="s">
        <v>111</v>
      </c>
      <c r="L27" s="179" t="s">
        <v>112</v>
      </c>
      <c r="M27" s="179" t="s">
        <v>986</v>
      </c>
      <c r="N27" s="179" t="s">
        <v>109</v>
      </c>
      <c r="O27" s="180">
        <v>182217294</v>
      </c>
      <c r="P27" s="181">
        <v>1822172940</v>
      </c>
      <c r="Q27" s="181">
        <v>10</v>
      </c>
      <c r="R27" s="182">
        <v>45122</v>
      </c>
      <c r="S27" s="182">
        <v>51881</v>
      </c>
      <c r="T27" s="183" t="s">
        <v>1972</v>
      </c>
      <c r="U27" s="183" t="s">
        <v>1656</v>
      </c>
      <c r="V27" s="182" t="s">
        <v>194</v>
      </c>
      <c r="W27" s="182" t="s">
        <v>102</v>
      </c>
      <c r="X27" s="182" t="s">
        <v>1539</v>
      </c>
      <c r="Y27" s="182">
        <v>49444</v>
      </c>
      <c r="Z27" s="184">
        <f>IFERROR(INDEX(Base!G:G,MATCH('Debêntures IPCA-Spread'!Y27,Base!F:F,0)),"")</f>
        <v>6.3137999999999996</v>
      </c>
      <c r="AA27" s="115"/>
      <c r="AB27" s="185">
        <v>45552</v>
      </c>
      <c r="AC27" s="186">
        <v>7.9718999999999998</v>
      </c>
      <c r="AD27" s="187">
        <f t="shared" si="0"/>
        <v>1.6581000000000001</v>
      </c>
      <c r="AE27" s="188">
        <v>7.0000000000000007E-2</v>
      </c>
      <c r="AF27" s="189">
        <v>8.1961999999999993</v>
      </c>
      <c r="AG27" s="189">
        <v>7.7548000000000004</v>
      </c>
      <c r="AH27" s="190">
        <v>9.9303089999999994</v>
      </c>
      <c r="AI27" s="190">
        <v>10.203025</v>
      </c>
      <c r="AJ27" s="191">
        <f t="shared" si="1"/>
        <v>0.9732710642186998</v>
      </c>
      <c r="AK27" s="192">
        <v>45517</v>
      </c>
      <c r="AL27" s="193">
        <v>93.8</v>
      </c>
      <c r="AM27" s="194">
        <v>2224</v>
      </c>
      <c r="AN27" s="115"/>
      <c r="AO27" s="195">
        <v>4.6384614506999998E-4</v>
      </c>
      <c r="AP27" s="196">
        <f>IF(AO27="","",AO27-AO$6)</f>
        <v>-1.6298739860000019E-5</v>
      </c>
      <c r="AQ27" s="196">
        <v>-8.7311794540999993E-3</v>
      </c>
      <c r="AR27" s="196">
        <f>IF(AQ27="","",AQ27-AQ$6)</f>
        <v>-8.5136727011400001E-3</v>
      </c>
      <c r="AS27" s="196">
        <v>1.7523177655999998E-2</v>
      </c>
      <c r="AT27" s="196">
        <f>IF(AS27="","",AS27-AS$6)</f>
        <v>2.7973426009999976E-3</v>
      </c>
      <c r="AU27" s="196">
        <v>-2.1865308839000001E-2</v>
      </c>
      <c r="AV27" s="196">
        <f>IF(AU27="","",AU27-AU$6)</f>
        <v>-8.7967262430000016E-3</v>
      </c>
      <c r="AW27" s="196">
        <v>4.3403359457000003E-2</v>
      </c>
      <c r="AX27" s="196">
        <f>IF(AW27="","",AW27-AW$6)</f>
        <v>1.9408291669000002E-2</v>
      </c>
      <c r="AY27" s="196">
        <v>-1.0317761981E-2</v>
      </c>
      <c r="AZ27" s="196">
        <f>IF(AY27="","",AY27-AY$6)</f>
        <v>-2.4560016771E-2</v>
      </c>
      <c r="BA27" s="196">
        <v>6.2113601280999998E-2</v>
      </c>
      <c r="BB27" s="196">
        <f>IF(BA27="","",BA27-BA$6)</f>
        <v>8.6266367230000002E-3</v>
      </c>
      <c r="BC27" s="196"/>
      <c r="BD27" s="196" t="str">
        <f>IF(BC27="","",BC27-BC$6)</f>
        <v/>
      </c>
      <c r="BE27" s="196"/>
      <c r="BF27" s="196" t="str">
        <f>IF(BE27="","",BE27-BE$6)</f>
        <v/>
      </c>
      <c r="BG27" s="196"/>
      <c r="BH27" s="196" t="str">
        <f>IF(BG27="","",BG27-BG$6)</f>
        <v/>
      </c>
      <c r="BI27" s="196"/>
      <c r="BJ27" s="196" t="str">
        <f>IF(BI27="","",BI27-BI$6)</f>
        <v/>
      </c>
      <c r="BK27" s="197">
        <v>8.1930034225000004</v>
      </c>
      <c r="BL27" s="115"/>
      <c r="BM27" s="198">
        <v>1.7608282546000002E-2</v>
      </c>
      <c r="BN27" s="191">
        <v>-1.9084612524999999E-2</v>
      </c>
      <c r="BO27" s="191">
        <v>3.8125970267999999E-2</v>
      </c>
      <c r="BP27" s="191">
        <v>-3.8122752521000003E-2</v>
      </c>
      <c r="BQ27" s="199">
        <v>7</v>
      </c>
      <c r="BR27" s="199">
        <v>5</v>
      </c>
      <c r="BS27" s="199">
        <v>6</v>
      </c>
      <c r="BT27" s="199">
        <v>6</v>
      </c>
      <c r="BU27" s="200">
        <v>-0.50628161475</v>
      </c>
      <c r="BV27" s="200"/>
      <c r="BW27" s="191">
        <v>8.4642613792000002E-3</v>
      </c>
      <c r="BX27" s="191">
        <v>7.3758103496E-3</v>
      </c>
      <c r="BY27" s="189">
        <v>-5.6181735820999998</v>
      </c>
      <c r="BZ27" s="191">
        <v>-7.1193449467E-2</v>
      </c>
      <c r="CA27" s="191">
        <v>-7.1193449467E-2</v>
      </c>
      <c r="CB27" s="182">
        <v>45343</v>
      </c>
      <c r="CC27" s="182">
        <v>45456</v>
      </c>
      <c r="CD27" s="201">
        <v>121</v>
      </c>
      <c r="CE27" s="202">
        <v>45517</v>
      </c>
      <c r="CF27" s="116"/>
    </row>
    <row r="28" spans="2:84" ht="15.6" x14ac:dyDescent="0.3">
      <c r="B28" s="110" t="s">
        <v>2201</v>
      </c>
      <c r="C28" s="147" t="s">
        <v>2586</v>
      </c>
      <c r="D28" s="148" t="s">
        <v>1893</v>
      </c>
      <c r="E28" s="148" t="s">
        <v>231</v>
      </c>
      <c r="F28" s="149">
        <v>42310775000103</v>
      </c>
      <c r="G28" s="149" t="s">
        <v>2333</v>
      </c>
      <c r="H28" s="149" t="s">
        <v>388</v>
      </c>
      <c r="I28" s="150">
        <v>4</v>
      </c>
      <c r="J28" s="151">
        <v>1</v>
      </c>
      <c r="K28" s="151" t="s">
        <v>111</v>
      </c>
      <c r="L28" s="151" t="s">
        <v>2466</v>
      </c>
      <c r="M28" s="151" t="s">
        <v>986</v>
      </c>
      <c r="N28" s="151" t="s">
        <v>109</v>
      </c>
      <c r="O28" s="152">
        <v>615440144</v>
      </c>
      <c r="P28" s="153">
        <v>615440144</v>
      </c>
      <c r="Q28" s="153">
        <v>1</v>
      </c>
      <c r="R28" s="154">
        <v>45366</v>
      </c>
      <c r="S28" s="154">
        <v>49202</v>
      </c>
      <c r="T28" s="155" t="s">
        <v>2818</v>
      </c>
      <c r="U28" s="155" t="s">
        <v>2714</v>
      </c>
      <c r="V28" s="154" t="s">
        <v>194</v>
      </c>
      <c r="W28" s="154" t="s">
        <v>102</v>
      </c>
      <c r="X28" s="154" t="s">
        <v>2475</v>
      </c>
      <c r="Y28" s="154">
        <v>48441</v>
      </c>
      <c r="Z28" s="156">
        <f>IFERROR(INDEX(Base!G:G,MATCH('Debêntures IPCA-Spread'!Y28,Base!F:F,0)),"")</f>
        <v>6.3467000000000002</v>
      </c>
      <c r="AA28" s="115"/>
      <c r="AB28" s="157">
        <v>45552</v>
      </c>
      <c r="AC28" s="158">
        <v>7.7081</v>
      </c>
      <c r="AD28" s="159">
        <f t="shared" si="0"/>
        <v>1.3613999999999997</v>
      </c>
      <c r="AE28" s="160">
        <v>0.13</v>
      </c>
      <c r="AF28" s="161">
        <v>7.9471999999999996</v>
      </c>
      <c r="AG28" s="161">
        <v>7.6538000000000004</v>
      </c>
      <c r="AH28" s="162">
        <v>0.99625600000000003</v>
      </c>
      <c r="AI28" s="162"/>
      <c r="AJ28" s="163" t="str">
        <f t="shared" si="1"/>
        <v/>
      </c>
      <c r="AK28" s="164"/>
      <c r="AL28" s="165">
        <v>98.12</v>
      </c>
      <c r="AM28" s="166">
        <v>1471</v>
      </c>
      <c r="AN28" s="115"/>
      <c r="AO28" s="167">
        <v>4.6447839467999999E-3</v>
      </c>
      <c r="AP28" s="168">
        <f>IF(AO28="","",AO28-AO$6)</f>
        <v>4.1646390618699999E-3</v>
      </c>
      <c r="AQ28" s="168">
        <v>1.8031766540000001E-3</v>
      </c>
      <c r="AR28" s="168">
        <f>IF(AQ28="","",AQ28-AQ$6)</f>
        <v>2.0206834069600001E-3</v>
      </c>
      <c r="AS28" s="168"/>
      <c r="AT28" s="168" t="str">
        <f>IF(AS28="","",AS28-AS$6)</f>
        <v/>
      </c>
      <c r="AU28" s="168">
        <v>-4.6386462436000002E-3</v>
      </c>
      <c r="AV28" s="168">
        <f>IF(AU28="","",AU28-AU$6)</f>
        <v>8.4299363524000005E-3</v>
      </c>
      <c r="AW28" s="168">
        <v>3.8601627546000002E-2</v>
      </c>
      <c r="AX28" s="168">
        <f>IF(AW28="","",AW28-AW$6)</f>
        <v>1.4606559758000001E-2</v>
      </c>
      <c r="AY28" s="168"/>
      <c r="AZ28" s="168" t="str">
        <f>IF(AY28="","",AY28-AY$6)</f>
        <v/>
      </c>
      <c r="BA28" s="168"/>
      <c r="BB28" s="168" t="str">
        <f>IF(BA28="","",BA28-BA$6)</f>
        <v/>
      </c>
      <c r="BC28" s="168"/>
      <c r="BD28" s="168" t="str">
        <f>IF(BC28="","",BC28-BC$6)</f>
        <v/>
      </c>
      <c r="BE28" s="168"/>
      <c r="BF28" s="168" t="str">
        <f>IF(BE28="","",BE28-BE$6)</f>
        <v/>
      </c>
      <c r="BG28" s="168"/>
      <c r="BH28" s="168" t="str">
        <f>IF(BG28="","",BG28-BG$6)</f>
        <v/>
      </c>
      <c r="BI28" s="168"/>
      <c r="BJ28" s="168" t="str">
        <f>IF(BI28="","",BI28-BI$6)</f>
        <v/>
      </c>
      <c r="BK28" s="169"/>
      <c r="BL28" s="115"/>
      <c r="BM28" s="170">
        <v>1.1663695306E-2</v>
      </c>
      <c r="BN28" s="163">
        <v>-9.0066307903000006E-3</v>
      </c>
      <c r="BO28" s="163">
        <v>2.4877407614000001E-2</v>
      </c>
      <c r="BP28" s="163">
        <v>-8.9480751112000004E-3</v>
      </c>
      <c r="BQ28" s="171"/>
      <c r="BR28" s="171"/>
      <c r="BS28" s="171"/>
      <c r="BT28" s="171"/>
      <c r="BU28" s="172"/>
      <c r="BV28" s="172"/>
      <c r="BW28" s="163"/>
      <c r="BX28" s="163">
        <v>5.4151742135999997E-3</v>
      </c>
      <c r="BY28" s="161"/>
      <c r="BZ28" s="163">
        <v>-1.8180056189E-2</v>
      </c>
      <c r="CA28" s="163">
        <v>-1.8180056189E-2</v>
      </c>
      <c r="CB28" s="154">
        <v>45433</v>
      </c>
      <c r="CC28" s="154">
        <v>45474</v>
      </c>
      <c r="CD28" s="173">
        <v>32</v>
      </c>
      <c r="CE28" s="174">
        <v>45478</v>
      </c>
      <c r="CF28" s="116"/>
    </row>
    <row r="29" spans="2:84" ht="15.6" x14ac:dyDescent="0.3">
      <c r="B29" s="98" t="s">
        <v>2202</v>
      </c>
      <c r="C29" s="175" t="s">
        <v>2587</v>
      </c>
      <c r="D29" s="176" t="s">
        <v>1893</v>
      </c>
      <c r="E29" s="176" t="s">
        <v>231</v>
      </c>
      <c r="F29" s="177">
        <v>42310775000103</v>
      </c>
      <c r="G29" s="177" t="s">
        <v>2334</v>
      </c>
      <c r="H29" s="177" t="s">
        <v>388</v>
      </c>
      <c r="I29" s="178">
        <v>4</v>
      </c>
      <c r="J29" s="179">
        <v>2</v>
      </c>
      <c r="K29" s="179" t="s">
        <v>111</v>
      </c>
      <c r="L29" s="179" t="s">
        <v>2466</v>
      </c>
      <c r="M29" s="179" t="s">
        <v>986</v>
      </c>
      <c r="N29" s="179" t="s">
        <v>109</v>
      </c>
      <c r="O29" s="180">
        <v>671554600</v>
      </c>
      <c r="P29" s="181">
        <v>671554600</v>
      </c>
      <c r="Q29" s="181">
        <v>1</v>
      </c>
      <c r="R29" s="182">
        <v>45366</v>
      </c>
      <c r="S29" s="182">
        <v>52124</v>
      </c>
      <c r="T29" s="183" t="s">
        <v>2818</v>
      </c>
      <c r="U29" s="183" t="s">
        <v>2715</v>
      </c>
      <c r="V29" s="182" t="s">
        <v>194</v>
      </c>
      <c r="W29" s="182" t="s">
        <v>102</v>
      </c>
      <c r="X29" s="182" t="s">
        <v>2476</v>
      </c>
      <c r="Y29" s="182">
        <v>49444</v>
      </c>
      <c r="Z29" s="184">
        <f>IFERROR(INDEX(Base!G:G,MATCH('Debêntures IPCA-Spread'!Y29,Base!F:F,0)),"")</f>
        <v>6.3137999999999996</v>
      </c>
      <c r="AA29" s="115"/>
      <c r="AB29" s="185">
        <v>45552</v>
      </c>
      <c r="AC29" s="186">
        <v>8.0939999999999994</v>
      </c>
      <c r="AD29" s="187">
        <f t="shared" si="0"/>
        <v>1.7801999999999998</v>
      </c>
      <c r="AE29" s="188">
        <v>0.1</v>
      </c>
      <c r="AF29" s="189">
        <v>8.2378999999999998</v>
      </c>
      <c r="AG29" s="189">
        <v>8.0022000000000002</v>
      </c>
      <c r="AH29" s="190">
        <v>0.98159200000000002</v>
      </c>
      <c r="AI29" s="190"/>
      <c r="AJ29" s="191" t="str">
        <f t="shared" si="1"/>
        <v/>
      </c>
      <c r="AK29" s="192"/>
      <c r="AL29" s="193">
        <v>96.67</v>
      </c>
      <c r="AM29" s="194">
        <v>2273</v>
      </c>
      <c r="AN29" s="115"/>
      <c r="AO29" s="195">
        <v>1.4609859608E-3</v>
      </c>
      <c r="AP29" s="196">
        <f>IF(AO29="","",AO29-AO$6)</f>
        <v>9.8084107587000004E-4</v>
      </c>
      <c r="AQ29" s="196">
        <v>-3.3538174556999999E-4</v>
      </c>
      <c r="AR29" s="196">
        <f>IF(AQ29="","",AQ29-AQ$6)</f>
        <v>-1.1787499260999999E-4</v>
      </c>
      <c r="AS29" s="196"/>
      <c r="AT29" s="196" t="str">
        <f>IF(AS29="","",AS29-AS$6)</f>
        <v/>
      </c>
      <c r="AU29" s="196">
        <v>-2.1747449658E-2</v>
      </c>
      <c r="AV29" s="196">
        <f>IF(AU29="","",AU29-AU$6)</f>
        <v>-8.6788670620000005E-3</v>
      </c>
      <c r="AW29" s="196">
        <v>3.4734982742999999E-2</v>
      </c>
      <c r="AX29" s="196">
        <f>IF(AW29="","",AW29-AW$6)</f>
        <v>1.0739914954999999E-2</v>
      </c>
      <c r="AY29" s="196"/>
      <c r="AZ29" s="196" t="str">
        <f>IF(AY29="","",AY29-AY$6)</f>
        <v/>
      </c>
      <c r="BA29" s="196"/>
      <c r="BB29" s="196" t="str">
        <f>IF(BA29="","",BA29-BA$6)</f>
        <v/>
      </c>
      <c r="BC29" s="196"/>
      <c r="BD29" s="196" t="str">
        <f>IF(BC29="","",BC29-BC$6)</f>
        <v/>
      </c>
      <c r="BE29" s="196"/>
      <c r="BF29" s="196" t="str">
        <f>IF(BE29="","",BE29-BE$6)</f>
        <v/>
      </c>
      <c r="BG29" s="196"/>
      <c r="BH29" s="196" t="str">
        <f>IF(BG29="","",BG29-BG$6)</f>
        <v/>
      </c>
      <c r="BI29" s="196"/>
      <c r="BJ29" s="196" t="str">
        <f>IF(BI29="","",BI29-BI$6)</f>
        <v/>
      </c>
      <c r="BK29" s="197"/>
      <c r="BL29" s="115"/>
      <c r="BM29" s="198">
        <v>1.49138211E-2</v>
      </c>
      <c r="BN29" s="191">
        <v>-1.367816973E-2</v>
      </c>
      <c r="BO29" s="191">
        <v>4.0495128695E-2</v>
      </c>
      <c r="BP29" s="191">
        <v>-2.1112088243E-2</v>
      </c>
      <c r="BQ29" s="199"/>
      <c r="BR29" s="199"/>
      <c r="BS29" s="199"/>
      <c r="BT29" s="199"/>
      <c r="BU29" s="200"/>
      <c r="BV29" s="200"/>
      <c r="BW29" s="191"/>
      <c r="BX29" s="191">
        <v>6.4816736537999997E-3</v>
      </c>
      <c r="BY29" s="189"/>
      <c r="BZ29" s="191">
        <v>-2.6119676668999999E-2</v>
      </c>
      <c r="CA29" s="191">
        <v>-2.9557747711000001E-2</v>
      </c>
      <c r="CB29" s="182">
        <v>45517</v>
      </c>
      <c r="CC29" s="182">
        <v>45537</v>
      </c>
      <c r="CD29" s="201"/>
      <c r="CE29" s="202"/>
      <c r="CF29" s="116"/>
    </row>
    <row r="30" spans="2:84" ht="15.6" x14ac:dyDescent="0.3">
      <c r="B30" s="110" t="s">
        <v>1397</v>
      </c>
      <c r="C30" s="147" t="s">
        <v>2043</v>
      </c>
      <c r="D30" s="148" t="s">
        <v>1894</v>
      </c>
      <c r="E30" s="148" t="s">
        <v>231</v>
      </c>
      <c r="F30" s="149">
        <v>42644220000106</v>
      </c>
      <c r="G30" s="149" t="s">
        <v>1756</v>
      </c>
      <c r="H30" s="149" t="s">
        <v>388</v>
      </c>
      <c r="I30" s="150">
        <v>2</v>
      </c>
      <c r="J30" s="151">
        <v>1</v>
      </c>
      <c r="K30" s="151" t="s">
        <v>111</v>
      </c>
      <c r="L30" s="151" t="s">
        <v>112</v>
      </c>
      <c r="M30" s="151" t="s">
        <v>986</v>
      </c>
      <c r="N30" s="151" t="s">
        <v>109</v>
      </c>
      <c r="O30" s="152">
        <v>98074494</v>
      </c>
      <c r="P30" s="153">
        <v>980744940</v>
      </c>
      <c r="Q30" s="153">
        <v>10</v>
      </c>
      <c r="R30" s="154">
        <v>45122</v>
      </c>
      <c r="S30" s="154">
        <v>48959</v>
      </c>
      <c r="T30" s="155" t="s">
        <v>1972</v>
      </c>
      <c r="U30" s="155" t="s">
        <v>1655</v>
      </c>
      <c r="V30" s="154" t="s">
        <v>194</v>
      </c>
      <c r="W30" s="154" t="s">
        <v>102</v>
      </c>
      <c r="X30" s="154" t="s">
        <v>1331</v>
      </c>
      <c r="Y30" s="154">
        <v>47710</v>
      </c>
      <c r="Z30" s="156">
        <f>IFERROR(INDEX(Base!G:G,MATCH('Debêntures IPCA-Spread'!Y30,Base!F:F,0)),"")</f>
        <v>6.3273999999999999</v>
      </c>
      <c r="AA30" s="115"/>
      <c r="AB30" s="157">
        <v>45552</v>
      </c>
      <c r="AC30" s="158">
        <v>7.5625999999999998</v>
      </c>
      <c r="AD30" s="159">
        <f t="shared" si="0"/>
        <v>1.2351999999999999</v>
      </c>
      <c r="AE30" s="160">
        <v>0.11</v>
      </c>
      <c r="AF30" s="161">
        <v>7.8710000000000004</v>
      </c>
      <c r="AG30" s="161">
        <v>7.4862000000000002</v>
      </c>
      <c r="AH30" s="162">
        <v>10.231723000000001</v>
      </c>
      <c r="AI30" s="162">
        <v>10.293240000000001</v>
      </c>
      <c r="AJ30" s="163">
        <f t="shared" si="1"/>
        <v>0.99402355332237469</v>
      </c>
      <c r="AK30" s="164">
        <v>45518</v>
      </c>
      <c r="AL30" s="165">
        <v>96.69</v>
      </c>
      <c r="AM30" s="166">
        <v>1366</v>
      </c>
      <c r="AN30" s="115"/>
      <c r="AO30" s="167">
        <v>4.7141931990999997E-3</v>
      </c>
      <c r="AP30" s="168">
        <f>IF(AO30="","",AO30-AO$6)</f>
        <v>4.2340483141699997E-3</v>
      </c>
      <c r="AQ30" s="168">
        <v>8.8913421640999992E-3</v>
      </c>
      <c r="AR30" s="168">
        <f>IF(AQ30="","",AQ30-AQ$6)</f>
        <v>9.1088489170599984E-3</v>
      </c>
      <c r="AS30" s="168">
        <v>5.0638414168000002E-2</v>
      </c>
      <c r="AT30" s="168">
        <f>IF(AS30="","",AS30-AS$6)</f>
        <v>3.5912579112999998E-2</v>
      </c>
      <c r="AU30" s="168">
        <v>-3.4860427786E-3</v>
      </c>
      <c r="AV30" s="168">
        <f>IF(AU30="","",AU30-AU$6)</f>
        <v>9.5825398173999994E-3</v>
      </c>
      <c r="AW30" s="168">
        <v>4.4528742040999998E-2</v>
      </c>
      <c r="AX30" s="168">
        <f>IF(AW30="","",AW30-AW$6)</f>
        <v>2.0533674252999998E-2</v>
      </c>
      <c r="AY30" s="168">
        <v>2.0827268336000002E-2</v>
      </c>
      <c r="AZ30" s="168">
        <f>IF(AY30="","",AY30-AY$6)</f>
        <v>6.5850135460000011E-3</v>
      </c>
      <c r="BA30" s="168">
        <v>8.7581737815000005E-2</v>
      </c>
      <c r="BB30" s="168">
        <f>IF(BA30="","",BA30-BA$6)</f>
        <v>3.4094773257000006E-2</v>
      </c>
      <c r="BC30" s="168"/>
      <c r="BD30" s="168" t="str">
        <f>IF(BC30="","",BC30-BC$6)</f>
        <v/>
      </c>
      <c r="BE30" s="168"/>
      <c r="BF30" s="168" t="str">
        <f>IF(BE30="","",BE30-BE$6)</f>
        <v/>
      </c>
      <c r="BG30" s="168"/>
      <c r="BH30" s="168" t="str">
        <f>IF(BG30="","",BG30-BG$6)</f>
        <v/>
      </c>
      <c r="BI30" s="168"/>
      <c r="BJ30" s="168" t="str">
        <f>IF(BI30="","",BI30-BI$6)</f>
        <v/>
      </c>
      <c r="BK30" s="169">
        <v>4.9399946320000003</v>
      </c>
      <c r="BL30" s="115"/>
      <c r="BM30" s="170">
        <v>1.4567644042E-2</v>
      </c>
      <c r="BN30" s="163">
        <v>-1.1068404889999999E-2</v>
      </c>
      <c r="BO30" s="163">
        <v>2.9327343916999999E-2</v>
      </c>
      <c r="BP30" s="163">
        <v>-1.9341330439E-2</v>
      </c>
      <c r="BQ30" s="171">
        <v>9</v>
      </c>
      <c r="BR30" s="171">
        <v>3</v>
      </c>
      <c r="BS30" s="171">
        <v>7</v>
      </c>
      <c r="BT30" s="171">
        <v>5</v>
      </c>
      <c r="BU30" s="172">
        <v>-0.41641438573</v>
      </c>
      <c r="BV30" s="172"/>
      <c r="BW30" s="163">
        <v>5.1048717779999999E-3</v>
      </c>
      <c r="BX30" s="163">
        <v>4.7393838739999998E-3</v>
      </c>
      <c r="BY30" s="161">
        <v>-2.9689162371000002</v>
      </c>
      <c r="BZ30" s="163">
        <v>-2.9076454511000001E-2</v>
      </c>
      <c r="CA30" s="163">
        <v>-2.9076454511000001E-2</v>
      </c>
      <c r="CB30" s="154">
        <v>45363</v>
      </c>
      <c r="CC30" s="154">
        <v>45455</v>
      </c>
      <c r="CD30" s="173">
        <v>100</v>
      </c>
      <c r="CE30" s="174">
        <v>45506</v>
      </c>
      <c r="CF30" s="116"/>
    </row>
    <row r="31" spans="2:84" ht="15.6" x14ac:dyDescent="0.3">
      <c r="B31" s="98" t="s">
        <v>1398</v>
      </c>
      <c r="C31" s="175" t="s">
        <v>2044</v>
      </c>
      <c r="D31" s="176" t="s">
        <v>1894</v>
      </c>
      <c r="E31" s="176" t="s">
        <v>231</v>
      </c>
      <c r="F31" s="177">
        <v>42644220000106</v>
      </c>
      <c r="G31" s="177" t="s">
        <v>1757</v>
      </c>
      <c r="H31" s="177" t="s">
        <v>388</v>
      </c>
      <c r="I31" s="178">
        <v>2</v>
      </c>
      <c r="J31" s="179">
        <v>2</v>
      </c>
      <c r="K31" s="179" t="s">
        <v>111</v>
      </c>
      <c r="L31" s="179" t="s">
        <v>112</v>
      </c>
      <c r="M31" s="179" t="s">
        <v>986</v>
      </c>
      <c r="N31" s="179" t="s">
        <v>109</v>
      </c>
      <c r="O31" s="180">
        <v>107016506</v>
      </c>
      <c r="P31" s="181">
        <v>1070165060</v>
      </c>
      <c r="Q31" s="181">
        <v>10</v>
      </c>
      <c r="R31" s="182">
        <v>45122</v>
      </c>
      <c r="S31" s="182">
        <v>51881</v>
      </c>
      <c r="T31" s="183" t="s">
        <v>1972</v>
      </c>
      <c r="U31" s="183" t="s">
        <v>1656</v>
      </c>
      <c r="V31" s="182" t="s">
        <v>194</v>
      </c>
      <c r="W31" s="182" t="s">
        <v>102</v>
      </c>
      <c r="X31" s="182" t="s">
        <v>1539</v>
      </c>
      <c r="Y31" s="182">
        <v>49444</v>
      </c>
      <c r="Z31" s="184">
        <f>IFERROR(INDEX(Base!G:G,MATCH('Debêntures IPCA-Spread'!Y31,Base!F:F,0)),"")</f>
        <v>6.3137999999999996</v>
      </c>
      <c r="AA31" s="115"/>
      <c r="AB31" s="185">
        <v>45552</v>
      </c>
      <c r="AC31" s="186">
        <v>7.9676</v>
      </c>
      <c r="AD31" s="187">
        <f t="shared" si="0"/>
        <v>1.6538000000000004</v>
      </c>
      <c r="AE31" s="188">
        <v>7.0000000000000007E-2</v>
      </c>
      <c r="AF31" s="189">
        <v>8.1999999999999993</v>
      </c>
      <c r="AG31" s="189">
        <v>7.7495000000000003</v>
      </c>
      <c r="AH31" s="190">
        <v>9.9337999999999997</v>
      </c>
      <c r="AI31" s="190">
        <v>10.253929239</v>
      </c>
      <c r="AJ31" s="191">
        <f t="shared" si="1"/>
        <v>0.96877984706755982</v>
      </c>
      <c r="AK31" s="192">
        <v>45343</v>
      </c>
      <c r="AL31" s="193">
        <v>93.83</v>
      </c>
      <c r="AM31" s="194">
        <v>2225</v>
      </c>
      <c r="AN31" s="115"/>
      <c r="AO31" s="195">
        <v>1.6752736100999999E-3</v>
      </c>
      <c r="AP31" s="196">
        <f>IF(AO31="","",AO31-AO$6)</f>
        <v>1.1951287251699999E-3</v>
      </c>
      <c r="AQ31" s="196">
        <v>-5.3064076419000001E-3</v>
      </c>
      <c r="AR31" s="196">
        <f>IF(AQ31="","",AQ31-AQ$6)</f>
        <v>-5.0889008889400001E-3</v>
      </c>
      <c r="AS31" s="196">
        <v>1.8957354573999999E-2</v>
      </c>
      <c r="AT31" s="196">
        <f>IF(AS31="","",AS31-AS$6)</f>
        <v>4.2315195189999988E-3</v>
      </c>
      <c r="AU31" s="196">
        <v>-2.2642409397000001E-2</v>
      </c>
      <c r="AV31" s="196">
        <f>IF(AU31="","",AU31-AU$6)</f>
        <v>-9.5738268010000013E-3</v>
      </c>
      <c r="AW31" s="196">
        <v>4.2681215531000002E-2</v>
      </c>
      <c r="AX31" s="196">
        <f>IF(AW31="","",AW31-AW$6)</f>
        <v>1.8686147743000002E-2</v>
      </c>
      <c r="AY31" s="196">
        <v>-9.1421391580000008E-3</v>
      </c>
      <c r="AZ31" s="196">
        <f>IF(AY31="","",AY31-AY$6)</f>
        <v>-2.3384393948000001E-2</v>
      </c>
      <c r="BA31" s="196">
        <v>6.2538257725000004E-2</v>
      </c>
      <c r="BB31" s="196">
        <f>IF(BA31="","",BA31-BA$6)</f>
        <v>9.051293167000006E-3</v>
      </c>
      <c r="BC31" s="196"/>
      <c r="BD31" s="196" t="str">
        <f>IF(BC31="","",BC31-BC$6)</f>
        <v/>
      </c>
      <c r="BE31" s="196"/>
      <c r="BF31" s="196" t="str">
        <f>IF(BE31="","",BE31-BE$6)</f>
        <v/>
      </c>
      <c r="BG31" s="196"/>
      <c r="BH31" s="196" t="str">
        <f>IF(BG31="","",BG31-BG$6)</f>
        <v/>
      </c>
      <c r="BI31" s="196"/>
      <c r="BJ31" s="196" t="str">
        <f>IF(BI31="","",BI31-BI$6)</f>
        <v/>
      </c>
      <c r="BK31" s="197">
        <v>7.9893719709999997</v>
      </c>
      <c r="BL31" s="115"/>
      <c r="BM31" s="198">
        <v>1.5705371387999999E-2</v>
      </c>
      <c r="BN31" s="191">
        <v>-1.7701738719999999E-2</v>
      </c>
      <c r="BO31" s="191">
        <v>3.6045988658000003E-2</v>
      </c>
      <c r="BP31" s="191">
        <v>-4.0550313025E-2</v>
      </c>
      <c r="BQ31" s="199">
        <v>8</v>
      </c>
      <c r="BR31" s="199">
        <v>4</v>
      </c>
      <c r="BS31" s="199">
        <v>4</v>
      </c>
      <c r="BT31" s="199">
        <v>8</v>
      </c>
      <c r="BU31" s="200">
        <v>-0.51650321117999998</v>
      </c>
      <c r="BV31" s="200"/>
      <c r="BW31" s="191">
        <v>8.2518832120000007E-3</v>
      </c>
      <c r="BX31" s="191">
        <v>7.4149867705999998E-3</v>
      </c>
      <c r="BY31" s="189">
        <v>-5.6483341788999999</v>
      </c>
      <c r="BZ31" s="191">
        <v>-2.8048548321999999E-2</v>
      </c>
      <c r="CA31" s="191">
        <v>-7.7050107650999997E-2</v>
      </c>
      <c r="CB31" s="182">
        <v>45343</v>
      </c>
      <c r="CC31" s="182">
        <v>45456</v>
      </c>
      <c r="CD31" s="201"/>
      <c r="CE31" s="202"/>
      <c r="CF31" s="116"/>
    </row>
    <row r="32" spans="2:84" ht="15.6" x14ac:dyDescent="0.3">
      <c r="B32" s="110" t="s">
        <v>2203</v>
      </c>
      <c r="C32" s="147" t="s">
        <v>2588</v>
      </c>
      <c r="D32" s="148" t="s">
        <v>1894</v>
      </c>
      <c r="E32" s="148" t="s">
        <v>231</v>
      </c>
      <c r="F32" s="149">
        <v>42644220000106</v>
      </c>
      <c r="G32" s="149" t="s">
        <v>2335</v>
      </c>
      <c r="H32" s="149" t="s">
        <v>388</v>
      </c>
      <c r="I32" s="150">
        <v>4</v>
      </c>
      <c r="J32" s="151">
        <v>1</v>
      </c>
      <c r="K32" s="151" t="s">
        <v>111</v>
      </c>
      <c r="L32" s="151" t="s">
        <v>2466</v>
      </c>
      <c r="M32" s="151" t="s">
        <v>986</v>
      </c>
      <c r="N32" s="151" t="s">
        <v>109</v>
      </c>
      <c r="O32" s="152">
        <v>1022239856</v>
      </c>
      <c r="P32" s="153">
        <v>1022239856</v>
      </c>
      <c r="Q32" s="153">
        <v>1</v>
      </c>
      <c r="R32" s="154">
        <v>45366</v>
      </c>
      <c r="S32" s="154">
        <v>49202</v>
      </c>
      <c r="T32" s="155" t="s">
        <v>2818</v>
      </c>
      <c r="U32" s="155" t="s">
        <v>2714</v>
      </c>
      <c r="V32" s="154" t="s">
        <v>194</v>
      </c>
      <c r="W32" s="154" t="s">
        <v>102</v>
      </c>
      <c r="X32" s="154" t="s">
        <v>2475</v>
      </c>
      <c r="Y32" s="154">
        <v>48441</v>
      </c>
      <c r="Z32" s="156">
        <f>IFERROR(INDEX(Base!G:G,MATCH('Debêntures IPCA-Spread'!Y32,Base!F:F,0)),"")</f>
        <v>6.3467000000000002</v>
      </c>
      <c r="AA32" s="115"/>
      <c r="AB32" s="157">
        <v>45552</v>
      </c>
      <c r="AC32" s="158">
        <v>7.7061000000000002</v>
      </c>
      <c r="AD32" s="159">
        <f t="shared" si="0"/>
        <v>1.3593999999999999</v>
      </c>
      <c r="AE32" s="160">
        <v>0.13</v>
      </c>
      <c r="AF32" s="161">
        <v>7.9466000000000001</v>
      </c>
      <c r="AG32" s="161">
        <v>7.6470000000000002</v>
      </c>
      <c r="AH32" s="162">
        <v>0.996363</v>
      </c>
      <c r="AI32" s="162"/>
      <c r="AJ32" s="163" t="str">
        <f t="shared" si="1"/>
        <v/>
      </c>
      <c r="AK32" s="164"/>
      <c r="AL32" s="165">
        <v>98.13</v>
      </c>
      <c r="AM32" s="166">
        <v>1471</v>
      </c>
      <c r="AN32" s="115"/>
      <c r="AO32" s="167">
        <v>4.4234985761999997E-3</v>
      </c>
      <c r="AP32" s="168">
        <f>IF(AO32="","",AO32-AO$6)</f>
        <v>3.9433536912699997E-3</v>
      </c>
      <c r="AQ32" s="168">
        <v>3.0371915781999999E-3</v>
      </c>
      <c r="AR32" s="168">
        <f>IF(AQ32="","",AQ32-AQ$6)</f>
        <v>3.2546983311599999E-3</v>
      </c>
      <c r="AS32" s="168"/>
      <c r="AT32" s="168" t="str">
        <f>IF(AS32="","",AS32-AS$6)</f>
        <v/>
      </c>
      <c r="AU32" s="168">
        <v>-6.8165499159999997E-3</v>
      </c>
      <c r="AV32" s="168">
        <f>IF(AU32="","",AU32-AU$6)</f>
        <v>6.2520326800000001E-3</v>
      </c>
      <c r="AW32" s="168">
        <v>3.9280318557000003E-2</v>
      </c>
      <c r="AX32" s="168">
        <f>IF(AW32="","",AW32-AW$6)</f>
        <v>1.5285250769000003E-2</v>
      </c>
      <c r="AY32" s="168"/>
      <c r="AZ32" s="168" t="str">
        <f>IF(AY32="","",AY32-AY$6)</f>
        <v/>
      </c>
      <c r="BA32" s="168"/>
      <c r="BB32" s="168" t="str">
        <f>IF(BA32="","",BA32-BA$6)</f>
        <v/>
      </c>
      <c r="BC32" s="168"/>
      <c r="BD32" s="168" t="str">
        <f>IF(BC32="","",BC32-BC$6)</f>
        <v/>
      </c>
      <c r="BE32" s="168"/>
      <c r="BF32" s="168" t="str">
        <f>IF(BE32="","",BE32-BE$6)</f>
        <v/>
      </c>
      <c r="BG32" s="168"/>
      <c r="BH32" s="168" t="str">
        <f>IF(BG32="","",BG32-BG$6)</f>
        <v/>
      </c>
      <c r="BI32" s="168"/>
      <c r="BJ32" s="168" t="str">
        <f>IF(BI32="","",BI32-BI$6)</f>
        <v/>
      </c>
      <c r="BK32" s="169"/>
      <c r="BL32" s="115"/>
      <c r="BM32" s="170">
        <v>8.7554304300000007E-3</v>
      </c>
      <c r="BN32" s="163">
        <v>-8.6796266560000002E-3</v>
      </c>
      <c r="BO32" s="163">
        <v>2.5430861579999998E-2</v>
      </c>
      <c r="BP32" s="163">
        <v>-9.0106958833E-3</v>
      </c>
      <c r="BQ32" s="171"/>
      <c r="BR32" s="171"/>
      <c r="BS32" s="171"/>
      <c r="BT32" s="171"/>
      <c r="BU32" s="172"/>
      <c r="BV32" s="172"/>
      <c r="BW32" s="163"/>
      <c r="BX32" s="163">
        <v>5.0055481003000004E-3</v>
      </c>
      <c r="BY32" s="161"/>
      <c r="BZ32" s="163">
        <v>-1.7760092392E-2</v>
      </c>
      <c r="CA32" s="163">
        <v>-1.7760092392E-2</v>
      </c>
      <c r="CB32" s="154">
        <v>45433</v>
      </c>
      <c r="CC32" s="154">
        <v>45474</v>
      </c>
      <c r="CD32" s="173">
        <v>35</v>
      </c>
      <c r="CE32" s="174">
        <v>45483</v>
      </c>
      <c r="CF32" s="116"/>
    </row>
    <row r="33" spans="2:84" ht="15.6" x14ac:dyDescent="0.3">
      <c r="B33" s="98" t="s">
        <v>2204</v>
      </c>
      <c r="C33" s="175" t="s">
        <v>2589</v>
      </c>
      <c r="D33" s="176" t="s">
        <v>1894</v>
      </c>
      <c r="E33" s="176" t="s">
        <v>231</v>
      </c>
      <c r="F33" s="177">
        <v>42644220000106</v>
      </c>
      <c r="G33" s="177" t="s">
        <v>2336</v>
      </c>
      <c r="H33" s="177" t="s">
        <v>388</v>
      </c>
      <c r="I33" s="178">
        <v>4</v>
      </c>
      <c r="J33" s="179">
        <v>2</v>
      </c>
      <c r="K33" s="179" t="s">
        <v>111</v>
      </c>
      <c r="L33" s="179" t="s">
        <v>2466</v>
      </c>
      <c r="M33" s="179" t="s">
        <v>986</v>
      </c>
      <c r="N33" s="179" t="s">
        <v>109</v>
      </c>
      <c r="O33" s="180">
        <v>1115445400</v>
      </c>
      <c r="P33" s="181">
        <v>1115445400</v>
      </c>
      <c r="Q33" s="181">
        <v>1</v>
      </c>
      <c r="R33" s="182">
        <v>45366</v>
      </c>
      <c r="S33" s="182">
        <v>52124</v>
      </c>
      <c r="T33" s="183" t="s">
        <v>2818</v>
      </c>
      <c r="U33" s="183" t="s">
        <v>2715</v>
      </c>
      <c r="V33" s="182" t="s">
        <v>194</v>
      </c>
      <c r="W33" s="182" t="s">
        <v>102</v>
      </c>
      <c r="X33" s="182" t="s">
        <v>2476</v>
      </c>
      <c r="Y33" s="182">
        <v>49444</v>
      </c>
      <c r="Z33" s="184">
        <f>IFERROR(INDEX(Base!G:G,MATCH('Debêntures IPCA-Spread'!Y33,Base!F:F,0)),"")</f>
        <v>6.3137999999999996</v>
      </c>
      <c r="AA33" s="115"/>
      <c r="AB33" s="185">
        <v>45552</v>
      </c>
      <c r="AC33" s="186">
        <v>8.0814000000000004</v>
      </c>
      <c r="AD33" s="187">
        <f t="shared" si="0"/>
        <v>1.7676000000000007</v>
      </c>
      <c r="AE33" s="188">
        <v>0.09</v>
      </c>
      <c r="AF33" s="189">
        <v>8.2459000000000007</v>
      </c>
      <c r="AG33" s="189">
        <v>7.9828999999999999</v>
      </c>
      <c r="AH33" s="190">
        <v>0.982622</v>
      </c>
      <c r="AI33" s="190"/>
      <c r="AJ33" s="191" t="str">
        <f t="shared" si="1"/>
        <v/>
      </c>
      <c r="AK33" s="192"/>
      <c r="AL33" s="193">
        <v>96.77</v>
      </c>
      <c r="AM33" s="194">
        <v>2274</v>
      </c>
      <c r="AN33" s="115"/>
      <c r="AO33" s="195">
        <v>3.3798572803999999E-4</v>
      </c>
      <c r="AP33" s="196">
        <f>IF(AO33="","",AO33-AO$6)</f>
        <v>-1.4215915689000001E-4</v>
      </c>
      <c r="AQ33" s="196">
        <v>-8.1422137436999997E-3</v>
      </c>
      <c r="AR33" s="196">
        <f>IF(AQ33="","",AQ33-AQ$6)</f>
        <v>-7.9247069907400006E-3</v>
      </c>
      <c r="AS33" s="196"/>
      <c r="AT33" s="196" t="str">
        <f>IF(AS33="","",AS33-AS$6)</f>
        <v/>
      </c>
      <c r="AU33" s="196">
        <v>-2.5386594966000001E-2</v>
      </c>
      <c r="AV33" s="196">
        <f>IF(AU33="","",AU33-AU$6)</f>
        <v>-1.2318012370000001E-2</v>
      </c>
      <c r="AW33" s="196">
        <v>3.7304029401999998E-2</v>
      </c>
      <c r="AX33" s="196">
        <f>IF(AW33="","",AW33-AW$6)</f>
        <v>1.3308961613999998E-2</v>
      </c>
      <c r="AY33" s="196"/>
      <c r="AZ33" s="196" t="str">
        <f>IF(AY33="","",AY33-AY$6)</f>
        <v/>
      </c>
      <c r="BA33" s="196"/>
      <c r="BB33" s="196" t="str">
        <f>IF(BA33="","",BA33-BA$6)</f>
        <v/>
      </c>
      <c r="BC33" s="196"/>
      <c r="BD33" s="196" t="str">
        <f>IF(BC33="","",BC33-BC$6)</f>
        <v/>
      </c>
      <c r="BE33" s="196"/>
      <c r="BF33" s="196" t="str">
        <f>IF(BE33="","",BE33-BE$6)</f>
        <v/>
      </c>
      <c r="BG33" s="196"/>
      <c r="BH33" s="196" t="str">
        <f>IF(BG33="","",BG33-BG$6)</f>
        <v/>
      </c>
      <c r="BI33" s="196"/>
      <c r="BJ33" s="196" t="str">
        <f>IF(BI33="","",BI33-BI$6)</f>
        <v/>
      </c>
      <c r="BK33" s="197"/>
      <c r="BL33" s="115"/>
      <c r="BM33" s="198">
        <v>1.5225114975000001E-2</v>
      </c>
      <c r="BN33" s="191">
        <v>-1.4996100831E-2</v>
      </c>
      <c r="BO33" s="191">
        <v>4.3111136685000002E-2</v>
      </c>
      <c r="BP33" s="191">
        <v>-2.1103683841E-2</v>
      </c>
      <c r="BQ33" s="199"/>
      <c r="BR33" s="199"/>
      <c r="BS33" s="199"/>
      <c r="BT33" s="199"/>
      <c r="BU33" s="200"/>
      <c r="BV33" s="200"/>
      <c r="BW33" s="191"/>
      <c r="BX33" s="191">
        <v>6.6470592342999998E-3</v>
      </c>
      <c r="BY33" s="189"/>
      <c r="BZ33" s="191">
        <v>-2.798721698E-2</v>
      </c>
      <c r="CA33" s="191">
        <v>-3.0991635018000001E-2</v>
      </c>
      <c r="CB33" s="182">
        <v>45518</v>
      </c>
      <c r="CC33" s="182">
        <v>45551</v>
      </c>
      <c r="CD33" s="201"/>
      <c r="CE33" s="202"/>
      <c r="CF33" s="116"/>
    </row>
    <row r="34" spans="2:84" ht="15.6" x14ac:dyDescent="0.3">
      <c r="B34" s="110" t="s">
        <v>2205</v>
      </c>
      <c r="C34" s="147" t="s">
        <v>2590</v>
      </c>
      <c r="D34" s="148" t="s">
        <v>2784</v>
      </c>
      <c r="E34" s="148" t="s">
        <v>231</v>
      </c>
      <c r="F34" s="149">
        <v>45456117000112</v>
      </c>
      <c r="G34" s="149" t="s">
        <v>2337</v>
      </c>
      <c r="H34" s="149" t="s">
        <v>388</v>
      </c>
      <c r="I34" s="150">
        <v>2</v>
      </c>
      <c r="J34" s="151" t="s">
        <v>107</v>
      </c>
      <c r="K34" s="151" t="s">
        <v>111</v>
      </c>
      <c r="L34" s="151" t="s">
        <v>2466</v>
      </c>
      <c r="M34" s="151" t="s">
        <v>986</v>
      </c>
      <c r="N34" s="151" t="s">
        <v>109</v>
      </c>
      <c r="O34" s="152">
        <v>1100000</v>
      </c>
      <c r="P34" s="153">
        <v>1100000000</v>
      </c>
      <c r="Q34" s="153">
        <v>1000</v>
      </c>
      <c r="R34" s="154">
        <v>45323</v>
      </c>
      <c r="S34" s="154">
        <v>52580</v>
      </c>
      <c r="T34" s="155" t="s">
        <v>2819</v>
      </c>
      <c r="U34" s="155" t="s">
        <v>2716</v>
      </c>
      <c r="V34" s="154" t="s">
        <v>194</v>
      </c>
      <c r="W34" s="154" t="s">
        <v>102</v>
      </c>
      <c r="X34" s="154" t="s">
        <v>2477</v>
      </c>
      <c r="Y34" s="154">
        <v>49444</v>
      </c>
      <c r="Z34" s="156">
        <f>IFERROR(INDEX(Base!G:G,MATCH('Debêntures IPCA-Spread'!Y34,Base!F:F,0)),"")</f>
        <v>6.3137999999999996</v>
      </c>
      <c r="AA34" s="115"/>
      <c r="AB34" s="157">
        <v>45552</v>
      </c>
      <c r="AC34" s="158">
        <v>8.1715999999999998</v>
      </c>
      <c r="AD34" s="159">
        <f t="shared" si="0"/>
        <v>1.8578000000000001</v>
      </c>
      <c r="AE34" s="160">
        <v>0.11</v>
      </c>
      <c r="AF34" s="161">
        <v>8.4382000000000001</v>
      </c>
      <c r="AG34" s="161">
        <v>8.0073000000000008</v>
      </c>
      <c r="AH34" s="162">
        <v>1095.168719</v>
      </c>
      <c r="AI34" s="162"/>
      <c r="AJ34" s="163" t="str">
        <f t="shared" si="1"/>
        <v/>
      </c>
      <c r="AK34" s="164"/>
      <c r="AL34" s="165">
        <v>101.88</v>
      </c>
      <c r="AM34" s="166">
        <v>2189</v>
      </c>
      <c r="AN34" s="115"/>
      <c r="AO34" s="167">
        <v>3.3664591319000002E-4</v>
      </c>
      <c r="AP34" s="168">
        <f>IF(AO34="","",AO34-AO$6)</f>
        <v>-1.4349897173999998E-4</v>
      </c>
      <c r="AQ34" s="168">
        <v>-8.7966604878999995E-3</v>
      </c>
      <c r="AR34" s="168">
        <f>IF(AQ34="","",AQ34-AQ$6)</f>
        <v>-8.5791537349400003E-3</v>
      </c>
      <c r="AS34" s="168"/>
      <c r="AT34" s="168" t="str">
        <f>IF(AS34="","",AS34-AS$6)</f>
        <v/>
      </c>
      <c r="AU34" s="168">
        <v>-2.8709701949000001E-2</v>
      </c>
      <c r="AV34" s="168">
        <f>IF(AU34="","",AU34-AU$6)</f>
        <v>-1.5641119352999999E-2</v>
      </c>
      <c r="AW34" s="168">
        <v>3.1724735701999997E-2</v>
      </c>
      <c r="AX34" s="168">
        <f>IF(AW34="","",AW34-AW$6)</f>
        <v>7.7296679139999963E-3</v>
      </c>
      <c r="AY34" s="168"/>
      <c r="AZ34" s="168" t="str">
        <f>IF(AY34="","",AY34-AY$6)</f>
        <v/>
      </c>
      <c r="BA34" s="168"/>
      <c r="BB34" s="168" t="str">
        <f>IF(BA34="","",BA34-BA$6)</f>
        <v/>
      </c>
      <c r="BC34" s="168"/>
      <c r="BD34" s="168" t="str">
        <f>IF(BC34="","",BC34-BC$6)</f>
        <v/>
      </c>
      <c r="BE34" s="168"/>
      <c r="BF34" s="168" t="str">
        <f>IF(BE34="","",BE34-BE$6)</f>
        <v/>
      </c>
      <c r="BG34" s="168"/>
      <c r="BH34" s="168" t="str">
        <f>IF(BG34="","",BG34-BG$6)</f>
        <v/>
      </c>
      <c r="BI34" s="168"/>
      <c r="BJ34" s="168" t="str">
        <f>IF(BI34="","",BI34-BI$6)</f>
        <v/>
      </c>
      <c r="BK34" s="169"/>
      <c r="BL34" s="115"/>
      <c r="BM34" s="170">
        <v>1.540373433E-2</v>
      </c>
      <c r="BN34" s="163">
        <v>-1.4078240150000001E-2</v>
      </c>
      <c r="BO34" s="163">
        <v>3.1905451016000001E-2</v>
      </c>
      <c r="BP34" s="163">
        <v>-2.7598517895000001E-2</v>
      </c>
      <c r="BQ34" s="171"/>
      <c r="BR34" s="171"/>
      <c r="BS34" s="171"/>
      <c r="BT34" s="171"/>
      <c r="BU34" s="172"/>
      <c r="BV34" s="172"/>
      <c r="BW34" s="163"/>
      <c r="BX34" s="163">
        <v>5.5590503565999998E-3</v>
      </c>
      <c r="BY34" s="161"/>
      <c r="BZ34" s="163">
        <v>-3.2859895056000003E-2</v>
      </c>
      <c r="CA34" s="163">
        <v>-3.3103114317999997E-2</v>
      </c>
      <c r="CB34" s="154">
        <v>45519</v>
      </c>
      <c r="CC34" s="154">
        <v>45551</v>
      </c>
      <c r="CD34" s="173"/>
      <c r="CE34" s="174"/>
      <c r="CF34" s="116"/>
    </row>
    <row r="35" spans="2:84" ht="15.6" x14ac:dyDescent="0.3">
      <c r="B35" s="98" t="s">
        <v>492</v>
      </c>
      <c r="C35" s="175" t="s">
        <v>657</v>
      </c>
      <c r="D35" s="176" t="s">
        <v>611</v>
      </c>
      <c r="E35" s="176" t="s">
        <v>231</v>
      </c>
      <c r="F35" s="177">
        <v>4089570000150</v>
      </c>
      <c r="G35" s="177" t="s">
        <v>812</v>
      </c>
      <c r="H35" s="177" t="s">
        <v>388</v>
      </c>
      <c r="I35" s="178">
        <v>4</v>
      </c>
      <c r="J35" s="179">
        <v>2</v>
      </c>
      <c r="K35" s="179" t="s">
        <v>126</v>
      </c>
      <c r="L35" s="179" t="s">
        <v>122</v>
      </c>
      <c r="M35" s="179" t="s">
        <v>986</v>
      </c>
      <c r="N35" s="179" t="s">
        <v>117</v>
      </c>
      <c r="O35" s="180">
        <v>27610</v>
      </c>
      <c r="P35" s="181">
        <v>276100000</v>
      </c>
      <c r="Q35" s="181">
        <v>10000</v>
      </c>
      <c r="R35" s="182">
        <v>43661</v>
      </c>
      <c r="S35" s="182">
        <v>47314</v>
      </c>
      <c r="T35" s="183" t="s">
        <v>2820</v>
      </c>
      <c r="U35" s="183" t="s">
        <v>748</v>
      </c>
      <c r="V35" s="182" t="s">
        <v>105</v>
      </c>
      <c r="W35" s="182" t="s">
        <v>102</v>
      </c>
      <c r="X35" s="182" t="s">
        <v>1293</v>
      </c>
      <c r="Y35" s="182">
        <v>46980</v>
      </c>
      <c r="Z35" s="184">
        <f>IFERROR(INDEX(Base!G:G,MATCH('Debêntures IPCA-Spread'!Y35,Base!F:F,0)),"")</f>
        <v>6.4702000000000002</v>
      </c>
      <c r="AA35" s="115"/>
      <c r="AB35" s="185">
        <v>45552</v>
      </c>
      <c r="AC35" s="186">
        <v>8.5191999999999997</v>
      </c>
      <c r="AD35" s="187">
        <f t="shared" si="0"/>
        <v>2.0489999999999995</v>
      </c>
      <c r="AE35" s="188">
        <v>0.06</v>
      </c>
      <c r="AF35" s="189">
        <v>8.7791999999999994</v>
      </c>
      <c r="AG35" s="189">
        <v>8.3574999999999999</v>
      </c>
      <c r="AH35" s="190">
        <v>11791.293212</v>
      </c>
      <c r="AI35" s="190">
        <v>11818.487220000001</v>
      </c>
      <c r="AJ35" s="191">
        <f t="shared" si="1"/>
        <v>0.99769902801485622</v>
      </c>
      <c r="AK35" s="192">
        <v>45540</v>
      </c>
      <c r="AL35" s="193">
        <v>87.56</v>
      </c>
      <c r="AM35" s="194">
        <v>861</v>
      </c>
      <c r="AN35" s="115"/>
      <c r="AO35" s="195">
        <v>2.1214912886E-4</v>
      </c>
      <c r="AP35" s="196">
        <f>IF(AO35="","",AO35-AO$6)</f>
        <v>-2.6799575606999999E-4</v>
      </c>
      <c r="AQ35" s="196">
        <v>9.2702326583000004E-5</v>
      </c>
      <c r="AR35" s="196">
        <f>IF(AQ35="","",AQ35-AQ$6)</f>
        <v>3.1020907954299999E-4</v>
      </c>
      <c r="AS35" s="196">
        <v>4.1008651958999998E-2</v>
      </c>
      <c r="AT35" s="196">
        <f>IF(AS35="","",AS35-AS$6)</f>
        <v>2.6282816903999997E-2</v>
      </c>
      <c r="AU35" s="196">
        <v>1.8645709350999999E-3</v>
      </c>
      <c r="AV35" s="196">
        <f>IF(AU35="","",AU35-AU$6)</f>
        <v>1.49331535311E-2</v>
      </c>
      <c r="AW35" s="196">
        <v>2.7032120241000001E-2</v>
      </c>
      <c r="AX35" s="196">
        <f>IF(AW35="","",AW35-AW$6)</f>
        <v>3.0370524530000005E-3</v>
      </c>
      <c r="AY35" s="196">
        <v>2.2956263074000002E-2</v>
      </c>
      <c r="AZ35" s="196">
        <f>IF(AY35="","",AY35-AY$6)</f>
        <v>8.7140082840000011E-3</v>
      </c>
      <c r="BA35" s="196">
        <v>7.6367232492000003E-2</v>
      </c>
      <c r="BB35" s="196">
        <f>IF(BA35="","",BA35-BA$6)</f>
        <v>2.2880267934000005E-2</v>
      </c>
      <c r="BC35" s="196">
        <v>0.21219991332999999</v>
      </c>
      <c r="BD35" s="196">
        <f>IF(BC35="","",BC35-BC$6)</f>
        <v>1.7891346839999989E-2</v>
      </c>
      <c r="BE35" s="196">
        <v>0.3228801765</v>
      </c>
      <c r="BF35" s="196">
        <f>IF(BE35="","",BE35-BE$6)</f>
        <v>6.116083696000002E-2</v>
      </c>
      <c r="BG35" s="196">
        <v>0.44146180994000001</v>
      </c>
      <c r="BH35" s="196">
        <f>IF(BG35="","",BG35-BG$6)</f>
        <v>0.13254516112999998</v>
      </c>
      <c r="BI35" s="196"/>
      <c r="BJ35" s="196" t="str">
        <f>IF(BI35="","",BI35-BI$6)</f>
        <v/>
      </c>
      <c r="BK35" s="197">
        <v>3.9935035247999999</v>
      </c>
      <c r="BL35" s="115"/>
      <c r="BM35" s="198">
        <v>7.9476600476000008E-3</v>
      </c>
      <c r="BN35" s="191">
        <v>-8.4991274670999997E-3</v>
      </c>
      <c r="BO35" s="191">
        <v>2.3533492140000001E-2</v>
      </c>
      <c r="BP35" s="191">
        <v>-9.5755266848000006E-3</v>
      </c>
      <c r="BQ35" s="199">
        <v>9</v>
      </c>
      <c r="BR35" s="199">
        <v>3</v>
      </c>
      <c r="BS35" s="199">
        <v>5</v>
      </c>
      <c r="BT35" s="199">
        <v>7</v>
      </c>
      <c r="BU35" s="200">
        <v>-0.77840400655999997</v>
      </c>
      <c r="BV35" s="200">
        <v>-0.35733504098000002</v>
      </c>
      <c r="BW35" s="191">
        <v>4.1269559728000001E-3</v>
      </c>
      <c r="BX35" s="191">
        <v>2.4940372522000002E-3</v>
      </c>
      <c r="BY35" s="189">
        <v>-3.9510467333000001</v>
      </c>
      <c r="BZ35" s="191">
        <v>-1.8494993479000001E-2</v>
      </c>
      <c r="CA35" s="191">
        <v>-1.8494993479000001E-2</v>
      </c>
      <c r="CB35" s="182">
        <v>45378</v>
      </c>
      <c r="CC35" s="182">
        <v>45399</v>
      </c>
      <c r="CD35" s="201">
        <v>68</v>
      </c>
      <c r="CE35" s="202">
        <v>45477</v>
      </c>
      <c r="CF35" s="116"/>
    </row>
    <row r="36" spans="2:84" ht="15.6" x14ac:dyDescent="0.3">
      <c r="B36" s="110" t="s">
        <v>27</v>
      </c>
      <c r="C36" s="147" t="s">
        <v>284</v>
      </c>
      <c r="D36" s="148" t="s">
        <v>68</v>
      </c>
      <c r="E36" s="148" t="s">
        <v>227</v>
      </c>
      <c r="F36" s="149">
        <v>71208516000174</v>
      </c>
      <c r="G36" s="149" t="s">
        <v>2338</v>
      </c>
      <c r="H36" s="149" t="s">
        <v>388</v>
      </c>
      <c r="I36" s="150">
        <v>6</v>
      </c>
      <c r="J36" s="151">
        <v>2</v>
      </c>
      <c r="K36" s="151" t="s">
        <v>126</v>
      </c>
      <c r="L36" s="151" t="s">
        <v>112</v>
      </c>
      <c r="M36" s="151" t="s">
        <v>114</v>
      </c>
      <c r="N36" s="151" t="s">
        <v>109</v>
      </c>
      <c r="O36" s="152">
        <v>269291</v>
      </c>
      <c r="P36" s="153">
        <v>269291000</v>
      </c>
      <c r="Q36" s="153">
        <v>1000</v>
      </c>
      <c r="R36" s="154">
        <v>42809</v>
      </c>
      <c r="S36" s="154">
        <v>45366</v>
      </c>
      <c r="T36" s="155" t="s">
        <v>131</v>
      </c>
      <c r="U36" s="155" t="s">
        <v>1194</v>
      </c>
      <c r="V36" s="154" t="s">
        <v>105</v>
      </c>
      <c r="W36" s="154" t="s">
        <v>102</v>
      </c>
      <c r="X36" s="154" t="s">
        <v>195</v>
      </c>
      <c r="Y36" s="154">
        <v>45061</v>
      </c>
      <c r="Z36" s="156" t="str">
        <f>IFERROR(INDEX(Base!G:G,MATCH('Debêntures IPCA-Spread'!Y36,Base!F:F,0)),"")</f>
        <v/>
      </c>
      <c r="AA36" s="115"/>
      <c r="AB36" s="157">
        <v>45365</v>
      </c>
      <c r="AC36" s="158"/>
      <c r="AD36" s="159" t="str">
        <f t="shared" si="0"/>
        <v/>
      </c>
      <c r="AE36" s="160"/>
      <c r="AF36" s="161"/>
      <c r="AG36" s="161"/>
      <c r="AH36" s="162"/>
      <c r="AI36" s="162">
        <v>759.00591499999996</v>
      </c>
      <c r="AJ36" s="163">
        <f t="shared" si="1"/>
        <v>0</v>
      </c>
      <c r="AK36" s="164">
        <v>45365</v>
      </c>
      <c r="AL36" s="165"/>
      <c r="AM36" s="166"/>
      <c r="AN36" s="115"/>
      <c r="AO36" s="167"/>
      <c r="AP36" s="168" t="str">
        <f>IF(AO36="","",AO36-AO$6)</f>
        <v/>
      </c>
      <c r="AQ36" s="168"/>
      <c r="AR36" s="168" t="str">
        <f>IF(AQ36="","",AQ36-AQ$6)</f>
        <v/>
      </c>
      <c r="AS36" s="168"/>
      <c r="AT36" s="168" t="str">
        <f>IF(AS36="","",AS36-AS$6)</f>
        <v/>
      </c>
      <c r="AU36" s="168"/>
      <c r="AV36" s="168" t="str">
        <f>IF(AU36="","",AU36-AU$6)</f>
        <v/>
      </c>
      <c r="AW36" s="168"/>
      <c r="AX36" s="168" t="str">
        <f>IF(AW36="","",AW36-AW$6)</f>
        <v/>
      </c>
      <c r="AY36" s="168"/>
      <c r="AZ36" s="168" t="str">
        <f>IF(AY36="","",AY36-AY$6)</f>
        <v/>
      </c>
      <c r="BA36" s="168"/>
      <c r="BB36" s="168" t="str">
        <f>IF(BA36="","",BA36-BA$6)</f>
        <v/>
      </c>
      <c r="BC36" s="168"/>
      <c r="BD36" s="168" t="str">
        <f>IF(BC36="","",BC36-BC$6)</f>
        <v/>
      </c>
      <c r="BE36" s="168"/>
      <c r="BF36" s="168" t="str">
        <f>IF(BE36="","",BE36-BE$6)</f>
        <v/>
      </c>
      <c r="BG36" s="168"/>
      <c r="BH36" s="168" t="str">
        <f>IF(BG36="","",BG36-BG$6)</f>
        <v/>
      </c>
      <c r="BI36" s="168"/>
      <c r="BJ36" s="168" t="str">
        <f>IF(BI36="","",BI36-BI$6)</f>
        <v/>
      </c>
      <c r="BK36" s="169"/>
      <c r="BL36" s="115"/>
      <c r="BM36" s="170">
        <v>2.265967596E-3</v>
      </c>
      <c r="BN36" s="163">
        <v>-2.3401595190000002E-3</v>
      </c>
      <c r="BO36" s="163">
        <v>1.1593810544000001E-2</v>
      </c>
      <c r="BP36" s="163">
        <v>6.5886776247000003E-3</v>
      </c>
      <c r="BQ36" s="171"/>
      <c r="BR36" s="171"/>
      <c r="BS36" s="171"/>
      <c r="BT36" s="171"/>
      <c r="BU36" s="172"/>
      <c r="BV36" s="172"/>
      <c r="BW36" s="163"/>
      <c r="BX36" s="163"/>
      <c r="BY36" s="161"/>
      <c r="BZ36" s="163">
        <v>-2.3401595185999998E-3</v>
      </c>
      <c r="CA36" s="163">
        <v>-2.3401595185999998E-3</v>
      </c>
      <c r="CB36" s="154">
        <v>45309</v>
      </c>
      <c r="CC36" s="154">
        <v>45310</v>
      </c>
      <c r="CD36" s="173">
        <v>6</v>
      </c>
      <c r="CE36" s="174">
        <v>45317</v>
      </c>
      <c r="CF36" s="116"/>
    </row>
    <row r="37" spans="2:84" ht="15.6" x14ac:dyDescent="0.3">
      <c r="B37" s="98" t="s">
        <v>28</v>
      </c>
      <c r="C37" s="175" t="s">
        <v>285</v>
      </c>
      <c r="D37" s="176" t="s">
        <v>68</v>
      </c>
      <c r="E37" s="176" t="s">
        <v>227</v>
      </c>
      <c r="F37" s="177">
        <v>71208516000174</v>
      </c>
      <c r="G37" s="177" t="s">
        <v>342</v>
      </c>
      <c r="H37" s="177" t="s">
        <v>388</v>
      </c>
      <c r="I37" s="178">
        <v>7</v>
      </c>
      <c r="J37" s="179">
        <v>2</v>
      </c>
      <c r="K37" s="179" t="s">
        <v>126</v>
      </c>
      <c r="L37" s="179" t="s">
        <v>118</v>
      </c>
      <c r="M37" s="179" t="s">
        <v>106</v>
      </c>
      <c r="N37" s="179" t="s">
        <v>109</v>
      </c>
      <c r="O37" s="180">
        <v>76475</v>
      </c>
      <c r="P37" s="181">
        <v>76475000</v>
      </c>
      <c r="Q37" s="181">
        <v>1000</v>
      </c>
      <c r="R37" s="182">
        <v>43174</v>
      </c>
      <c r="S37" s="182">
        <v>45731</v>
      </c>
      <c r="T37" s="183" t="s">
        <v>132</v>
      </c>
      <c r="U37" s="183" t="s">
        <v>165</v>
      </c>
      <c r="V37" s="182" t="s">
        <v>105</v>
      </c>
      <c r="W37" s="182" t="s">
        <v>102</v>
      </c>
      <c r="X37" s="182" t="s">
        <v>196</v>
      </c>
      <c r="Y37" s="182">
        <v>45792</v>
      </c>
      <c r="Z37" s="184">
        <f>IFERROR(INDEX(Base!G:G,MATCH('Debêntures IPCA-Spread'!Y37,Base!F:F,0)),"")</f>
        <v>5.73</v>
      </c>
      <c r="AA37" s="115"/>
      <c r="AB37" s="185">
        <v>45552</v>
      </c>
      <c r="AC37" s="186">
        <v>6.2403000000000004</v>
      </c>
      <c r="AD37" s="187">
        <f t="shared" si="0"/>
        <v>0.51029999999999998</v>
      </c>
      <c r="AE37" s="188">
        <v>0.06</v>
      </c>
      <c r="AF37" s="189">
        <v>6.4756999999999998</v>
      </c>
      <c r="AG37" s="189">
        <v>6.0149999999999997</v>
      </c>
      <c r="AH37" s="190">
        <v>701.46505000000002</v>
      </c>
      <c r="AI37" s="190">
        <v>1375.3888915</v>
      </c>
      <c r="AJ37" s="191">
        <f t="shared" si="1"/>
        <v>0.51001215316998949</v>
      </c>
      <c r="AK37" s="192">
        <v>45365</v>
      </c>
      <c r="AL37" s="193">
        <v>99.68</v>
      </c>
      <c r="AM37" s="194">
        <v>123</v>
      </c>
      <c r="AN37" s="115"/>
      <c r="AO37" s="195">
        <v>6.4942887184E-4</v>
      </c>
      <c r="AP37" s="196">
        <f>IF(AO37="","",AO37-AO$6)</f>
        <v>1.6928398691000001E-4</v>
      </c>
      <c r="AQ37" s="196">
        <v>4.6477022733999998E-3</v>
      </c>
      <c r="AR37" s="196">
        <f>IF(AQ37="","",AQ37-AQ$6)</f>
        <v>4.8652090263599998E-3</v>
      </c>
      <c r="AS37" s="196">
        <v>-0.47470589433999999</v>
      </c>
      <c r="AT37" s="196">
        <f>IF(AS37="","",AS37-AS$6)</f>
        <v>-0.48943172939500001</v>
      </c>
      <c r="AU37" s="196">
        <v>9.5314365717000006E-3</v>
      </c>
      <c r="AV37" s="196">
        <f>IF(AU37="","",AU37-AU$6)</f>
        <v>2.2600019167699999E-2</v>
      </c>
      <c r="AW37" s="196">
        <v>2.8358575330999999E-2</v>
      </c>
      <c r="AX37" s="196">
        <f>IF(AW37="","",AW37-AW$6)</f>
        <v>4.3635075429999982E-3</v>
      </c>
      <c r="AY37" s="196">
        <v>5.0981425683999999E-2</v>
      </c>
      <c r="AZ37" s="196">
        <f>IF(AY37="","",AY37-AY$6)</f>
        <v>3.6739170894000001E-2</v>
      </c>
      <c r="BA37" s="196">
        <v>-0.45993036139999999</v>
      </c>
      <c r="BB37" s="196">
        <f>IF(BA37="","",BA37-BA$6)</f>
        <v>-0.51341732595799994</v>
      </c>
      <c r="BC37" s="196">
        <v>-0.39686169535999999</v>
      </c>
      <c r="BD37" s="196">
        <f>IF(BC37="","",BC37-BC$6)</f>
        <v>-0.59117026184999999</v>
      </c>
      <c r="BE37" s="196">
        <v>-0.33581072559000003</v>
      </c>
      <c r="BF37" s="196">
        <f>IF(BE37="","",BE37-BE$6)</f>
        <v>-0.59753006512999995</v>
      </c>
      <c r="BG37" s="196">
        <v>-0.27060135209000002</v>
      </c>
      <c r="BH37" s="196">
        <f>IF(BG37="","",BG37-BG$6)</f>
        <v>-0.57951800090000005</v>
      </c>
      <c r="BI37" s="196">
        <v>-0.22754806671</v>
      </c>
      <c r="BJ37" s="196">
        <f>IF(BI37="","",BI37-BI$6)</f>
        <v>-0.60049107679000002</v>
      </c>
      <c r="BK37" s="197">
        <v>72.213972200000001</v>
      </c>
      <c r="BL37" s="115"/>
      <c r="BM37" s="198">
        <v>3.2518097231999999E-3</v>
      </c>
      <c r="BN37" s="191">
        <v>-0.51472771954999996</v>
      </c>
      <c r="BO37" s="191">
        <v>1.2480274195E-2</v>
      </c>
      <c r="BP37" s="191">
        <v>-0.50891074524000002</v>
      </c>
      <c r="BQ37" s="199">
        <v>11</v>
      </c>
      <c r="BR37" s="199">
        <v>1</v>
      </c>
      <c r="BS37" s="199">
        <v>5</v>
      </c>
      <c r="BT37" s="199">
        <v>7</v>
      </c>
      <c r="BU37" s="200">
        <v>-0.78165768314999995</v>
      </c>
      <c r="BV37" s="200">
        <v>-0.54673085932999999</v>
      </c>
      <c r="BW37" s="191">
        <v>5.3130315632999997E-2</v>
      </c>
      <c r="BX37" s="191">
        <v>6.2636807605000004E-4</v>
      </c>
      <c r="BY37" s="189">
        <v>-46.128974026000002</v>
      </c>
      <c r="BZ37" s="191">
        <v>-4.4696054831999997E-3</v>
      </c>
      <c r="CA37" s="191">
        <v>-0.51472771954999996</v>
      </c>
      <c r="CB37" s="182">
        <v>45365</v>
      </c>
      <c r="CC37" s="182">
        <v>45366</v>
      </c>
      <c r="CD37" s="201"/>
      <c r="CE37" s="202"/>
      <c r="CF37" s="116"/>
    </row>
    <row r="38" spans="2:84" ht="15.6" x14ac:dyDescent="0.3">
      <c r="B38" s="110" t="s">
        <v>1090</v>
      </c>
      <c r="C38" s="147" t="s">
        <v>1254</v>
      </c>
      <c r="D38" s="148" t="s">
        <v>68</v>
      </c>
      <c r="E38" s="148" t="s">
        <v>227</v>
      </c>
      <c r="F38" s="149">
        <v>71208516000174</v>
      </c>
      <c r="G38" s="149" t="s">
        <v>1152</v>
      </c>
      <c r="H38" s="149" t="s">
        <v>388</v>
      </c>
      <c r="I38" s="150">
        <v>11</v>
      </c>
      <c r="J38" s="151">
        <v>2</v>
      </c>
      <c r="K38" s="151" t="s">
        <v>126</v>
      </c>
      <c r="L38" s="151" t="s">
        <v>112</v>
      </c>
      <c r="M38" s="151" t="s">
        <v>106</v>
      </c>
      <c r="N38" s="151" t="s">
        <v>109</v>
      </c>
      <c r="O38" s="152">
        <v>300000</v>
      </c>
      <c r="P38" s="153">
        <v>300000000</v>
      </c>
      <c r="Q38" s="153">
        <v>1000</v>
      </c>
      <c r="R38" s="154">
        <v>44392</v>
      </c>
      <c r="S38" s="154">
        <v>48044</v>
      </c>
      <c r="T38" s="155" t="s">
        <v>1226</v>
      </c>
      <c r="U38" s="155" t="s">
        <v>1195</v>
      </c>
      <c r="V38" s="154" t="s">
        <v>105</v>
      </c>
      <c r="W38" s="154" t="s">
        <v>102</v>
      </c>
      <c r="X38" s="154" t="s">
        <v>1294</v>
      </c>
      <c r="Y38" s="154">
        <v>47710</v>
      </c>
      <c r="Z38" s="156">
        <f>IFERROR(INDEX(Base!G:G,MATCH('Debêntures IPCA-Spread'!Y38,Base!F:F,0)),"")</f>
        <v>6.3273999999999999</v>
      </c>
      <c r="AA38" s="115"/>
      <c r="AB38" s="157">
        <v>45552</v>
      </c>
      <c r="AC38" s="158">
        <v>7.0288000000000004</v>
      </c>
      <c r="AD38" s="159">
        <f t="shared" si="0"/>
        <v>0.70140000000000047</v>
      </c>
      <c r="AE38" s="160">
        <v>0.17</v>
      </c>
      <c r="AF38" s="161">
        <v>7.2382</v>
      </c>
      <c r="AG38" s="161">
        <v>6.8461999999999996</v>
      </c>
      <c r="AH38" s="162">
        <v>1097.440664</v>
      </c>
      <c r="AI38" s="162">
        <v>1108.784488</v>
      </c>
      <c r="AJ38" s="163">
        <f t="shared" si="1"/>
        <v>0.9897691353705157</v>
      </c>
      <c r="AK38" s="164">
        <v>45518</v>
      </c>
      <c r="AL38" s="165">
        <v>90.85</v>
      </c>
      <c r="AM38" s="166">
        <v>1257</v>
      </c>
      <c r="AN38" s="115"/>
      <c r="AO38" s="167">
        <v>3.8654981909E-3</v>
      </c>
      <c r="AP38" s="168">
        <f>IF(AO38="","",AO38-AO$6)</f>
        <v>3.38535330597E-3</v>
      </c>
      <c r="AQ38" s="168">
        <v>2.6855353098999999E-3</v>
      </c>
      <c r="AR38" s="168">
        <f>IF(AQ38="","",AQ38-AQ$6)</f>
        <v>2.90304206286E-3</v>
      </c>
      <c r="AS38" s="168">
        <v>3.4127726513999999E-2</v>
      </c>
      <c r="AT38" s="168">
        <f>IF(AS38="","",AS38-AS$6)</f>
        <v>1.9401891458999999E-2</v>
      </c>
      <c r="AU38" s="168">
        <v>-6.7518856085000004E-3</v>
      </c>
      <c r="AV38" s="168">
        <f>IF(AU38="","",AU38-AU$6)</f>
        <v>6.3166969874999994E-3</v>
      </c>
      <c r="AW38" s="168">
        <v>4.3393069505E-2</v>
      </c>
      <c r="AX38" s="168">
        <f>IF(AW38="","",AW38-AW$6)</f>
        <v>1.9398001716999999E-2</v>
      </c>
      <c r="AY38" s="168">
        <v>3.0940785836999999E-3</v>
      </c>
      <c r="AZ38" s="168">
        <f>IF(AY38="","",AY38-AY$6)</f>
        <v>-1.1148176206300001E-2</v>
      </c>
      <c r="BA38" s="168">
        <v>6.9754744906999996E-2</v>
      </c>
      <c r="BB38" s="168">
        <f>IF(BA38="","",BA38-BA$6)</f>
        <v>1.6267780348999998E-2</v>
      </c>
      <c r="BC38" s="168">
        <v>0.20160554479000001</v>
      </c>
      <c r="BD38" s="168">
        <f>IF(BC38="","",BC38-BC$6)</f>
        <v>7.2969783000000066E-3</v>
      </c>
      <c r="BE38" s="168"/>
      <c r="BF38" s="168" t="str">
        <f>IF(BE38="","",BE38-BE$6)</f>
        <v/>
      </c>
      <c r="BG38" s="168"/>
      <c r="BH38" s="168" t="str">
        <f>IF(BG38="","",BG38-BG$6)</f>
        <v/>
      </c>
      <c r="BI38" s="168"/>
      <c r="BJ38" s="168" t="str">
        <f>IF(BI38="","",BI38-BI$6)</f>
        <v/>
      </c>
      <c r="BK38" s="169">
        <v>4.6230073870000004</v>
      </c>
      <c r="BL38" s="115"/>
      <c r="BM38" s="170">
        <v>8.0853626986999994E-3</v>
      </c>
      <c r="BN38" s="163">
        <v>-1.29461479E-2</v>
      </c>
      <c r="BO38" s="163">
        <v>2.8287736463999999E-2</v>
      </c>
      <c r="BP38" s="163">
        <v>-1.927053682E-2</v>
      </c>
      <c r="BQ38" s="171">
        <v>8</v>
      </c>
      <c r="BR38" s="171">
        <v>4</v>
      </c>
      <c r="BS38" s="171">
        <v>5</v>
      </c>
      <c r="BT38" s="171">
        <v>7</v>
      </c>
      <c r="BU38" s="172">
        <v>-0.79593600839</v>
      </c>
      <c r="BV38" s="172">
        <v>-0.47946075949</v>
      </c>
      <c r="BW38" s="163">
        <v>4.7752615126E-3</v>
      </c>
      <c r="BX38" s="163">
        <v>5.2044990170999998E-3</v>
      </c>
      <c r="BY38" s="161">
        <v>-4.7206383629999999</v>
      </c>
      <c r="BZ38" s="163">
        <v>-4.7167564513999997E-2</v>
      </c>
      <c r="CA38" s="163">
        <v>-4.7167564513999997E-2</v>
      </c>
      <c r="CB38" s="154">
        <v>45364</v>
      </c>
      <c r="CC38" s="154">
        <v>45455</v>
      </c>
      <c r="CD38" s="173">
        <v>104</v>
      </c>
      <c r="CE38" s="174">
        <v>45513</v>
      </c>
      <c r="CF38" s="116"/>
    </row>
    <row r="39" spans="2:84" ht="15.6" x14ac:dyDescent="0.3">
      <c r="B39" s="98" t="s">
        <v>1399</v>
      </c>
      <c r="C39" s="175" t="s">
        <v>2045</v>
      </c>
      <c r="D39" s="176" t="s">
        <v>68</v>
      </c>
      <c r="E39" s="176" t="s">
        <v>227</v>
      </c>
      <c r="F39" s="177">
        <v>71208516000174</v>
      </c>
      <c r="G39" s="177" t="s">
        <v>1758</v>
      </c>
      <c r="H39" s="177" t="s">
        <v>388</v>
      </c>
      <c r="I39" s="178">
        <v>12</v>
      </c>
      <c r="J39" s="179">
        <v>3</v>
      </c>
      <c r="K39" s="179" t="s">
        <v>2178</v>
      </c>
      <c r="L39" s="179" t="s">
        <v>1252</v>
      </c>
      <c r="M39" s="179" t="s">
        <v>114</v>
      </c>
      <c r="N39" s="179" t="s">
        <v>109</v>
      </c>
      <c r="O39" s="180">
        <v>315000</v>
      </c>
      <c r="P39" s="181">
        <v>315000000</v>
      </c>
      <c r="Q39" s="181">
        <v>1000</v>
      </c>
      <c r="R39" s="182">
        <v>44576</v>
      </c>
      <c r="S39" s="182">
        <v>48228</v>
      </c>
      <c r="T39" s="183" t="s">
        <v>1973</v>
      </c>
      <c r="U39" s="183" t="s">
        <v>1657</v>
      </c>
      <c r="V39" s="182" t="s">
        <v>105</v>
      </c>
      <c r="W39" s="182" t="s">
        <v>102</v>
      </c>
      <c r="X39" s="182" t="s">
        <v>1540</v>
      </c>
      <c r="Y39" s="182">
        <v>47710</v>
      </c>
      <c r="Z39" s="184">
        <f>IFERROR(INDEX(Base!G:G,MATCH('Debêntures IPCA-Spread'!Y39,Base!F:F,0)),"")</f>
        <v>6.3273999999999999</v>
      </c>
      <c r="AA39" s="115"/>
      <c r="AB39" s="185">
        <v>45552</v>
      </c>
      <c r="AC39" s="186">
        <v>7.0439999999999996</v>
      </c>
      <c r="AD39" s="187">
        <f t="shared" si="0"/>
        <v>0.71659999999999968</v>
      </c>
      <c r="AE39" s="188">
        <v>0.21</v>
      </c>
      <c r="AF39" s="189">
        <v>7.3682999999999996</v>
      </c>
      <c r="AG39" s="189">
        <v>6.8692000000000002</v>
      </c>
      <c r="AH39" s="190">
        <v>1081.7624579999999</v>
      </c>
      <c r="AI39" s="190">
        <v>1092.4477469999999</v>
      </c>
      <c r="AJ39" s="191">
        <f t="shared" si="1"/>
        <v>0.99021894728663851</v>
      </c>
      <c r="AK39" s="192">
        <v>45518</v>
      </c>
      <c r="AL39" s="193">
        <v>94.41</v>
      </c>
      <c r="AM39" s="194">
        <v>1322</v>
      </c>
      <c r="AN39" s="115"/>
      <c r="AO39" s="195">
        <v>5.0474112177000003E-3</v>
      </c>
      <c r="AP39" s="196">
        <f>IF(AO39="","",AO39-AO$6)</f>
        <v>4.5672663327700003E-3</v>
      </c>
      <c r="AQ39" s="196">
        <v>8.3320639187000004E-3</v>
      </c>
      <c r="AR39" s="196">
        <f>IF(AQ39="","",AQ39-AQ$6)</f>
        <v>8.5495706716599996E-3</v>
      </c>
      <c r="AS39" s="196">
        <v>3.2566973157000002E-2</v>
      </c>
      <c r="AT39" s="196">
        <f>IF(AS39="","",AS39-AS$6)</f>
        <v>1.7841138102000002E-2</v>
      </c>
      <c r="AU39" s="196">
        <v>-5.1612541001E-3</v>
      </c>
      <c r="AV39" s="196">
        <f>IF(AU39="","",AU39-AU$6)</f>
        <v>7.9073284958999998E-3</v>
      </c>
      <c r="AW39" s="196">
        <v>4.5714250845999997E-2</v>
      </c>
      <c r="AX39" s="196">
        <f>IF(AW39="","",AW39-AW$6)</f>
        <v>2.1719183057999997E-2</v>
      </c>
      <c r="AY39" s="196">
        <v>-3.7194234937E-4</v>
      </c>
      <c r="AZ39" s="196">
        <f>IF(AY39="","",AY39-AY$6)</f>
        <v>-1.4614197139370001E-2</v>
      </c>
      <c r="BA39" s="196">
        <v>6.8557728188999995E-2</v>
      </c>
      <c r="BB39" s="196">
        <f>IF(BA39="","",BA39-BA$6)</f>
        <v>1.5070763630999996E-2</v>
      </c>
      <c r="BC39" s="196"/>
      <c r="BD39" s="196" t="str">
        <f>IF(BC39="","",BC39-BC$6)</f>
        <v/>
      </c>
      <c r="BE39" s="196"/>
      <c r="BF39" s="196" t="str">
        <f>IF(BE39="","",BE39-BE$6)</f>
        <v/>
      </c>
      <c r="BG39" s="196"/>
      <c r="BH39" s="196" t="str">
        <f>IF(BG39="","",BG39-BG$6)</f>
        <v/>
      </c>
      <c r="BI39" s="196"/>
      <c r="BJ39" s="196" t="str">
        <f>IF(BI39="","",BI39-BI$6)</f>
        <v/>
      </c>
      <c r="BK39" s="197">
        <v>5.1761033140999997</v>
      </c>
      <c r="BL39" s="115"/>
      <c r="BM39" s="198">
        <v>1.3386633950999999E-2</v>
      </c>
      <c r="BN39" s="191">
        <v>-9.0911489232999992E-3</v>
      </c>
      <c r="BO39" s="191">
        <v>2.8812114853E-2</v>
      </c>
      <c r="BP39" s="191">
        <v>-2.3128062740999999E-2</v>
      </c>
      <c r="BQ39" s="199">
        <v>9</v>
      </c>
      <c r="BR39" s="199">
        <v>3</v>
      </c>
      <c r="BS39" s="199">
        <v>6</v>
      </c>
      <c r="BT39" s="199">
        <v>6</v>
      </c>
      <c r="BU39" s="200">
        <v>-0.72623655047000002</v>
      </c>
      <c r="BV39" s="200"/>
      <c r="BW39" s="191">
        <v>5.3496855526000003E-3</v>
      </c>
      <c r="BX39" s="191">
        <v>6.2199251240999997E-3</v>
      </c>
      <c r="BY39" s="189">
        <v>-4.9476640866999997</v>
      </c>
      <c r="BZ39" s="191">
        <v>-5.3317423359999998E-2</v>
      </c>
      <c r="CA39" s="191">
        <v>-5.3317423359999998E-2</v>
      </c>
      <c r="CB39" s="182">
        <v>45363</v>
      </c>
      <c r="CC39" s="182">
        <v>45456</v>
      </c>
      <c r="CD39" s="201">
        <v>106</v>
      </c>
      <c r="CE39" s="202">
        <v>45516</v>
      </c>
      <c r="CF39" s="116"/>
    </row>
    <row r="40" spans="2:84" ht="15.6" x14ac:dyDescent="0.3">
      <c r="B40" s="110" t="s">
        <v>2206</v>
      </c>
      <c r="C40" s="147" t="s">
        <v>2591</v>
      </c>
      <c r="D40" s="148" t="s">
        <v>68</v>
      </c>
      <c r="E40" s="148" t="s">
        <v>227</v>
      </c>
      <c r="F40" s="149">
        <v>71208516000174</v>
      </c>
      <c r="G40" s="149" t="s">
        <v>2339</v>
      </c>
      <c r="H40" s="149" t="s">
        <v>388</v>
      </c>
      <c r="I40" s="150">
        <v>14</v>
      </c>
      <c r="J40" s="151" t="s">
        <v>107</v>
      </c>
      <c r="K40" s="151" t="s">
        <v>111</v>
      </c>
      <c r="L40" s="151" t="s">
        <v>112</v>
      </c>
      <c r="M40" s="151" t="s">
        <v>986</v>
      </c>
      <c r="N40" s="151" t="s">
        <v>109</v>
      </c>
      <c r="O40" s="152">
        <v>700000</v>
      </c>
      <c r="P40" s="153">
        <v>700000000</v>
      </c>
      <c r="Q40" s="153">
        <v>1000</v>
      </c>
      <c r="R40" s="154">
        <v>45245</v>
      </c>
      <c r="S40" s="154">
        <v>48898</v>
      </c>
      <c r="T40" s="155" t="s">
        <v>1995</v>
      </c>
      <c r="U40" s="155" t="s">
        <v>2717</v>
      </c>
      <c r="V40" s="154" t="s">
        <v>105</v>
      </c>
      <c r="W40" s="154" t="s">
        <v>102</v>
      </c>
      <c r="X40" s="154" t="s">
        <v>2478</v>
      </c>
      <c r="Y40" s="154">
        <v>48441</v>
      </c>
      <c r="Z40" s="156">
        <f>IFERROR(INDEX(Base!G:G,MATCH('Debêntures IPCA-Spread'!Y40,Base!F:F,0)),"")</f>
        <v>6.3467000000000002</v>
      </c>
      <c r="AA40" s="115"/>
      <c r="AB40" s="157">
        <v>45552</v>
      </c>
      <c r="AC40" s="158">
        <v>6.9363000000000001</v>
      </c>
      <c r="AD40" s="159">
        <f t="shared" si="0"/>
        <v>0.5895999999999999</v>
      </c>
      <c r="AE40" s="160">
        <v>0.09</v>
      </c>
      <c r="AF40" s="161">
        <v>7.0656999999999996</v>
      </c>
      <c r="AG40" s="161">
        <v>6.7195999999999998</v>
      </c>
      <c r="AH40" s="162">
        <v>1021.269267</v>
      </c>
      <c r="AI40" s="162"/>
      <c r="AJ40" s="163" t="str">
        <f t="shared" si="1"/>
        <v/>
      </c>
      <c r="AK40" s="164"/>
      <c r="AL40" s="165">
        <v>96.61</v>
      </c>
      <c r="AM40" s="166">
        <v>1509</v>
      </c>
      <c r="AN40" s="115"/>
      <c r="AO40" s="167">
        <v>-1.5073576505E-3</v>
      </c>
      <c r="AP40" s="168">
        <f>IF(AO40="","",AO40-AO$6)</f>
        <v>-1.9875025354300002E-3</v>
      </c>
      <c r="AQ40" s="168">
        <v>9.5363008330999997E-3</v>
      </c>
      <c r="AR40" s="168">
        <f>IF(AQ40="","",AQ40-AQ$6)</f>
        <v>9.7538075860599989E-3</v>
      </c>
      <c r="AS40" s="168"/>
      <c r="AT40" s="168" t="str">
        <f>IF(AS40="","",AS40-AS$6)</f>
        <v/>
      </c>
      <c r="AU40" s="168">
        <v>-7.9420221572999998E-4</v>
      </c>
      <c r="AV40" s="168">
        <f>IF(AU40="","",AU40-AU$6)</f>
        <v>1.2274380380269999E-2</v>
      </c>
      <c r="AW40" s="168">
        <v>5.1112677831E-2</v>
      </c>
      <c r="AX40" s="168">
        <f>IF(AW40="","",AW40-AW$6)</f>
        <v>2.7117610043E-2</v>
      </c>
      <c r="AY40" s="168">
        <v>8.7056973552999996E-3</v>
      </c>
      <c r="AZ40" s="168">
        <f>IF(AY40="","",AY40-AY$6)</f>
        <v>-5.5365574347000009E-3</v>
      </c>
      <c r="BA40" s="168"/>
      <c r="BB40" s="168" t="str">
        <f>IF(BA40="","",BA40-BA$6)</f>
        <v/>
      </c>
      <c r="BC40" s="168"/>
      <c r="BD40" s="168" t="str">
        <f>IF(BC40="","",BC40-BC$6)</f>
        <v/>
      </c>
      <c r="BE40" s="168"/>
      <c r="BF40" s="168" t="str">
        <f>IF(BE40="","",BE40-BE$6)</f>
        <v/>
      </c>
      <c r="BG40" s="168"/>
      <c r="BH40" s="168" t="str">
        <f>IF(BG40="","",BG40-BG$6)</f>
        <v/>
      </c>
      <c r="BI40" s="168"/>
      <c r="BJ40" s="168" t="str">
        <f>IF(BI40="","",BI40-BI$6)</f>
        <v/>
      </c>
      <c r="BK40" s="169"/>
      <c r="BL40" s="115"/>
      <c r="BM40" s="170">
        <v>1.6095528740999999E-2</v>
      </c>
      <c r="BN40" s="163">
        <v>-1.2796542512999999E-2</v>
      </c>
      <c r="BO40" s="163">
        <v>3.3924361081999997E-2</v>
      </c>
      <c r="BP40" s="163">
        <v>-2.2319769531000001E-2</v>
      </c>
      <c r="BQ40" s="171"/>
      <c r="BR40" s="171"/>
      <c r="BS40" s="171"/>
      <c r="BT40" s="171"/>
      <c r="BU40" s="172"/>
      <c r="BV40" s="172"/>
      <c r="BW40" s="163"/>
      <c r="BX40" s="163">
        <v>5.7871557311000004E-3</v>
      </c>
      <c r="BY40" s="161"/>
      <c r="BZ40" s="163">
        <v>-5.5915932747999997E-2</v>
      </c>
      <c r="CA40" s="163">
        <v>-5.5915932747999997E-2</v>
      </c>
      <c r="CB40" s="154">
        <v>45364</v>
      </c>
      <c r="CC40" s="154">
        <v>45475</v>
      </c>
      <c r="CD40" s="173">
        <v>105</v>
      </c>
      <c r="CE40" s="174">
        <v>45516</v>
      </c>
      <c r="CF40" s="116"/>
    </row>
    <row r="41" spans="2:84" ht="15.6" x14ac:dyDescent="0.3">
      <c r="B41" s="98" t="s">
        <v>493</v>
      </c>
      <c r="C41" s="175" t="s">
        <v>658</v>
      </c>
      <c r="D41" s="176" t="s">
        <v>612</v>
      </c>
      <c r="E41" s="176" t="s">
        <v>103</v>
      </c>
      <c r="F41" s="177">
        <v>12009135000105</v>
      </c>
      <c r="G41" s="177" t="s">
        <v>813</v>
      </c>
      <c r="H41" s="177" t="s">
        <v>388</v>
      </c>
      <c r="I41" s="178">
        <v>2</v>
      </c>
      <c r="J41" s="179" t="s">
        <v>107</v>
      </c>
      <c r="K41" s="179" t="s">
        <v>130</v>
      </c>
      <c r="L41" s="179" t="s">
        <v>124</v>
      </c>
      <c r="M41" s="179" t="s">
        <v>106</v>
      </c>
      <c r="N41" s="179" t="s">
        <v>109</v>
      </c>
      <c r="O41" s="180">
        <v>77000</v>
      </c>
      <c r="P41" s="181">
        <v>77000000</v>
      </c>
      <c r="Q41" s="181">
        <v>1000</v>
      </c>
      <c r="R41" s="182">
        <v>43631</v>
      </c>
      <c r="S41" s="182">
        <v>47467</v>
      </c>
      <c r="T41" s="183" t="s">
        <v>749</v>
      </c>
      <c r="U41" s="183" t="s">
        <v>902</v>
      </c>
      <c r="V41" s="182" t="s">
        <v>194</v>
      </c>
      <c r="W41" s="182" t="s">
        <v>102</v>
      </c>
      <c r="X41" s="182" t="s">
        <v>1295</v>
      </c>
      <c r="Y41" s="182">
        <v>46522</v>
      </c>
      <c r="Z41" s="184">
        <f>IFERROR(INDEX(Base!G:G,MATCH('Debêntures IPCA-Spread'!Y41,Base!F:F,0)),"")</f>
        <v>6.391</v>
      </c>
      <c r="AA41" s="115"/>
      <c r="AB41" s="185">
        <v>45552</v>
      </c>
      <c r="AC41" s="186">
        <v>6.2526999999999999</v>
      </c>
      <c r="AD41" s="187">
        <f t="shared" ref="AD41:AD72" si="2">IF(AND(Z41&lt;&gt;"",AC41&lt;&gt;""),AC41-Z41,"")</f>
        <v>-0.13830000000000009</v>
      </c>
      <c r="AE41" s="188">
        <v>0.24</v>
      </c>
      <c r="AF41" s="189">
        <v>6.5190999999999999</v>
      </c>
      <c r="AG41" s="189">
        <v>6.0822000000000003</v>
      </c>
      <c r="AH41" s="190">
        <v>917.907692</v>
      </c>
      <c r="AI41" s="190">
        <v>918.03732500000001</v>
      </c>
      <c r="AJ41" s="191">
        <f t="shared" ref="AJ41:AJ72" si="3">IFERROR(AH41/AI41,"")</f>
        <v>0.99985879332302741</v>
      </c>
      <c r="AK41" s="192">
        <v>45548</v>
      </c>
      <c r="AL41" s="193">
        <v>94.03</v>
      </c>
      <c r="AM41" s="194">
        <v>619</v>
      </c>
      <c r="AN41" s="115"/>
      <c r="AO41" s="195">
        <v>1.8484784487000001E-3</v>
      </c>
      <c r="AP41" s="196">
        <f>IF(AO41="","",AO41-AO$6)</f>
        <v>1.3683335637700001E-3</v>
      </c>
      <c r="AQ41" s="196">
        <v>8.4391333020999992E-3</v>
      </c>
      <c r="AR41" s="196">
        <f>IF(AQ41="","",AQ41-AQ$6)</f>
        <v>8.6566400550599984E-3</v>
      </c>
      <c r="AS41" s="196">
        <v>6.7845996057999999E-2</v>
      </c>
      <c r="AT41" s="196">
        <f>IF(AS41="","",AS41-AS$6)</f>
        <v>5.3120161003000002E-2</v>
      </c>
      <c r="AU41" s="196">
        <v>4.7286793997E-3</v>
      </c>
      <c r="AV41" s="196">
        <f>IF(AU41="","",AU41-AU$6)</f>
        <v>1.77972619957E-2</v>
      </c>
      <c r="AW41" s="196">
        <v>3.2639848717999999E-2</v>
      </c>
      <c r="AX41" s="196">
        <f>IF(AW41="","",AW41-AW$6)</f>
        <v>8.6447809299999984E-3</v>
      </c>
      <c r="AY41" s="196">
        <v>3.3358719235999999E-2</v>
      </c>
      <c r="AZ41" s="196">
        <f>IF(AY41="","",AY41-AY$6)</f>
        <v>1.9116464446E-2</v>
      </c>
      <c r="BA41" s="196">
        <v>9.6437918922999993E-2</v>
      </c>
      <c r="BB41" s="196">
        <f>IF(BA41="","",BA41-BA$6)</f>
        <v>4.2950954364999995E-2</v>
      </c>
      <c r="BC41" s="196">
        <v>0.23631746607000001</v>
      </c>
      <c r="BD41" s="196">
        <f>IF(BC41="","",BC41-BC$6)</f>
        <v>4.2008899580000009E-2</v>
      </c>
      <c r="BE41" s="196">
        <v>0.35079277703</v>
      </c>
      <c r="BF41" s="196">
        <f>IF(BE41="","",BE41-BE$6)</f>
        <v>8.9073437490000018E-2</v>
      </c>
      <c r="BG41" s="196">
        <v>0.49801363170000001</v>
      </c>
      <c r="BH41" s="196">
        <f>IF(BG41="","",BG41-BG$6)</f>
        <v>0.18909698288999999</v>
      </c>
      <c r="BI41" s="196"/>
      <c r="BJ41" s="196" t="str">
        <f>IF(BI41="","",BI41-BI$6)</f>
        <v/>
      </c>
      <c r="BK41" s="197">
        <v>3.2504538315999998</v>
      </c>
      <c r="BL41" s="115"/>
      <c r="BM41" s="198">
        <v>7.8254710588000001E-3</v>
      </c>
      <c r="BN41" s="191">
        <v>-5.8572589204999997E-3</v>
      </c>
      <c r="BO41" s="191">
        <v>2.3869802834999999E-2</v>
      </c>
      <c r="BP41" s="191">
        <v>-7.8121594697000002E-3</v>
      </c>
      <c r="BQ41" s="199">
        <v>10</v>
      </c>
      <c r="BR41" s="199">
        <v>2</v>
      </c>
      <c r="BS41" s="199">
        <v>7</v>
      </c>
      <c r="BT41" s="199">
        <v>5</v>
      </c>
      <c r="BU41" s="200">
        <v>-0.40840897608999999</v>
      </c>
      <c r="BV41" s="200">
        <v>-0.25025929461000002</v>
      </c>
      <c r="BW41" s="191">
        <v>3.3590458871E-3</v>
      </c>
      <c r="BX41" s="191">
        <v>3.3926148502000002E-3</v>
      </c>
      <c r="BY41" s="189">
        <v>-1.9169325384</v>
      </c>
      <c r="BZ41" s="191">
        <v>-1.3598125233E-2</v>
      </c>
      <c r="CA41" s="191">
        <v>-1.3598125233E-2</v>
      </c>
      <c r="CB41" s="182">
        <v>45391</v>
      </c>
      <c r="CC41" s="182">
        <v>45399</v>
      </c>
      <c r="CD41" s="201">
        <v>26</v>
      </c>
      <c r="CE41" s="202">
        <v>45428</v>
      </c>
      <c r="CF41" s="116"/>
    </row>
    <row r="42" spans="2:84" ht="15.6" x14ac:dyDescent="0.3">
      <c r="B42" s="110" t="s">
        <v>1091</v>
      </c>
      <c r="C42" s="147" t="s">
        <v>1255</v>
      </c>
      <c r="D42" s="148" t="s">
        <v>612</v>
      </c>
      <c r="E42" s="148" t="s">
        <v>103</v>
      </c>
      <c r="F42" s="149">
        <v>12009135000105</v>
      </c>
      <c r="G42" s="149" t="s">
        <v>1153</v>
      </c>
      <c r="H42" s="149" t="s">
        <v>388</v>
      </c>
      <c r="I42" s="150">
        <v>3</v>
      </c>
      <c r="J42" s="151" t="s">
        <v>107</v>
      </c>
      <c r="K42" s="151" t="s">
        <v>130</v>
      </c>
      <c r="L42" s="151" t="s">
        <v>124</v>
      </c>
      <c r="M42" s="151" t="s">
        <v>106</v>
      </c>
      <c r="N42" s="151" t="s">
        <v>109</v>
      </c>
      <c r="O42" s="152">
        <v>270000</v>
      </c>
      <c r="P42" s="153">
        <v>270000000</v>
      </c>
      <c r="Q42" s="153">
        <v>1000</v>
      </c>
      <c r="R42" s="154">
        <v>44242</v>
      </c>
      <c r="S42" s="154">
        <v>49355</v>
      </c>
      <c r="T42" s="155" t="s">
        <v>1196</v>
      </c>
      <c r="U42" s="155" t="s">
        <v>1196</v>
      </c>
      <c r="V42" s="154" t="s">
        <v>105</v>
      </c>
      <c r="W42" s="154" t="s">
        <v>102</v>
      </c>
      <c r="X42" s="154" t="s">
        <v>1296</v>
      </c>
      <c r="Y42" s="154">
        <v>47710</v>
      </c>
      <c r="Z42" s="156">
        <f>IFERROR(INDEX(Base!G:G,MATCH('Debêntures IPCA-Spread'!Y42,Base!F:F,0)),"")</f>
        <v>6.3273999999999999</v>
      </c>
      <c r="AA42" s="115"/>
      <c r="AB42" s="157">
        <v>45552</v>
      </c>
      <c r="AC42" s="158">
        <v>6.3776999999999999</v>
      </c>
      <c r="AD42" s="159">
        <f t="shared" si="2"/>
        <v>5.0300000000000011E-2</v>
      </c>
      <c r="AE42" s="160">
        <v>0.16</v>
      </c>
      <c r="AF42" s="161">
        <v>6.8963000000000001</v>
      </c>
      <c r="AG42" s="161"/>
      <c r="AH42" s="162">
        <v>908.90113799999995</v>
      </c>
      <c r="AI42" s="162">
        <v>916.43001411</v>
      </c>
      <c r="AJ42" s="163">
        <f t="shared" si="3"/>
        <v>0.99178455965640566</v>
      </c>
      <c r="AK42" s="164">
        <v>45517</v>
      </c>
      <c r="AL42" s="165">
        <v>89.44</v>
      </c>
      <c r="AM42" s="166">
        <v>1219</v>
      </c>
      <c r="AN42" s="115"/>
      <c r="AO42" s="167">
        <v>2.8825302070000002E-4</v>
      </c>
      <c r="AP42" s="168">
        <f>IF(AO42="","",AO42-AO$6)</f>
        <v>-1.9189186422999998E-4</v>
      </c>
      <c r="AQ42" s="168">
        <v>5.8686357642999997E-3</v>
      </c>
      <c r="AR42" s="168">
        <f>IF(AQ42="","",AQ42-AQ$6)</f>
        <v>6.0861425172599997E-3</v>
      </c>
      <c r="AS42" s="168">
        <v>5.5870518262999998E-2</v>
      </c>
      <c r="AT42" s="168">
        <f>IF(AS42="","",AS42-AS$6)</f>
        <v>4.1144683207999994E-2</v>
      </c>
      <c r="AU42" s="168">
        <v>-5.8514358361000003E-3</v>
      </c>
      <c r="AV42" s="168">
        <f>IF(AU42="","",AU42-AU$6)</f>
        <v>7.2171467598999995E-3</v>
      </c>
      <c r="AW42" s="168">
        <v>3.2757724170000002E-2</v>
      </c>
      <c r="AX42" s="168">
        <f>IF(AW42="","",AW42-AW$6)</f>
        <v>8.7626563820000017E-3</v>
      </c>
      <c r="AY42" s="168">
        <v>2.1063986549000002E-2</v>
      </c>
      <c r="AZ42" s="168">
        <f>IF(AY42="","",AY42-AY$6)</f>
        <v>6.821731759000001E-3</v>
      </c>
      <c r="BA42" s="168">
        <v>9.0757692806000004E-2</v>
      </c>
      <c r="BB42" s="168">
        <f>IF(BA42="","",BA42-BA$6)</f>
        <v>3.7270728248000005E-2</v>
      </c>
      <c r="BC42" s="168">
        <v>0.24471480940000001</v>
      </c>
      <c r="BD42" s="168">
        <f>IF(BC42="","",BC42-BC$6)</f>
        <v>5.040624291000001E-2</v>
      </c>
      <c r="BE42" s="168">
        <v>0.34855539946000003</v>
      </c>
      <c r="BF42" s="168">
        <f>IF(BE42="","",BE42-BE$6)</f>
        <v>8.6836059920000042E-2</v>
      </c>
      <c r="BG42" s="168"/>
      <c r="BH42" s="168" t="str">
        <f>IF(BG42="","",BG42-BG$6)</f>
        <v/>
      </c>
      <c r="BI42" s="168"/>
      <c r="BJ42" s="168" t="str">
        <f>IF(BI42="","",BI42-BI$6)</f>
        <v/>
      </c>
      <c r="BK42" s="169">
        <v>5.0678541920000004</v>
      </c>
      <c r="BL42" s="115"/>
      <c r="BM42" s="170">
        <v>1.0231482448E-2</v>
      </c>
      <c r="BN42" s="163">
        <v>-9.3825663271E-3</v>
      </c>
      <c r="BO42" s="163">
        <v>2.5112097274999998E-2</v>
      </c>
      <c r="BP42" s="163">
        <v>-1.8926155771E-2</v>
      </c>
      <c r="BQ42" s="171">
        <v>9</v>
      </c>
      <c r="BR42" s="171">
        <v>3</v>
      </c>
      <c r="BS42" s="171">
        <v>6</v>
      </c>
      <c r="BT42" s="171">
        <v>6</v>
      </c>
      <c r="BU42" s="172">
        <v>-0.34831943135999999</v>
      </c>
      <c r="BV42" s="172">
        <v>-0.18044414039000001</v>
      </c>
      <c r="BW42" s="163">
        <v>5.2358062453999998E-3</v>
      </c>
      <c r="BX42" s="163">
        <v>4.3802008504000003E-3</v>
      </c>
      <c r="BY42" s="161">
        <v>-2.6332003064</v>
      </c>
      <c r="BZ42" s="163">
        <v>-2.4385289689999999E-2</v>
      </c>
      <c r="CA42" s="163">
        <v>-2.4385289689999999E-2</v>
      </c>
      <c r="CB42" s="154">
        <v>45189</v>
      </c>
      <c r="CC42" s="154">
        <v>45222</v>
      </c>
      <c r="CD42" s="173">
        <v>39</v>
      </c>
      <c r="CE42" s="174">
        <v>45247</v>
      </c>
      <c r="CF42" s="116"/>
    </row>
    <row r="43" spans="2:84" ht="15.6" x14ac:dyDescent="0.3">
      <c r="B43" s="98" t="s">
        <v>1400</v>
      </c>
      <c r="C43" s="175" t="s">
        <v>2046</v>
      </c>
      <c r="D43" s="176" t="s">
        <v>612</v>
      </c>
      <c r="E43" s="176" t="s">
        <v>103</v>
      </c>
      <c r="F43" s="177">
        <v>12009135000105</v>
      </c>
      <c r="G43" s="177" t="s">
        <v>1759</v>
      </c>
      <c r="H43" s="177" t="s">
        <v>388</v>
      </c>
      <c r="I43" s="178">
        <v>5</v>
      </c>
      <c r="J43" s="179" t="s">
        <v>107</v>
      </c>
      <c r="K43" s="179" t="s">
        <v>130</v>
      </c>
      <c r="L43" s="179" t="s">
        <v>124</v>
      </c>
      <c r="M43" s="179" t="s">
        <v>106</v>
      </c>
      <c r="N43" s="179" t="s">
        <v>109</v>
      </c>
      <c r="O43" s="180">
        <v>240000</v>
      </c>
      <c r="P43" s="181">
        <v>240000000</v>
      </c>
      <c r="Q43" s="181">
        <v>1000</v>
      </c>
      <c r="R43" s="182">
        <v>44666</v>
      </c>
      <c r="S43" s="182">
        <v>49780</v>
      </c>
      <c r="T43" s="183" t="s">
        <v>1974</v>
      </c>
      <c r="U43" s="183" t="s">
        <v>1658</v>
      </c>
      <c r="V43" s="182" t="s">
        <v>105</v>
      </c>
      <c r="W43" s="182" t="s">
        <v>102</v>
      </c>
      <c r="X43" s="182" t="s">
        <v>1541</v>
      </c>
      <c r="Y43" s="182">
        <v>47710</v>
      </c>
      <c r="Z43" s="184">
        <f>IFERROR(INDEX(Base!G:G,MATCH('Debêntures IPCA-Spread'!Y43,Base!F:F,0)),"")</f>
        <v>6.3273999999999999</v>
      </c>
      <c r="AA43" s="115"/>
      <c r="AB43" s="185">
        <v>45552</v>
      </c>
      <c r="AC43" s="186">
        <v>6.4875999999999996</v>
      </c>
      <c r="AD43" s="187">
        <f t="shared" si="2"/>
        <v>0.16019999999999968</v>
      </c>
      <c r="AE43" s="188">
        <v>0.08</v>
      </c>
      <c r="AF43" s="189">
        <v>6.6486999999999998</v>
      </c>
      <c r="AG43" s="189">
        <v>6.33</v>
      </c>
      <c r="AH43" s="190">
        <v>1033.2182270000001</v>
      </c>
      <c r="AI43" s="190">
        <v>1046.5267329999999</v>
      </c>
      <c r="AJ43" s="191">
        <f t="shared" si="3"/>
        <v>0.98728316670721894</v>
      </c>
      <c r="AK43" s="192">
        <v>45519</v>
      </c>
      <c r="AL43" s="193">
        <v>98.18</v>
      </c>
      <c r="AM43" s="194">
        <v>1372</v>
      </c>
      <c r="AN43" s="115"/>
      <c r="AO43" s="195">
        <v>-8.6082077268999997E-4</v>
      </c>
      <c r="AP43" s="196">
        <f>IF(AO43="","",AO43-AO$6)</f>
        <v>-1.3409656576200001E-3</v>
      </c>
      <c r="AQ43" s="196">
        <v>3.3814280196000001E-3</v>
      </c>
      <c r="AR43" s="196">
        <f>IF(AQ43="","",AQ43-AQ$6)</f>
        <v>3.5989347725600002E-3</v>
      </c>
      <c r="AS43" s="196">
        <v>5.8162313347999997E-2</v>
      </c>
      <c r="AT43" s="196">
        <f>IF(AS43="","",AS43-AS$6)</f>
        <v>4.3436478293E-2</v>
      </c>
      <c r="AU43" s="196">
        <v>-1.1503227345E-2</v>
      </c>
      <c r="AV43" s="196">
        <f>IF(AU43="","",AU43-AU$6)</f>
        <v>1.5653552509999995E-3</v>
      </c>
      <c r="AW43" s="196">
        <v>3.4050735042999998E-2</v>
      </c>
      <c r="AX43" s="196">
        <f>IF(AW43="","",AW43-AW$6)</f>
        <v>1.0055667254999998E-2</v>
      </c>
      <c r="AY43" s="196">
        <v>1.6799329811000002E-2</v>
      </c>
      <c r="AZ43" s="196">
        <f>IF(AY43="","",AY43-AY$6)</f>
        <v>2.557075021000001E-3</v>
      </c>
      <c r="BA43" s="196">
        <v>9.3067234326000003E-2</v>
      </c>
      <c r="BB43" s="196">
        <f>IF(BA43="","",BA43-BA$6)</f>
        <v>3.9580269768000005E-2</v>
      </c>
      <c r="BC43" s="196">
        <v>0.24684360275</v>
      </c>
      <c r="BD43" s="196">
        <f>IF(BC43="","",BC43-BC$6)</f>
        <v>5.2535036260000001E-2</v>
      </c>
      <c r="BE43" s="196"/>
      <c r="BF43" s="196" t="str">
        <f>IF(BE43="","",BE43-BE$6)</f>
        <v/>
      </c>
      <c r="BG43" s="196"/>
      <c r="BH43" s="196" t="str">
        <f>IF(BG43="","",BG43-BG$6)</f>
        <v/>
      </c>
      <c r="BI43" s="196"/>
      <c r="BJ43" s="196" t="str">
        <f>IF(BI43="","",BI43-BI$6)</f>
        <v/>
      </c>
      <c r="BK43" s="197">
        <v>5.6326836269999996</v>
      </c>
      <c r="BL43" s="115"/>
      <c r="BM43" s="198">
        <v>1.6528689233E-2</v>
      </c>
      <c r="BN43" s="191">
        <v>-9.8776769782000003E-3</v>
      </c>
      <c r="BO43" s="191">
        <v>2.9747685126000002E-2</v>
      </c>
      <c r="BP43" s="191">
        <v>-2.3337435136999998E-2</v>
      </c>
      <c r="BQ43" s="199">
        <v>9</v>
      </c>
      <c r="BR43" s="199">
        <v>3</v>
      </c>
      <c r="BS43" s="199">
        <v>6</v>
      </c>
      <c r="BT43" s="199">
        <v>6</v>
      </c>
      <c r="BU43" s="200">
        <v>-0.27098406415999998</v>
      </c>
      <c r="BV43" s="200"/>
      <c r="BW43" s="191">
        <v>5.8230152453999998E-3</v>
      </c>
      <c r="BX43" s="191">
        <v>4.7692645008E-3</v>
      </c>
      <c r="BY43" s="189">
        <v>-2.3880142064999998</v>
      </c>
      <c r="BZ43" s="191">
        <v>-2.7576110944999999E-2</v>
      </c>
      <c r="CA43" s="191">
        <v>-2.7576110944999999E-2</v>
      </c>
      <c r="CB43" s="182">
        <v>45371</v>
      </c>
      <c r="CC43" s="182">
        <v>45455</v>
      </c>
      <c r="CD43" s="201">
        <v>81</v>
      </c>
      <c r="CE43" s="202">
        <v>45489</v>
      </c>
      <c r="CF43" s="116"/>
    </row>
    <row r="44" spans="2:84" ht="15.6" x14ac:dyDescent="0.3">
      <c r="B44" s="110" t="s">
        <v>2207</v>
      </c>
      <c r="C44" s="147" t="s">
        <v>2592</v>
      </c>
      <c r="D44" s="148" t="s">
        <v>612</v>
      </c>
      <c r="E44" s="148" t="s">
        <v>103</v>
      </c>
      <c r="F44" s="149">
        <v>12009135000105</v>
      </c>
      <c r="G44" s="149" t="s">
        <v>2340</v>
      </c>
      <c r="H44" s="149" t="s">
        <v>388</v>
      </c>
      <c r="I44" s="150">
        <v>6</v>
      </c>
      <c r="J44" s="151" t="s">
        <v>107</v>
      </c>
      <c r="K44" s="151" t="s">
        <v>128</v>
      </c>
      <c r="L44" s="151" t="s">
        <v>112</v>
      </c>
      <c r="M44" s="151" t="s">
        <v>114</v>
      </c>
      <c r="N44" s="151" t="s">
        <v>109</v>
      </c>
      <c r="O44" s="152">
        <v>340000</v>
      </c>
      <c r="P44" s="153">
        <v>340000000</v>
      </c>
      <c r="Q44" s="153">
        <v>1000</v>
      </c>
      <c r="R44" s="154">
        <v>45245</v>
      </c>
      <c r="S44" s="154">
        <v>50359</v>
      </c>
      <c r="T44" s="155" t="s">
        <v>2821</v>
      </c>
      <c r="U44" s="155" t="s">
        <v>2718</v>
      </c>
      <c r="V44" s="154" t="s">
        <v>105</v>
      </c>
      <c r="W44" s="154" t="s">
        <v>102</v>
      </c>
      <c r="X44" s="154" t="s">
        <v>2479</v>
      </c>
      <c r="Y44" s="154">
        <v>48441</v>
      </c>
      <c r="Z44" s="156">
        <f>IFERROR(INDEX(Base!G:G,MATCH('Debêntures IPCA-Spread'!Y44,Base!F:F,0)),"")</f>
        <v>6.3467000000000002</v>
      </c>
      <c r="AA44" s="115"/>
      <c r="AB44" s="157">
        <v>45552</v>
      </c>
      <c r="AC44" s="158">
        <v>6.6605999999999996</v>
      </c>
      <c r="AD44" s="159">
        <f t="shared" si="2"/>
        <v>0.3138999999999994</v>
      </c>
      <c r="AE44" s="160">
        <v>0.05</v>
      </c>
      <c r="AF44" s="161">
        <v>6.8034999999999997</v>
      </c>
      <c r="AG44" s="161">
        <v>6.4558999999999997</v>
      </c>
      <c r="AH44" s="162">
        <v>1027.6552280000001</v>
      </c>
      <c r="AI44" s="162"/>
      <c r="AJ44" s="163" t="str">
        <f t="shared" si="3"/>
        <v/>
      </c>
      <c r="AK44" s="164"/>
      <c r="AL44" s="165">
        <v>97.09</v>
      </c>
      <c r="AM44" s="166">
        <v>1527</v>
      </c>
      <c r="AN44" s="115"/>
      <c r="AO44" s="167">
        <v>6.5272235770000005E-4</v>
      </c>
      <c r="AP44" s="168">
        <f>IF(AO44="","",AO44-AO$6)</f>
        <v>1.7257747277000005E-4</v>
      </c>
      <c r="AQ44" s="168">
        <v>-6.3745906573000005E-4</v>
      </c>
      <c r="AR44" s="168">
        <f>IF(AQ44="","",AQ44-AQ$6)</f>
        <v>-4.1995231277000002E-4</v>
      </c>
      <c r="AS44" s="168"/>
      <c r="AT44" s="168" t="str">
        <f>IF(AS44="","",AS44-AS$6)</f>
        <v/>
      </c>
      <c r="AU44" s="168">
        <v>-1.6316231277999999E-2</v>
      </c>
      <c r="AV44" s="168">
        <f>IF(AU44="","",AU44-AU$6)</f>
        <v>-3.2476486819999987E-3</v>
      </c>
      <c r="AW44" s="168">
        <v>3.7163387051000002E-2</v>
      </c>
      <c r="AX44" s="168">
        <f>IF(AW44="","",AW44-AW$6)</f>
        <v>1.3168319263000001E-2</v>
      </c>
      <c r="AY44" s="168">
        <v>1.7889161774E-2</v>
      </c>
      <c r="AZ44" s="168">
        <f>IF(AY44="","",AY44-AY$6)</f>
        <v>3.6469069839999996E-3</v>
      </c>
      <c r="BA44" s="168"/>
      <c r="BB44" s="168" t="str">
        <f>IF(BA44="","",BA44-BA$6)</f>
        <v/>
      </c>
      <c r="BC44" s="168"/>
      <c r="BD44" s="168" t="str">
        <f>IF(BC44="","",BC44-BC$6)</f>
        <v/>
      </c>
      <c r="BE44" s="168"/>
      <c r="BF44" s="168" t="str">
        <f>IF(BE44="","",BE44-BE$6)</f>
        <v/>
      </c>
      <c r="BG44" s="168"/>
      <c r="BH44" s="168" t="str">
        <f>IF(BG44="","",BG44-BG$6)</f>
        <v/>
      </c>
      <c r="BI44" s="168"/>
      <c r="BJ44" s="168" t="str">
        <f>IF(BI44="","",BI44-BI$6)</f>
        <v/>
      </c>
      <c r="BK44" s="169"/>
      <c r="BL44" s="115"/>
      <c r="BM44" s="170">
        <v>1.2780766387999999E-2</v>
      </c>
      <c r="BN44" s="163">
        <v>-1.459737587E-2</v>
      </c>
      <c r="BO44" s="163">
        <v>2.6835855182000001E-2</v>
      </c>
      <c r="BP44" s="163">
        <v>-1.2675996493E-2</v>
      </c>
      <c r="BQ44" s="171"/>
      <c r="BR44" s="171"/>
      <c r="BS44" s="171"/>
      <c r="BT44" s="171"/>
      <c r="BU44" s="172"/>
      <c r="BV44" s="172"/>
      <c r="BW44" s="163"/>
      <c r="BX44" s="163">
        <v>3.7993251091E-3</v>
      </c>
      <c r="BY44" s="161"/>
      <c r="BZ44" s="163">
        <v>-2.8166090506999999E-2</v>
      </c>
      <c r="CA44" s="163">
        <v>-2.8166090506999999E-2</v>
      </c>
      <c r="CB44" s="154">
        <v>45386</v>
      </c>
      <c r="CC44" s="154">
        <v>45456</v>
      </c>
      <c r="CD44" s="173">
        <v>68</v>
      </c>
      <c r="CE44" s="174">
        <v>45484</v>
      </c>
      <c r="CF44" s="116"/>
    </row>
    <row r="45" spans="2:84" ht="15.6" x14ac:dyDescent="0.3">
      <c r="B45" s="98" t="s">
        <v>1401</v>
      </c>
      <c r="C45" s="175" t="s">
        <v>2047</v>
      </c>
      <c r="D45" s="176" t="s">
        <v>1895</v>
      </c>
      <c r="E45" s="176" t="s">
        <v>232</v>
      </c>
      <c r="F45" s="177">
        <v>24962466000136</v>
      </c>
      <c r="G45" s="177" t="s">
        <v>1760</v>
      </c>
      <c r="H45" s="177" t="s">
        <v>388</v>
      </c>
      <c r="I45" s="178">
        <v>11</v>
      </c>
      <c r="J45" s="179" t="s">
        <v>107</v>
      </c>
      <c r="K45" s="179" t="s">
        <v>130</v>
      </c>
      <c r="L45" s="179" t="s">
        <v>112</v>
      </c>
      <c r="M45" s="179" t="s">
        <v>106</v>
      </c>
      <c r="N45" s="179" t="s">
        <v>109</v>
      </c>
      <c r="O45" s="180">
        <v>500000</v>
      </c>
      <c r="P45" s="181">
        <v>500000000</v>
      </c>
      <c r="Q45" s="181">
        <v>1000</v>
      </c>
      <c r="R45" s="182">
        <v>43511</v>
      </c>
      <c r="S45" s="182">
        <v>46068</v>
      </c>
      <c r="T45" s="183" t="s">
        <v>1975</v>
      </c>
      <c r="U45" s="183" t="s">
        <v>1659</v>
      </c>
      <c r="V45" s="182" t="s">
        <v>105</v>
      </c>
      <c r="W45" s="182" t="s">
        <v>102</v>
      </c>
      <c r="X45" s="182" t="s">
        <v>1542</v>
      </c>
      <c r="Y45" s="182">
        <v>45792</v>
      </c>
      <c r="Z45" s="184">
        <f>IFERROR(INDEX(Base!G:G,MATCH('Debêntures IPCA-Spread'!Y45,Base!F:F,0)),"")</f>
        <v>5.73</v>
      </c>
      <c r="AA45" s="115"/>
      <c r="AB45" s="185">
        <v>45552</v>
      </c>
      <c r="AC45" s="186">
        <v>5.8220000000000001</v>
      </c>
      <c r="AD45" s="187">
        <f t="shared" si="2"/>
        <v>9.1999999999999638E-2</v>
      </c>
      <c r="AE45" s="188">
        <v>0.22</v>
      </c>
      <c r="AF45" s="189">
        <v>5.9958</v>
      </c>
      <c r="AG45" s="189"/>
      <c r="AH45" s="190">
        <v>486.94271199999997</v>
      </c>
      <c r="AI45" s="190">
        <v>486.94271199999997</v>
      </c>
      <c r="AJ45" s="191">
        <f t="shared" si="3"/>
        <v>1</v>
      </c>
      <c r="AK45" s="192">
        <v>45552</v>
      </c>
      <c r="AL45" s="193">
        <v>99.03</v>
      </c>
      <c r="AM45" s="194">
        <v>225</v>
      </c>
      <c r="AN45" s="115"/>
      <c r="AO45" s="195">
        <v>3.7165405774000003E-4</v>
      </c>
      <c r="AP45" s="196">
        <f>IF(AO45="","",AO45-AO$6)</f>
        <v>-1.0849082718999997E-4</v>
      </c>
      <c r="AQ45" s="196">
        <v>6.1415888558000002E-3</v>
      </c>
      <c r="AR45" s="196">
        <f>IF(AQ45="","",AQ45-AQ$6)</f>
        <v>6.3590956087600002E-3</v>
      </c>
      <c r="AS45" s="196">
        <v>9.1841430389000001E-2</v>
      </c>
      <c r="AT45" s="196">
        <f>IF(AS45="","",AS45-AS$6)</f>
        <v>7.7115595334000003E-2</v>
      </c>
      <c r="AU45" s="196">
        <v>1.3186517666E-2</v>
      </c>
      <c r="AV45" s="196">
        <f>IF(AU45="","",AU45-AU$6)</f>
        <v>2.6255100262000002E-2</v>
      </c>
      <c r="AW45" s="196">
        <v>3.0957923384E-2</v>
      </c>
      <c r="AX45" s="196">
        <f>IF(AW45="","",AW45-AW$6)</f>
        <v>6.9628555959999998E-3</v>
      </c>
      <c r="AY45" s="196">
        <v>5.6794894701E-2</v>
      </c>
      <c r="AZ45" s="196">
        <f>IF(AY45="","",AY45-AY$6)</f>
        <v>4.2552639911000001E-2</v>
      </c>
      <c r="BA45" s="196">
        <v>0.12389002298</v>
      </c>
      <c r="BB45" s="196">
        <f>IF(BA45="","",BA45-BA$6)</f>
        <v>7.0403058422000009E-2</v>
      </c>
      <c r="BC45" s="196"/>
      <c r="BD45" s="196" t="str">
        <f>IF(BC45="","",BC45-BC$6)</f>
        <v/>
      </c>
      <c r="BE45" s="196"/>
      <c r="BF45" s="196" t="str">
        <f>IF(BE45="","",BE45-BE$6)</f>
        <v/>
      </c>
      <c r="BG45" s="196"/>
      <c r="BH45" s="196" t="str">
        <f>IF(BG45="","",BG45-BG$6)</f>
        <v/>
      </c>
      <c r="BI45" s="196"/>
      <c r="BJ45" s="196" t="str">
        <f>IF(BI45="","",BI45-BI$6)</f>
        <v/>
      </c>
      <c r="BK45" s="197">
        <v>1.5096673051</v>
      </c>
      <c r="BL45" s="115"/>
      <c r="BM45" s="198">
        <v>4.5731417995000002E-3</v>
      </c>
      <c r="BN45" s="191">
        <v>-4.7588298447999999E-3</v>
      </c>
      <c r="BO45" s="191">
        <v>1.5378615316E-2</v>
      </c>
      <c r="BP45" s="191">
        <v>4.2110281937999998E-3</v>
      </c>
      <c r="BQ45" s="199">
        <v>12</v>
      </c>
      <c r="BR45" s="199">
        <v>0</v>
      </c>
      <c r="BS45" s="199">
        <v>8</v>
      </c>
      <c r="BT45" s="199">
        <v>4</v>
      </c>
      <c r="BU45" s="200">
        <v>0.72864103344999998</v>
      </c>
      <c r="BV45" s="200"/>
      <c r="BW45" s="191">
        <v>1.5602684320000001E-3</v>
      </c>
      <c r="BX45" s="191">
        <v>1.1093011944999999E-3</v>
      </c>
      <c r="BY45" s="189">
        <v>1.0638560213999999</v>
      </c>
      <c r="BZ45" s="191">
        <v>-6.9645496212999997E-3</v>
      </c>
      <c r="CA45" s="191">
        <v>-6.9645496212999997E-3</v>
      </c>
      <c r="CB45" s="182">
        <v>45209</v>
      </c>
      <c r="CC45" s="182">
        <v>45212</v>
      </c>
      <c r="CD45" s="201">
        <v>9</v>
      </c>
      <c r="CE45" s="202">
        <v>45223</v>
      </c>
      <c r="CF45" s="116"/>
    </row>
    <row r="46" spans="2:84" ht="15.6" x14ac:dyDescent="0.3">
      <c r="B46" s="110" t="s">
        <v>1092</v>
      </c>
      <c r="C46" s="147" t="s">
        <v>1256</v>
      </c>
      <c r="D46" s="148" t="s">
        <v>1131</v>
      </c>
      <c r="E46" s="148" t="s">
        <v>227</v>
      </c>
      <c r="F46" s="149">
        <v>1778972000174</v>
      </c>
      <c r="G46" s="149" t="s">
        <v>1154</v>
      </c>
      <c r="H46" s="149" t="s">
        <v>388</v>
      </c>
      <c r="I46" s="150">
        <v>1</v>
      </c>
      <c r="J46" s="151" t="s">
        <v>107</v>
      </c>
      <c r="K46" s="151" t="s">
        <v>126</v>
      </c>
      <c r="L46" s="151" t="s">
        <v>112</v>
      </c>
      <c r="M46" s="151" t="s">
        <v>114</v>
      </c>
      <c r="N46" s="151" t="s">
        <v>109</v>
      </c>
      <c r="O46" s="152">
        <v>250000</v>
      </c>
      <c r="P46" s="153">
        <v>250000000</v>
      </c>
      <c r="Q46" s="153">
        <v>1000</v>
      </c>
      <c r="R46" s="154">
        <v>44242</v>
      </c>
      <c r="S46" s="154">
        <v>47192</v>
      </c>
      <c r="T46" s="155" t="s">
        <v>1227</v>
      </c>
      <c r="U46" s="155" t="s">
        <v>1197</v>
      </c>
      <c r="V46" s="154" t="s">
        <v>194</v>
      </c>
      <c r="W46" s="154" t="s">
        <v>102</v>
      </c>
      <c r="X46" s="154" t="s">
        <v>1297</v>
      </c>
      <c r="Y46" s="154">
        <v>46522</v>
      </c>
      <c r="Z46" s="156">
        <f>IFERROR(INDEX(Base!G:G,MATCH('Debêntures IPCA-Spread'!Y46,Base!F:F,0)),"")</f>
        <v>6.391</v>
      </c>
      <c r="AA46" s="115"/>
      <c r="AB46" s="157">
        <v>45552</v>
      </c>
      <c r="AC46" s="158">
        <v>8.0159000000000002</v>
      </c>
      <c r="AD46" s="159">
        <f t="shared" si="2"/>
        <v>1.6249000000000002</v>
      </c>
      <c r="AE46" s="160">
        <v>0.11</v>
      </c>
      <c r="AF46" s="161">
        <v>8.2792999999999992</v>
      </c>
      <c r="AG46" s="161">
        <v>7.7394999999999996</v>
      </c>
      <c r="AH46" s="162">
        <v>809.82362899999998</v>
      </c>
      <c r="AI46" s="162">
        <v>809.82362899999998</v>
      </c>
      <c r="AJ46" s="163">
        <f t="shared" si="3"/>
        <v>1</v>
      </c>
      <c r="AK46" s="164">
        <v>45552</v>
      </c>
      <c r="AL46" s="165">
        <v>94.95</v>
      </c>
      <c r="AM46" s="166">
        <v>573</v>
      </c>
      <c r="AN46" s="115"/>
      <c r="AO46" s="167">
        <v>1.6877104335E-3</v>
      </c>
      <c r="AP46" s="168">
        <f>IF(AO46="","",AO46-AO$6)</f>
        <v>1.20756554857E-3</v>
      </c>
      <c r="AQ46" s="168">
        <v>1.0016373546000001E-2</v>
      </c>
      <c r="AR46" s="168">
        <f>IF(AQ46="","",AQ46-AQ$6)</f>
        <v>1.023388029896E-2</v>
      </c>
      <c r="AS46" s="168">
        <v>0.11601459191000001</v>
      </c>
      <c r="AT46" s="168">
        <f>IF(AS46="","",AS46-AS$6)</f>
        <v>0.10128875685500001</v>
      </c>
      <c r="AU46" s="168">
        <v>1.9360617008999999E-2</v>
      </c>
      <c r="AV46" s="168">
        <f>IF(AU46="","",AU46-AU$6)</f>
        <v>3.2429199605E-2</v>
      </c>
      <c r="AW46" s="168">
        <v>5.0415526701000003E-2</v>
      </c>
      <c r="AX46" s="168">
        <f>IF(AW46="","",AW46-AW$6)</f>
        <v>2.6420458913000003E-2</v>
      </c>
      <c r="AY46" s="168">
        <v>6.8854407953000005E-2</v>
      </c>
      <c r="AZ46" s="168">
        <f>IF(AY46="","",AY46-AY$6)</f>
        <v>5.4612153163000006E-2</v>
      </c>
      <c r="BA46" s="168">
        <v>0.18104860527</v>
      </c>
      <c r="BB46" s="168">
        <f>IF(BA46="","",BA46-BA$6)</f>
        <v>0.12756164071199999</v>
      </c>
      <c r="BC46" s="168">
        <v>0.30316664768000001</v>
      </c>
      <c r="BD46" s="168">
        <f>IF(BC46="","",BC46-BC$6)</f>
        <v>0.10885808119000001</v>
      </c>
      <c r="BE46" s="168">
        <v>0.42463604039000002</v>
      </c>
      <c r="BF46" s="168">
        <f>IF(BE46="","",BE46-BE$6)</f>
        <v>0.16291670085000004</v>
      </c>
      <c r="BG46" s="168"/>
      <c r="BH46" s="168" t="str">
        <f>IF(BG46="","",BG46-BG$6)</f>
        <v/>
      </c>
      <c r="BI46" s="168"/>
      <c r="BJ46" s="168" t="str">
        <f>IF(BI46="","",BI46-BI$6)</f>
        <v/>
      </c>
      <c r="BK46" s="169">
        <v>3.7088164758</v>
      </c>
      <c r="BL46" s="115"/>
      <c r="BM46" s="170">
        <v>9.1180910022000006E-3</v>
      </c>
      <c r="BN46" s="163">
        <v>-1.0400039329999999E-2</v>
      </c>
      <c r="BO46" s="163">
        <v>3.2549459071999999E-2</v>
      </c>
      <c r="BP46" s="163">
        <v>-3.8529949087999999E-3</v>
      </c>
      <c r="BQ46" s="171">
        <v>11</v>
      </c>
      <c r="BR46" s="171">
        <v>1</v>
      </c>
      <c r="BS46" s="171">
        <v>10</v>
      </c>
      <c r="BT46" s="171">
        <v>2</v>
      </c>
      <c r="BU46" s="172">
        <v>1.7000053834</v>
      </c>
      <c r="BV46" s="172">
        <v>0.18431065746</v>
      </c>
      <c r="BW46" s="163">
        <v>3.8346566547999999E-3</v>
      </c>
      <c r="BX46" s="163">
        <v>2.8204048978E-3</v>
      </c>
      <c r="BY46" s="161">
        <v>6.6461804878999997</v>
      </c>
      <c r="BZ46" s="163">
        <v>-1.5424486083E-2</v>
      </c>
      <c r="CA46" s="163">
        <v>-1.5424486083E-2</v>
      </c>
      <c r="CB46" s="154">
        <v>45187</v>
      </c>
      <c r="CC46" s="154">
        <v>45198</v>
      </c>
      <c r="CD46" s="173">
        <v>23</v>
      </c>
      <c r="CE46" s="174">
        <v>45219</v>
      </c>
      <c r="CF46" s="116"/>
    </row>
    <row r="47" spans="2:84" ht="15.6" x14ac:dyDescent="0.3">
      <c r="B47" s="98" t="s">
        <v>1402</v>
      </c>
      <c r="C47" s="175" t="s">
        <v>2048</v>
      </c>
      <c r="D47" s="176" t="s">
        <v>1131</v>
      </c>
      <c r="E47" s="176" t="s">
        <v>227</v>
      </c>
      <c r="F47" s="177">
        <v>1778972000174</v>
      </c>
      <c r="G47" s="177" t="s">
        <v>1761</v>
      </c>
      <c r="H47" s="177" t="s">
        <v>388</v>
      </c>
      <c r="I47" s="178">
        <v>2</v>
      </c>
      <c r="J47" s="179" t="s">
        <v>107</v>
      </c>
      <c r="K47" s="179" t="s">
        <v>126</v>
      </c>
      <c r="L47" s="179" t="s">
        <v>112</v>
      </c>
      <c r="M47" s="179" t="s">
        <v>114</v>
      </c>
      <c r="N47" s="179" t="s">
        <v>109</v>
      </c>
      <c r="O47" s="180">
        <v>300000</v>
      </c>
      <c r="P47" s="181">
        <v>300000000</v>
      </c>
      <c r="Q47" s="181">
        <v>1000</v>
      </c>
      <c r="R47" s="182">
        <v>44880</v>
      </c>
      <c r="S47" s="182">
        <v>47802</v>
      </c>
      <c r="T47" s="183" t="s">
        <v>1976</v>
      </c>
      <c r="U47" s="183" t="s">
        <v>1660</v>
      </c>
      <c r="V47" s="182" t="s">
        <v>194</v>
      </c>
      <c r="W47" s="182" t="s">
        <v>102</v>
      </c>
      <c r="X47" s="182" t="s">
        <v>1543</v>
      </c>
      <c r="Y47" s="182">
        <v>47253</v>
      </c>
      <c r="Z47" s="184">
        <f>IFERROR(INDEX(Base!G:G,MATCH('Debêntures IPCA-Spread'!Y47,Base!F:F,0)),"")</f>
        <v>6.41</v>
      </c>
      <c r="AA47" s="115"/>
      <c r="AB47" s="185">
        <v>45552</v>
      </c>
      <c r="AC47" s="186">
        <v>8.0988000000000007</v>
      </c>
      <c r="AD47" s="187">
        <f t="shared" si="2"/>
        <v>1.6888000000000005</v>
      </c>
      <c r="AE47" s="188">
        <v>0.13</v>
      </c>
      <c r="AF47" s="189">
        <v>8.3604000000000003</v>
      </c>
      <c r="AG47" s="189">
        <v>7.8990999999999998</v>
      </c>
      <c r="AH47" s="190">
        <v>1151.4822059999999</v>
      </c>
      <c r="AI47" s="190">
        <v>1151.4822059999999</v>
      </c>
      <c r="AJ47" s="191">
        <f t="shared" si="3"/>
        <v>1</v>
      </c>
      <c r="AK47" s="192">
        <v>45552</v>
      </c>
      <c r="AL47" s="193">
        <v>103.04</v>
      </c>
      <c r="AM47" s="194">
        <v>952</v>
      </c>
      <c r="AN47" s="115"/>
      <c r="AO47" s="195">
        <v>3.4239086944999999E-3</v>
      </c>
      <c r="AP47" s="196">
        <f>IF(AO47="","",AO47-AO$6)</f>
        <v>2.9437638095699999E-3</v>
      </c>
      <c r="AQ47" s="196">
        <v>1.9370477170000001E-2</v>
      </c>
      <c r="AR47" s="196">
        <f>IF(AQ47="","",AQ47-AQ$6)</f>
        <v>1.958798392296E-2</v>
      </c>
      <c r="AS47" s="196">
        <v>0.12919019762</v>
      </c>
      <c r="AT47" s="196">
        <f>IF(AS47="","",AS47-AS$6)</f>
        <v>0.11446436256500001</v>
      </c>
      <c r="AU47" s="196">
        <v>3.0145425797000001E-2</v>
      </c>
      <c r="AV47" s="196">
        <f>IF(AU47="","",AU47-AU$6)</f>
        <v>4.3214008392999999E-2</v>
      </c>
      <c r="AW47" s="196">
        <v>6.8666275275999999E-2</v>
      </c>
      <c r="AX47" s="196">
        <f>IF(AW47="","",AW47-AW$6)</f>
        <v>4.4671207487999999E-2</v>
      </c>
      <c r="AY47" s="196">
        <v>6.8225435646999996E-2</v>
      </c>
      <c r="AZ47" s="196">
        <f>IF(AY47="","",AY47-AY$6)</f>
        <v>5.3983180856999997E-2</v>
      </c>
      <c r="BA47" s="196">
        <v>0.20912144042</v>
      </c>
      <c r="BB47" s="196">
        <f>IF(BA47="","",BA47-BA$6)</f>
        <v>0.15563447586199999</v>
      </c>
      <c r="BC47" s="196"/>
      <c r="BD47" s="196" t="str">
        <f>IF(BC47="","",BC47-BC$6)</f>
        <v/>
      </c>
      <c r="BE47" s="196"/>
      <c r="BF47" s="196" t="str">
        <f>IF(BE47="","",BE47-BE$6)</f>
        <v/>
      </c>
      <c r="BG47" s="196"/>
      <c r="BH47" s="196" t="str">
        <f>IF(BG47="","",BG47-BG$6)</f>
        <v/>
      </c>
      <c r="BI47" s="196"/>
      <c r="BJ47" s="196" t="str">
        <f>IF(BI47="","",BI47-BI$6)</f>
        <v/>
      </c>
      <c r="BK47" s="197">
        <v>5.8528895163000003</v>
      </c>
      <c r="BL47" s="115"/>
      <c r="BM47" s="198">
        <v>1.7020709084999999E-2</v>
      </c>
      <c r="BN47" s="191">
        <v>-7.4688681143000001E-3</v>
      </c>
      <c r="BO47" s="191">
        <v>3.1459272746000001E-2</v>
      </c>
      <c r="BP47" s="191">
        <v>-1.4433912969E-2</v>
      </c>
      <c r="BQ47" s="199">
        <v>10</v>
      </c>
      <c r="BR47" s="199">
        <v>2</v>
      </c>
      <c r="BS47" s="199">
        <v>10</v>
      </c>
      <c r="BT47" s="199">
        <v>2</v>
      </c>
      <c r="BU47" s="200">
        <v>1.5247876369</v>
      </c>
      <c r="BV47" s="200"/>
      <c r="BW47" s="191">
        <v>6.0633057268000001E-3</v>
      </c>
      <c r="BX47" s="191">
        <v>8.4857203787000006E-3</v>
      </c>
      <c r="BY47" s="189">
        <v>9.3747569468999998</v>
      </c>
      <c r="BZ47" s="191">
        <v>-1.6296212891E-2</v>
      </c>
      <c r="CA47" s="191">
        <v>-1.6296212891E-2</v>
      </c>
      <c r="CB47" s="182">
        <v>45386</v>
      </c>
      <c r="CC47" s="182">
        <v>45412</v>
      </c>
      <c r="CD47" s="201">
        <v>32</v>
      </c>
      <c r="CE47" s="202">
        <v>45433</v>
      </c>
      <c r="CF47" s="116"/>
    </row>
    <row r="48" spans="2:84" ht="15.6" x14ac:dyDescent="0.3">
      <c r="B48" s="110" t="s">
        <v>1093</v>
      </c>
      <c r="C48" s="147" t="s">
        <v>1257</v>
      </c>
      <c r="D48" s="148" t="s">
        <v>1132</v>
      </c>
      <c r="E48" s="148" t="s">
        <v>1148</v>
      </c>
      <c r="F48" s="149">
        <v>776574000156</v>
      </c>
      <c r="G48" s="149" t="s">
        <v>2341</v>
      </c>
      <c r="H48" s="149" t="s">
        <v>388</v>
      </c>
      <c r="I48" s="150">
        <v>5</v>
      </c>
      <c r="J48" s="151" t="s">
        <v>107</v>
      </c>
      <c r="K48" s="151" t="s">
        <v>126</v>
      </c>
      <c r="L48" s="151" t="s">
        <v>112</v>
      </c>
      <c r="M48" s="151" t="s">
        <v>106</v>
      </c>
      <c r="N48" s="151" t="s">
        <v>109</v>
      </c>
      <c r="O48" s="152">
        <v>3100000</v>
      </c>
      <c r="P48" s="153">
        <v>3100000000</v>
      </c>
      <c r="Q48" s="153">
        <v>1000</v>
      </c>
      <c r="R48" s="154">
        <v>44150</v>
      </c>
      <c r="S48" s="154">
        <v>47832</v>
      </c>
      <c r="T48" s="155" t="s">
        <v>754</v>
      </c>
      <c r="U48" s="155" t="s">
        <v>161</v>
      </c>
      <c r="V48" s="154" t="s">
        <v>105</v>
      </c>
      <c r="W48" s="154" t="s">
        <v>102</v>
      </c>
      <c r="X48" s="154" t="s">
        <v>1298</v>
      </c>
      <c r="Y48" s="154">
        <v>47710</v>
      </c>
      <c r="Z48" s="156">
        <f>IFERROR(INDEX(Base!G:G,MATCH('Debêntures IPCA-Spread'!Y48,Base!F:F,0)),"")</f>
        <v>6.3273999999999999</v>
      </c>
      <c r="AA48" s="115"/>
      <c r="AB48" s="157">
        <v>44944</v>
      </c>
      <c r="AC48" s="158"/>
      <c r="AD48" s="159" t="str">
        <f t="shared" si="2"/>
        <v/>
      </c>
      <c r="AE48" s="160"/>
      <c r="AF48" s="161"/>
      <c r="AG48" s="161"/>
      <c r="AH48" s="162"/>
      <c r="AI48" s="162"/>
      <c r="AJ48" s="163" t="str">
        <f t="shared" si="3"/>
        <v/>
      </c>
      <c r="AK48" s="164"/>
      <c r="AL48" s="165"/>
      <c r="AM48" s="166"/>
      <c r="AN48" s="115"/>
      <c r="AO48" s="167"/>
      <c r="AP48" s="168" t="str">
        <f>IF(AO48="","",AO48-AO$6)</f>
        <v/>
      </c>
      <c r="AQ48" s="168"/>
      <c r="AR48" s="168" t="str">
        <f>IF(AQ48="","",AQ48-AQ$6)</f>
        <v/>
      </c>
      <c r="AS48" s="168"/>
      <c r="AT48" s="168" t="str">
        <f>IF(AS48="","",AS48-AS$6)</f>
        <v/>
      </c>
      <c r="AU48" s="168"/>
      <c r="AV48" s="168" t="str">
        <f>IF(AU48="","",AU48-AU$6)</f>
        <v/>
      </c>
      <c r="AW48" s="168"/>
      <c r="AX48" s="168" t="str">
        <f>IF(AW48="","",AW48-AW$6)</f>
        <v/>
      </c>
      <c r="AY48" s="168"/>
      <c r="AZ48" s="168" t="str">
        <f>IF(AY48="","",AY48-AY$6)</f>
        <v/>
      </c>
      <c r="BA48" s="168"/>
      <c r="BB48" s="168" t="str">
        <f>IF(BA48="","",BA48-BA$6)</f>
        <v/>
      </c>
      <c r="BC48" s="168"/>
      <c r="BD48" s="168" t="str">
        <f>IF(BC48="","",BC48-BC$6)</f>
        <v/>
      </c>
      <c r="BE48" s="168"/>
      <c r="BF48" s="168" t="str">
        <f>IF(BE48="","",BE48-BE$6)</f>
        <v/>
      </c>
      <c r="BG48" s="168"/>
      <c r="BH48" s="168" t="str">
        <f>IF(BG48="","",BG48-BG$6)</f>
        <v/>
      </c>
      <c r="BI48" s="168"/>
      <c r="BJ48" s="168" t="str">
        <f>IF(BI48="","",BI48-BI$6)</f>
        <v/>
      </c>
      <c r="BK48" s="169"/>
      <c r="BL48" s="115"/>
      <c r="BM48" s="170"/>
      <c r="BN48" s="163"/>
      <c r="BO48" s="163"/>
      <c r="BP48" s="163"/>
      <c r="BQ48" s="171"/>
      <c r="BR48" s="171"/>
      <c r="BS48" s="171"/>
      <c r="BT48" s="171"/>
      <c r="BU48" s="172"/>
      <c r="BV48" s="172"/>
      <c r="BW48" s="163"/>
      <c r="BX48" s="163"/>
      <c r="BY48" s="161"/>
      <c r="BZ48" s="163"/>
      <c r="CA48" s="163"/>
      <c r="CB48" s="154"/>
      <c r="CC48" s="154"/>
      <c r="CD48" s="173"/>
      <c r="CE48" s="174"/>
      <c r="CF48" s="116"/>
    </row>
    <row r="49" spans="2:84" ht="15.6" x14ac:dyDescent="0.3">
      <c r="B49" s="98" t="s">
        <v>570</v>
      </c>
      <c r="C49" s="175" t="s">
        <v>735</v>
      </c>
      <c r="D49" s="176" t="s">
        <v>1132</v>
      </c>
      <c r="E49" s="176" t="s">
        <v>1148</v>
      </c>
      <c r="F49" s="177">
        <v>776574000156</v>
      </c>
      <c r="G49" s="177" t="s">
        <v>2342</v>
      </c>
      <c r="H49" s="177" t="s">
        <v>388</v>
      </c>
      <c r="I49" s="178">
        <v>16</v>
      </c>
      <c r="J49" s="179" t="s">
        <v>107</v>
      </c>
      <c r="K49" s="179" t="s">
        <v>126</v>
      </c>
      <c r="L49" s="179" t="s">
        <v>118</v>
      </c>
      <c r="M49" s="179" t="s">
        <v>106</v>
      </c>
      <c r="N49" s="179" t="s">
        <v>109</v>
      </c>
      <c r="O49" s="180">
        <v>3100000</v>
      </c>
      <c r="P49" s="181">
        <v>3100000000</v>
      </c>
      <c r="Q49" s="181">
        <v>1000</v>
      </c>
      <c r="R49" s="182">
        <v>44089</v>
      </c>
      <c r="S49" s="182">
        <v>47771</v>
      </c>
      <c r="T49" s="183" t="s">
        <v>802</v>
      </c>
      <c r="U49" s="183" t="s">
        <v>161</v>
      </c>
      <c r="V49" s="182" t="s">
        <v>105</v>
      </c>
      <c r="W49" s="182" t="s">
        <v>102</v>
      </c>
      <c r="X49" s="182" t="s">
        <v>1358</v>
      </c>
      <c r="Y49" s="182">
        <v>47710</v>
      </c>
      <c r="Z49" s="184">
        <f>IFERROR(INDEX(Base!G:G,MATCH('Debêntures IPCA-Spread'!Y49,Base!F:F,0)),"")</f>
        <v>6.3273999999999999</v>
      </c>
      <c r="AA49" s="115"/>
      <c r="AB49" s="185">
        <v>44944</v>
      </c>
      <c r="AC49" s="186"/>
      <c r="AD49" s="187" t="str">
        <f t="shared" si="2"/>
        <v/>
      </c>
      <c r="AE49" s="188"/>
      <c r="AF49" s="189"/>
      <c r="AG49" s="189"/>
      <c r="AH49" s="190"/>
      <c r="AI49" s="190"/>
      <c r="AJ49" s="191" t="str">
        <f t="shared" si="3"/>
        <v/>
      </c>
      <c r="AK49" s="192"/>
      <c r="AL49" s="193"/>
      <c r="AM49" s="194"/>
      <c r="AN49" s="115"/>
      <c r="AO49" s="195"/>
      <c r="AP49" s="196" t="str">
        <f>IF(AO49="","",AO49-AO$6)</f>
        <v/>
      </c>
      <c r="AQ49" s="196"/>
      <c r="AR49" s="196" t="str">
        <f>IF(AQ49="","",AQ49-AQ$6)</f>
        <v/>
      </c>
      <c r="AS49" s="196"/>
      <c r="AT49" s="196" t="str">
        <f>IF(AS49="","",AS49-AS$6)</f>
        <v/>
      </c>
      <c r="AU49" s="196"/>
      <c r="AV49" s="196" t="str">
        <f>IF(AU49="","",AU49-AU$6)</f>
        <v/>
      </c>
      <c r="AW49" s="196"/>
      <c r="AX49" s="196" t="str">
        <f>IF(AW49="","",AW49-AW$6)</f>
        <v/>
      </c>
      <c r="AY49" s="196"/>
      <c r="AZ49" s="196" t="str">
        <f>IF(AY49="","",AY49-AY$6)</f>
        <v/>
      </c>
      <c r="BA49" s="196"/>
      <c r="BB49" s="196" t="str">
        <f>IF(BA49="","",BA49-BA$6)</f>
        <v/>
      </c>
      <c r="BC49" s="196"/>
      <c r="BD49" s="196" t="str">
        <f>IF(BC49="","",BC49-BC$6)</f>
        <v/>
      </c>
      <c r="BE49" s="196"/>
      <c r="BF49" s="196" t="str">
        <f>IF(BE49="","",BE49-BE$6)</f>
        <v/>
      </c>
      <c r="BG49" s="196"/>
      <c r="BH49" s="196" t="str">
        <f>IF(BG49="","",BG49-BG$6)</f>
        <v/>
      </c>
      <c r="BI49" s="196"/>
      <c r="BJ49" s="196" t="str">
        <f>IF(BI49="","",BI49-BI$6)</f>
        <v/>
      </c>
      <c r="BK49" s="197"/>
      <c r="BL49" s="115"/>
      <c r="BM49" s="198"/>
      <c r="BN49" s="191"/>
      <c r="BO49" s="191"/>
      <c r="BP49" s="191"/>
      <c r="BQ49" s="199"/>
      <c r="BR49" s="199"/>
      <c r="BS49" s="199"/>
      <c r="BT49" s="199"/>
      <c r="BU49" s="200"/>
      <c r="BV49" s="200"/>
      <c r="BW49" s="191"/>
      <c r="BX49" s="191"/>
      <c r="BY49" s="189"/>
      <c r="BZ49" s="191"/>
      <c r="CA49" s="191"/>
      <c r="CB49" s="182"/>
      <c r="CC49" s="182"/>
      <c r="CD49" s="201"/>
      <c r="CE49" s="202"/>
      <c r="CF49" s="116"/>
    </row>
    <row r="50" spans="2:84" ht="15.6" x14ac:dyDescent="0.3">
      <c r="B50" s="110" t="s">
        <v>1094</v>
      </c>
      <c r="C50" s="147" t="s">
        <v>1258</v>
      </c>
      <c r="D50" s="148" t="s">
        <v>1133</v>
      </c>
      <c r="E50" s="148" t="s">
        <v>226</v>
      </c>
      <c r="F50" s="149">
        <v>38482780000126</v>
      </c>
      <c r="G50" s="149" t="s">
        <v>1155</v>
      </c>
      <c r="H50" s="149" t="s">
        <v>388</v>
      </c>
      <c r="I50" s="150">
        <v>1</v>
      </c>
      <c r="J50" s="151" t="s">
        <v>107</v>
      </c>
      <c r="K50" s="151" t="s">
        <v>128</v>
      </c>
      <c r="L50" s="151" t="s">
        <v>118</v>
      </c>
      <c r="M50" s="151" t="s">
        <v>128</v>
      </c>
      <c r="N50" s="151" t="s">
        <v>109</v>
      </c>
      <c r="O50" s="152">
        <v>475000</v>
      </c>
      <c r="P50" s="153">
        <v>475000000</v>
      </c>
      <c r="Q50" s="153">
        <v>1000</v>
      </c>
      <c r="R50" s="154">
        <v>44362</v>
      </c>
      <c r="S50" s="154">
        <v>50936</v>
      </c>
      <c r="T50" s="155" t="s">
        <v>1228</v>
      </c>
      <c r="U50" s="155" t="s">
        <v>1198</v>
      </c>
      <c r="V50" s="154" t="s">
        <v>105</v>
      </c>
      <c r="W50" s="154" t="s">
        <v>102</v>
      </c>
      <c r="X50" s="154" t="s">
        <v>1299</v>
      </c>
      <c r="Y50" s="154">
        <v>47710</v>
      </c>
      <c r="Z50" s="156">
        <f>IFERROR(INDEX(Base!G:G,MATCH('Debêntures IPCA-Spread'!Y50,Base!F:F,0)),"")</f>
        <v>6.3273999999999999</v>
      </c>
      <c r="AA50" s="115"/>
      <c r="AB50" s="157">
        <v>45526</v>
      </c>
      <c r="AC50" s="158"/>
      <c r="AD50" s="159" t="str">
        <f t="shared" si="2"/>
        <v/>
      </c>
      <c r="AE50" s="160"/>
      <c r="AF50" s="161"/>
      <c r="AG50" s="161"/>
      <c r="AH50" s="162"/>
      <c r="AI50" s="162">
        <v>1208.6408699999999</v>
      </c>
      <c r="AJ50" s="163">
        <f t="shared" si="3"/>
        <v>0</v>
      </c>
      <c r="AK50" s="164">
        <v>45484</v>
      </c>
      <c r="AL50" s="165"/>
      <c r="AM50" s="166"/>
      <c r="AN50" s="115"/>
      <c r="AO50" s="167"/>
      <c r="AP50" s="168" t="str">
        <f>IF(AO50="","",AO50-AO$6)</f>
        <v/>
      </c>
      <c r="AQ50" s="168"/>
      <c r="AR50" s="168" t="str">
        <f>IF(AQ50="","",AQ50-AQ$6)</f>
        <v/>
      </c>
      <c r="AS50" s="168"/>
      <c r="AT50" s="168" t="str">
        <f>IF(AS50="","",AS50-AS$6)</f>
        <v/>
      </c>
      <c r="AU50" s="168"/>
      <c r="AV50" s="168" t="str">
        <f>IF(AU50="","",AU50-AU$6)</f>
        <v/>
      </c>
      <c r="AW50" s="168"/>
      <c r="AX50" s="168" t="str">
        <f>IF(AW50="","",AW50-AW$6)</f>
        <v/>
      </c>
      <c r="AY50" s="168"/>
      <c r="AZ50" s="168" t="str">
        <f>IF(AY50="","",AY50-AY$6)</f>
        <v/>
      </c>
      <c r="BA50" s="168"/>
      <c r="BB50" s="168" t="str">
        <f>IF(BA50="","",BA50-BA$6)</f>
        <v/>
      </c>
      <c r="BC50" s="168"/>
      <c r="BD50" s="168" t="str">
        <f>IF(BC50="","",BC50-BC$6)</f>
        <v/>
      </c>
      <c r="BE50" s="168"/>
      <c r="BF50" s="168" t="str">
        <f>IF(BE50="","",BE50-BE$6)</f>
        <v/>
      </c>
      <c r="BG50" s="168"/>
      <c r="BH50" s="168" t="str">
        <f>IF(BG50="","",BG50-BG$6)</f>
        <v/>
      </c>
      <c r="BI50" s="168"/>
      <c r="BJ50" s="168" t="str">
        <f>IF(BI50="","",BI50-BI$6)</f>
        <v/>
      </c>
      <c r="BK50" s="169">
        <v>15.950921703000001</v>
      </c>
      <c r="BL50" s="115"/>
      <c r="BM50" s="170">
        <v>7.3416745605E-2</v>
      </c>
      <c r="BN50" s="163">
        <v>-8.7600015606000003E-2</v>
      </c>
      <c r="BO50" s="163">
        <v>3.1115756291999998E-2</v>
      </c>
      <c r="BP50" s="163">
        <v>-7.5526623661000006E-2</v>
      </c>
      <c r="BQ50" s="171"/>
      <c r="BR50" s="171"/>
      <c r="BS50" s="171"/>
      <c r="BT50" s="171"/>
      <c r="BU50" s="172">
        <v>0.32220130819999998</v>
      </c>
      <c r="BV50" s="172">
        <v>-1.9639133717000001E-2</v>
      </c>
      <c r="BW50" s="163">
        <v>1.6367147766000002E-2</v>
      </c>
      <c r="BX50" s="163"/>
      <c r="BY50" s="161">
        <v>5.3885707334999999</v>
      </c>
      <c r="BZ50" s="163">
        <v>-4.9774277004E-2</v>
      </c>
      <c r="CA50" s="163">
        <v>-0.16522752370999999</v>
      </c>
      <c r="CB50" s="154">
        <v>45484</v>
      </c>
      <c r="CC50" s="154">
        <v>45512</v>
      </c>
      <c r="CD50" s="173"/>
      <c r="CE50" s="174"/>
      <c r="CF50" s="116"/>
    </row>
    <row r="51" spans="2:84" ht="15.6" x14ac:dyDescent="0.3">
      <c r="B51" s="98" t="s">
        <v>1403</v>
      </c>
      <c r="C51" s="175" t="s">
        <v>2049</v>
      </c>
      <c r="D51" s="176" t="s">
        <v>1896</v>
      </c>
      <c r="E51" s="176" t="s">
        <v>104</v>
      </c>
      <c r="F51" s="177">
        <v>37606330000135</v>
      </c>
      <c r="G51" s="177" t="s">
        <v>1762</v>
      </c>
      <c r="H51" s="177" t="s">
        <v>388</v>
      </c>
      <c r="I51" s="178">
        <v>1</v>
      </c>
      <c r="J51" s="179" t="s">
        <v>107</v>
      </c>
      <c r="K51" s="179" t="s">
        <v>126</v>
      </c>
      <c r="L51" s="179" t="s">
        <v>118</v>
      </c>
      <c r="M51" s="179" t="s">
        <v>114</v>
      </c>
      <c r="N51" s="179" t="s">
        <v>109</v>
      </c>
      <c r="O51" s="180">
        <v>75000</v>
      </c>
      <c r="P51" s="181">
        <v>75000000</v>
      </c>
      <c r="Q51" s="181">
        <v>1000</v>
      </c>
      <c r="R51" s="182">
        <v>44301</v>
      </c>
      <c r="S51" s="182">
        <v>48684</v>
      </c>
      <c r="T51" s="183" t="s">
        <v>1059</v>
      </c>
      <c r="U51" s="183" t="s">
        <v>1661</v>
      </c>
      <c r="V51" s="182" t="s">
        <v>194</v>
      </c>
      <c r="W51" s="182" t="s">
        <v>102</v>
      </c>
      <c r="X51" s="182" t="s">
        <v>1544</v>
      </c>
      <c r="Y51" s="182">
        <v>46980</v>
      </c>
      <c r="Z51" s="184">
        <f>IFERROR(INDEX(Base!G:G,MATCH('Debêntures IPCA-Spread'!Y51,Base!F:F,0)),"")</f>
        <v>6.4702000000000002</v>
      </c>
      <c r="AA51" s="115"/>
      <c r="AB51" s="185">
        <v>45169</v>
      </c>
      <c r="AC51" s="186"/>
      <c r="AD51" s="187" t="str">
        <f t="shared" si="2"/>
        <v/>
      </c>
      <c r="AE51" s="188"/>
      <c r="AF51" s="189"/>
      <c r="AG51" s="189"/>
      <c r="AH51" s="190"/>
      <c r="AI51" s="190"/>
      <c r="AJ51" s="191" t="str">
        <f t="shared" si="3"/>
        <v/>
      </c>
      <c r="AK51" s="192"/>
      <c r="AL51" s="193"/>
      <c r="AM51" s="194"/>
      <c r="AN51" s="115"/>
      <c r="AO51" s="195"/>
      <c r="AP51" s="196" t="str">
        <f>IF(AO51="","",AO51-AO$6)</f>
        <v/>
      </c>
      <c r="AQ51" s="196"/>
      <c r="AR51" s="196" t="str">
        <f>IF(AQ51="","",AQ51-AQ$6)</f>
        <v/>
      </c>
      <c r="AS51" s="196"/>
      <c r="AT51" s="196" t="str">
        <f>IF(AS51="","",AS51-AS$6)</f>
        <v/>
      </c>
      <c r="AU51" s="196"/>
      <c r="AV51" s="196" t="str">
        <f>IF(AU51="","",AU51-AU$6)</f>
        <v/>
      </c>
      <c r="AW51" s="196"/>
      <c r="AX51" s="196" t="str">
        <f>IF(AW51="","",AW51-AW$6)</f>
        <v/>
      </c>
      <c r="AY51" s="196"/>
      <c r="AZ51" s="196" t="str">
        <f>IF(AY51="","",AY51-AY$6)</f>
        <v/>
      </c>
      <c r="BA51" s="196"/>
      <c r="BB51" s="196" t="str">
        <f>IF(BA51="","",BA51-BA$6)</f>
        <v/>
      </c>
      <c r="BC51" s="196"/>
      <c r="BD51" s="196" t="str">
        <f>IF(BC51="","",BC51-BC$6)</f>
        <v/>
      </c>
      <c r="BE51" s="196"/>
      <c r="BF51" s="196" t="str">
        <f>IF(BE51="","",BE51-BE$6)</f>
        <v/>
      </c>
      <c r="BG51" s="196"/>
      <c r="BH51" s="196" t="str">
        <f>IF(BG51="","",BG51-BG$6)</f>
        <v/>
      </c>
      <c r="BI51" s="196"/>
      <c r="BJ51" s="196" t="str">
        <f>IF(BI51="","",BI51-BI$6)</f>
        <v/>
      </c>
      <c r="BK51" s="197"/>
      <c r="BL51" s="115"/>
      <c r="BM51" s="198"/>
      <c r="BN51" s="191"/>
      <c r="BO51" s="191"/>
      <c r="BP51" s="191"/>
      <c r="BQ51" s="199"/>
      <c r="BR51" s="199"/>
      <c r="BS51" s="199"/>
      <c r="BT51" s="199"/>
      <c r="BU51" s="200"/>
      <c r="BV51" s="200"/>
      <c r="BW51" s="191"/>
      <c r="BX51" s="191"/>
      <c r="BY51" s="189"/>
      <c r="BZ51" s="191"/>
      <c r="CA51" s="191"/>
      <c r="CB51" s="182"/>
      <c r="CC51" s="182"/>
      <c r="CD51" s="201"/>
      <c r="CE51" s="202"/>
      <c r="CF51" s="116"/>
    </row>
    <row r="52" spans="2:84" ht="15.6" x14ac:dyDescent="0.3">
      <c r="B52" s="110" t="s">
        <v>1404</v>
      </c>
      <c r="C52" s="147" t="s">
        <v>2050</v>
      </c>
      <c r="D52" s="148" t="s">
        <v>1897</v>
      </c>
      <c r="E52" s="148" t="s">
        <v>226</v>
      </c>
      <c r="F52" s="149">
        <v>24624490000165</v>
      </c>
      <c r="G52" s="149" t="s">
        <v>1763</v>
      </c>
      <c r="H52" s="149" t="s">
        <v>388</v>
      </c>
      <c r="I52" s="150">
        <v>1</v>
      </c>
      <c r="J52" s="151" t="s">
        <v>107</v>
      </c>
      <c r="K52" s="151" t="s">
        <v>126</v>
      </c>
      <c r="L52" s="151" t="s">
        <v>112</v>
      </c>
      <c r="M52" s="151" t="s">
        <v>106</v>
      </c>
      <c r="N52" s="151" t="s">
        <v>109</v>
      </c>
      <c r="O52" s="152">
        <v>454500</v>
      </c>
      <c r="P52" s="153">
        <v>454500000</v>
      </c>
      <c r="Q52" s="153">
        <v>1000</v>
      </c>
      <c r="R52" s="154">
        <v>43296</v>
      </c>
      <c r="S52" s="154">
        <v>48197</v>
      </c>
      <c r="T52" s="155" t="s">
        <v>1977</v>
      </c>
      <c r="U52" s="155" t="s">
        <v>1662</v>
      </c>
      <c r="V52" s="154" t="s">
        <v>194</v>
      </c>
      <c r="W52" s="154" t="s">
        <v>102</v>
      </c>
      <c r="X52" s="154" t="s">
        <v>1545</v>
      </c>
      <c r="Y52" s="154">
        <v>46980</v>
      </c>
      <c r="Z52" s="156">
        <f>IFERROR(INDEX(Base!G:G,MATCH('Debêntures IPCA-Spread'!Y52,Base!F:F,0)),"")</f>
        <v>6.4702000000000002</v>
      </c>
      <c r="AA52" s="115"/>
      <c r="AB52" s="157">
        <v>45552</v>
      </c>
      <c r="AC52" s="158">
        <v>6.5922999999999998</v>
      </c>
      <c r="AD52" s="159">
        <f t="shared" si="2"/>
        <v>0.12209999999999965</v>
      </c>
      <c r="AE52" s="160">
        <v>0.16</v>
      </c>
      <c r="AF52" s="161">
        <v>6.7691999999999997</v>
      </c>
      <c r="AG52" s="161">
        <v>6.4393000000000002</v>
      </c>
      <c r="AH52" s="162">
        <v>1252.9605799999999</v>
      </c>
      <c r="AI52" s="162">
        <v>1258.1149539999999</v>
      </c>
      <c r="AJ52" s="163">
        <f t="shared" si="3"/>
        <v>0.99590309773871433</v>
      </c>
      <c r="AK52" s="164">
        <v>45513</v>
      </c>
      <c r="AL52" s="165">
        <v>101.35</v>
      </c>
      <c r="AM52" s="166">
        <v>853</v>
      </c>
      <c r="AN52" s="115"/>
      <c r="AO52" s="167">
        <v>1.0792845096E-3</v>
      </c>
      <c r="AP52" s="168">
        <f>IF(AO52="","",AO52-AO$6)</f>
        <v>5.9913962467000002E-4</v>
      </c>
      <c r="AQ52" s="168">
        <v>4.7962124171999996E-3</v>
      </c>
      <c r="AR52" s="168">
        <f>IF(AQ52="","",AQ52-AQ$6)</f>
        <v>5.0137191701599996E-3</v>
      </c>
      <c r="AS52" s="168">
        <v>6.5935398074999998E-2</v>
      </c>
      <c r="AT52" s="168">
        <f>IF(AS52="","",AS52-AS$6)</f>
        <v>5.1209563020000001E-2</v>
      </c>
      <c r="AU52" s="168">
        <v>1.3615981188000001E-3</v>
      </c>
      <c r="AV52" s="168">
        <f>IF(AU52="","",AU52-AU$6)</f>
        <v>1.4430180714799999E-2</v>
      </c>
      <c r="AW52" s="168">
        <v>3.2434876363999998E-2</v>
      </c>
      <c r="AX52" s="168">
        <f>IF(AW52="","",AW52-AW$6)</f>
        <v>8.4398085759999977E-3</v>
      </c>
      <c r="AY52" s="168">
        <v>2.9467213624E-2</v>
      </c>
      <c r="AZ52" s="168">
        <f>IF(AY52="","",AY52-AY$6)</f>
        <v>1.5224958834E-2</v>
      </c>
      <c r="BA52" s="168">
        <v>9.0692510715999999E-2</v>
      </c>
      <c r="BB52" s="168">
        <f>IF(BA52="","",BA52-BA$6)</f>
        <v>3.7205546158000001E-2</v>
      </c>
      <c r="BC52" s="168"/>
      <c r="BD52" s="168" t="str">
        <f>IF(BC52="","",BC52-BC$6)</f>
        <v/>
      </c>
      <c r="BE52" s="168"/>
      <c r="BF52" s="168" t="str">
        <f>IF(BE52="","",BE52-BE$6)</f>
        <v/>
      </c>
      <c r="BG52" s="168"/>
      <c r="BH52" s="168" t="str">
        <f>IF(BG52="","",BG52-BG$6)</f>
        <v/>
      </c>
      <c r="BI52" s="168"/>
      <c r="BJ52" s="168" t="str">
        <f>IF(BI52="","",BI52-BI$6)</f>
        <v/>
      </c>
      <c r="BK52" s="169">
        <v>4.4841155051000001</v>
      </c>
      <c r="BL52" s="115"/>
      <c r="BM52" s="170">
        <v>9.1892552500000002E-3</v>
      </c>
      <c r="BN52" s="163">
        <v>-7.4225757835E-3</v>
      </c>
      <c r="BO52" s="163">
        <v>2.4978470321E-2</v>
      </c>
      <c r="BP52" s="163">
        <v>-1.0327674594E-2</v>
      </c>
      <c r="BQ52" s="171">
        <v>10</v>
      </c>
      <c r="BR52" s="171">
        <v>2</v>
      </c>
      <c r="BS52" s="171">
        <v>8</v>
      </c>
      <c r="BT52" s="171">
        <v>4</v>
      </c>
      <c r="BU52" s="172">
        <v>-0.40086147568000002</v>
      </c>
      <c r="BV52" s="172"/>
      <c r="BW52" s="163">
        <v>4.6345688587000004E-3</v>
      </c>
      <c r="BX52" s="163">
        <v>3.7174120142999998E-3</v>
      </c>
      <c r="BY52" s="161">
        <v>-2.4323627838999999</v>
      </c>
      <c r="BZ52" s="163">
        <v>-1.8125468759E-2</v>
      </c>
      <c r="CA52" s="163">
        <v>-1.8125468759E-2</v>
      </c>
      <c r="CB52" s="154">
        <v>45189</v>
      </c>
      <c r="CC52" s="154">
        <v>45222</v>
      </c>
      <c r="CD52" s="173">
        <v>45</v>
      </c>
      <c r="CE52" s="174">
        <v>45257</v>
      </c>
      <c r="CF52" s="116"/>
    </row>
    <row r="53" spans="2:84" ht="15.6" x14ac:dyDescent="0.3">
      <c r="B53" s="98" t="s">
        <v>494</v>
      </c>
      <c r="C53" s="175" t="s">
        <v>659</v>
      </c>
      <c r="D53" s="176" t="s">
        <v>332</v>
      </c>
      <c r="E53" s="176" t="s">
        <v>228</v>
      </c>
      <c r="F53" s="177">
        <v>2919555000167</v>
      </c>
      <c r="G53" s="177" t="s">
        <v>814</v>
      </c>
      <c r="H53" s="177" t="s">
        <v>388</v>
      </c>
      <c r="I53" s="178">
        <v>9</v>
      </c>
      <c r="J53" s="179">
        <v>1</v>
      </c>
      <c r="K53" s="179" t="s">
        <v>126</v>
      </c>
      <c r="L53" s="179" t="s">
        <v>118</v>
      </c>
      <c r="M53" s="179" t="s">
        <v>114</v>
      </c>
      <c r="N53" s="179" t="s">
        <v>109</v>
      </c>
      <c r="O53" s="180">
        <v>450000</v>
      </c>
      <c r="P53" s="181">
        <v>450000000</v>
      </c>
      <c r="Q53" s="181">
        <v>1000</v>
      </c>
      <c r="R53" s="182">
        <v>44089</v>
      </c>
      <c r="S53" s="182">
        <v>46645</v>
      </c>
      <c r="T53" s="183" t="s">
        <v>750</v>
      </c>
      <c r="U53" s="183" t="s">
        <v>903</v>
      </c>
      <c r="V53" s="182" t="s">
        <v>105</v>
      </c>
      <c r="W53" s="182" t="s">
        <v>102</v>
      </c>
      <c r="X53" s="182" t="s">
        <v>957</v>
      </c>
      <c r="Y53" s="182">
        <v>46522</v>
      </c>
      <c r="Z53" s="184">
        <f>IFERROR(INDEX(Base!G:G,MATCH('Debêntures IPCA-Spread'!Y53,Base!F:F,0)),"")</f>
        <v>6.391</v>
      </c>
      <c r="AA53" s="115"/>
      <c r="AB53" s="185">
        <v>45552</v>
      </c>
      <c r="AC53" s="186">
        <v>6.8297999999999996</v>
      </c>
      <c r="AD53" s="187">
        <f t="shared" si="2"/>
        <v>0.43879999999999963</v>
      </c>
      <c r="AE53" s="188">
        <v>0.1</v>
      </c>
      <c r="AF53" s="189">
        <v>7.0975999999999999</v>
      </c>
      <c r="AG53" s="189">
        <v>6.6848000000000001</v>
      </c>
      <c r="AH53" s="190">
        <v>1226.5125129999999</v>
      </c>
      <c r="AI53" s="190">
        <v>1227.0420429999999</v>
      </c>
      <c r="AJ53" s="191">
        <f t="shared" si="3"/>
        <v>0.9995684499948303</v>
      </c>
      <c r="AK53" s="192">
        <v>45548</v>
      </c>
      <c r="AL53" s="193">
        <v>95.66</v>
      </c>
      <c r="AM53" s="194">
        <v>594</v>
      </c>
      <c r="AN53" s="115"/>
      <c r="AO53" s="195">
        <v>9.0828746215000004E-4</v>
      </c>
      <c r="AP53" s="196">
        <f>IF(AO53="","",AO53-AO$6)</f>
        <v>4.2814257722000005E-4</v>
      </c>
      <c r="AQ53" s="196">
        <v>5.5929794635000002E-3</v>
      </c>
      <c r="AR53" s="196">
        <f>IF(AQ53="","",AQ53-AQ$6)</f>
        <v>5.8104862164600002E-3</v>
      </c>
      <c r="AS53" s="196">
        <v>7.4472128142999999E-2</v>
      </c>
      <c r="AT53" s="196">
        <f>IF(AS53="","",AS53-AS$6)</f>
        <v>5.9746293088000002E-2</v>
      </c>
      <c r="AU53" s="196">
        <v>1.0687979864E-2</v>
      </c>
      <c r="AV53" s="196">
        <f>IF(AU53="","",AU53-AU$6)</f>
        <v>2.3756562459999998E-2</v>
      </c>
      <c r="AW53" s="196">
        <v>3.4002662209000001E-2</v>
      </c>
      <c r="AX53" s="196">
        <f>IF(AW53="","",AW53-AW$6)</f>
        <v>1.0007594421E-2</v>
      </c>
      <c r="AY53" s="196">
        <v>4.2187828593999999E-2</v>
      </c>
      <c r="AZ53" s="196">
        <f>IF(AY53="","",AY53-AY$6)</f>
        <v>2.7945573804E-2</v>
      </c>
      <c r="BA53" s="196">
        <v>0.10151234369000001</v>
      </c>
      <c r="BB53" s="196">
        <f>IF(BA53="","",BA53-BA$6)</f>
        <v>4.8025379132000008E-2</v>
      </c>
      <c r="BC53" s="196">
        <v>0.21560045398</v>
      </c>
      <c r="BD53" s="196">
        <f>IF(BC53="","",BC53-BC$6)</f>
        <v>2.1291887489999994E-2</v>
      </c>
      <c r="BE53" s="196">
        <v>0.32831403911000001</v>
      </c>
      <c r="BF53" s="196">
        <f>IF(BE53="","",BE53-BE$6)</f>
        <v>6.6594699570000027E-2</v>
      </c>
      <c r="BG53" s="196"/>
      <c r="BH53" s="196" t="str">
        <f>IF(BG53="","",BG53-BG$6)</f>
        <v/>
      </c>
      <c r="BI53" s="196"/>
      <c r="BJ53" s="196" t="str">
        <f>IF(BI53="","",BI53-BI$6)</f>
        <v/>
      </c>
      <c r="BK53" s="197">
        <v>4.3210231835000004</v>
      </c>
      <c r="BL53" s="115"/>
      <c r="BM53" s="198">
        <v>1.6077110969E-2</v>
      </c>
      <c r="BN53" s="191">
        <v>-8.3457907604000004E-3</v>
      </c>
      <c r="BO53" s="191">
        <v>3.0555102385000001E-2</v>
      </c>
      <c r="BP53" s="191">
        <v>-1.1050364098E-2</v>
      </c>
      <c r="BQ53" s="199">
        <v>10</v>
      </c>
      <c r="BR53" s="199">
        <v>2</v>
      </c>
      <c r="BS53" s="199">
        <v>8</v>
      </c>
      <c r="BT53" s="199">
        <v>4</v>
      </c>
      <c r="BU53" s="200">
        <v>-0.19187969569999999</v>
      </c>
      <c r="BV53" s="200">
        <v>-0.33274601194999998</v>
      </c>
      <c r="BW53" s="191">
        <v>4.4725458812999996E-3</v>
      </c>
      <c r="BX53" s="191">
        <v>2.6227591766999998E-3</v>
      </c>
      <c r="BY53" s="189">
        <v>-1.3681614390000001</v>
      </c>
      <c r="BZ53" s="191">
        <v>-2.2715230195000002E-2</v>
      </c>
      <c r="CA53" s="191">
        <v>-2.2715230195000002E-2</v>
      </c>
      <c r="CB53" s="182">
        <v>45188</v>
      </c>
      <c r="CC53" s="182">
        <v>45230</v>
      </c>
      <c r="CD53" s="201">
        <v>37</v>
      </c>
      <c r="CE53" s="202">
        <v>45243</v>
      </c>
      <c r="CF53" s="116"/>
    </row>
    <row r="54" spans="2:84" ht="15.6" x14ac:dyDescent="0.3">
      <c r="B54" s="110" t="s">
        <v>1405</v>
      </c>
      <c r="C54" s="147" t="s">
        <v>2051</v>
      </c>
      <c r="D54" s="148" t="s">
        <v>1898</v>
      </c>
      <c r="E54" s="148" t="s">
        <v>226</v>
      </c>
      <c r="F54" s="149">
        <v>9359927000197</v>
      </c>
      <c r="G54" s="149" t="s">
        <v>1764</v>
      </c>
      <c r="H54" s="149" t="s">
        <v>388</v>
      </c>
      <c r="I54" s="150">
        <v>1</v>
      </c>
      <c r="J54" s="151" t="s">
        <v>107</v>
      </c>
      <c r="K54" s="151" t="s">
        <v>111</v>
      </c>
      <c r="L54" s="151" t="s">
        <v>118</v>
      </c>
      <c r="M54" s="151" t="s">
        <v>986</v>
      </c>
      <c r="N54" s="151" t="s">
        <v>117</v>
      </c>
      <c r="O54" s="152">
        <v>315000</v>
      </c>
      <c r="P54" s="153">
        <v>315000000</v>
      </c>
      <c r="Q54" s="153">
        <v>1000</v>
      </c>
      <c r="R54" s="154">
        <v>44362</v>
      </c>
      <c r="S54" s="154">
        <v>48745</v>
      </c>
      <c r="T54" s="155" t="s">
        <v>1663</v>
      </c>
      <c r="U54" s="155" t="s">
        <v>1663</v>
      </c>
      <c r="V54" s="154" t="s">
        <v>105</v>
      </c>
      <c r="W54" s="154" t="s">
        <v>102</v>
      </c>
      <c r="X54" s="154" t="s">
        <v>1359</v>
      </c>
      <c r="Y54" s="154">
        <v>46980</v>
      </c>
      <c r="Z54" s="156">
        <f>IFERROR(INDEX(Base!G:G,MATCH('Debêntures IPCA-Spread'!Y54,Base!F:F,0)),"")</f>
        <v>6.4702000000000002</v>
      </c>
      <c r="AA54" s="115"/>
      <c r="AB54" s="157">
        <v>45041</v>
      </c>
      <c r="AC54" s="158"/>
      <c r="AD54" s="159" t="str">
        <f t="shared" si="2"/>
        <v/>
      </c>
      <c r="AE54" s="160"/>
      <c r="AF54" s="161"/>
      <c r="AG54" s="161"/>
      <c r="AH54" s="162"/>
      <c r="AI54" s="162"/>
      <c r="AJ54" s="163" t="str">
        <f t="shared" si="3"/>
        <v/>
      </c>
      <c r="AK54" s="164"/>
      <c r="AL54" s="165"/>
      <c r="AM54" s="166"/>
      <c r="AN54" s="115"/>
      <c r="AO54" s="167"/>
      <c r="AP54" s="168" t="str">
        <f>IF(AO54="","",AO54-AO$6)</f>
        <v/>
      </c>
      <c r="AQ54" s="168"/>
      <c r="AR54" s="168" t="str">
        <f>IF(AQ54="","",AQ54-AQ$6)</f>
        <v/>
      </c>
      <c r="AS54" s="168"/>
      <c r="AT54" s="168" t="str">
        <f>IF(AS54="","",AS54-AS$6)</f>
        <v/>
      </c>
      <c r="AU54" s="168"/>
      <c r="AV54" s="168" t="str">
        <f>IF(AU54="","",AU54-AU$6)</f>
        <v/>
      </c>
      <c r="AW54" s="168"/>
      <c r="AX54" s="168" t="str">
        <f>IF(AW54="","",AW54-AW$6)</f>
        <v/>
      </c>
      <c r="AY54" s="168"/>
      <c r="AZ54" s="168" t="str">
        <f>IF(AY54="","",AY54-AY$6)</f>
        <v/>
      </c>
      <c r="BA54" s="168"/>
      <c r="BB54" s="168" t="str">
        <f>IF(BA54="","",BA54-BA$6)</f>
        <v/>
      </c>
      <c r="BC54" s="168"/>
      <c r="BD54" s="168" t="str">
        <f>IF(BC54="","",BC54-BC$6)</f>
        <v/>
      </c>
      <c r="BE54" s="168"/>
      <c r="BF54" s="168" t="str">
        <f>IF(BE54="","",BE54-BE$6)</f>
        <v/>
      </c>
      <c r="BG54" s="168"/>
      <c r="BH54" s="168" t="str">
        <f>IF(BG54="","",BG54-BG$6)</f>
        <v/>
      </c>
      <c r="BI54" s="168"/>
      <c r="BJ54" s="168" t="str">
        <f>IF(BI54="","",BI54-BI$6)</f>
        <v/>
      </c>
      <c r="BK54" s="169"/>
      <c r="BL54" s="115"/>
      <c r="BM54" s="170"/>
      <c r="BN54" s="163"/>
      <c r="BO54" s="163"/>
      <c r="BP54" s="163"/>
      <c r="BQ54" s="171"/>
      <c r="BR54" s="171"/>
      <c r="BS54" s="171"/>
      <c r="BT54" s="171"/>
      <c r="BU54" s="172"/>
      <c r="BV54" s="172"/>
      <c r="BW54" s="163"/>
      <c r="BX54" s="163"/>
      <c r="BY54" s="161"/>
      <c r="BZ54" s="163"/>
      <c r="CA54" s="163"/>
      <c r="CB54" s="154"/>
      <c r="CC54" s="154"/>
      <c r="CD54" s="173"/>
      <c r="CE54" s="174"/>
      <c r="CF54" s="116"/>
    </row>
    <row r="55" spans="2:84" ht="15.6" x14ac:dyDescent="0.3">
      <c r="B55" s="98" t="s">
        <v>2208</v>
      </c>
      <c r="C55" s="175" t="s">
        <v>2593</v>
      </c>
      <c r="D55" s="176" t="s">
        <v>2785</v>
      </c>
      <c r="E55" s="176" t="s">
        <v>226</v>
      </c>
      <c r="F55" s="177">
        <v>38286323000166</v>
      </c>
      <c r="G55" s="177" t="s">
        <v>2343</v>
      </c>
      <c r="H55" s="177" t="s">
        <v>388</v>
      </c>
      <c r="I55" s="178">
        <v>1</v>
      </c>
      <c r="J55" s="179">
        <v>2</v>
      </c>
      <c r="K55" s="179" t="s">
        <v>111</v>
      </c>
      <c r="L55" s="179" t="s">
        <v>112</v>
      </c>
      <c r="M55" s="179" t="s">
        <v>986</v>
      </c>
      <c r="N55" s="179" t="s">
        <v>109</v>
      </c>
      <c r="O55" s="180">
        <v>595000</v>
      </c>
      <c r="P55" s="181">
        <v>595000000</v>
      </c>
      <c r="Q55" s="181">
        <v>1000</v>
      </c>
      <c r="R55" s="182">
        <v>45366</v>
      </c>
      <c r="S55" s="182">
        <v>51667</v>
      </c>
      <c r="T55" s="183" t="s">
        <v>2001</v>
      </c>
      <c r="U55" s="183" t="s">
        <v>2716</v>
      </c>
      <c r="V55" s="182" t="s">
        <v>194</v>
      </c>
      <c r="W55" s="182" t="s">
        <v>102</v>
      </c>
      <c r="X55" s="182" t="s">
        <v>2480</v>
      </c>
      <c r="Y55" s="182">
        <v>48441</v>
      </c>
      <c r="Z55" s="184">
        <f>IFERROR(INDEX(Base!G:G,MATCH('Debêntures IPCA-Spread'!Y55,Base!F:F,0)),"")</f>
        <v>6.3467000000000002</v>
      </c>
      <c r="AA55" s="115"/>
      <c r="AB55" s="185">
        <v>45552</v>
      </c>
      <c r="AC55" s="186">
        <v>7.3262</v>
      </c>
      <c r="AD55" s="187">
        <f t="shared" si="2"/>
        <v>0.97949999999999982</v>
      </c>
      <c r="AE55" s="188">
        <v>0.09</v>
      </c>
      <c r="AF55" s="189">
        <v>7.5061</v>
      </c>
      <c r="AG55" s="189">
        <v>7.2096</v>
      </c>
      <c r="AH55" s="190">
        <v>1020.5341570000001</v>
      </c>
      <c r="AI55" s="190"/>
      <c r="AJ55" s="191" t="str">
        <f t="shared" si="3"/>
        <v/>
      </c>
      <c r="AK55" s="192"/>
      <c r="AL55" s="193">
        <v>98.69</v>
      </c>
      <c r="AM55" s="194">
        <v>1620</v>
      </c>
      <c r="AN55" s="115"/>
      <c r="AO55" s="195">
        <v>1.0624031018999999E-3</v>
      </c>
      <c r="AP55" s="196">
        <f>IF(AO55="","",AO55-AO$6)</f>
        <v>5.822582169699999E-4</v>
      </c>
      <c r="AQ55" s="196">
        <v>-2.4926521290999999E-5</v>
      </c>
      <c r="AR55" s="196">
        <f>IF(AQ55="","",AQ55-AQ$6)</f>
        <v>1.9258023166900001E-4</v>
      </c>
      <c r="AS55" s="196"/>
      <c r="AT55" s="196" t="str">
        <f>IF(AS55="","",AS55-AS$6)</f>
        <v/>
      </c>
      <c r="AU55" s="196">
        <v>-1.1830509486E-2</v>
      </c>
      <c r="AV55" s="196">
        <f>IF(AU55="","",AU55-AU$6)</f>
        <v>1.2380731099999997E-3</v>
      </c>
      <c r="AW55" s="196">
        <v>3.7189378262999999E-2</v>
      </c>
      <c r="AX55" s="196">
        <f>IF(AW55="","",AW55-AW$6)</f>
        <v>1.3194310474999998E-2</v>
      </c>
      <c r="AY55" s="196"/>
      <c r="AZ55" s="196" t="str">
        <f>IF(AY55="","",AY55-AY$6)</f>
        <v/>
      </c>
      <c r="BA55" s="196"/>
      <c r="BB55" s="196" t="str">
        <f>IF(BA55="","",BA55-BA$6)</f>
        <v/>
      </c>
      <c r="BC55" s="196"/>
      <c r="BD55" s="196" t="str">
        <f>IF(BC55="","",BC55-BC$6)</f>
        <v/>
      </c>
      <c r="BE55" s="196"/>
      <c r="BF55" s="196" t="str">
        <f>IF(BE55="","",BE55-BE$6)</f>
        <v/>
      </c>
      <c r="BG55" s="196"/>
      <c r="BH55" s="196" t="str">
        <f>IF(BG55="","",BG55-BG$6)</f>
        <v/>
      </c>
      <c r="BI55" s="196"/>
      <c r="BJ55" s="196" t="str">
        <f>IF(BI55="","",BI55-BI$6)</f>
        <v/>
      </c>
      <c r="BK55" s="197"/>
      <c r="BL55" s="115"/>
      <c r="BM55" s="198">
        <v>9.1120195611000005E-3</v>
      </c>
      <c r="BN55" s="191">
        <v>-1.060681189E-2</v>
      </c>
      <c r="BO55" s="191">
        <v>3.0032706717999999E-2</v>
      </c>
      <c r="BP55" s="191">
        <v>-1.0196394401E-2</v>
      </c>
      <c r="BQ55" s="199"/>
      <c r="BR55" s="199"/>
      <c r="BS55" s="199"/>
      <c r="BT55" s="199"/>
      <c r="BU55" s="200"/>
      <c r="BV55" s="200"/>
      <c r="BW55" s="191"/>
      <c r="BX55" s="191">
        <v>4.2421196590000003E-3</v>
      </c>
      <c r="BY55" s="189"/>
      <c r="BZ55" s="191">
        <v>-2.0681273523000001E-2</v>
      </c>
      <c r="CA55" s="191">
        <v>-2.0681273523000001E-2</v>
      </c>
      <c r="CB55" s="182">
        <v>45439</v>
      </c>
      <c r="CC55" s="182">
        <v>45474</v>
      </c>
      <c r="CD55" s="201">
        <v>30</v>
      </c>
      <c r="CE55" s="202">
        <v>45482</v>
      </c>
      <c r="CF55" s="116"/>
    </row>
    <row r="56" spans="2:84" ht="15.6" x14ac:dyDescent="0.3">
      <c r="B56" s="110" t="s">
        <v>2209</v>
      </c>
      <c r="C56" s="147" t="s">
        <v>2594</v>
      </c>
      <c r="D56" s="148" t="s">
        <v>2786</v>
      </c>
      <c r="E56" s="148" t="s">
        <v>226</v>
      </c>
      <c r="F56" s="149">
        <v>49037416000173</v>
      </c>
      <c r="G56" s="149" t="s">
        <v>2344</v>
      </c>
      <c r="H56" s="149" t="s">
        <v>388</v>
      </c>
      <c r="I56" s="150">
        <v>1</v>
      </c>
      <c r="J56" s="151">
        <v>2</v>
      </c>
      <c r="K56" s="151" t="s">
        <v>111</v>
      </c>
      <c r="L56" s="151" t="s">
        <v>2467</v>
      </c>
      <c r="M56" s="151" t="s">
        <v>986</v>
      </c>
      <c r="N56" s="151" t="s">
        <v>109</v>
      </c>
      <c r="O56" s="152">
        <v>550000</v>
      </c>
      <c r="P56" s="153">
        <v>550000000</v>
      </c>
      <c r="Q56" s="153">
        <v>1000</v>
      </c>
      <c r="R56" s="154">
        <v>45488</v>
      </c>
      <c r="S56" s="154">
        <v>52793</v>
      </c>
      <c r="T56" s="155" t="s">
        <v>2822</v>
      </c>
      <c r="U56" s="155" t="s">
        <v>2719</v>
      </c>
      <c r="V56" s="154" t="s">
        <v>194</v>
      </c>
      <c r="W56" s="154" t="s">
        <v>102</v>
      </c>
      <c r="X56" s="154" t="s">
        <v>2481</v>
      </c>
      <c r="Y56" s="154">
        <v>49444</v>
      </c>
      <c r="Z56" s="156">
        <f>IFERROR(INDEX(Base!G:G,MATCH('Debêntures IPCA-Spread'!Y56,Base!F:F,0)),"")</f>
        <v>6.3137999999999996</v>
      </c>
      <c r="AA56" s="115"/>
      <c r="AB56" s="157">
        <v>45552</v>
      </c>
      <c r="AC56" s="158">
        <v>7.1475999999999997</v>
      </c>
      <c r="AD56" s="159">
        <f t="shared" si="2"/>
        <v>0.8338000000000001</v>
      </c>
      <c r="AE56" s="160">
        <v>0.11</v>
      </c>
      <c r="AF56" s="161">
        <v>7.4173999999999998</v>
      </c>
      <c r="AG56" s="161">
        <v>7.0347999999999997</v>
      </c>
      <c r="AH56" s="162">
        <v>1034.9724120000001</v>
      </c>
      <c r="AI56" s="162"/>
      <c r="AJ56" s="163" t="str">
        <f t="shared" si="3"/>
        <v/>
      </c>
      <c r="AK56" s="164"/>
      <c r="AL56" s="165">
        <v>102.17</v>
      </c>
      <c r="AM56" s="166">
        <v>2181</v>
      </c>
      <c r="AN56" s="115"/>
      <c r="AO56" s="167">
        <v>4.4096613074E-3</v>
      </c>
      <c r="AP56" s="168">
        <f>IF(AO56="","",AO56-AO$6)</f>
        <v>3.92951642247E-3</v>
      </c>
      <c r="AQ56" s="168">
        <v>4.1979552734000003E-3</v>
      </c>
      <c r="AR56" s="168">
        <f>IF(AQ56="","",AQ56-AQ$6)</f>
        <v>4.4154620263600003E-3</v>
      </c>
      <c r="AS56" s="168"/>
      <c r="AT56" s="168" t="str">
        <f>IF(AS56="","",AS56-AS$6)</f>
        <v/>
      </c>
      <c r="AU56" s="168"/>
      <c r="AV56" s="168" t="str">
        <f>IF(AU56="","",AU56-AU$6)</f>
        <v/>
      </c>
      <c r="AW56" s="168"/>
      <c r="AX56" s="168" t="str">
        <f>IF(AW56="","",AW56-AW$6)</f>
        <v/>
      </c>
      <c r="AY56" s="168"/>
      <c r="AZ56" s="168" t="str">
        <f>IF(AY56="","",AY56-AY$6)</f>
        <v/>
      </c>
      <c r="BA56" s="168"/>
      <c r="BB56" s="168" t="str">
        <f>IF(BA56="","",BA56-BA$6)</f>
        <v/>
      </c>
      <c r="BC56" s="168"/>
      <c r="BD56" s="168" t="str">
        <f>IF(BC56="","",BC56-BC$6)</f>
        <v/>
      </c>
      <c r="BE56" s="168"/>
      <c r="BF56" s="168" t="str">
        <f>IF(BE56="","",BE56-BE$6)</f>
        <v/>
      </c>
      <c r="BG56" s="168"/>
      <c r="BH56" s="168" t="str">
        <f>IF(BG56="","",BG56-BG$6)</f>
        <v/>
      </c>
      <c r="BI56" s="168"/>
      <c r="BJ56" s="168" t="str">
        <f>IF(BI56="","",BI56-BI$6)</f>
        <v/>
      </c>
      <c r="BK56" s="169"/>
      <c r="BL56" s="115"/>
      <c r="BM56" s="170">
        <v>1.0049911432E-2</v>
      </c>
      <c r="BN56" s="163">
        <v>-7.4521382421000003E-3</v>
      </c>
      <c r="BO56" s="163">
        <v>4.1979552734000003E-3</v>
      </c>
      <c r="BP56" s="163">
        <v>4.1979552734000003E-3</v>
      </c>
      <c r="BQ56" s="171"/>
      <c r="BR56" s="171"/>
      <c r="BS56" s="171"/>
      <c r="BT56" s="171"/>
      <c r="BU56" s="172"/>
      <c r="BV56" s="172"/>
      <c r="BW56" s="163"/>
      <c r="BX56" s="163"/>
      <c r="BY56" s="161"/>
      <c r="BZ56" s="163">
        <v>-1.557155549E-2</v>
      </c>
      <c r="CA56" s="163">
        <v>-1.557155549E-2</v>
      </c>
      <c r="CB56" s="154">
        <v>45531</v>
      </c>
      <c r="CC56" s="154">
        <v>45537</v>
      </c>
      <c r="CD56" s="173">
        <v>7</v>
      </c>
      <c r="CE56" s="174">
        <v>45540</v>
      </c>
      <c r="CF56" s="116"/>
    </row>
    <row r="57" spans="2:84" ht="15.6" x14ac:dyDescent="0.3">
      <c r="B57" s="98" t="s">
        <v>2210</v>
      </c>
      <c r="C57" s="175" t="s">
        <v>2595</v>
      </c>
      <c r="D57" s="176" t="s">
        <v>2787</v>
      </c>
      <c r="E57" s="176" t="s">
        <v>226</v>
      </c>
      <c r="F57" s="177">
        <v>28594234000123</v>
      </c>
      <c r="G57" s="177" t="s">
        <v>2345</v>
      </c>
      <c r="H57" s="177" t="s">
        <v>388</v>
      </c>
      <c r="I57" s="178">
        <v>2</v>
      </c>
      <c r="J57" s="179" t="s">
        <v>107</v>
      </c>
      <c r="K57" s="179" t="s">
        <v>128</v>
      </c>
      <c r="L57" s="179" t="s">
        <v>2466</v>
      </c>
      <c r="M57" s="179" t="s">
        <v>106</v>
      </c>
      <c r="N57" s="179" t="s">
        <v>109</v>
      </c>
      <c r="O57" s="180">
        <v>400000</v>
      </c>
      <c r="P57" s="181">
        <v>400000000</v>
      </c>
      <c r="Q57" s="181">
        <v>1000</v>
      </c>
      <c r="R57" s="182">
        <v>45397</v>
      </c>
      <c r="S57" s="182">
        <v>49049</v>
      </c>
      <c r="T57" s="183" t="s">
        <v>2816</v>
      </c>
      <c r="U57" s="183" t="s">
        <v>2712</v>
      </c>
      <c r="V57" s="182" t="s">
        <v>105</v>
      </c>
      <c r="W57" s="182" t="s">
        <v>102</v>
      </c>
      <c r="X57" s="182" t="s">
        <v>2482</v>
      </c>
      <c r="Y57" s="182">
        <v>48714</v>
      </c>
      <c r="Z57" s="184">
        <f>IFERROR(INDEX(Base!G:G,MATCH('Debêntures IPCA-Spread'!Y57,Base!F:F,0)),"")</f>
        <v>6.3373999999999997</v>
      </c>
      <c r="AA57" s="115"/>
      <c r="AB57" s="185">
        <v>45552</v>
      </c>
      <c r="AC57" s="186">
        <v>6.6677</v>
      </c>
      <c r="AD57" s="187">
        <f t="shared" si="2"/>
        <v>0.33030000000000026</v>
      </c>
      <c r="AE57" s="188">
        <v>0.13</v>
      </c>
      <c r="AF57" s="189">
        <v>6.9252000000000002</v>
      </c>
      <c r="AG57" s="189">
        <v>6.5475000000000003</v>
      </c>
      <c r="AH57" s="190">
        <v>1012.531716</v>
      </c>
      <c r="AI57" s="190"/>
      <c r="AJ57" s="191" t="str">
        <f t="shared" si="3"/>
        <v/>
      </c>
      <c r="AK57" s="192"/>
      <c r="AL57" s="193">
        <v>97.75</v>
      </c>
      <c r="AM57" s="194">
        <v>1652</v>
      </c>
      <c r="AN57" s="115"/>
      <c r="AO57" s="195">
        <v>4.0078350612000003E-3</v>
      </c>
      <c r="AP57" s="196">
        <f>IF(AO57="","",AO57-AO$6)</f>
        <v>3.5276901762700003E-3</v>
      </c>
      <c r="AQ57" s="196">
        <v>4.3805750501999998E-3</v>
      </c>
      <c r="AR57" s="196">
        <f>IF(AQ57="","",AQ57-AQ$6)</f>
        <v>4.5980818031599998E-3</v>
      </c>
      <c r="AS57" s="196"/>
      <c r="AT57" s="196" t="str">
        <f>IF(AS57="","",AS57-AS$6)</f>
        <v/>
      </c>
      <c r="AU57" s="196">
        <v>-1.3041331566E-2</v>
      </c>
      <c r="AV57" s="196">
        <f>IF(AU57="","",AU57-AU$6)</f>
        <v>2.7251029999999718E-5</v>
      </c>
      <c r="AW57" s="196"/>
      <c r="AX57" s="196" t="str">
        <f>IF(AW57="","",AW57-AW$6)</f>
        <v/>
      </c>
      <c r="AY57" s="196"/>
      <c r="AZ57" s="196" t="str">
        <f>IF(AY57="","",AY57-AY$6)</f>
        <v/>
      </c>
      <c r="BA57" s="196"/>
      <c r="BB57" s="196" t="str">
        <f>IF(BA57="","",BA57-BA$6)</f>
        <v/>
      </c>
      <c r="BC57" s="196"/>
      <c r="BD57" s="196" t="str">
        <f>IF(BC57="","",BC57-BC$6)</f>
        <v/>
      </c>
      <c r="BE57" s="196"/>
      <c r="BF57" s="196" t="str">
        <f>IF(BE57="","",BE57-BE$6)</f>
        <v/>
      </c>
      <c r="BG57" s="196"/>
      <c r="BH57" s="196" t="str">
        <f>IF(BG57="","",BG57-BG$6)</f>
        <v/>
      </c>
      <c r="BI57" s="196"/>
      <c r="BJ57" s="196" t="str">
        <f>IF(BI57="","",BI57-BI$6)</f>
        <v/>
      </c>
      <c r="BK57" s="197"/>
      <c r="BL57" s="115"/>
      <c r="BM57" s="198">
        <v>1.0109985985E-2</v>
      </c>
      <c r="BN57" s="191">
        <v>-1.1863298312E-2</v>
      </c>
      <c r="BO57" s="191">
        <v>2.5673316636999999E-2</v>
      </c>
      <c r="BP57" s="191">
        <v>4.3805750501999998E-3</v>
      </c>
      <c r="BQ57" s="199"/>
      <c r="BR57" s="199"/>
      <c r="BS57" s="199"/>
      <c r="BT57" s="199"/>
      <c r="BU57" s="200"/>
      <c r="BV57" s="200"/>
      <c r="BW57" s="191"/>
      <c r="BX57" s="191">
        <v>6.4146165026000004E-3</v>
      </c>
      <c r="BY57" s="189"/>
      <c r="BZ57" s="191">
        <v>-1.5489282050999999E-2</v>
      </c>
      <c r="CA57" s="191">
        <v>-2.8133375669999999E-2</v>
      </c>
      <c r="CB57" s="182">
        <v>45518</v>
      </c>
      <c r="CC57" s="182">
        <v>45547</v>
      </c>
      <c r="CD57" s="201"/>
      <c r="CE57" s="202"/>
      <c r="CF57" s="116"/>
    </row>
    <row r="58" spans="2:84" ht="15.6" x14ac:dyDescent="0.3">
      <c r="B58" s="110" t="s">
        <v>1406</v>
      </c>
      <c r="C58" s="147" t="s">
        <v>2052</v>
      </c>
      <c r="D58" s="148" t="s">
        <v>1899</v>
      </c>
      <c r="E58" s="148" t="s">
        <v>228</v>
      </c>
      <c r="F58" s="149">
        <v>9326342000170</v>
      </c>
      <c r="G58" s="149" t="s">
        <v>1765</v>
      </c>
      <c r="H58" s="149" t="s">
        <v>388</v>
      </c>
      <c r="I58" s="150">
        <v>9</v>
      </c>
      <c r="J58" s="151" t="s">
        <v>107</v>
      </c>
      <c r="K58" s="151" t="s">
        <v>128</v>
      </c>
      <c r="L58" s="151" t="s">
        <v>118</v>
      </c>
      <c r="M58" s="151" t="s">
        <v>114</v>
      </c>
      <c r="N58" s="151" t="s">
        <v>109</v>
      </c>
      <c r="O58" s="152">
        <v>1000000</v>
      </c>
      <c r="P58" s="153">
        <v>1000000000</v>
      </c>
      <c r="Q58" s="153">
        <v>1000</v>
      </c>
      <c r="R58" s="154">
        <v>44819</v>
      </c>
      <c r="S58" s="154">
        <v>48106</v>
      </c>
      <c r="T58" s="155" t="s">
        <v>1978</v>
      </c>
      <c r="U58" s="155" t="s">
        <v>1664</v>
      </c>
      <c r="V58" s="154" t="s">
        <v>105</v>
      </c>
      <c r="W58" s="154" t="s">
        <v>102</v>
      </c>
      <c r="X58" s="154" t="s">
        <v>1546</v>
      </c>
      <c r="Y58" s="154">
        <v>47253</v>
      </c>
      <c r="Z58" s="156">
        <f>IFERROR(INDEX(Base!G:G,MATCH('Debêntures IPCA-Spread'!Y58,Base!F:F,0)),"")</f>
        <v>6.41</v>
      </c>
      <c r="AA58" s="115"/>
      <c r="AB58" s="157">
        <v>45552</v>
      </c>
      <c r="AC58" s="158">
        <v>6.7988</v>
      </c>
      <c r="AD58" s="159">
        <f t="shared" si="2"/>
        <v>0.38879999999999981</v>
      </c>
      <c r="AE58" s="160">
        <v>0.05</v>
      </c>
      <c r="AF58" s="161">
        <v>6.9391999999999996</v>
      </c>
      <c r="AG58" s="161">
        <v>6.6669</v>
      </c>
      <c r="AH58" s="162">
        <v>1076.9240589999999</v>
      </c>
      <c r="AI58" s="162">
        <v>1079.9160815</v>
      </c>
      <c r="AJ58" s="163">
        <f t="shared" si="3"/>
        <v>0.99722939351375883</v>
      </c>
      <c r="AK58" s="164">
        <v>45541</v>
      </c>
      <c r="AL58" s="165">
        <v>98.44</v>
      </c>
      <c r="AM58" s="166">
        <v>1020</v>
      </c>
      <c r="AN58" s="115"/>
      <c r="AO58" s="167">
        <v>4.8531976426999999E-4</v>
      </c>
      <c r="AP58" s="168">
        <f>IF(AO58="","",AO58-AO$6)</f>
        <v>5.1748793400000002E-6</v>
      </c>
      <c r="AQ58" s="168">
        <v>1.4686863012E-2</v>
      </c>
      <c r="AR58" s="168">
        <f>IF(AQ58="","",AQ58-AQ$6)</f>
        <v>1.4904369764959999E-2</v>
      </c>
      <c r="AS58" s="168">
        <v>8.4655973048999994E-2</v>
      </c>
      <c r="AT58" s="168">
        <f>IF(AS58="","",AS58-AS$6)</f>
        <v>6.9930137993999997E-2</v>
      </c>
      <c r="AU58" s="168">
        <v>7.6989485242E-3</v>
      </c>
      <c r="AV58" s="168">
        <f>IF(AU58="","",AU58-AU$6)</f>
        <v>2.0767531120200002E-2</v>
      </c>
      <c r="AW58" s="168">
        <v>4.3443040199999998E-2</v>
      </c>
      <c r="AX58" s="168">
        <f>IF(AW58="","",AW58-AW$6)</f>
        <v>1.9447972411999997E-2</v>
      </c>
      <c r="AY58" s="168">
        <v>4.4439295920000003E-2</v>
      </c>
      <c r="AZ58" s="168">
        <f>IF(AY58="","",AY58-AY$6)</f>
        <v>3.0197041130000005E-2</v>
      </c>
      <c r="BA58" s="168">
        <v>0.10740090679</v>
      </c>
      <c r="BB58" s="168">
        <f>IF(BA58="","",BA58-BA$6)</f>
        <v>5.3913942232000002E-2</v>
      </c>
      <c r="BC58" s="168"/>
      <c r="BD58" s="168" t="str">
        <f>IF(BC58="","",BC58-BC$6)</f>
        <v/>
      </c>
      <c r="BE58" s="168"/>
      <c r="BF58" s="168" t="str">
        <f>IF(BE58="","",BE58-BE$6)</f>
        <v/>
      </c>
      <c r="BG58" s="168"/>
      <c r="BH58" s="168" t="str">
        <f>IF(BG58="","",BG58-BG$6)</f>
        <v/>
      </c>
      <c r="BI58" s="168"/>
      <c r="BJ58" s="168" t="str">
        <f>IF(BI58="","",BI58-BI$6)</f>
        <v/>
      </c>
      <c r="BK58" s="169">
        <v>4.4027423152000003</v>
      </c>
      <c r="BL58" s="115"/>
      <c r="BM58" s="170">
        <v>1.0007610109E-2</v>
      </c>
      <c r="BN58" s="163">
        <v>-7.1910811020999997E-3</v>
      </c>
      <c r="BO58" s="163">
        <v>2.8568067562000001E-2</v>
      </c>
      <c r="BP58" s="163">
        <v>-1.5040258337E-2</v>
      </c>
      <c r="BQ58" s="171">
        <v>9</v>
      </c>
      <c r="BR58" s="171">
        <v>3</v>
      </c>
      <c r="BS58" s="171">
        <v>7</v>
      </c>
      <c r="BT58" s="171">
        <v>5</v>
      </c>
      <c r="BU58" s="172">
        <v>-6.7402525010000006E-2</v>
      </c>
      <c r="BV58" s="172"/>
      <c r="BW58" s="163">
        <v>4.5512597048999997E-3</v>
      </c>
      <c r="BX58" s="163">
        <v>4.1788659482999996E-3</v>
      </c>
      <c r="BY58" s="161">
        <v>-0.87988556162999998</v>
      </c>
      <c r="BZ58" s="163">
        <v>-2.3310537029E-2</v>
      </c>
      <c r="CA58" s="163">
        <v>-2.3310537029E-2</v>
      </c>
      <c r="CB58" s="154">
        <v>45187</v>
      </c>
      <c r="CC58" s="154">
        <v>45230</v>
      </c>
      <c r="CD58" s="173">
        <v>49</v>
      </c>
      <c r="CE58" s="174">
        <v>45259</v>
      </c>
      <c r="CF58" s="116"/>
    </row>
    <row r="59" spans="2:84" ht="15.6" x14ac:dyDescent="0.3">
      <c r="B59" s="98" t="s">
        <v>1095</v>
      </c>
      <c r="C59" s="175" t="s">
        <v>1259</v>
      </c>
      <c r="D59" s="176" t="s">
        <v>1134</v>
      </c>
      <c r="E59" s="176" t="s">
        <v>228</v>
      </c>
      <c r="F59" s="177">
        <v>9313969000197</v>
      </c>
      <c r="G59" s="177" t="s">
        <v>1156</v>
      </c>
      <c r="H59" s="177" t="s">
        <v>388</v>
      </c>
      <c r="I59" s="178">
        <v>10</v>
      </c>
      <c r="J59" s="179">
        <v>1</v>
      </c>
      <c r="K59" s="179" t="s">
        <v>126</v>
      </c>
      <c r="L59" s="179" t="s">
        <v>118</v>
      </c>
      <c r="M59" s="179" t="s">
        <v>114</v>
      </c>
      <c r="N59" s="179" t="s">
        <v>109</v>
      </c>
      <c r="O59" s="180">
        <v>1754020</v>
      </c>
      <c r="P59" s="181">
        <v>1754020000</v>
      </c>
      <c r="Q59" s="181">
        <v>1000</v>
      </c>
      <c r="R59" s="182">
        <v>44484</v>
      </c>
      <c r="S59" s="182">
        <v>48136</v>
      </c>
      <c r="T59" s="183" t="s">
        <v>1229</v>
      </c>
      <c r="U59" s="183" t="s">
        <v>1199</v>
      </c>
      <c r="V59" s="182" t="s">
        <v>105</v>
      </c>
      <c r="W59" s="182" t="s">
        <v>102</v>
      </c>
      <c r="X59" s="182" t="s">
        <v>1300</v>
      </c>
      <c r="Y59" s="182">
        <v>47253</v>
      </c>
      <c r="Z59" s="184">
        <f>IFERROR(INDEX(Base!G:G,MATCH('Debêntures IPCA-Spread'!Y59,Base!F:F,0)),"")</f>
        <v>6.41</v>
      </c>
      <c r="AA59" s="115"/>
      <c r="AB59" s="185">
        <v>45552</v>
      </c>
      <c r="AC59" s="186">
        <v>6.7751999999999999</v>
      </c>
      <c r="AD59" s="187">
        <f t="shared" si="2"/>
        <v>0.36519999999999975</v>
      </c>
      <c r="AE59" s="188">
        <v>0.04</v>
      </c>
      <c r="AF59" s="189">
        <v>6.9485999999999999</v>
      </c>
      <c r="AG59" s="189">
        <v>6.6170999999999998</v>
      </c>
      <c r="AH59" s="190">
        <v>1146.053007</v>
      </c>
      <c r="AI59" s="190">
        <v>1150.4294609999999</v>
      </c>
      <c r="AJ59" s="191">
        <f t="shared" si="3"/>
        <v>0.99619580847990818</v>
      </c>
      <c r="AK59" s="192">
        <v>45546</v>
      </c>
      <c r="AL59" s="193">
        <v>96.46</v>
      </c>
      <c r="AM59" s="194">
        <v>1046</v>
      </c>
      <c r="AN59" s="115"/>
      <c r="AO59" s="195">
        <v>4.7168312085000001E-4</v>
      </c>
      <c r="AP59" s="196">
        <f>IF(AO59="","",AO59-AO$6)</f>
        <v>-8.4617640799999807E-6</v>
      </c>
      <c r="AQ59" s="196">
        <v>1.9716219595000001E-3</v>
      </c>
      <c r="AR59" s="196">
        <f>IF(AQ59="","",AQ59-AQ$6)</f>
        <v>2.1891287124600001E-3</v>
      </c>
      <c r="AS59" s="196">
        <v>0.10037660514000001</v>
      </c>
      <c r="AT59" s="196">
        <f>IF(AS59="","",AS59-AS$6)</f>
        <v>8.5650770085000008E-2</v>
      </c>
      <c r="AU59" s="196">
        <v>7.5186443081999999E-3</v>
      </c>
      <c r="AV59" s="196">
        <f>IF(AU59="","",AU59-AU$6)</f>
        <v>2.05872269042E-2</v>
      </c>
      <c r="AW59" s="196">
        <v>4.3254525419000003E-2</v>
      </c>
      <c r="AX59" s="196">
        <f>IF(AW59="","",AW59-AW$6)</f>
        <v>1.9259457631000003E-2</v>
      </c>
      <c r="AY59" s="196">
        <v>4.1370758751999998E-2</v>
      </c>
      <c r="AZ59" s="196">
        <f>IF(AY59="","",AY59-AY$6)</f>
        <v>2.7128503961999999E-2</v>
      </c>
      <c r="BA59" s="196">
        <v>0.13651062408</v>
      </c>
      <c r="BB59" s="196">
        <f>IF(BA59="","",BA59-BA$6)</f>
        <v>8.3023659521999998E-2</v>
      </c>
      <c r="BC59" s="196">
        <v>0.26015887355</v>
      </c>
      <c r="BD59" s="196">
        <f>IF(BC59="","",BC59-BC$6)</f>
        <v>6.5850307060000002E-2</v>
      </c>
      <c r="BE59" s="196"/>
      <c r="BF59" s="196" t="str">
        <f>IF(BE59="","",BE59-BE$6)</f>
        <v/>
      </c>
      <c r="BG59" s="196"/>
      <c r="BH59" s="196" t="str">
        <f>IF(BG59="","",BG59-BG$6)</f>
        <v/>
      </c>
      <c r="BI59" s="196"/>
      <c r="BJ59" s="196" t="str">
        <f>IF(BI59="","",BI59-BI$6)</f>
        <v/>
      </c>
      <c r="BK59" s="197">
        <v>4.4981601684000001</v>
      </c>
      <c r="BL59" s="115"/>
      <c r="BM59" s="198">
        <v>9.4671842871E-3</v>
      </c>
      <c r="BN59" s="191">
        <v>-8.4778797999999992E-3</v>
      </c>
      <c r="BO59" s="191">
        <v>3.2373118387000001E-2</v>
      </c>
      <c r="BP59" s="191">
        <v>-1.517457258E-2</v>
      </c>
      <c r="BQ59" s="199">
        <v>10</v>
      </c>
      <c r="BR59" s="199">
        <v>2</v>
      </c>
      <c r="BS59" s="199">
        <v>7</v>
      </c>
      <c r="BT59" s="199">
        <v>5</v>
      </c>
      <c r="BU59" s="200">
        <v>0.57050606460999997</v>
      </c>
      <c r="BV59" s="200">
        <v>-0.29563382487000001</v>
      </c>
      <c r="BW59" s="191">
        <v>4.6483478823000001E-3</v>
      </c>
      <c r="BX59" s="191">
        <v>2.8403839458000001E-3</v>
      </c>
      <c r="BY59" s="189">
        <v>2.1056084612000001</v>
      </c>
      <c r="BZ59" s="191">
        <v>-2.4016799092999998E-2</v>
      </c>
      <c r="CA59" s="191">
        <v>-2.4016799092999998E-2</v>
      </c>
      <c r="CB59" s="182">
        <v>45187</v>
      </c>
      <c r="CC59" s="182">
        <v>45230</v>
      </c>
      <c r="CD59" s="201">
        <v>40</v>
      </c>
      <c r="CE59" s="202">
        <v>45246</v>
      </c>
      <c r="CF59" s="116"/>
    </row>
    <row r="60" spans="2:84" ht="15.6" x14ac:dyDescent="0.3">
      <c r="B60" s="110" t="s">
        <v>495</v>
      </c>
      <c r="C60" s="147" t="s">
        <v>660</v>
      </c>
      <c r="D60" s="148" t="s">
        <v>613</v>
      </c>
      <c r="E60" s="148" t="s">
        <v>228</v>
      </c>
      <c r="F60" s="149">
        <v>9336431000106</v>
      </c>
      <c r="G60" s="149" t="s">
        <v>815</v>
      </c>
      <c r="H60" s="149" t="s">
        <v>388</v>
      </c>
      <c r="I60" s="150">
        <v>8</v>
      </c>
      <c r="J60" s="151">
        <v>1</v>
      </c>
      <c r="K60" s="151" t="s">
        <v>128</v>
      </c>
      <c r="L60" s="151" t="s">
        <v>118</v>
      </c>
      <c r="M60" s="151" t="s">
        <v>114</v>
      </c>
      <c r="N60" s="151" t="s">
        <v>109</v>
      </c>
      <c r="O60" s="152">
        <v>1000000</v>
      </c>
      <c r="P60" s="153">
        <v>1000000000</v>
      </c>
      <c r="Q60" s="153">
        <v>1000</v>
      </c>
      <c r="R60" s="154">
        <v>43753</v>
      </c>
      <c r="S60" s="154">
        <v>48014</v>
      </c>
      <c r="T60" s="155" t="s">
        <v>904</v>
      </c>
      <c r="U60" s="155" t="s">
        <v>904</v>
      </c>
      <c r="V60" s="154" t="s">
        <v>105</v>
      </c>
      <c r="W60" s="154" t="s">
        <v>102</v>
      </c>
      <c r="X60" s="154" t="s">
        <v>1301</v>
      </c>
      <c r="Y60" s="154">
        <v>47253</v>
      </c>
      <c r="Z60" s="156">
        <f>IFERROR(INDEX(Base!G:G,MATCH('Debêntures IPCA-Spread'!Y60,Base!F:F,0)),"")</f>
        <v>6.41</v>
      </c>
      <c r="AA60" s="115"/>
      <c r="AB60" s="157">
        <v>45552</v>
      </c>
      <c r="AC60" s="158">
        <v>6.7755000000000001</v>
      </c>
      <c r="AD60" s="159">
        <f t="shared" si="2"/>
        <v>0.36549999999999994</v>
      </c>
      <c r="AE60" s="160">
        <v>0.12</v>
      </c>
      <c r="AF60" s="161">
        <v>7.0072999999999999</v>
      </c>
      <c r="AG60" s="161">
        <v>6.5335000000000001</v>
      </c>
      <c r="AH60" s="162">
        <v>1251.5808730000001</v>
      </c>
      <c r="AI60" s="162">
        <v>1253.9302970000001</v>
      </c>
      <c r="AJ60" s="163">
        <f t="shared" si="3"/>
        <v>0.99812635199450805</v>
      </c>
      <c r="AK60" s="164">
        <v>45541</v>
      </c>
      <c r="AL60" s="165">
        <v>91</v>
      </c>
      <c r="AM60" s="166">
        <v>1094</v>
      </c>
      <c r="AN60" s="115"/>
      <c r="AO60" s="167">
        <v>1.4956849681000001E-3</v>
      </c>
      <c r="AP60" s="168">
        <f>IF(AO60="","",AO60-AO$6)</f>
        <v>1.0155400831700001E-3</v>
      </c>
      <c r="AQ60" s="168">
        <v>6.4413900764E-3</v>
      </c>
      <c r="AR60" s="168">
        <f>IF(AQ60="","",AQ60-AQ$6)</f>
        <v>6.65889682936E-3</v>
      </c>
      <c r="AS60" s="168">
        <v>8.1553686055999997E-2</v>
      </c>
      <c r="AT60" s="168">
        <f>IF(AS60="","",AS60-AS$6)</f>
        <v>6.6827851000999999E-2</v>
      </c>
      <c r="AU60" s="168">
        <v>3.0417666349000002E-3</v>
      </c>
      <c r="AV60" s="168">
        <f>IF(AU60="","",AU60-AU$6)</f>
        <v>1.61103492309E-2</v>
      </c>
      <c r="AW60" s="168">
        <v>4.4350265056000003E-2</v>
      </c>
      <c r="AX60" s="168">
        <f>IF(AW60="","",AW60-AW$6)</f>
        <v>2.0355197268000003E-2</v>
      </c>
      <c r="AY60" s="168">
        <v>4.4057482464E-2</v>
      </c>
      <c r="AZ60" s="168">
        <f>IF(AY60="","",AY60-AY$6)</f>
        <v>2.9815227674000001E-2</v>
      </c>
      <c r="BA60" s="168">
        <v>0.1103392126</v>
      </c>
      <c r="BB60" s="168">
        <f>IF(BA60="","",BA60-BA$6)</f>
        <v>5.6852248042000002E-2</v>
      </c>
      <c r="BC60" s="168">
        <v>0.22615283474</v>
      </c>
      <c r="BD60" s="168">
        <f>IF(BC60="","",BC60-BC$6)</f>
        <v>3.1844268250000002E-2</v>
      </c>
      <c r="BE60" s="168">
        <v>0.31415602117000002</v>
      </c>
      <c r="BF60" s="168">
        <f>IF(BE60="","",BE60-BE$6)</f>
        <v>5.2436681630000037E-2</v>
      </c>
      <c r="BG60" s="168"/>
      <c r="BH60" s="168" t="str">
        <f>IF(BG60="","",BG60-BG$6)</f>
        <v/>
      </c>
      <c r="BI60" s="168"/>
      <c r="BJ60" s="168" t="str">
        <f>IF(BI60="","",BI60-BI$6)</f>
        <v/>
      </c>
      <c r="BK60" s="169">
        <v>4.6279593984999998</v>
      </c>
      <c r="BL60" s="115"/>
      <c r="BM60" s="170">
        <v>1.0704915248E-2</v>
      </c>
      <c r="BN60" s="163">
        <v>-9.2804670876000007E-3</v>
      </c>
      <c r="BO60" s="163">
        <v>2.8537438557999999E-2</v>
      </c>
      <c r="BP60" s="163">
        <v>-1.9804084813999999E-2</v>
      </c>
      <c r="BQ60" s="171">
        <v>9</v>
      </c>
      <c r="BR60" s="171">
        <v>3</v>
      </c>
      <c r="BS60" s="171">
        <v>8</v>
      </c>
      <c r="BT60" s="171">
        <v>4</v>
      </c>
      <c r="BU60" s="172">
        <v>-4.8132205811999996E-3</v>
      </c>
      <c r="BV60" s="172">
        <v>-0.33880708369000001</v>
      </c>
      <c r="BW60" s="163">
        <v>4.7835424107999999E-3</v>
      </c>
      <c r="BX60" s="163">
        <v>3.5768530017E-3</v>
      </c>
      <c r="BY60" s="161">
        <v>-0.69329635430000003</v>
      </c>
      <c r="BZ60" s="163">
        <v>-2.5012968667999999E-2</v>
      </c>
      <c r="CA60" s="163">
        <v>-2.5012968667999999E-2</v>
      </c>
      <c r="CB60" s="154">
        <v>45379</v>
      </c>
      <c r="CC60" s="154">
        <v>45398</v>
      </c>
      <c r="CD60" s="173">
        <v>72</v>
      </c>
      <c r="CE60" s="174">
        <v>45484</v>
      </c>
      <c r="CF60" s="116"/>
    </row>
    <row r="61" spans="2:84" ht="15.6" x14ac:dyDescent="0.3">
      <c r="B61" s="98" t="s">
        <v>2211</v>
      </c>
      <c r="C61" s="175" t="s">
        <v>2596</v>
      </c>
      <c r="D61" s="176" t="s">
        <v>2788</v>
      </c>
      <c r="E61" s="176" t="s">
        <v>226</v>
      </c>
      <c r="F61" s="177">
        <v>50258089000169</v>
      </c>
      <c r="G61" s="177" t="s">
        <v>2346</v>
      </c>
      <c r="H61" s="177" t="s">
        <v>388</v>
      </c>
      <c r="I61" s="178">
        <v>1</v>
      </c>
      <c r="J61" s="179" t="s">
        <v>107</v>
      </c>
      <c r="K61" s="179" t="s">
        <v>111</v>
      </c>
      <c r="L61" s="179" t="s">
        <v>112</v>
      </c>
      <c r="M61" s="179" t="s">
        <v>114</v>
      </c>
      <c r="N61" s="179" t="s">
        <v>109</v>
      </c>
      <c r="O61" s="180">
        <v>950000</v>
      </c>
      <c r="P61" s="181">
        <v>950000000</v>
      </c>
      <c r="Q61" s="181">
        <v>1000</v>
      </c>
      <c r="R61" s="182">
        <v>45366</v>
      </c>
      <c r="S61" s="182">
        <v>52671</v>
      </c>
      <c r="T61" s="183" t="s">
        <v>2823</v>
      </c>
      <c r="U61" s="183" t="s">
        <v>2720</v>
      </c>
      <c r="V61" s="182" t="s">
        <v>105</v>
      </c>
      <c r="W61" s="182" t="s">
        <v>102</v>
      </c>
      <c r="X61" s="182" t="s">
        <v>2483</v>
      </c>
      <c r="Y61" s="182">
        <v>49444</v>
      </c>
      <c r="Z61" s="184">
        <f>IFERROR(INDEX(Base!G:G,MATCH('Debêntures IPCA-Spread'!Y61,Base!F:F,0)),"")</f>
        <v>6.3137999999999996</v>
      </c>
      <c r="AA61" s="115"/>
      <c r="AB61" s="185">
        <v>45552</v>
      </c>
      <c r="AC61" s="186">
        <v>6.9126000000000003</v>
      </c>
      <c r="AD61" s="187">
        <f t="shared" si="2"/>
        <v>0.59880000000000067</v>
      </c>
      <c r="AE61" s="188">
        <v>0.05</v>
      </c>
      <c r="AF61" s="189">
        <v>7.1356000000000002</v>
      </c>
      <c r="AG61" s="189">
        <v>6.8350999999999997</v>
      </c>
      <c r="AH61" s="190">
        <v>1041.3798240000001</v>
      </c>
      <c r="AI61" s="190"/>
      <c r="AJ61" s="191" t="str">
        <f t="shared" si="3"/>
        <v/>
      </c>
      <c r="AK61" s="192"/>
      <c r="AL61" s="193">
        <v>99.45</v>
      </c>
      <c r="AM61" s="194">
        <v>2074</v>
      </c>
      <c r="AN61" s="115"/>
      <c r="AO61" s="195">
        <v>4.9276904792E-4</v>
      </c>
      <c r="AP61" s="196">
        <f>IF(AO61="","",AO61-AO$6)</f>
        <v>1.2624162990000003E-5</v>
      </c>
      <c r="AQ61" s="196">
        <v>3.2387721876E-4</v>
      </c>
      <c r="AR61" s="196">
        <f>IF(AQ61="","",AQ61-AQ$6)</f>
        <v>5.4138397172000003E-4</v>
      </c>
      <c r="AS61" s="196"/>
      <c r="AT61" s="196" t="str">
        <f>IF(AS61="","",AS61-AS$6)</f>
        <v/>
      </c>
      <c r="AU61" s="196">
        <v>-1.1895228123E-2</v>
      </c>
      <c r="AV61" s="196">
        <f>IF(AU61="","",AU61-AU$6)</f>
        <v>1.173354473E-3</v>
      </c>
      <c r="AW61" s="196">
        <v>5.3154375320000002E-2</v>
      </c>
      <c r="AX61" s="196">
        <f>IF(AW61="","",AW61-AW$6)</f>
        <v>2.9159307532000002E-2</v>
      </c>
      <c r="AY61" s="196"/>
      <c r="AZ61" s="196" t="str">
        <f>IF(AY61="","",AY61-AY$6)</f>
        <v/>
      </c>
      <c r="BA61" s="196"/>
      <c r="BB61" s="196" t="str">
        <f>IF(BA61="","",BA61-BA$6)</f>
        <v/>
      </c>
      <c r="BC61" s="196"/>
      <c r="BD61" s="196" t="str">
        <f>IF(BC61="","",BC61-BC$6)</f>
        <v/>
      </c>
      <c r="BE61" s="196"/>
      <c r="BF61" s="196" t="str">
        <f>IF(BE61="","",BE61-BE$6)</f>
        <v/>
      </c>
      <c r="BG61" s="196"/>
      <c r="BH61" s="196" t="str">
        <f>IF(BG61="","",BG61-BG$6)</f>
        <v/>
      </c>
      <c r="BI61" s="196"/>
      <c r="BJ61" s="196" t="str">
        <f>IF(BI61="","",BI61-BI$6)</f>
        <v/>
      </c>
      <c r="BK61" s="197"/>
      <c r="BL61" s="115"/>
      <c r="BM61" s="198">
        <v>1.4256594009E-2</v>
      </c>
      <c r="BN61" s="191">
        <v>-1.115438501E-2</v>
      </c>
      <c r="BO61" s="191">
        <v>4.1007692377999998E-2</v>
      </c>
      <c r="BP61" s="191">
        <v>-1.3591230006E-2</v>
      </c>
      <c r="BQ61" s="199"/>
      <c r="BR61" s="199"/>
      <c r="BS61" s="199"/>
      <c r="BT61" s="199"/>
      <c r="BU61" s="200"/>
      <c r="BV61" s="200"/>
      <c r="BW61" s="191"/>
      <c r="BX61" s="191">
        <v>6.3249246635999996E-3</v>
      </c>
      <c r="BY61" s="189"/>
      <c r="BZ61" s="191">
        <v>-2.7295125928999998E-2</v>
      </c>
      <c r="CA61" s="191">
        <v>-2.7295125928999998E-2</v>
      </c>
      <c r="CB61" s="182">
        <v>45428</v>
      </c>
      <c r="CC61" s="182">
        <v>45474</v>
      </c>
      <c r="CD61" s="201">
        <v>38</v>
      </c>
      <c r="CE61" s="202">
        <v>45483</v>
      </c>
      <c r="CF61" s="116"/>
    </row>
    <row r="62" spans="2:84" ht="15.6" x14ac:dyDescent="0.3">
      <c r="B62" s="110" t="s">
        <v>2212</v>
      </c>
      <c r="C62" s="147" t="s">
        <v>2597</v>
      </c>
      <c r="D62" s="148" t="s">
        <v>2789</v>
      </c>
      <c r="E62" s="148" t="s">
        <v>226</v>
      </c>
      <c r="F62" s="149">
        <v>14641895000158</v>
      </c>
      <c r="G62" s="149" t="s">
        <v>2347</v>
      </c>
      <c r="H62" s="149" t="s">
        <v>388</v>
      </c>
      <c r="I62" s="150">
        <v>1</v>
      </c>
      <c r="J62" s="151" t="s">
        <v>107</v>
      </c>
      <c r="K62" s="151" t="s">
        <v>128</v>
      </c>
      <c r="L62" s="151" t="s">
        <v>2466</v>
      </c>
      <c r="M62" s="151" t="s">
        <v>128</v>
      </c>
      <c r="N62" s="151" t="s">
        <v>109</v>
      </c>
      <c r="O62" s="152">
        <v>395000</v>
      </c>
      <c r="P62" s="153">
        <v>395000000</v>
      </c>
      <c r="Q62" s="153">
        <v>1000</v>
      </c>
      <c r="R62" s="154">
        <v>45458</v>
      </c>
      <c r="S62" s="154">
        <v>52305</v>
      </c>
      <c r="T62" s="155" t="s">
        <v>2824</v>
      </c>
      <c r="U62" s="155" t="s">
        <v>2721</v>
      </c>
      <c r="V62" s="154" t="s">
        <v>194</v>
      </c>
      <c r="W62" s="154" t="s">
        <v>102</v>
      </c>
      <c r="X62" s="154" t="s">
        <v>2484</v>
      </c>
      <c r="Y62" s="154">
        <v>51363</v>
      </c>
      <c r="Z62" s="156">
        <f>IFERROR(INDEX(Base!G:G,MATCH('Debêntures IPCA-Spread'!Y62,Base!F:F,0)),"")</f>
        <v>6.2279</v>
      </c>
      <c r="AA62" s="115"/>
      <c r="AB62" s="157">
        <v>45552</v>
      </c>
      <c r="AC62" s="158">
        <v>7.5583</v>
      </c>
      <c r="AD62" s="159">
        <f t="shared" si="2"/>
        <v>1.3304</v>
      </c>
      <c r="AE62" s="160">
        <v>0.1</v>
      </c>
      <c r="AF62" s="161">
        <v>7.8139000000000003</v>
      </c>
      <c r="AG62" s="161">
        <v>7.3484999999999996</v>
      </c>
      <c r="AH62" s="162">
        <v>1031.3194020000001</v>
      </c>
      <c r="AI62" s="162"/>
      <c r="AJ62" s="163" t="str">
        <f t="shared" si="3"/>
        <v/>
      </c>
      <c r="AK62" s="164"/>
      <c r="AL62" s="165">
        <v>102.09</v>
      </c>
      <c r="AM62" s="166">
        <v>2367</v>
      </c>
      <c r="AN62" s="115"/>
      <c r="AO62" s="167">
        <v>3.1187701587999999E-3</v>
      </c>
      <c r="AP62" s="168">
        <f>IF(AO62="","",AO62-AO$6)</f>
        <v>2.6386252738699999E-3</v>
      </c>
      <c r="AQ62" s="168">
        <v>-1.4109931908E-4</v>
      </c>
      <c r="AR62" s="168">
        <f>IF(AQ62="","",AQ62-AQ$6)</f>
        <v>7.6407433880000005E-5</v>
      </c>
      <c r="AS62" s="168"/>
      <c r="AT62" s="168" t="str">
        <f>IF(AS62="","",AS62-AS$6)</f>
        <v/>
      </c>
      <c r="AU62" s="168"/>
      <c r="AV62" s="168" t="str">
        <f>IF(AU62="","",AU62-AU$6)</f>
        <v/>
      </c>
      <c r="AW62" s="168"/>
      <c r="AX62" s="168" t="str">
        <f>IF(AW62="","",AW62-AW$6)</f>
        <v/>
      </c>
      <c r="AY62" s="168"/>
      <c r="AZ62" s="168" t="str">
        <f>IF(AY62="","",AY62-AY$6)</f>
        <v/>
      </c>
      <c r="BA62" s="168"/>
      <c r="BB62" s="168" t="str">
        <f>IF(BA62="","",BA62-BA$6)</f>
        <v/>
      </c>
      <c r="BC62" s="168"/>
      <c r="BD62" s="168" t="str">
        <f>IF(BC62="","",BC62-BC$6)</f>
        <v/>
      </c>
      <c r="BE62" s="168"/>
      <c r="BF62" s="168" t="str">
        <f>IF(BE62="","",BE62-BE$6)</f>
        <v/>
      </c>
      <c r="BG62" s="168"/>
      <c r="BH62" s="168" t="str">
        <f>IF(BG62="","",BG62-BG$6)</f>
        <v/>
      </c>
      <c r="BI62" s="168"/>
      <c r="BJ62" s="168" t="str">
        <f>IF(BI62="","",BI62-BI$6)</f>
        <v/>
      </c>
      <c r="BK62" s="169"/>
      <c r="BL62" s="115"/>
      <c r="BM62" s="170">
        <v>9.6501423249999996E-3</v>
      </c>
      <c r="BN62" s="163">
        <v>-7.5601121815999997E-3</v>
      </c>
      <c r="BO62" s="163">
        <v>-1.4109931908E-4</v>
      </c>
      <c r="BP62" s="163">
        <v>-1.4109931908E-4</v>
      </c>
      <c r="BQ62" s="171"/>
      <c r="BR62" s="171"/>
      <c r="BS62" s="171"/>
      <c r="BT62" s="171"/>
      <c r="BU62" s="172"/>
      <c r="BV62" s="172"/>
      <c r="BW62" s="163"/>
      <c r="BX62" s="163"/>
      <c r="BY62" s="161"/>
      <c r="BZ62" s="163">
        <v>-1.0249168162E-2</v>
      </c>
      <c r="CA62" s="163">
        <v>-1.1695701978E-2</v>
      </c>
      <c r="CB62" s="154">
        <v>45544</v>
      </c>
      <c r="CC62" s="154">
        <v>45551</v>
      </c>
      <c r="CD62" s="173"/>
      <c r="CE62" s="174"/>
      <c r="CF62" s="116"/>
    </row>
    <row r="63" spans="2:84" ht="15.6" x14ac:dyDescent="0.3">
      <c r="B63" s="98" t="s">
        <v>29</v>
      </c>
      <c r="C63" s="175" t="s">
        <v>286</v>
      </c>
      <c r="D63" s="176" t="s">
        <v>69</v>
      </c>
      <c r="E63" s="176" t="s">
        <v>226</v>
      </c>
      <c r="F63" s="177">
        <v>20223016000170</v>
      </c>
      <c r="G63" s="177" t="s">
        <v>343</v>
      </c>
      <c r="H63" s="177" t="s">
        <v>388</v>
      </c>
      <c r="I63" s="178">
        <v>2</v>
      </c>
      <c r="J63" s="179" t="s">
        <v>107</v>
      </c>
      <c r="K63" s="179" t="s">
        <v>126</v>
      </c>
      <c r="L63" s="179" t="s">
        <v>118</v>
      </c>
      <c r="M63" s="179" t="s">
        <v>106</v>
      </c>
      <c r="N63" s="179" t="s">
        <v>109</v>
      </c>
      <c r="O63" s="180">
        <v>580000</v>
      </c>
      <c r="P63" s="181">
        <v>580000000</v>
      </c>
      <c r="Q63" s="181">
        <v>1000</v>
      </c>
      <c r="R63" s="182">
        <v>43054</v>
      </c>
      <c r="S63" s="182">
        <v>48197</v>
      </c>
      <c r="T63" s="183" t="s">
        <v>133</v>
      </c>
      <c r="U63" s="183" t="s">
        <v>167</v>
      </c>
      <c r="V63" s="182" t="s">
        <v>194</v>
      </c>
      <c r="W63" s="182" t="s">
        <v>102</v>
      </c>
      <c r="X63" s="182" t="s">
        <v>197</v>
      </c>
      <c r="Y63" s="182">
        <v>46980</v>
      </c>
      <c r="Z63" s="184">
        <f>IFERROR(INDEX(Base!G:G,MATCH('Debêntures IPCA-Spread'!Y63,Base!F:F,0)),"")</f>
        <v>6.4702000000000002</v>
      </c>
      <c r="AA63" s="115"/>
      <c r="AB63" s="185">
        <v>45552</v>
      </c>
      <c r="AC63" s="186">
        <v>6.3940000000000001</v>
      </c>
      <c r="AD63" s="187">
        <f t="shared" si="2"/>
        <v>-7.6200000000000045E-2</v>
      </c>
      <c r="AE63" s="188">
        <v>0.06</v>
      </c>
      <c r="AF63" s="189">
        <v>6.6045999999999996</v>
      </c>
      <c r="AG63" s="189">
        <v>6.2785000000000002</v>
      </c>
      <c r="AH63" s="190">
        <v>1254.7358489999999</v>
      </c>
      <c r="AI63" s="190">
        <v>1256.3930089999999</v>
      </c>
      <c r="AJ63" s="191">
        <f t="shared" si="3"/>
        <v>0.99868101781199903</v>
      </c>
      <c r="AK63" s="192">
        <v>45548</v>
      </c>
      <c r="AL63" s="193">
        <v>102.19</v>
      </c>
      <c r="AM63" s="194">
        <v>787</v>
      </c>
      <c r="AN63" s="115"/>
      <c r="AO63" s="195">
        <v>2.4425526863E-4</v>
      </c>
      <c r="AP63" s="196">
        <f>IF(AO63="","",AO63-AO$6)</f>
        <v>-2.358896163E-4</v>
      </c>
      <c r="AQ63" s="196">
        <v>6.6796917381000001E-3</v>
      </c>
      <c r="AR63" s="196">
        <f>IF(AQ63="","",AQ63-AQ$6)</f>
        <v>6.8971984910600002E-3</v>
      </c>
      <c r="AS63" s="196">
        <v>6.9322948933000006E-2</v>
      </c>
      <c r="AT63" s="196">
        <f>IF(AS63="","",AS63-AS$6)</f>
        <v>5.4597113878000009E-2</v>
      </c>
      <c r="AU63" s="196">
        <v>2.7036663977999999E-3</v>
      </c>
      <c r="AV63" s="196">
        <f>IF(AU63="","",AU63-AU$6)</f>
        <v>1.57722489938E-2</v>
      </c>
      <c r="AW63" s="196">
        <v>3.2869896279999998E-2</v>
      </c>
      <c r="AX63" s="196">
        <f>IF(AW63="","",AW63-AW$6)</f>
        <v>8.8748284919999976E-3</v>
      </c>
      <c r="AY63" s="196">
        <v>2.8431535102E-2</v>
      </c>
      <c r="AZ63" s="196">
        <f>IF(AY63="","",AY63-AY$6)</f>
        <v>1.4189280311999999E-2</v>
      </c>
      <c r="BA63" s="196"/>
      <c r="BB63" s="196" t="str">
        <f>IF(BA63="","",BA63-BA$6)</f>
        <v/>
      </c>
      <c r="BC63" s="196"/>
      <c r="BD63" s="196" t="str">
        <f>IF(BC63="","",BC63-BC$6)</f>
        <v/>
      </c>
      <c r="BE63" s="196"/>
      <c r="BF63" s="196" t="str">
        <f>IF(BE63="","",BE63-BE$6)</f>
        <v/>
      </c>
      <c r="BG63" s="196"/>
      <c r="BH63" s="196" t="str">
        <f>IF(BG63="","",BG63-BG$6)</f>
        <v/>
      </c>
      <c r="BI63" s="196"/>
      <c r="BJ63" s="196" t="str">
        <f>IF(BI63="","",BI63-BI$6)</f>
        <v/>
      </c>
      <c r="BK63" s="197"/>
      <c r="BL63" s="115"/>
      <c r="BM63" s="198">
        <v>9.6950052847999992E-3</v>
      </c>
      <c r="BN63" s="191">
        <v>-5.9155904546000001E-3</v>
      </c>
      <c r="BO63" s="191">
        <v>2.0125728334999999E-2</v>
      </c>
      <c r="BP63" s="191">
        <v>-1.3350233895000001E-2</v>
      </c>
      <c r="BQ63" s="199"/>
      <c r="BR63" s="199"/>
      <c r="BS63" s="199"/>
      <c r="BT63" s="199"/>
      <c r="BU63" s="200"/>
      <c r="BV63" s="200"/>
      <c r="BW63" s="191"/>
      <c r="BX63" s="191">
        <v>2.9424766968999998E-3</v>
      </c>
      <c r="BY63" s="189"/>
      <c r="BZ63" s="191">
        <v>-1.5221898758999999E-2</v>
      </c>
      <c r="CA63" s="191">
        <v>-1.5221898758999999E-2</v>
      </c>
      <c r="CB63" s="182">
        <v>45391</v>
      </c>
      <c r="CC63" s="182">
        <v>45412</v>
      </c>
      <c r="CD63" s="201">
        <v>63</v>
      </c>
      <c r="CE63" s="202">
        <v>45482</v>
      </c>
      <c r="CF63" s="116"/>
    </row>
    <row r="64" spans="2:84" ht="15.6" x14ac:dyDescent="0.3">
      <c r="B64" s="110" t="s">
        <v>2213</v>
      </c>
      <c r="C64" s="147" t="s">
        <v>2598</v>
      </c>
      <c r="D64" s="148" t="s">
        <v>2790</v>
      </c>
      <c r="E64" s="148" t="s">
        <v>233</v>
      </c>
      <c r="F64" s="149">
        <v>12091809000155</v>
      </c>
      <c r="G64" s="149" t="s">
        <v>2348</v>
      </c>
      <c r="H64" s="149" t="s">
        <v>388</v>
      </c>
      <c r="I64" s="150">
        <v>3</v>
      </c>
      <c r="J64" s="151" t="s">
        <v>107</v>
      </c>
      <c r="K64" s="151" t="s">
        <v>128</v>
      </c>
      <c r="L64" s="151" t="s">
        <v>2466</v>
      </c>
      <c r="M64" s="151" t="s">
        <v>128</v>
      </c>
      <c r="N64" s="151" t="s">
        <v>109</v>
      </c>
      <c r="O64" s="152">
        <v>1000000</v>
      </c>
      <c r="P64" s="153">
        <v>1000000000</v>
      </c>
      <c r="Q64" s="153">
        <v>1000</v>
      </c>
      <c r="R64" s="154">
        <v>45214</v>
      </c>
      <c r="S64" s="154">
        <v>48867</v>
      </c>
      <c r="T64" s="155" t="s">
        <v>2771</v>
      </c>
      <c r="U64" s="155" t="s">
        <v>2722</v>
      </c>
      <c r="V64" s="154" t="s">
        <v>105</v>
      </c>
      <c r="W64" s="154" t="s">
        <v>102</v>
      </c>
      <c r="X64" s="154" t="s">
        <v>2485</v>
      </c>
      <c r="Y64" s="154">
        <v>47710</v>
      </c>
      <c r="Z64" s="156">
        <f>IFERROR(INDEX(Base!G:G,MATCH('Debêntures IPCA-Spread'!Y64,Base!F:F,0)),"")</f>
        <v>6.3273999999999999</v>
      </c>
      <c r="AA64" s="115"/>
      <c r="AB64" s="157">
        <v>45552</v>
      </c>
      <c r="AC64" s="158">
        <v>7.7065999999999999</v>
      </c>
      <c r="AD64" s="159">
        <f t="shared" si="2"/>
        <v>1.3792</v>
      </c>
      <c r="AE64" s="160">
        <v>7.0000000000000007E-2</v>
      </c>
      <c r="AF64" s="161">
        <v>7.8975</v>
      </c>
      <c r="AG64" s="161">
        <v>7.4939</v>
      </c>
      <c r="AH64" s="162">
        <v>1110.82124</v>
      </c>
      <c r="AI64" s="162"/>
      <c r="AJ64" s="163" t="str">
        <f t="shared" si="3"/>
        <v/>
      </c>
      <c r="AK64" s="164"/>
      <c r="AL64" s="165">
        <v>103.31</v>
      </c>
      <c r="AM64" s="166">
        <v>1254</v>
      </c>
      <c r="AN64" s="115"/>
      <c r="AO64" s="167">
        <v>1.2550051651000001E-3</v>
      </c>
      <c r="AP64" s="168">
        <f>IF(AO64="","",AO64-AO$6)</f>
        <v>7.7486028017000009E-4</v>
      </c>
      <c r="AQ64" s="168">
        <v>2.2660867870999998E-3</v>
      </c>
      <c r="AR64" s="168">
        <f>IF(AQ64="","",AQ64-AQ$6)</f>
        <v>2.4835935400599998E-3</v>
      </c>
      <c r="AS64" s="168">
        <v>6.5243825593000002E-2</v>
      </c>
      <c r="AT64" s="168">
        <f>IF(AS64="","",AS64-AS$6)</f>
        <v>5.0517990538000004E-2</v>
      </c>
      <c r="AU64" s="168">
        <v>-7.439167317E-3</v>
      </c>
      <c r="AV64" s="168">
        <f>IF(AU64="","",AU64-AU$6)</f>
        <v>5.6294152789999998E-3</v>
      </c>
      <c r="AW64" s="168">
        <v>3.2080851443999997E-2</v>
      </c>
      <c r="AX64" s="168">
        <f>IF(AW64="","",AW64-AW$6)</f>
        <v>8.0857836559999965E-3</v>
      </c>
      <c r="AY64" s="168">
        <v>2.7910878159999999E-2</v>
      </c>
      <c r="AZ64" s="168">
        <f>IF(AY64="","",AY64-AY$6)</f>
        <v>1.3668623369999999E-2</v>
      </c>
      <c r="BA64" s="168"/>
      <c r="BB64" s="168" t="str">
        <f>IF(BA64="","",BA64-BA$6)</f>
        <v/>
      </c>
      <c r="BC64" s="168"/>
      <c r="BD64" s="168" t="str">
        <f>IF(BC64="","",BC64-BC$6)</f>
        <v/>
      </c>
      <c r="BE64" s="168"/>
      <c r="BF64" s="168" t="str">
        <f>IF(BE64="","",BE64-BE$6)</f>
        <v/>
      </c>
      <c r="BG64" s="168"/>
      <c r="BH64" s="168" t="str">
        <f>IF(BG64="","",BG64-BG$6)</f>
        <v/>
      </c>
      <c r="BI64" s="168"/>
      <c r="BJ64" s="168" t="str">
        <f>IF(BI64="","",BI64-BI$6)</f>
        <v/>
      </c>
      <c r="BK64" s="169"/>
      <c r="BL64" s="115"/>
      <c r="BM64" s="170">
        <v>1.4703515614999999E-2</v>
      </c>
      <c r="BN64" s="163">
        <v>-9.3929077492999995E-3</v>
      </c>
      <c r="BO64" s="163">
        <v>5.9875522532999999E-2</v>
      </c>
      <c r="BP64" s="163">
        <v>-1.1802163099E-2</v>
      </c>
      <c r="BQ64" s="171"/>
      <c r="BR64" s="171"/>
      <c r="BS64" s="171"/>
      <c r="BT64" s="171"/>
      <c r="BU64" s="172"/>
      <c r="BV64" s="172"/>
      <c r="BW64" s="163"/>
      <c r="BX64" s="163">
        <v>4.8148811521000002E-3</v>
      </c>
      <c r="BY64" s="161"/>
      <c r="BZ64" s="163">
        <v>-2.2389097494999999E-2</v>
      </c>
      <c r="CA64" s="163">
        <v>-2.2389097494999999E-2</v>
      </c>
      <c r="CB64" s="154">
        <v>45342</v>
      </c>
      <c r="CC64" s="154">
        <v>45412</v>
      </c>
      <c r="CD64" s="173">
        <v>99</v>
      </c>
      <c r="CE64" s="174">
        <v>45484</v>
      </c>
      <c r="CF64" s="116"/>
    </row>
    <row r="65" spans="2:84" ht="15.6" x14ac:dyDescent="0.3">
      <c r="B65" s="98" t="s">
        <v>1407</v>
      </c>
      <c r="C65" s="175" t="s">
        <v>2053</v>
      </c>
      <c r="D65" s="176" t="s">
        <v>1900</v>
      </c>
      <c r="E65" s="176" t="s">
        <v>1955</v>
      </c>
      <c r="F65" s="177">
        <v>1838723000127</v>
      </c>
      <c r="G65" s="177" t="s">
        <v>1766</v>
      </c>
      <c r="H65" s="177" t="s">
        <v>388</v>
      </c>
      <c r="I65" s="178">
        <v>1</v>
      </c>
      <c r="J65" s="179">
        <v>3</v>
      </c>
      <c r="K65" s="179" t="s">
        <v>126</v>
      </c>
      <c r="L65" s="179" t="s">
        <v>123</v>
      </c>
      <c r="M65" s="179" t="s">
        <v>114</v>
      </c>
      <c r="N65" s="179" t="s">
        <v>117</v>
      </c>
      <c r="O65" s="180">
        <v>411732</v>
      </c>
      <c r="P65" s="181">
        <v>411732000</v>
      </c>
      <c r="Q65" s="181">
        <v>1000</v>
      </c>
      <c r="R65" s="182">
        <v>43585</v>
      </c>
      <c r="S65" s="182">
        <v>46142</v>
      </c>
      <c r="T65" s="183" t="s">
        <v>1979</v>
      </c>
      <c r="U65" s="183" t="s">
        <v>1665</v>
      </c>
      <c r="V65" s="182" t="s">
        <v>105</v>
      </c>
      <c r="W65" s="182" t="s">
        <v>102</v>
      </c>
      <c r="X65" s="182" t="s">
        <v>1340</v>
      </c>
      <c r="Y65" s="182">
        <v>46249</v>
      </c>
      <c r="Z65" s="184">
        <f>IFERROR(INDEX(Base!G:G,MATCH('Debêntures IPCA-Spread'!Y65,Base!F:F,0)),"")</f>
        <v>6.5365000000000002</v>
      </c>
      <c r="AA65" s="115"/>
      <c r="AB65" s="185">
        <v>45552</v>
      </c>
      <c r="AC65" s="186">
        <v>9.1496999999999993</v>
      </c>
      <c r="AD65" s="187">
        <f t="shared" si="2"/>
        <v>2.6131999999999991</v>
      </c>
      <c r="AE65" s="188">
        <v>0.33</v>
      </c>
      <c r="AF65" s="189"/>
      <c r="AG65" s="189">
        <v>7.9687000000000001</v>
      </c>
      <c r="AH65" s="190"/>
      <c r="AI65" s="190"/>
      <c r="AJ65" s="191" t="str">
        <f t="shared" si="3"/>
        <v/>
      </c>
      <c r="AK65" s="192"/>
      <c r="AL65" s="193"/>
      <c r="AM65" s="194"/>
      <c r="AN65" s="115"/>
      <c r="AO65" s="195"/>
      <c r="AP65" s="196" t="str">
        <f>IF(AO65="","",AO65-AO$6)</f>
        <v/>
      </c>
      <c r="AQ65" s="196"/>
      <c r="AR65" s="196" t="str">
        <f>IF(AQ65="","",AQ65-AQ$6)</f>
        <v/>
      </c>
      <c r="AS65" s="196"/>
      <c r="AT65" s="196" t="str">
        <f>IF(AS65="","",AS65-AS$6)</f>
        <v/>
      </c>
      <c r="AU65" s="196"/>
      <c r="AV65" s="196" t="str">
        <f>IF(AU65="","",AU65-AU$6)</f>
        <v/>
      </c>
      <c r="AW65" s="196"/>
      <c r="AX65" s="196" t="str">
        <f>IF(AW65="","",AW65-AW$6)</f>
        <v/>
      </c>
      <c r="AY65" s="196"/>
      <c r="AZ65" s="196" t="str">
        <f>IF(AY65="","",AY65-AY$6)</f>
        <v/>
      </c>
      <c r="BA65" s="196"/>
      <c r="BB65" s="196" t="str">
        <f>IF(BA65="","",BA65-BA$6)</f>
        <v/>
      </c>
      <c r="BC65" s="196"/>
      <c r="BD65" s="196" t="str">
        <f>IF(BC65="","",BC65-BC$6)</f>
        <v/>
      </c>
      <c r="BE65" s="196"/>
      <c r="BF65" s="196" t="str">
        <f>IF(BE65="","",BE65-BE$6)</f>
        <v/>
      </c>
      <c r="BG65" s="196"/>
      <c r="BH65" s="196" t="str">
        <f>IF(BG65="","",BG65-BG$6)</f>
        <v/>
      </c>
      <c r="BI65" s="196"/>
      <c r="BJ65" s="196" t="str">
        <f>IF(BI65="","",BI65-BI$6)</f>
        <v/>
      </c>
      <c r="BK65" s="197"/>
      <c r="BL65" s="115"/>
      <c r="BM65" s="198"/>
      <c r="BN65" s="191"/>
      <c r="BO65" s="191"/>
      <c r="BP65" s="191"/>
      <c r="BQ65" s="199"/>
      <c r="BR65" s="199"/>
      <c r="BS65" s="199"/>
      <c r="BT65" s="199"/>
      <c r="BU65" s="200"/>
      <c r="BV65" s="200"/>
      <c r="BW65" s="191"/>
      <c r="BX65" s="191"/>
      <c r="BY65" s="189"/>
      <c r="BZ65" s="191"/>
      <c r="CA65" s="191"/>
      <c r="CB65" s="182"/>
      <c r="CC65" s="182"/>
      <c r="CD65" s="201"/>
      <c r="CE65" s="202"/>
      <c r="CF65" s="116"/>
    </row>
    <row r="66" spans="2:84" ht="15.6" x14ac:dyDescent="0.3">
      <c r="B66" s="110" t="s">
        <v>1096</v>
      </c>
      <c r="C66" s="147" t="s">
        <v>1260</v>
      </c>
      <c r="D66" s="148" t="s">
        <v>1135</v>
      </c>
      <c r="E66" s="148" t="s">
        <v>227</v>
      </c>
      <c r="F66" s="149">
        <v>4601397000128</v>
      </c>
      <c r="G66" s="149" t="s">
        <v>1157</v>
      </c>
      <c r="H66" s="149" t="s">
        <v>388</v>
      </c>
      <c r="I66" s="150">
        <v>1</v>
      </c>
      <c r="J66" s="151" t="s">
        <v>107</v>
      </c>
      <c r="K66" s="151" t="s">
        <v>111</v>
      </c>
      <c r="L66" s="151" t="s">
        <v>122</v>
      </c>
      <c r="M66" s="151" t="s">
        <v>986</v>
      </c>
      <c r="N66" s="151" t="s">
        <v>109</v>
      </c>
      <c r="O66" s="152">
        <v>500000</v>
      </c>
      <c r="P66" s="153">
        <v>500000000</v>
      </c>
      <c r="Q66" s="153">
        <v>1000</v>
      </c>
      <c r="R66" s="154">
        <v>44270</v>
      </c>
      <c r="S66" s="154">
        <v>46827</v>
      </c>
      <c r="T66" s="155" t="s">
        <v>1230</v>
      </c>
      <c r="U66" s="155" t="s">
        <v>1200</v>
      </c>
      <c r="V66" s="154" t="s">
        <v>194</v>
      </c>
      <c r="W66" s="154" t="s">
        <v>102</v>
      </c>
      <c r="X66" s="154" t="s">
        <v>1302</v>
      </c>
      <c r="Y66" s="154">
        <v>46249</v>
      </c>
      <c r="Z66" s="156">
        <f>IFERROR(INDEX(Base!G:G,MATCH('Debêntures IPCA-Spread'!Y66,Base!F:F,0)),"")</f>
        <v>6.5365000000000002</v>
      </c>
      <c r="AA66" s="115"/>
      <c r="AB66" s="157">
        <v>45552</v>
      </c>
      <c r="AC66" s="158">
        <v>6.7830000000000004</v>
      </c>
      <c r="AD66" s="159">
        <f t="shared" si="2"/>
        <v>0.24650000000000016</v>
      </c>
      <c r="AE66" s="160">
        <v>0.11</v>
      </c>
      <c r="AF66" s="161">
        <v>6.9832999999999998</v>
      </c>
      <c r="AG66" s="161">
        <v>6.6957000000000004</v>
      </c>
      <c r="AH66" s="162">
        <v>1205.103206</v>
      </c>
      <c r="AI66" s="162">
        <v>1205.103206</v>
      </c>
      <c r="AJ66" s="163">
        <f t="shared" si="3"/>
        <v>1</v>
      </c>
      <c r="AK66" s="164">
        <v>45552</v>
      </c>
      <c r="AL66" s="165">
        <v>98.23</v>
      </c>
      <c r="AM66" s="166">
        <v>470</v>
      </c>
      <c r="AN66" s="115"/>
      <c r="AO66" s="167">
        <v>2.6900794473000002E-3</v>
      </c>
      <c r="AP66" s="168">
        <f>IF(AO66="","",AO66-AO$6)</f>
        <v>2.2099345623700002E-3</v>
      </c>
      <c r="AQ66" s="168">
        <v>8.3909955356000002E-3</v>
      </c>
      <c r="AR66" s="168">
        <f>IF(AQ66="","",AQ66-AQ$6)</f>
        <v>8.6085022885599993E-3</v>
      </c>
      <c r="AS66" s="168">
        <v>0.11000677785</v>
      </c>
      <c r="AT66" s="168">
        <f>IF(AS66="","",AS66-AS$6)</f>
        <v>9.5280942795000004E-2</v>
      </c>
      <c r="AU66" s="168">
        <v>1.0851647214999999E-2</v>
      </c>
      <c r="AV66" s="168">
        <f>IF(AU66="","",AU66-AU$6)</f>
        <v>2.3920229810999998E-2</v>
      </c>
      <c r="AW66" s="168">
        <v>3.671773339E-2</v>
      </c>
      <c r="AX66" s="168">
        <f>IF(AW66="","",AW66-AW$6)</f>
        <v>1.2722665602E-2</v>
      </c>
      <c r="AY66" s="168">
        <v>5.3526159635999999E-2</v>
      </c>
      <c r="AZ66" s="168">
        <f>IF(AY66="","",AY66-AY$6)</f>
        <v>3.9283904846000001E-2</v>
      </c>
      <c r="BA66" s="168">
        <v>0.14783955074999999</v>
      </c>
      <c r="BB66" s="168">
        <f>IF(BA66="","",BA66-BA$6)</f>
        <v>9.4352586191999988E-2</v>
      </c>
      <c r="BC66" s="168">
        <v>0.27703993024000001</v>
      </c>
      <c r="BD66" s="168">
        <f>IF(BC66="","",BC66-BC$6)</f>
        <v>8.2731363750000009E-2</v>
      </c>
      <c r="BE66" s="168">
        <v>0.36672057084999998</v>
      </c>
      <c r="BF66" s="168">
        <f>IF(BE66="","",BE66-BE$6)</f>
        <v>0.10500123131</v>
      </c>
      <c r="BG66" s="168"/>
      <c r="BH66" s="168" t="str">
        <f>IF(BG66="","",BG66-BG$6)</f>
        <v/>
      </c>
      <c r="BI66" s="168"/>
      <c r="BJ66" s="168" t="str">
        <f>IF(BI66="","",BI66-BI$6)</f>
        <v/>
      </c>
      <c r="BK66" s="169">
        <v>2.6924590230000001</v>
      </c>
      <c r="BL66" s="115"/>
      <c r="BM66" s="170">
        <v>7.0440427444000003E-3</v>
      </c>
      <c r="BN66" s="163">
        <v>-4.5027551923000004E-3</v>
      </c>
      <c r="BO66" s="163">
        <v>2.5325111195E-2</v>
      </c>
      <c r="BP66" s="163">
        <v>-4.1342652911999997E-3</v>
      </c>
      <c r="BQ66" s="171">
        <v>10</v>
      </c>
      <c r="BR66" s="171">
        <v>2</v>
      </c>
      <c r="BS66" s="171">
        <v>9</v>
      </c>
      <c r="BT66" s="171">
        <v>3</v>
      </c>
      <c r="BU66" s="172">
        <v>1.2184170867999999</v>
      </c>
      <c r="BV66" s="172">
        <v>-0.16074990643000001</v>
      </c>
      <c r="BW66" s="163">
        <v>2.7828311548999999E-3</v>
      </c>
      <c r="BX66" s="163">
        <v>2.3587189930999999E-3</v>
      </c>
      <c r="BY66" s="161">
        <v>3.3143467700999998</v>
      </c>
      <c r="BZ66" s="163">
        <v>-1.1844271314E-2</v>
      </c>
      <c r="CA66" s="163">
        <v>-1.1844271314E-2</v>
      </c>
      <c r="CB66" s="154">
        <v>45386</v>
      </c>
      <c r="CC66" s="154">
        <v>45399</v>
      </c>
      <c r="CD66" s="173">
        <v>24</v>
      </c>
      <c r="CE66" s="174">
        <v>45421</v>
      </c>
      <c r="CF66" s="116"/>
    </row>
    <row r="67" spans="2:84" ht="15.6" x14ac:dyDescent="0.3">
      <c r="B67" s="98" t="s">
        <v>496</v>
      </c>
      <c r="C67" s="175" t="s">
        <v>661</v>
      </c>
      <c r="D67" s="176" t="s">
        <v>614</v>
      </c>
      <c r="E67" s="176" t="s">
        <v>231</v>
      </c>
      <c r="F67" s="177">
        <v>24396489000120</v>
      </c>
      <c r="G67" s="177" t="s">
        <v>816</v>
      </c>
      <c r="H67" s="177" t="s">
        <v>388</v>
      </c>
      <c r="I67" s="178">
        <v>8</v>
      </c>
      <c r="J67" s="179">
        <v>2</v>
      </c>
      <c r="K67" s="179" t="s">
        <v>126</v>
      </c>
      <c r="L67" s="179" t="s">
        <v>118</v>
      </c>
      <c r="M67" s="179" t="s">
        <v>114</v>
      </c>
      <c r="N67" s="179" t="s">
        <v>109</v>
      </c>
      <c r="O67" s="180">
        <v>305000</v>
      </c>
      <c r="P67" s="181">
        <v>305000000</v>
      </c>
      <c r="Q67" s="181">
        <v>1000</v>
      </c>
      <c r="R67" s="182">
        <v>44089</v>
      </c>
      <c r="S67" s="182">
        <v>49202</v>
      </c>
      <c r="T67" s="183" t="s">
        <v>752</v>
      </c>
      <c r="U67" s="183" t="s">
        <v>905</v>
      </c>
      <c r="V67" s="182" t="s">
        <v>105</v>
      </c>
      <c r="W67" s="182" t="s">
        <v>102</v>
      </c>
      <c r="X67" s="182" t="s">
        <v>958</v>
      </c>
      <c r="Y67" s="182">
        <v>48714</v>
      </c>
      <c r="Z67" s="184">
        <f>IFERROR(INDEX(Base!G:G,MATCH('Debêntures IPCA-Spread'!Y67,Base!F:F,0)),"")</f>
        <v>6.3373999999999997</v>
      </c>
      <c r="AA67" s="115"/>
      <c r="AB67" s="185">
        <v>45552</v>
      </c>
      <c r="AC67" s="186">
        <v>7.6304999999999996</v>
      </c>
      <c r="AD67" s="187">
        <f t="shared" si="2"/>
        <v>1.2930999999999999</v>
      </c>
      <c r="AE67" s="188">
        <v>0.21</v>
      </c>
      <c r="AF67" s="189">
        <v>7.8632</v>
      </c>
      <c r="AG67" s="189">
        <v>7.4485999999999999</v>
      </c>
      <c r="AH67" s="190">
        <v>1137.9088159999999</v>
      </c>
      <c r="AI67" s="190">
        <v>1157.3287597000001</v>
      </c>
      <c r="AJ67" s="191">
        <f t="shared" si="3"/>
        <v>0.98322002841696066</v>
      </c>
      <c r="AK67" s="192">
        <v>45519</v>
      </c>
      <c r="AL67" s="193">
        <v>87.81</v>
      </c>
      <c r="AM67" s="194">
        <v>1651</v>
      </c>
      <c r="AN67" s="115"/>
      <c r="AO67" s="195">
        <v>8.5643322564000004E-4</v>
      </c>
      <c r="AP67" s="196">
        <f>IF(AO67="","",AO67-AO$6)</f>
        <v>3.7628834071000005E-4</v>
      </c>
      <c r="AQ67" s="196">
        <v>1.0518702152000001E-2</v>
      </c>
      <c r="AR67" s="196">
        <f>IF(AQ67="","",AQ67-AQ$6)</f>
        <v>1.073620890496E-2</v>
      </c>
      <c r="AS67" s="196">
        <v>7.0492363047000003E-2</v>
      </c>
      <c r="AT67" s="196">
        <f>IF(AS67="","",AS67-AS$6)</f>
        <v>5.5766527992000006E-2</v>
      </c>
      <c r="AU67" s="196">
        <v>-1.4766476670000001E-2</v>
      </c>
      <c r="AV67" s="196">
        <f>IF(AU67="","",AU67-AU$6)</f>
        <v>-1.6978940740000007E-3</v>
      </c>
      <c r="AW67" s="196">
        <v>4.2647856289000002E-2</v>
      </c>
      <c r="AX67" s="196">
        <f>IF(AW67="","",AW67-AW$6)</f>
        <v>1.8652788501000002E-2</v>
      </c>
      <c r="AY67" s="196">
        <v>1.9132462520999999E-2</v>
      </c>
      <c r="AZ67" s="196">
        <f>IF(AY67="","",AY67-AY$6)</f>
        <v>4.890207730999999E-3</v>
      </c>
      <c r="BA67" s="196">
        <v>0.10431452284999999</v>
      </c>
      <c r="BB67" s="196">
        <f>IF(BA67="","",BA67-BA$6)</f>
        <v>5.0827558291999995E-2</v>
      </c>
      <c r="BC67" s="196">
        <v>0.25755230913999999</v>
      </c>
      <c r="BD67" s="196">
        <f>IF(BC67="","",BC67-BC$6)</f>
        <v>6.324374264999999E-2</v>
      </c>
      <c r="BE67" s="196">
        <v>0.29962425959</v>
      </c>
      <c r="BF67" s="196">
        <f>IF(BE67="","",BE67-BE$6)</f>
        <v>3.7904920050000013E-2</v>
      </c>
      <c r="BG67" s="196"/>
      <c r="BH67" s="196" t="str">
        <f>IF(BG67="","",BG67-BG$6)</f>
        <v/>
      </c>
      <c r="BI67" s="196"/>
      <c r="BJ67" s="196" t="str">
        <f>IF(BI67="","",BI67-BI$6)</f>
        <v/>
      </c>
      <c r="BK67" s="197">
        <v>7.2959176162999997</v>
      </c>
      <c r="BL67" s="115"/>
      <c r="BM67" s="198">
        <v>1.7070578826E-2</v>
      </c>
      <c r="BN67" s="191">
        <v>-1.8549739450000002E-2</v>
      </c>
      <c r="BO67" s="191">
        <v>5.5064071898E-2</v>
      </c>
      <c r="BP67" s="191">
        <v>-3.8410293271999997E-2</v>
      </c>
      <c r="BQ67" s="199">
        <v>8</v>
      </c>
      <c r="BR67" s="199">
        <v>4</v>
      </c>
      <c r="BS67" s="199">
        <v>7</v>
      </c>
      <c r="BT67" s="199">
        <v>5</v>
      </c>
      <c r="BU67" s="200">
        <v>-5.5828887973000001E-2</v>
      </c>
      <c r="BV67" s="200">
        <v>-0.26631640439999998</v>
      </c>
      <c r="BW67" s="191">
        <v>7.5295126015000003E-3</v>
      </c>
      <c r="BX67" s="191">
        <v>6.6443821501999999E-3</v>
      </c>
      <c r="BY67" s="189">
        <v>-1.2163254924</v>
      </c>
      <c r="BZ67" s="191">
        <v>-5.4243748592999998E-2</v>
      </c>
      <c r="CA67" s="191">
        <v>-5.4243748592999998E-2</v>
      </c>
      <c r="CB67" s="182">
        <v>45364</v>
      </c>
      <c r="CC67" s="182">
        <v>45474</v>
      </c>
      <c r="CD67" s="201">
        <v>99</v>
      </c>
      <c r="CE67" s="202">
        <v>45506</v>
      </c>
      <c r="CF67" s="116"/>
    </row>
    <row r="68" spans="2:84" ht="15.6" x14ac:dyDescent="0.3">
      <c r="B68" s="110" t="s">
        <v>1408</v>
      </c>
      <c r="C68" s="147" t="s">
        <v>2054</v>
      </c>
      <c r="D68" s="148" t="s">
        <v>1901</v>
      </c>
      <c r="E68" s="148" t="s">
        <v>231</v>
      </c>
      <c r="F68" s="149">
        <v>39580673000101</v>
      </c>
      <c r="G68" s="149" t="s">
        <v>1767</v>
      </c>
      <c r="H68" s="149" t="s">
        <v>388</v>
      </c>
      <c r="I68" s="150">
        <v>2</v>
      </c>
      <c r="J68" s="151" t="s">
        <v>108</v>
      </c>
      <c r="K68" s="151" t="s">
        <v>126</v>
      </c>
      <c r="L68" s="151" t="s">
        <v>118</v>
      </c>
      <c r="M68" s="151" t="s">
        <v>114</v>
      </c>
      <c r="N68" s="151" t="s">
        <v>109</v>
      </c>
      <c r="O68" s="152">
        <v>1950000</v>
      </c>
      <c r="P68" s="153">
        <v>1950000000</v>
      </c>
      <c r="Q68" s="153">
        <v>1000</v>
      </c>
      <c r="R68" s="154">
        <v>44849</v>
      </c>
      <c r="S68" s="154">
        <v>52032</v>
      </c>
      <c r="T68" s="155" t="s">
        <v>1980</v>
      </c>
      <c r="U68" s="155" t="s">
        <v>1666</v>
      </c>
      <c r="V68" s="154" t="s">
        <v>105</v>
      </c>
      <c r="W68" s="154" t="s">
        <v>102</v>
      </c>
      <c r="X68" s="154" t="s">
        <v>1547</v>
      </c>
      <c r="Y68" s="154">
        <v>49444</v>
      </c>
      <c r="Z68" s="156">
        <f>IFERROR(INDEX(Base!G:G,MATCH('Debêntures IPCA-Spread'!Y68,Base!F:F,0)),"")</f>
        <v>6.3137999999999996</v>
      </c>
      <c r="AA68" s="115"/>
      <c r="AB68" s="157">
        <v>45552</v>
      </c>
      <c r="AC68" s="158">
        <v>7.6200999999999999</v>
      </c>
      <c r="AD68" s="159">
        <f t="shared" si="2"/>
        <v>1.3063000000000002</v>
      </c>
      <c r="AE68" s="160">
        <v>0.03</v>
      </c>
      <c r="AF68" s="161">
        <v>7.8183999999999996</v>
      </c>
      <c r="AG68" s="161">
        <v>7.4610000000000003</v>
      </c>
      <c r="AH68" s="162">
        <v>1248.8157000000001</v>
      </c>
      <c r="AI68" s="162">
        <v>1283.60844</v>
      </c>
      <c r="AJ68" s="163">
        <f t="shared" si="3"/>
        <v>0.97289458458219558</v>
      </c>
      <c r="AK68" s="164">
        <v>45518</v>
      </c>
      <c r="AL68" s="165">
        <v>99.98</v>
      </c>
      <c r="AM68" s="166">
        <v>2112</v>
      </c>
      <c r="AN68" s="115"/>
      <c r="AO68" s="167">
        <v>-5.8785790678999997E-4</v>
      </c>
      <c r="AP68" s="168">
        <f>IF(AO68="","",AO68-AO$6)</f>
        <v>-1.0680027917200001E-3</v>
      </c>
      <c r="AQ68" s="168">
        <v>-1.0680814066E-3</v>
      </c>
      <c r="AR68" s="168">
        <f>IF(AQ68="","",AQ68-AQ$6)</f>
        <v>-8.5057465363999997E-4</v>
      </c>
      <c r="AS68" s="168">
        <v>6.1787010442000002E-2</v>
      </c>
      <c r="AT68" s="168">
        <f>IF(AS68="","",AS68-AS$6)</f>
        <v>4.7061175386999998E-2</v>
      </c>
      <c r="AU68" s="168">
        <v>-1.2861139929999999E-2</v>
      </c>
      <c r="AV68" s="168">
        <f>IF(AU68="","",AU68-AU$6)</f>
        <v>2.0744266600000033E-4</v>
      </c>
      <c r="AW68" s="168">
        <v>4.4073974457000002E-2</v>
      </c>
      <c r="AX68" s="168">
        <f>IF(AW68="","",AW68-AW$6)</f>
        <v>2.0078906669000002E-2</v>
      </c>
      <c r="AY68" s="168">
        <v>2.6712791526999999E-2</v>
      </c>
      <c r="AZ68" s="168">
        <f>IF(AY68="","",AY68-AY$6)</f>
        <v>1.2470536736999998E-2</v>
      </c>
      <c r="BA68" s="168">
        <v>0.10328239551</v>
      </c>
      <c r="BB68" s="168">
        <f>IF(BA68="","",BA68-BA$6)</f>
        <v>4.9795430952000001E-2</v>
      </c>
      <c r="BC68" s="168"/>
      <c r="BD68" s="168" t="str">
        <f>IF(BC68="","",BC68-BC$6)</f>
        <v/>
      </c>
      <c r="BE68" s="168"/>
      <c r="BF68" s="168" t="str">
        <f>IF(BE68="","",BE68-BE$6)</f>
        <v/>
      </c>
      <c r="BG68" s="168"/>
      <c r="BH68" s="168" t="str">
        <f>IF(BG68="","",BG68-BG$6)</f>
        <v/>
      </c>
      <c r="BI68" s="168"/>
      <c r="BJ68" s="168" t="str">
        <f>IF(BI68="","",BI68-BI$6)</f>
        <v/>
      </c>
      <c r="BK68" s="169">
        <v>7.4866419896999998</v>
      </c>
      <c r="BL68" s="115"/>
      <c r="BM68" s="170">
        <v>1.6220209560000001E-2</v>
      </c>
      <c r="BN68" s="163">
        <v>-1.5713846585E-2</v>
      </c>
      <c r="BO68" s="163">
        <v>3.7300633569999998E-2</v>
      </c>
      <c r="BP68" s="163">
        <v>-2.7800549590000001E-2</v>
      </c>
      <c r="BQ68" s="171">
        <v>7</v>
      </c>
      <c r="BR68" s="171">
        <v>5</v>
      </c>
      <c r="BS68" s="171">
        <v>6</v>
      </c>
      <c r="BT68" s="171">
        <v>6</v>
      </c>
      <c r="BU68" s="172">
        <v>-6.4839657211999996E-2</v>
      </c>
      <c r="BV68" s="172"/>
      <c r="BW68" s="163">
        <v>7.738376422E-3</v>
      </c>
      <c r="BX68" s="163">
        <v>8.8535820632999994E-3</v>
      </c>
      <c r="BY68" s="161">
        <v>-1.3887745009000001</v>
      </c>
      <c r="BZ68" s="163">
        <v>-4.2491226836999997E-2</v>
      </c>
      <c r="CA68" s="163">
        <v>-4.2491226836999997E-2</v>
      </c>
      <c r="CB68" s="154">
        <v>45345</v>
      </c>
      <c r="CC68" s="154">
        <v>45455</v>
      </c>
      <c r="CD68" s="173">
        <v>112</v>
      </c>
      <c r="CE68" s="174">
        <v>45506</v>
      </c>
      <c r="CF68" s="116"/>
    </row>
    <row r="69" spans="2:84" ht="15.6" x14ac:dyDescent="0.3">
      <c r="B69" s="98" t="s">
        <v>2214</v>
      </c>
      <c r="C69" s="175" t="s">
        <v>2599</v>
      </c>
      <c r="D69" s="176" t="s">
        <v>2791</v>
      </c>
      <c r="E69" s="176" t="s">
        <v>104</v>
      </c>
      <c r="F69" s="177">
        <v>19560837000113</v>
      </c>
      <c r="G69" s="177" t="s">
        <v>2349</v>
      </c>
      <c r="H69" s="177" t="s">
        <v>388</v>
      </c>
      <c r="I69" s="178">
        <v>1</v>
      </c>
      <c r="J69" s="179" t="s">
        <v>107</v>
      </c>
      <c r="K69" s="179" t="s">
        <v>126</v>
      </c>
      <c r="L69" s="179" t="s">
        <v>125</v>
      </c>
      <c r="M69" s="179" t="s">
        <v>106</v>
      </c>
      <c r="N69" s="179" t="s">
        <v>109</v>
      </c>
      <c r="O69" s="180">
        <v>43500</v>
      </c>
      <c r="P69" s="181">
        <v>43500000</v>
      </c>
      <c r="Q69" s="181">
        <v>1000</v>
      </c>
      <c r="R69" s="182">
        <v>42731</v>
      </c>
      <c r="S69" s="182">
        <v>46931</v>
      </c>
      <c r="T69" s="183" t="s">
        <v>2825</v>
      </c>
      <c r="U69" s="183" t="s">
        <v>2723</v>
      </c>
      <c r="V69" s="182" t="s">
        <v>105</v>
      </c>
      <c r="W69" s="182" t="s">
        <v>102</v>
      </c>
      <c r="X69" s="182" t="s">
        <v>2486</v>
      </c>
      <c r="Y69" s="182">
        <v>46249</v>
      </c>
      <c r="Z69" s="184">
        <f>IFERROR(INDEX(Base!G:G,MATCH('Debêntures IPCA-Spread'!Y69,Base!F:F,0)),"")</f>
        <v>6.5365000000000002</v>
      </c>
      <c r="AA69" s="115"/>
      <c r="AB69" s="185">
        <v>45552</v>
      </c>
      <c r="AC69" s="186">
        <v>6.7756999999999996</v>
      </c>
      <c r="AD69" s="187">
        <f t="shared" si="2"/>
        <v>0.23919999999999941</v>
      </c>
      <c r="AE69" s="188">
        <v>0.01</v>
      </c>
      <c r="AF69" s="189">
        <v>7.0602999999999998</v>
      </c>
      <c r="AG69" s="189">
        <v>6.5621</v>
      </c>
      <c r="AH69" s="190">
        <v>956.33551199999999</v>
      </c>
      <c r="AI69" s="190"/>
      <c r="AJ69" s="191" t="str">
        <f t="shared" si="3"/>
        <v/>
      </c>
      <c r="AK69" s="192"/>
      <c r="AL69" s="193">
        <v>102.51</v>
      </c>
      <c r="AM69" s="194">
        <v>345</v>
      </c>
      <c r="AN69" s="115"/>
      <c r="AO69" s="195">
        <v>1.3697278699999999E-4</v>
      </c>
      <c r="AP69" s="196">
        <f>IF(AO69="","",AO69-AO$6)</f>
        <v>-3.4317209793000003E-4</v>
      </c>
      <c r="AQ69" s="196">
        <v>4.4811282040999999E-3</v>
      </c>
      <c r="AR69" s="196">
        <f>IF(AQ69="","",AQ69-AQ$6)</f>
        <v>4.69863495706E-3</v>
      </c>
      <c r="AS69" s="196"/>
      <c r="AT69" s="196" t="str">
        <f>IF(AS69="","",AS69-AS$6)</f>
        <v/>
      </c>
      <c r="AU69" s="196">
        <v>3.8470434629000001E-3</v>
      </c>
      <c r="AV69" s="196">
        <f>IF(AU69="","",AU69-AU$6)</f>
        <v>1.6915626058899999E-2</v>
      </c>
      <c r="AW69" s="196">
        <v>1.8458289188999999E-2</v>
      </c>
      <c r="AX69" s="196">
        <f>IF(AW69="","",AW69-AW$6)</f>
        <v>-5.5367785990000015E-3</v>
      </c>
      <c r="AY69" s="196">
        <v>4.6154770225000002E-2</v>
      </c>
      <c r="AZ69" s="196">
        <f>IF(AY69="","",AY69-AY$6)</f>
        <v>3.1912515435000004E-2</v>
      </c>
      <c r="BA69" s="196"/>
      <c r="BB69" s="196" t="str">
        <f>IF(BA69="","",BA69-BA$6)</f>
        <v/>
      </c>
      <c r="BC69" s="196"/>
      <c r="BD69" s="196" t="str">
        <f>IF(BC69="","",BC69-BC$6)</f>
        <v/>
      </c>
      <c r="BE69" s="196"/>
      <c r="BF69" s="196" t="str">
        <f>IF(BE69="","",BE69-BE$6)</f>
        <v/>
      </c>
      <c r="BG69" s="196"/>
      <c r="BH69" s="196" t="str">
        <f>IF(BG69="","",BG69-BG$6)</f>
        <v/>
      </c>
      <c r="BI69" s="196"/>
      <c r="BJ69" s="196" t="str">
        <f>IF(BI69="","",BI69-BI$6)</f>
        <v/>
      </c>
      <c r="BK69" s="197"/>
      <c r="BL69" s="115"/>
      <c r="BM69" s="198">
        <v>6.3529519848000001E-3</v>
      </c>
      <c r="BN69" s="191">
        <v>-3.5761580574999998E-3</v>
      </c>
      <c r="BO69" s="191">
        <v>1.5477274871999999E-2</v>
      </c>
      <c r="BP69" s="191">
        <v>-1.8275467500999999E-3</v>
      </c>
      <c r="BQ69" s="199"/>
      <c r="BR69" s="199"/>
      <c r="BS69" s="199"/>
      <c r="BT69" s="199"/>
      <c r="BU69" s="200"/>
      <c r="BV69" s="200"/>
      <c r="BW69" s="191"/>
      <c r="BX69" s="191">
        <v>2.338186631E-3</v>
      </c>
      <c r="BY69" s="189"/>
      <c r="BZ69" s="191">
        <v>-6.5193129386E-3</v>
      </c>
      <c r="CA69" s="191">
        <v>-6.5193129386E-3</v>
      </c>
      <c r="CB69" s="182">
        <v>45467</v>
      </c>
      <c r="CC69" s="182">
        <v>45474</v>
      </c>
      <c r="CD69" s="201">
        <v>12</v>
      </c>
      <c r="CE69" s="202">
        <v>45483</v>
      </c>
      <c r="CF69" s="116"/>
    </row>
    <row r="70" spans="2:84" ht="15.6" x14ac:dyDescent="0.3">
      <c r="B70" s="110" t="s">
        <v>497</v>
      </c>
      <c r="C70" s="147" t="s">
        <v>662</v>
      </c>
      <c r="D70" s="148" t="s">
        <v>615</v>
      </c>
      <c r="E70" s="148" t="s">
        <v>226</v>
      </c>
      <c r="F70" s="149">
        <v>20732109000120</v>
      </c>
      <c r="G70" s="149" t="s">
        <v>817</v>
      </c>
      <c r="H70" s="149" t="s">
        <v>388</v>
      </c>
      <c r="I70" s="150">
        <v>1</v>
      </c>
      <c r="J70" s="151" t="s">
        <v>107</v>
      </c>
      <c r="K70" s="151" t="s">
        <v>111</v>
      </c>
      <c r="L70" s="151" t="s">
        <v>112</v>
      </c>
      <c r="M70" s="151" t="s">
        <v>114</v>
      </c>
      <c r="N70" s="151" t="s">
        <v>109</v>
      </c>
      <c r="O70" s="152">
        <v>100000</v>
      </c>
      <c r="P70" s="153">
        <v>100000000</v>
      </c>
      <c r="Q70" s="153">
        <v>1000</v>
      </c>
      <c r="R70" s="154">
        <v>43084</v>
      </c>
      <c r="S70" s="154">
        <v>48441</v>
      </c>
      <c r="T70" s="155" t="s">
        <v>753</v>
      </c>
      <c r="U70" s="155" t="s">
        <v>758</v>
      </c>
      <c r="V70" s="154" t="s">
        <v>194</v>
      </c>
      <c r="W70" s="154" t="s">
        <v>102</v>
      </c>
      <c r="X70" s="154" t="s">
        <v>959</v>
      </c>
      <c r="Y70" s="154">
        <v>46980</v>
      </c>
      <c r="Z70" s="156">
        <f>IFERROR(INDEX(Base!G:G,MATCH('Debêntures IPCA-Spread'!Y70,Base!F:F,0)),"")</f>
        <v>6.4702000000000002</v>
      </c>
      <c r="AA70" s="115"/>
      <c r="AB70" s="157">
        <v>45552</v>
      </c>
      <c r="AC70" s="158">
        <v>6.5486000000000004</v>
      </c>
      <c r="AD70" s="159">
        <f t="shared" si="2"/>
        <v>7.8400000000000247E-2</v>
      </c>
      <c r="AE70" s="160">
        <v>0.32</v>
      </c>
      <c r="AF70" s="161">
        <v>6.6886999999999999</v>
      </c>
      <c r="AG70" s="161">
        <v>6.3924000000000003</v>
      </c>
      <c r="AH70" s="162">
        <v>859.11564299999998</v>
      </c>
      <c r="AI70" s="162">
        <v>866.64238895000005</v>
      </c>
      <c r="AJ70" s="163">
        <f t="shared" si="3"/>
        <v>0.99131504984527785</v>
      </c>
      <c r="AK70" s="164">
        <v>45517</v>
      </c>
      <c r="AL70" s="165">
        <v>101.2</v>
      </c>
      <c r="AM70" s="166">
        <v>891</v>
      </c>
      <c r="AN70" s="115"/>
      <c r="AO70" s="167">
        <v>-8.7085934047000004E-4</v>
      </c>
      <c r="AP70" s="168">
        <f>IF(AO70="","",AO70-AO$6)</f>
        <v>-1.3510042254000001E-3</v>
      </c>
      <c r="AQ70" s="168">
        <v>3.1933125046999999E-3</v>
      </c>
      <c r="AR70" s="168">
        <f>IF(AQ70="","",AQ70-AQ$6)</f>
        <v>3.4108192576599999E-3</v>
      </c>
      <c r="AS70" s="168">
        <v>5.9385358584999999E-2</v>
      </c>
      <c r="AT70" s="168">
        <f>IF(AS70="","",AS70-AS$6)</f>
        <v>4.4659523529999995E-2</v>
      </c>
      <c r="AU70" s="168">
        <v>-5.0793704986000004E-3</v>
      </c>
      <c r="AV70" s="168">
        <f>IF(AU70="","",AU70-AU$6)</f>
        <v>7.9892120974000003E-3</v>
      </c>
      <c r="AW70" s="168">
        <v>3.1269629904E-2</v>
      </c>
      <c r="AX70" s="168">
        <f>IF(AW70="","",AW70-AW$6)</f>
        <v>7.2745621159999996E-3</v>
      </c>
      <c r="AY70" s="168">
        <v>2.6890382862E-2</v>
      </c>
      <c r="AZ70" s="168">
        <f>IF(AY70="","",AY70-AY$6)</f>
        <v>1.2648128072E-2</v>
      </c>
      <c r="BA70" s="168">
        <v>8.6739066199000001E-2</v>
      </c>
      <c r="BB70" s="168">
        <f>IF(BA70="","",BA70-BA$6)</f>
        <v>3.3252101641000002E-2</v>
      </c>
      <c r="BC70" s="168">
        <v>0.23749280844000001</v>
      </c>
      <c r="BD70" s="168">
        <f>IF(BC70="","",BC70-BC$6)</f>
        <v>4.3184241950000007E-2</v>
      </c>
      <c r="BE70" s="168">
        <v>0.34324155609000001</v>
      </c>
      <c r="BF70" s="168">
        <f>IF(BE70="","",BE70-BE$6)</f>
        <v>8.1522216550000026E-2</v>
      </c>
      <c r="BG70" s="168">
        <v>0.51361128426000002</v>
      </c>
      <c r="BH70" s="168">
        <f>IF(BG70="","",BG70-BG$6)</f>
        <v>0.20469463545</v>
      </c>
      <c r="BI70" s="168"/>
      <c r="BJ70" s="168" t="str">
        <f>IF(BI70="","",BI70-BI$6)</f>
        <v/>
      </c>
      <c r="BK70" s="169">
        <v>4.9321301597999998</v>
      </c>
      <c r="BL70" s="115"/>
      <c r="BM70" s="170">
        <v>9.9257712699999997E-3</v>
      </c>
      <c r="BN70" s="163">
        <v>-9.9914366964999994E-3</v>
      </c>
      <c r="BO70" s="163">
        <v>2.1436375508E-2</v>
      </c>
      <c r="BP70" s="163">
        <v>-1.4894351073E-2</v>
      </c>
      <c r="BQ70" s="171">
        <v>9</v>
      </c>
      <c r="BR70" s="171">
        <v>3</v>
      </c>
      <c r="BS70" s="171">
        <v>7</v>
      </c>
      <c r="BT70" s="171">
        <v>5</v>
      </c>
      <c r="BU70" s="172">
        <v>-0.43252586719000002</v>
      </c>
      <c r="BV70" s="172">
        <v>-0.23813390678999999</v>
      </c>
      <c r="BW70" s="163">
        <v>5.0971433336000002E-3</v>
      </c>
      <c r="BX70" s="163">
        <v>5.8001361014000004E-3</v>
      </c>
      <c r="BY70" s="161">
        <v>-2.8662934959999999</v>
      </c>
      <c r="BZ70" s="163">
        <v>-2.2151995765000002E-2</v>
      </c>
      <c r="CA70" s="163">
        <v>-2.2151995765000002E-2</v>
      </c>
      <c r="CB70" s="154">
        <v>45378</v>
      </c>
      <c r="CC70" s="154">
        <v>45408</v>
      </c>
      <c r="CD70" s="173">
        <v>72</v>
      </c>
      <c r="CE70" s="174">
        <v>45483</v>
      </c>
      <c r="CF70" s="116"/>
    </row>
    <row r="71" spans="2:84" ht="15.6" x14ac:dyDescent="0.3">
      <c r="B71" s="98" t="s">
        <v>2215</v>
      </c>
      <c r="C71" s="175" t="s">
        <v>2600</v>
      </c>
      <c r="D71" s="176" t="s">
        <v>2849</v>
      </c>
      <c r="E71" s="176" t="s">
        <v>231</v>
      </c>
      <c r="F71" s="177">
        <v>82508433000117</v>
      </c>
      <c r="G71" s="177" t="s">
        <v>2350</v>
      </c>
      <c r="H71" s="177" t="s">
        <v>388</v>
      </c>
      <c r="I71" s="178">
        <v>3</v>
      </c>
      <c r="J71" s="179">
        <v>2</v>
      </c>
      <c r="K71" s="179" t="s">
        <v>111</v>
      </c>
      <c r="L71" s="179" t="s">
        <v>1741</v>
      </c>
      <c r="M71" s="179" t="s">
        <v>986</v>
      </c>
      <c r="N71" s="179" t="s">
        <v>109</v>
      </c>
      <c r="O71" s="180">
        <v>280000</v>
      </c>
      <c r="P71" s="181">
        <v>280000000</v>
      </c>
      <c r="Q71" s="181">
        <v>1000</v>
      </c>
      <c r="R71" s="182">
        <v>45246</v>
      </c>
      <c r="S71" s="182">
        <v>48899</v>
      </c>
      <c r="T71" s="183" t="s">
        <v>2826</v>
      </c>
      <c r="U71" s="183" t="s">
        <v>2724</v>
      </c>
      <c r="V71" s="182" t="s">
        <v>194</v>
      </c>
      <c r="W71" s="182" t="s">
        <v>102</v>
      </c>
      <c r="X71" s="182" t="s">
        <v>2487</v>
      </c>
      <c r="Y71" s="182">
        <v>47253</v>
      </c>
      <c r="Z71" s="184">
        <f>IFERROR(INDEX(Base!G:G,MATCH('Debêntures IPCA-Spread'!Y71,Base!F:F,0)),"")</f>
        <v>6.41</v>
      </c>
      <c r="AA71" s="115"/>
      <c r="AB71" s="185">
        <v>45552</v>
      </c>
      <c r="AC71" s="186">
        <v>9.0257000000000005</v>
      </c>
      <c r="AD71" s="187">
        <f t="shared" si="2"/>
        <v>2.6157000000000004</v>
      </c>
      <c r="AE71" s="188">
        <v>0.7</v>
      </c>
      <c r="AF71" s="189">
        <v>9.7193000000000005</v>
      </c>
      <c r="AG71" s="189">
        <v>8.5058000000000007</v>
      </c>
      <c r="AH71" s="190">
        <v>1123.6731520000001</v>
      </c>
      <c r="AI71" s="190"/>
      <c r="AJ71" s="191" t="str">
        <f t="shared" si="3"/>
        <v/>
      </c>
      <c r="AK71" s="192"/>
      <c r="AL71" s="193">
        <v>104.9</v>
      </c>
      <c r="AM71" s="194">
        <v>1022</v>
      </c>
      <c r="AN71" s="115"/>
      <c r="AO71" s="195">
        <v>1.3648660988E-3</v>
      </c>
      <c r="AP71" s="196">
        <f>IF(AO71="","",AO71-AO$6)</f>
        <v>8.8472121387000004E-4</v>
      </c>
      <c r="AQ71" s="196">
        <v>1.6561560401999999E-2</v>
      </c>
      <c r="AR71" s="196">
        <f>IF(AQ71="","",AQ71-AQ$6)</f>
        <v>1.6779067154959998E-2</v>
      </c>
      <c r="AS71" s="196">
        <v>0.12854126000999999</v>
      </c>
      <c r="AT71" s="196">
        <f>IF(AS71="","",AS71-AS$6)</f>
        <v>0.11381542495499999</v>
      </c>
      <c r="AU71" s="196">
        <v>4.7522258645999998E-3</v>
      </c>
      <c r="AV71" s="196">
        <f>IF(AU71="","",AU71-AU$6)</f>
        <v>1.78208084606E-2</v>
      </c>
      <c r="AW71" s="196">
        <v>7.7414189533E-2</v>
      </c>
      <c r="AX71" s="196">
        <f>IF(AW71="","",AW71-AW$6)</f>
        <v>5.3419121744999999E-2</v>
      </c>
      <c r="AY71" s="196">
        <v>7.8588423071999994E-2</v>
      </c>
      <c r="AZ71" s="196">
        <f>IF(AY71="","",AY71-AY$6)</f>
        <v>6.4346168281999988E-2</v>
      </c>
      <c r="BA71" s="196"/>
      <c r="BB71" s="196" t="str">
        <f>IF(BA71="","",BA71-BA$6)</f>
        <v/>
      </c>
      <c r="BC71" s="196"/>
      <c r="BD71" s="196" t="str">
        <f>IF(BC71="","",BC71-BC$6)</f>
        <v/>
      </c>
      <c r="BE71" s="196"/>
      <c r="BF71" s="196" t="str">
        <f>IF(BE71="","",BE71-BE$6)</f>
        <v/>
      </c>
      <c r="BG71" s="196"/>
      <c r="BH71" s="196" t="str">
        <f>IF(BG71="","",BG71-BG$6)</f>
        <v/>
      </c>
      <c r="BI71" s="196"/>
      <c r="BJ71" s="196" t="str">
        <f>IF(BI71="","",BI71-BI$6)</f>
        <v/>
      </c>
      <c r="BK71" s="197"/>
      <c r="BL71" s="115"/>
      <c r="BM71" s="198">
        <v>1.9691141222000001E-2</v>
      </c>
      <c r="BN71" s="191">
        <v>-8.4984699769999998E-3</v>
      </c>
      <c r="BO71" s="191">
        <v>3.5055702368E-2</v>
      </c>
      <c r="BP71" s="191">
        <v>-9.7100414869000003E-3</v>
      </c>
      <c r="BQ71" s="199"/>
      <c r="BR71" s="199"/>
      <c r="BS71" s="199"/>
      <c r="BT71" s="199"/>
      <c r="BU71" s="200"/>
      <c r="BV71" s="200"/>
      <c r="BW71" s="191"/>
      <c r="BX71" s="191">
        <v>5.4453949864E-3</v>
      </c>
      <c r="BY71" s="189"/>
      <c r="BZ71" s="191">
        <v>-2.1816408432000001E-2</v>
      </c>
      <c r="CA71" s="191">
        <v>-2.1816408432000001E-2</v>
      </c>
      <c r="CB71" s="182">
        <v>45449</v>
      </c>
      <c r="CC71" s="182">
        <v>45474</v>
      </c>
      <c r="CD71" s="201">
        <v>25</v>
      </c>
      <c r="CE71" s="202">
        <v>45484</v>
      </c>
      <c r="CF71" s="116"/>
    </row>
    <row r="72" spans="2:84" ht="15.6" x14ac:dyDescent="0.3">
      <c r="B72" s="110" t="s">
        <v>30</v>
      </c>
      <c r="C72" s="147" t="s">
        <v>287</v>
      </c>
      <c r="D72" s="148" t="s">
        <v>16</v>
      </c>
      <c r="E72" s="148" t="s">
        <v>228</v>
      </c>
      <c r="F72" s="149">
        <v>2846056000197</v>
      </c>
      <c r="G72" s="149" t="s">
        <v>344</v>
      </c>
      <c r="H72" s="149" t="s">
        <v>388</v>
      </c>
      <c r="I72" s="150">
        <v>11</v>
      </c>
      <c r="J72" s="151">
        <v>4</v>
      </c>
      <c r="K72" s="151" t="s">
        <v>128</v>
      </c>
      <c r="L72" s="151" t="s">
        <v>119</v>
      </c>
      <c r="M72" s="151" t="s">
        <v>106</v>
      </c>
      <c r="N72" s="151" t="s">
        <v>117</v>
      </c>
      <c r="O72" s="152">
        <v>176796</v>
      </c>
      <c r="P72" s="153">
        <v>176796000</v>
      </c>
      <c r="Q72" s="153">
        <v>1000</v>
      </c>
      <c r="R72" s="154">
        <v>43054</v>
      </c>
      <c r="S72" s="154">
        <v>45611</v>
      </c>
      <c r="T72" s="155" t="s">
        <v>134</v>
      </c>
      <c r="U72" s="155" t="s">
        <v>168</v>
      </c>
      <c r="V72" s="154" t="s">
        <v>105</v>
      </c>
      <c r="W72" s="154" t="s">
        <v>102</v>
      </c>
      <c r="X72" s="154" t="s">
        <v>1303</v>
      </c>
      <c r="Y72" s="154">
        <v>45792</v>
      </c>
      <c r="Z72" s="156">
        <f>IFERROR(INDEX(Base!G:G,MATCH('Debêntures IPCA-Spread'!Y72,Base!F:F,0)),"")</f>
        <v>5.73</v>
      </c>
      <c r="AA72" s="115"/>
      <c r="AB72" s="157">
        <v>45552</v>
      </c>
      <c r="AC72" s="158">
        <v>8.1033000000000008</v>
      </c>
      <c r="AD72" s="159">
        <f t="shared" si="2"/>
        <v>2.3733000000000004</v>
      </c>
      <c r="AE72" s="160">
        <v>0.22</v>
      </c>
      <c r="AF72" s="161">
        <v>8.4131999999999998</v>
      </c>
      <c r="AG72" s="161">
        <v>7.7873999999999999</v>
      </c>
      <c r="AH72" s="162">
        <v>724.28406600000005</v>
      </c>
      <c r="AI72" s="162">
        <v>724.28406600000005</v>
      </c>
      <c r="AJ72" s="163">
        <f t="shared" si="3"/>
        <v>1</v>
      </c>
      <c r="AK72" s="164">
        <v>45552</v>
      </c>
      <c r="AL72" s="165">
        <v>99.67</v>
      </c>
      <c r="AM72" s="166">
        <v>43</v>
      </c>
      <c r="AN72" s="115"/>
      <c r="AO72" s="167">
        <v>6.0145856332000005E-4</v>
      </c>
      <c r="AP72" s="168">
        <f>IF(AO72="","",AO72-AO$6)</f>
        <v>1.2131367839000005E-4</v>
      </c>
      <c r="AQ72" s="168">
        <v>4.3984132972000002E-3</v>
      </c>
      <c r="AR72" s="168">
        <f>IF(AQ72="","",AQ72-AQ$6)</f>
        <v>4.6159200501600002E-3</v>
      </c>
      <c r="AS72" s="168">
        <v>9.0496315443999997E-2</v>
      </c>
      <c r="AT72" s="168">
        <f>IF(AS72="","",AS72-AS$6)</f>
        <v>7.5770480389E-2</v>
      </c>
      <c r="AU72" s="168">
        <v>8.2788615382000004E-3</v>
      </c>
      <c r="AV72" s="168">
        <f>IF(AU72="","",AU72-AU$6)</f>
        <v>2.1347444134199998E-2</v>
      </c>
      <c r="AW72" s="168">
        <v>2.9113173733999999E-2</v>
      </c>
      <c r="AX72" s="168">
        <f>IF(AW72="","",AW72-AW$6)</f>
        <v>5.1181059459999984E-3</v>
      </c>
      <c r="AY72" s="168">
        <v>5.9415427429000002E-2</v>
      </c>
      <c r="AZ72" s="168">
        <f>IF(AY72="","",AY72-AY$6)</f>
        <v>4.5173172639000003E-2</v>
      </c>
      <c r="BA72" s="168">
        <v>0.12758384919999999</v>
      </c>
      <c r="BB72" s="168">
        <f>IF(BA72="","",BA72-BA$6)</f>
        <v>7.4096884641999983E-2</v>
      </c>
      <c r="BC72" s="168">
        <v>0.27407445495999999</v>
      </c>
      <c r="BD72" s="168">
        <f>IF(BC72="","",BC72-BC$6)</f>
        <v>7.976588846999999E-2</v>
      </c>
      <c r="BE72" s="168">
        <v>0.44242829177999998</v>
      </c>
      <c r="BF72" s="168">
        <f>IF(BE72="","",BE72-BE$6)</f>
        <v>0.18070895224</v>
      </c>
      <c r="BG72" s="168">
        <v>0.54659765124000004</v>
      </c>
      <c r="BH72" s="168">
        <f>IF(BG72="","",BG72-BG$6)</f>
        <v>0.23768100243000001</v>
      </c>
      <c r="BI72" s="168">
        <v>0.68570620001000004</v>
      </c>
      <c r="BJ72" s="168">
        <f>IF(BI72="","",BI72-BI$6)</f>
        <v>0.31276318993000002</v>
      </c>
      <c r="BK72" s="169">
        <v>0.84092237464999997</v>
      </c>
      <c r="BL72" s="115"/>
      <c r="BM72" s="170">
        <v>4.8340045359999998E-3</v>
      </c>
      <c r="BN72" s="163">
        <v>-1.01389482E-3</v>
      </c>
      <c r="BO72" s="163">
        <v>1.2475165925E-2</v>
      </c>
      <c r="BP72" s="163">
        <v>4.3984132972000002E-3</v>
      </c>
      <c r="BQ72" s="171">
        <v>12</v>
      </c>
      <c r="BR72" s="171">
        <v>0</v>
      </c>
      <c r="BS72" s="171">
        <v>9</v>
      </c>
      <c r="BT72" s="171">
        <v>3</v>
      </c>
      <c r="BU72" s="172">
        <v>1.6917152558999999</v>
      </c>
      <c r="BV72" s="172">
        <v>0.55622556527</v>
      </c>
      <c r="BW72" s="163">
        <v>8.6979233871999995E-4</v>
      </c>
      <c r="BX72" s="163">
        <v>2.6681616212999998E-4</v>
      </c>
      <c r="BY72" s="161">
        <v>1.4882201181000001</v>
      </c>
      <c r="BZ72" s="163">
        <v>-1.1364702501000001E-3</v>
      </c>
      <c r="CA72" s="163">
        <v>-1.1364702501000001E-3</v>
      </c>
      <c r="CB72" s="154">
        <v>45201</v>
      </c>
      <c r="CC72" s="154">
        <v>45204</v>
      </c>
      <c r="CD72" s="173">
        <v>5</v>
      </c>
      <c r="CE72" s="174">
        <v>45208</v>
      </c>
      <c r="CF72" s="116"/>
    </row>
    <row r="73" spans="2:84" ht="15.6" x14ac:dyDescent="0.3">
      <c r="B73" s="98" t="s">
        <v>498</v>
      </c>
      <c r="C73" s="175" t="s">
        <v>663</v>
      </c>
      <c r="D73" s="176" t="s">
        <v>16</v>
      </c>
      <c r="E73" s="176" t="s">
        <v>228</v>
      </c>
      <c r="F73" s="177">
        <v>2846056000197</v>
      </c>
      <c r="G73" s="177" t="s">
        <v>818</v>
      </c>
      <c r="H73" s="177" t="s">
        <v>388</v>
      </c>
      <c r="I73" s="178">
        <v>14</v>
      </c>
      <c r="J73" s="179">
        <v>2</v>
      </c>
      <c r="K73" s="179" t="s">
        <v>126</v>
      </c>
      <c r="L73" s="179" t="s">
        <v>112</v>
      </c>
      <c r="M73" s="179" t="s">
        <v>106</v>
      </c>
      <c r="N73" s="179" t="s">
        <v>109</v>
      </c>
      <c r="O73" s="180">
        <v>480000</v>
      </c>
      <c r="P73" s="181">
        <v>480000000</v>
      </c>
      <c r="Q73" s="181">
        <v>1000</v>
      </c>
      <c r="R73" s="182">
        <v>44180</v>
      </c>
      <c r="S73" s="182">
        <v>47102</v>
      </c>
      <c r="T73" s="183" t="s">
        <v>754</v>
      </c>
      <c r="U73" s="183" t="s">
        <v>906</v>
      </c>
      <c r="V73" s="182" t="s">
        <v>105</v>
      </c>
      <c r="W73" s="182" t="s">
        <v>102</v>
      </c>
      <c r="X73" s="182" t="s">
        <v>1304</v>
      </c>
      <c r="Y73" s="182">
        <v>46249</v>
      </c>
      <c r="Z73" s="184">
        <f>IFERROR(INDEX(Base!G:G,MATCH('Debêntures IPCA-Spread'!Y73,Base!F:F,0)),"")</f>
        <v>6.5365000000000002</v>
      </c>
      <c r="AA73" s="115"/>
      <c r="AB73" s="185">
        <v>45552</v>
      </c>
      <c r="AC73" s="186">
        <v>6.3532999999999999</v>
      </c>
      <c r="AD73" s="187">
        <f t="shared" ref="AD73:AD104" si="4">IF(AND(Z73&lt;&gt;"",AC73&lt;&gt;""),AC73-Z73,"")</f>
        <v>-0.18320000000000025</v>
      </c>
      <c r="AE73" s="188">
        <v>0.16</v>
      </c>
      <c r="AF73" s="189">
        <v>6.5335000000000001</v>
      </c>
      <c r="AG73" s="189">
        <v>6.1684000000000001</v>
      </c>
      <c r="AH73" s="190">
        <v>1230.308458</v>
      </c>
      <c r="AI73" s="190">
        <v>1230.308458</v>
      </c>
      <c r="AJ73" s="191">
        <f t="shared" ref="AJ73:AJ104" si="5">IFERROR(AH73/AI73,"")</f>
        <v>1</v>
      </c>
      <c r="AK73" s="192">
        <v>45552</v>
      </c>
      <c r="AL73" s="193">
        <v>95.94</v>
      </c>
      <c r="AM73" s="194">
        <v>518</v>
      </c>
      <c r="AN73" s="115"/>
      <c r="AO73" s="195">
        <v>1.7543910271000001E-3</v>
      </c>
      <c r="AP73" s="196">
        <f>IF(AO73="","",AO73-AO$6)</f>
        <v>1.2742461421700001E-3</v>
      </c>
      <c r="AQ73" s="196">
        <v>5.6000971945000004E-3</v>
      </c>
      <c r="AR73" s="196">
        <f>IF(AQ73="","",AQ73-AQ$6)</f>
        <v>5.8176039474600004E-3</v>
      </c>
      <c r="AS73" s="196">
        <v>6.0763627379999997E-2</v>
      </c>
      <c r="AT73" s="196">
        <f>IF(AS73="","",AS73-AS$6)</f>
        <v>4.6037792324999993E-2</v>
      </c>
      <c r="AU73" s="196">
        <v>2.0558918956999999E-2</v>
      </c>
      <c r="AV73" s="196">
        <f>IF(AU73="","",AU73-AU$6)</f>
        <v>3.3627501552999997E-2</v>
      </c>
      <c r="AW73" s="196">
        <v>2.7672047671999999E-2</v>
      </c>
      <c r="AX73" s="196">
        <f>IF(AW73="","",AW73-AW$6)</f>
        <v>3.6769798839999986E-3</v>
      </c>
      <c r="AY73" s="196">
        <v>3.3312951642000002E-2</v>
      </c>
      <c r="AZ73" s="196">
        <f>IF(AY73="","",AY73-AY$6)</f>
        <v>1.9070696852000003E-2</v>
      </c>
      <c r="BA73" s="196">
        <v>8.9539112862999995E-2</v>
      </c>
      <c r="BB73" s="196">
        <f>IF(BA73="","",BA73-BA$6)</f>
        <v>3.6052148304999997E-2</v>
      </c>
      <c r="BC73" s="196">
        <v>0.22370783229999999</v>
      </c>
      <c r="BD73" s="196">
        <f>IF(BC73="","",BC73-BC$6)</f>
        <v>2.9399265809999992E-2</v>
      </c>
      <c r="BE73" s="196">
        <v>0.33055101139999998</v>
      </c>
      <c r="BF73" s="196">
        <f>IF(BE73="","",BE73-BE$6)</f>
        <v>6.8831671859999999E-2</v>
      </c>
      <c r="BG73" s="196"/>
      <c r="BH73" s="196" t="str">
        <f>IF(BG73="","",BG73-BG$6)</f>
        <v/>
      </c>
      <c r="BI73" s="196"/>
      <c r="BJ73" s="196" t="str">
        <f>IF(BI73="","",BI73-BI$6)</f>
        <v/>
      </c>
      <c r="BK73" s="197">
        <v>3.2079207724000001</v>
      </c>
      <c r="BL73" s="115"/>
      <c r="BM73" s="198">
        <v>7.4102296075999998E-3</v>
      </c>
      <c r="BN73" s="191">
        <v>-1.5838124657000002E-2</v>
      </c>
      <c r="BO73" s="191">
        <v>2.3762255292E-2</v>
      </c>
      <c r="BP73" s="191">
        <v>-9.1365768675999992E-3</v>
      </c>
      <c r="BQ73" s="199">
        <v>10</v>
      </c>
      <c r="BR73" s="199">
        <v>2</v>
      </c>
      <c r="BS73" s="199">
        <v>7</v>
      </c>
      <c r="BT73" s="199">
        <v>5</v>
      </c>
      <c r="BU73" s="200">
        <v>-0.60899014798999995</v>
      </c>
      <c r="BV73" s="200">
        <v>-0.36460966262</v>
      </c>
      <c r="BW73" s="191">
        <v>3.3081800324000002E-3</v>
      </c>
      <c r="BX73" s="191">
        <v>3.6078036334000001E-3</v>
      </c>
      <c r="BY73" s="189">
        <v>-2.5942185829</v>
      </c>
      <c r="BZ73" s="191">
        <v>-1.6701264372000001E-2</v>
      </c>
      <c r="CA73" s="191">
        <v>-1.6701264372000001E-2</v>
      </c>
      <c r="CB73" s="182">
        <v>45518</v>
      </c>
      <c r="CC73" s="182">
        <v>45520</v>
      </c>
      <c r="CD73" s="201">
        <v>16</v>
      </c>
      <c r="CE73" s="202">
        <v>45540</v>
      </c>
      <c r="CF73" s="116"/>
    </row>
    <row r="74" spans="2:84" ht="15.6" x14ac:dyDescent="0.3">
      <c r="B74" s="110" t="s">
        <v>1097</v>
      </c>
      <c r="C74" s="147" t="s">
        <v>1261</v>
      </c>
      <c r="D74" s="148" t="s">
        <v>16</v>
      </c>
      <c r="E74" s="148" t="s">
        <v>228</v>
      </c>
      <c r="F74" s="149">
        <v>2846056000197</v>
      </c>
      <c r="G74" s="149" t="s">
        <v>1158</v>
      </c>
      <c r="H74" s="149" t="s">
        <v>388</v>
      </c>
      <c r="I74" s="150">
        <v>15</v>
      </c>
      <c r="J74" s="151" t="s">
        <v>107</v>
      </c>
      <c r="K74" s="151" t="s">
        <v>126</v>
      </c>
      <c r="L74" s="151" t="s">
        <v>122</v>
      </c>
      <c r="M74" s="151" t="s">
        <v>106</v>
      </c>
      <c r="N74" s="151" t="s">
        <v>109</v>
      </c>
      <c r="O74" s="152">
        <v>545000</v>
      </c>
      <c r="P74" s="153">
        <v>545000000</v>
      </c>
      <c r="Q74" s="153">
        <v>1000</v>
      </c>
      <c r="R74" s="154">
        <v>44331</v>
      </c>
      <c r="S74" s="154">
        <v>48898</v>
      </c>
      <c r="T74" s="155" t="s">
        <v>1231</v>
      </c>
      <c r="U74" s="155" t="s">
        <v>1201</v>
      </c>
      <c r="V74" s="154" t="s">
        <v>105</v>
      </c>
      <c r="W74" s="154" t="s">
        <v>102</v>
      </c>
      <c r="X74" s="154" t="s">
        <v>1305</v>
      </c>
      <c r="Y74" s="154">
        <v>48441</v>
      </c>
      <c r="Z74" s="156">
        <f>IFERROR(INDEX(Base!G:G,MATCH('Debêntures IPCA-Spread'!Y74,Base!F:F,0)),"")</f>
        <v>6.3467000000000002</v>
      </c>
      <c r="AA74" s="115"/>
      <c r="AB74" s="157">
        <v>45552</v>
      </c>
      <c r="AC74" s="158">
        <v>6.6022999999999996</v>
      </c>
      <c r="AD74" s="159">
        <f t="shared" si="4"/>
        <v>0.25559999999999938</v>
      </c>
      <c r="AE74" s="160">
        <v>0.05</v>
      </c>
      <c r="AF74" s="161">
        <v>6.7615999999999996</v>
      </c>
      <c r="AG74" s="161">
        <v>6.4375999999999998</v>
      </c>
      <c r="AH74" s="162">
        <v>967.44813999999997</v>
      </c>
      <c r="AI74" s="162">
        <v>986.27848700000004</v>
      </c>
      <c r="AJ74" s="163">
        <f t="shared" si="5"/>
        <v>0.98090767744790108</v>
      </c>
      <c r="AK74" s="164">
        <v>45518</v>
      </c>
      <c r="AL74" s="165">
        <v>90.82</v>
      </c>
      <c r="AM74" s="166">
        <v>1467</v>
      </c>
      <c r="AN74" s="115"/>
      <c r="AO74" s="167">
        <v>4.9788374236000004E-4</v>
      </c>
      <c r="AP74" s="168">
        <f>IF(AO74="","",AO74-AO$6)</f>
        <v>1.7738857430000046E-5</v>
      </c>
      <c r="AQ74" s="168">
        <v>-3.2710626509999999E-3</v>
      </c>
      <c r="AR74" s="168">
        <f>IF(AQ74="","",AQ74-AQ$6)</f>
        <v>-3.0535558980399999E-3</v>
      </c>
      <c r="AS74" s="168">
        <v>4.4908365277999997E-2</v>
      </c>
      <c r="AT74" s="168">
        <f>IF(AS74="","",AS74-AS$6)</f>
        <v>3.0182530222999996E-2</v>
      </c>
      <c r="AU74" s="168">
        <v>-1.4582259017999999E-2</v>
      </c>
      <c r="AV74" s="168">
        <f>IF(AU74="","",AU74-AU$6)</f>
        <v>-1.5136764219999994E-3</v>
      </c>
      <c r="AW74" s="168">
        <v>2.7879641802000001E-2</v>
      </c>
      <c r="AX74" s="168">
        <f>IF(AW74="","",AW74-AW$6)</f>
        <v>3.8845740140000008E-3</v>
      </c>
      <c r="AY74" s="168">
        <v>1.7784936037000001E-2</v>
      </c>
      <c r="AZ74" s="168">
        <f>IF(AY74="","",AY74-AY$6)</f>
        <v>3.542681247000001E-3</v>
      </c>
      <c r="BA74" s="168">
        <v>7.4701183530000007E-2</v>
      </c>
      <c r="BB74" s="168">
        <f>IF(BA74="","",BA74-BA$6)</f>
        <v>2.1214218972000008E-2</v>
      </c>
      <c r="BC74" s="168">
        <v>0.23547114087000001</v>
      </c>
      <c r="BD74" s="168">
        <f>IF(BC74="","",BC74-BC$6)</f>
        <v>4.1162574380000011E-2</v>
      </c>
      <c r="BE74" s="168"/>
      <c r="BF74" s="168" t="str">
        <f>IF(BE74="","",BE74-BE$6)</f>
        <v/>
      </c>
      <c r="BG74" s="168"/>
      <c r="BH74" s="168" t="str">
        <f>IF(BG74="","",BG74-BG$6)</f>
        <v/>
      </c>
      <c r="BI74" s="168"/>
      <c r="BJ74" s="168" t="str">
        <f>IF(BI74="","",BI74-BI$6)</f>
        <v/>
      </c>
      <c r="BK74" s="169">
        <v>4.9638497424999999</v>
      </c>
      <c r="BL74" s="115"/>
      <c r="BM74" s="170">
        <v>9.0946963318999999E-3</v>
      </c>
      <c r="BN74" s="163">
        <v>-1.0202262944E-2</v>
      </c>
      <c r="BO74" s="163">
        <v>2.7564792133000001E-2</v>
      </c>
      <c r="BP74" s="163">
        <v>-1.6535506679E-2</v>
      </c>
      <c r="BQ74" s="171">
        <v>7</v>
      </c>
      <c r="BR74" s="171">
        <v>5</v>
      </c>
      <c r="BS74" s="171">
        <v>6</v>
      </c>
      <c r="BT74" s="171">
        <v>6</v>
      </c>
      <c r="BU74" s="172">
        <v>-0.64798773367999996</v>
      </c>
      <c r="BV74" s="172">
        <v>-0.13947175163</v>
      </c>
      <c r="BW74" s="163">
        <v>5.1280520041999999E-3</v>
      </c>
      <c r="BX74" s="163">
        <v>4.0941878089999998E-3</v>
      </c>
      <c r="BY74" s="161">
        <v>-4.2987169378000001</v>
      </c>
      <c r="BZ74" s="163">
        <v>-2.7895604195999998E-2</v>
      </c>
      <c r="CA74" s="163">
        <v>-2.7895604195999998E-2</v>
      </c>
      <c r="CB74" s="154">
        <v>45187</v>
      </c>
      <c r="CC74" s="154">
        <v>45202</v>
      </c>
      <c r="CD74" s="173">
        <v>48</v>
      </c>
      <c r="CE74" s="174">
        <v>45258</v>
      </c>
      <c r="CF74" s="116"/>
    </row>
    <row r="75" spans="2:84" ht="15.6" x14ac:dyDescent="0.3">
      <c r="B75" s="98" t="s">
        <v>1409</v>
      </c>
      <c r="C75" s="175" t="s">
        <v>2055</v>
      </c>
      <c r="D75" s="176" t="s">
        <v>16</v>
      </c>
      <c r="E75" s="176" t="s">
        <v>228</v>
      </c>
      <c r="F75" s="177">
        <v>2846056000197</v>
      </c>
      <c r="G75" s="177" t="s">
        <v>1768</v>
      </c>
      <c r="H75" s="177" t="s">
        <v>388</v>
      </c>
      <c r="I75" s="178">
        <v>16</v>
      </c>
      <c r="J75" s="179">
        <v>2</v>
      </c>
      <c r="K75" s="179" t="s">
        <v>126</v>
      </c>
      <c r="L75" s="179" t="s">
        <v>118</v>
      </c>
      <c r="M75" s="179" t="s">
        <v>106</v>
      </c>
      <c r="N75" s="179" t="s">
        <v>109</v>
      </c>
      <c r="O75" s="180">
        <v>1716000</v>
      </c>
      <c r="P75" s="181">
        <v>1716000000</v>
      </c>
      <c r="Q75" s="181">
        <v>1000</v>
      </c>
      <c r="R75" s="182">
        <v>44576</v>
      </c>
      <c r="S75" s="182">
        <v>49689</v>
      </c>
      <c r="T75" s="183" t="s">
        <v>1981</v>
      </c>
      <c r="U75" s="183" t="s">
        <v>1667</v>
      </c>
      <c r="V75" s="182" t="s">
        <v>105</v>
      </c>
      <c r="W75" s="182" t="s">
        <v>102</v>
      </c>
      <c r="X75" s="182" t="s">
        <v>1548</v>
      </c>
      <c r="Y75" s="182">
        <v>48714</v>
      </c>
      <c r="Z75" s="184">
        <f>IFERROR(INDEX(Base!G:G,MATCH('Debêntures IPCA-Spread'!Y75,Base!F:F,0)),"")</f>
        <v>6.3373999999999997</v>
      </c>
      <c r="AA75" s="115"/>
      <c r="AB75" s="185">
        <v>45552</v>
      </c>
      <c r="AC75" s="186">
        <v>6.5129000000000001</v>
      </c>
      <c r="AD75" s="187">
        <f t="shared" si="4"/>
        <v>0.17550000000000043</v>
      </c>
      <c r="AE75" s="188">
        <v>0.09</v>
      </c>
      <c r="AF75" s="189">
        <v>6.6672000000000002</v>
      </c>
      <c r="AG75" s="189">
        <v>6.4150999999999998</v>
      </c>
      <c r="AH75" s="190">
        <v>1140.3183429999999</v>
      </c>
      <c r="AI75" s="190">
        <v>1162.7555179999999</v>
      </c>
      <c r="AJ75" s="191">
        <f t="shared" si="5"/>
        <v>0.98070344569201173</v>
      </c>
      <c r="AK75" s="192">
        <v>45519</v>
      </c>
      <c r="AL75" s="193">
        <v>99.53</v>
      </c>
      <c r="AM75" s="194">
        <v>1682</v>
      </c>
      <c r="AN75" s="115"/>
      <c r="AO75" s="195">
        <v>-3.5533550544999997E-5</v>
      </c>
      <c r="AP75" s="196">
        <f>IF(AO75="","",AO75-AO$6)</f>
        <v>-5.1567843547500002E-4</v>
      </c>
      <c r="AQ75" s="196">
        <v>-2.6996441766E-3</v>
      </c>
      <c r="AR75" s="196">
        <f>IF(AQ75="","",AQ75-AQ$6)</f>
        <v>-2.48213742364E-3</v>
      </c>
      <c r="AS75" s="196">
        <v>5.2508820294000003E-2</v>
      </c>
      <c r="AT75" s="196">
        <f>IF(AS75="","",AS75-AS$6)</f>
        <v>3.7782985239000005E-2</v>
      </c>
      <c r="AU75" s="196">
        <v>-1.4569185235999999E-2</v>
      </c>
      <c r="AV75" s="196">
        <f>IF(AU75="","",AU75-AU$6)</f>
        <v>-1.5006026399999994E-3</v>
      </c>
      <c r="AW75" s="196">
        <v>2.7287163553E-2</v>
      </c>
      <c r="AX75" s="196">
        <f>IF(AW75="","",AW75-AW$6)</f>
        <v>3.2920957649999992E-3</v>
      </c>
      <c r="AY75" s="196">
        <v>1.3020269245E-2</v>
      </c>
      <c r="AZ75" s="196">
        <f>IF(AY75="","",AY75-AY$6)</f>
        <v>-1.2219855450000001E-3</v>
      </c>
      <c r="BA75" s="196">
        <v>8.8899954133000003E-2</v>
      </c>
      <c r="BB75" s="196">
        <f>IF(BA75="","",BA75-BA$6)</f>
        <v>3.5412989575000005E-2</v>
      </c>
      <c r="BC75" s="196">
        <v>0.27325045777000001</v>
      </c>
      <c r="BD75" s="196">
        <f>IF(BC75="","",BC75-BC$6)</f>
        <v>7.8941891280000009E-2</v>
      </c>
      <c r="BE75" s="196"/>
      <c r="BF75" s="196" t="str">
        <f>IF(BE75="","",BE75-BE$6)</f>
        <v/>
      </c>
      <c r="BG75" s="196"/>
      <c r="BH75" s="196" t="str">
        <f>IF(BG75="","",BG75-BG$6)</f>
        <v/>
      </c>
      <c r="BI75" s="196"/>
      <c r="BJ75" s="196" t="str">
        <f>IF(BI75="","",BI75-BI$6)</f>
        <v/>
      </c>
      <c r="BK75" s="197">
        <v>5.6028397757999997</v>
      </c>
      <c r="BL75" s="115"/>
      <c r="BM75" s="198">
        <v>9.6659518821999996E-3</v>
      </c>
      <c r="BN75" s="191">
        <v>-1.0888705125E-2</v>
      </c>
      <c r="BO75" s="191">
        <v>3.4108182553999999E-2</v>
      </c>
      <c r="BP75" s="191">
        <v>-2.5938090202000001E-2</v>
      </c>
      <c r="BQ75" s="199">
        <v>7</v>
      </c>
      <c r="BR75" s="199">
        <v>5</v>
      </c>
      <c r="BS75" s="199">
        <v>6</v>
      </c>
      <c r="BT75" s="199">
        <v>6</v>
      </c>
      <c r="BU75" s="200">
        <v>-0.33985263334999999</v>
      </c>
      <c r="BV75" s="200"/>
      <c r="BW75" s="191">
        <v>5.7894027982999998E-3</v>
      </c>
      <c r="BX75" s="191">
        <v>5.1328078178000001E-3</v>
      </c>
      <c r="BY75" s="189">
        <v>-2.8471656444</v>
      </c>
      <c r="BZ75" s="191">
        <v>-3.4176688945999997E-2</v>
      </c>
      <c r="CA75" s="191">
        <v>-3.4176688945999997E-2</v>
      </c>
      <c r="CB75" s="182">
        <v>45363</v>
      </c>
      <c r="CC75" s="182">
        <v>45412</v>
      </c>
      <c r="CD75" s="201">
        <v>84</v>
      </c>
      <c r="CE75" s="202">
        <v>45484</v>
      </c>
      <c r="CF75" s="116"/>
    </row>
    <row r="76" spans="2:84" ht="15.6" x14ac:dyDescent="0.3">
      <c r="B76" s="110" t="s">
        <v>1098</v>
      </c>
      <c r="C76" s="147" t="s">
        <v>1262</v>
      </c>
      <c r="D76" s="148" t="s">
        <v>1136</v>
      </c>
      <c r="E76" s="148" t="s">
        <v>103</v>
      </c>
      <c r="F76" s="149">
        <v>8467115000100</v>
      </c>
      <c r="G76" s="149" t="s">
        <v>1159</v>
      </c>
      <c r="H76" s="149" t="s">
        <v>388</v>
      </c>
      <c r="I76" s="150">
        <v>1</v>
      </c>
      <c r="J76" s="151">
        <v>2</v>
      </c>
      <c r="K76" s="151" t="s">
        <v>126</v>
      </c>
      <c r="L76" s="151" t="s">
        <v>112</v>
      </c>
      <c r="M76" s="151" t="s">
        <v>106</v>
      </c>
      <c r="N76" s="151" t="s">
        <v>109</v>
      </c>
      <c r="O76" s="152">
        <v>300000</v>
      </c>
      <c r="P76" s="153">
        <v>300000000</v>
      </c>
      <c r="Q76" s="153">
        <v>1000</v>
      </c>
      <c r="R76" s="154">
        <v>44423</v>
      </c>
      <c r="S76" s="154">
        <v>47345</v>
      </c>
      <c r="T76" s="155" t="s">
        <v>1232</v>
      </c>
      <c r="U76" s="155" t="s">
        <v>1202</v>
      </c>
      <c r="V76" s="154" t="s">
        <v>105</v>
      </c>
      <c r="W76" s="154" t="s">
        <v>102</v>
      </c>
      <c r="X76" s="154" t="s">
        <v>1306</v>
      </c>
      <c r="Y76" s="154">
        <v>47253</v>
      </c>
      <c r="Z76" s="156">
        <f>IFERROR(INDEX(Base!G:G,MATCH('Debêntures IPCA-Spread'!Y76,Base!F:F,0)),"")</f>
        <v>6.41</v>
      </c>
      <c r="AA76" s="115"/>
      <c r="AB76" s="157">
        <v>45552</v>
      </c>
      <c r="AC76" s="158">
        <v>6.6276000000000002</v>
      </c>
      <c r="AD76" s="159">
        <f t="shared" si="4"/>
        <v>0.21760000000000002</v>
      </c>
      <c r="AE76" s="160">
        <v>0.05</v>
      </c>
      <c r="AF76" s="161">
        <v>6.7088000000000001</v>
      </c>
      <c r="AG76" s="161">
        <v>6.4997999999999996</v>
      </c>
      <c r="AH76" s="162">
        <v>1146.9323220000001</v>
      </c>
      <c r="AI76" s="162">
        <v>1151.3713</v>
      </c>
      <c r="AJ76" s="163">
        <f t="shared" si="5"/>
        <v>0.99614461642391128</v>
      </c>
      <c r="AK76" s="164">
        <v>45518</v>
      </c>
      <c r="AL76" s="165">
        <v>95.69</v>
      </c>
      <c r="AM76" s="166">
        <v>989</v>
      </c>
      <c r="AN76" s="115"/>
      <c r="AO76" s="167">
        <v>3.4372774461999999E-4</v>
      </c>
      <c r="AP76" s="168">
        <f>IF(AO76="","",AO76-AO$6)</f>
        <v>-1.3641714031000001E-4</v>
      </c>
      <c r="AQ76" s="168">
        <v>3.4993764311000001E-3</v>
      </c>
      <c r="AR76" s="168">
        <f>IF(AQ76="","",AQ76-AQ$6)</f>
        <v>3.7168831840600001E-3</v>
      </c>
      <c r="AS76" s="168">
        <v>5.8027218089E-2</v>
      </c>
      <c r="AT76" s="168">
        <f>IF(AS76="","",AS76-AS$6)</f>
        <v>4.3301383033999996E-2</v>
      </c>
      <c r="AU76" s="168">
        <v>1.065377959E-3</v>
      </c>
      <c r="AV76" s="168">
        <f>IF(AU76="","",AU76-AU$6)</f>
        <v>1.4133960555E-2</v>
      </c>
      <c r="AW76" s="168">
        <v>2.7188482149999998E-2</v>
      </c>
      <c r="AX76" s="168">
        <f>IF(AW76="","",AW76-AW$6)</f>
        <v>3.193414361999998E-3</v>
      </c>
      <c r="AY76" s="168">
        <v>2.640683336E-2</v>
      </c>
      <c r="AZ76" s="168">
        <f>IF(AY76="","",AY76-AY$6)</f>
        <v>1.2164578569999999E-2</v>
      </c>
      <c r="BA76" s="168">
        <v>8.5653809188999994E-2</v>
      </c>
      <c r="BB76" s="168">
        <f>IF(BA76="","",BA76-BA$6)</f>
        <v>3.2166844630999995E-2</v>
      </c>
      <c r="BC76" s="168">
        <v>0.22834607924</v>
      </c>
      <c r="BD76" s="168">
        <f>IF(BC76="","",BC76-BC$6)</f>
        <v>3.4037512749999999E-2</v>
      </c>
      <c r="BE76" s="168"/>
      <c r="BF76" s="168" t="str">
        <f>IF(BE76="","",BE76-BE$6)</f>
        <v/>
      </c>
      <c r="BG76" s="168"/>
      <c r="BH76" s="168" t="str">
        <f>IF(BG76="","",BG76-BG$6)</f>
        <v/>
      </c>
      <c r="BI76" s="168"/>
      <c r="BJ76" s="168" t="str">
        <f>IF(BI76="","",BI76-BI$6)</f>
        <v/>
      </c>
      <c r="BK76" s="169">
        <v>3.9010444149999999</v>
      </c>
      <c r="BL76" s="115"/>
      <c r="BM76" s="170">
        <v>8.5006527115000004E-3</v>
      </c>
      <c r="BN76" s="163">
        <v>-7.2701988920000002E-3</v>
      </c>
      <c r="BO76" s="163">
        <v>2.4920081667000001E-2</v>
      </c>
      <c r="BP76" s="163">
        <v>-1.6139422612999998E-2</v>
      </c>
      <c r="BQ76" s="171">
        <v>9</v>
      </c>
      <c r="BR76" s="171">
        <v>3</v>
      </c>
      <c r="BS76" s="171">
        <v>7</v>
      </c>
      <c r="BT76" s="171">
        <v>5</v>
      </c>
      <c r="BU76" s="172">
        <v>-0.58334907191999996</v>
      </c>
      <c r="BV76" s="172">
        <v>-0.39009193503</v>
      </c>
      <c r="BW76" s="163">
        <v>4.0298799605999998E-3</v>
      </c>
      <c r="BX76" s="163">
        <v>2.8850220957000001E-3</v>
      </c>
      <c r="BY76" s="161">
        <v>-3.0827032664999998</v>
      </c>
      <c r="BZ76" s="163">
        <v>-2.0601399195000002E-2</v>
      </c>
      <c r="CA76" s="163">
        <v>-2.0601399195000002E-2</v>
      </c>
      <c r="CB76" s="154">
        <v>45187</v>
      </c>
      <c r="CC76" s="154">
        <v>45202</v>
      </c>
      <c r="CD76" s="173">
        <v>47</v>
      </c>
      <c r="CE76" s="174">
        <v>45257</v>
      </c>
      <c r="CF76" s="116"/>
    </row>
    <row r="77" spans="2:84" ht="15.6" x14ac:dyDescent="0.3">
      <c r="B77" s="98" t="s">
        <v>1410</v>
      </c>
      <c r="C77" s="175" t="s">
        <v>2056</v>
      </c>
      <c r="D77" s="176" t="s">
        <v>1136</v>
      </c>
      <c r="E77" s="176" t="s">
        <v>103</v>
      </c>
      <c r="F77" s="177">
        <v>8467115000100</v>
      </c>
      <c r="G77" s="177" t="s">
        <v>1769</v>
      </c>
      <c r="H77" s="177" t="s">
        <v>388</v>
      </c>
      <c r="I77" s="178">
        <v>2</v>
      </c>
      <c r="J77" s="179">
        <v>1</v>
      </c>
      <c r="K77" s="179" t="s">
        <v>126</v>
      </c>
      <c r="L77" s="179" t="s">
        <v>2468</v>
      </c>
      <c r="M77" s="179" t="s">
        <v>114</v>
      </c>
      <c r="N77" s="179" t="s">
        <v>109</v>
      </c>
      <c r="O77" s="180">
        <v>250000</v>
      </c>
      <c r="P77" s="181">
        <v>250000000</v>
      </c>
      <c r="Q77" s="181">
        <v>1000</v>
      </c>
      <c r="R77" s="182">
        <v>44910</v>
      </c>
      <c r="S77" s="182">
        <v>47467</v>
      </c>
      <c r="T77" s="183" t="s">
        <v>1982</v>
      </c>
      <c r="U77" s="183" t="s">
        <v>161</v>
      </c>
      <c r="V77" s="182" t="s">
        <v>105</v>
      </c>
      <c r="W77" s="182" t="s">
        <v>102</v>
      </c>
      <c r="X77" s="182" t="s">
        <v>1549</v>
      </c>
      <c r="Y77" s="182">
        <v>47253</v>
      </c>
      <c r="Z77" s="184">
        <f>IFERROR(INDEX(Base!G:G,MATCH('Debêntures IPCA-Spread'!Y77,Base!F:F,0)),"")</f>
        <v>6.41</v>
      </c>
      <c r="AA77" s="115"/>
      <c r="AB77" s="185">
        <v>45552</v>
      </c>
      <c r="AC77" s="186">
        <v>6.6130000000000004</v>
      </c>
      <c r="AD77" s="187">
        <f t="shared" si="4"/>
        <v>0.20300000000000029</v>
      </c>
      <c r="AE77" s="188">
        <v>7.0000000000000007E-2</v>
      </c>
      <c r="AF77" s="189">
        <v>6.7622</v>
      </c>
      <c r="AG77" s="189">
        <v>6.4859999999999998</v>
      </c>
      <c r="AH77" s="190">
        <v>1125.3953529999999</v>
      </c>
      <c r="AI77" s="190"/>
      <c r="AJ77" s="191" t="str">
        <f t="shared" si="5"/>
        <v/>
      </c>
      <c r="AK77" s="192"/>
      <c r="AL77" s="193">
        <v>102.22</v>
      </c>
      <c r="AM77" s="194">
        <v>1104</v>
      </c>
      <c r="AN77" s="115"/>
      <c r="AO77" s="195">
        <v>-5.4977183025999997E-4</v>
      </c>
      <c r="AP77" s="196">
        <f>IF(AO77="","",AO77-AO$6)</f>
        <v>-1.02991671519E-3</v>
      </c>
      <c r="AQ77" s="196">
        <v>4.6593066562999998E-3</v>
      </c>
      <c r="AR77" s="196">
        <f>IF(AQ77="","",AQ77-AQ$6)</f>
        <v>4.8768134092599998E-3</v>
      </c>
      <c r="AS77" s="196">
        <v>5.5335318100000003E-2</v>
      </c>
      <c r="AT77" s="196">
        <f>IF(AS77="","",AS77-AS$6)</f>
        <v>4.0609483045000005E-2</v>
      </c>
      <c r="AU77" s="196">
        <v>-1.9570900577E-3</v>
      </c>
      <c r="AV77" s="196">
        <f>IF(AU77="","",AU77-AU$6)</f>
        <v>1.1111492538299999E-2</v>
      </c>
      <c r="AW77" s="196">
        <v>3.0400747257E-2</v>
      </c>
      <c r="AX77" s="196">
        <f>IF(AW77="","",AW77-AW$6)</f>
        <v>6.4056794689999995E-3</v>
      </c>
      <c r="AY77" s="196">
        <v>2.1328656489000002E-2</v>
      </c>
      <c r="AZ77" s="196">
        <f>IF(AY77="","",AY77-AY$6)</f>
        <v>7.0864016990000011E-3</v>
      </c>
      <c r="BA77" s="196"/>
      <c r="BB77" s="196" t="str">
        <f>IF(BA77="","",BA77-BA$6)</f>
        <v/>
      </c>
      <c r="BC77" s="196"/>
      <c r="BD77" s="196" t="str">
        <f>IF(BC77="","",BC77-BC$6)</f>
        <v/>
      </c>
      <c r="BE77" s="196"/>
      <c r="BF77" s="196" t="str">
        <f>IF(BE77="","",BE77-BE$6)</f>
        <v/>
      </c>
      <c r="BG77" s="196"/>
      <c r="BH77" s="196" t="str">
        <f>IF(BG77="","",BG77-BG$6)</f>
        <v/>
      </c>
      <c r="BI77" s="196"/>
      <c r="BJ77" s="196" t="str">
        <f>IF(BI77="","",BI77-BI$6)</f>
        <v/>
      </c>
      <c r="BK77" s="197">
        <v>4.3025020472</v>
      </c>
      <c r="BL77" s="115"/>
      <c r="BM77" s="198">
        <v>1.201047205E-2</v>
      </c>
      <c r="BN77" s="191">
        <v>-1.0934627812000001E-2</v>
      </c>
      <c r="BO77" s="191">
        <v>2.8132400100999998E-2</v>
      </c>
      <c r="BP77" s="191">
        <v>-1.8209874481000001E-2</v>
      </c>
      <c r="BQ77" s="199">
        <v>9</v>
      </c>
      <c r="BR77" s="199">
        <v>3</v>
      </c>
      <c r="BS77" s="199">
        <v>5</v>
      </c>
      <c r="BT77" s="199">
        <v>7</v>
      </c>
      <c r="BU77" s="200">
        <v>-0.38743746842999999</v>
      </c>
      <c r="BV77" s="200"/>
      <c r="BW77" s="191">
        <v>4.4466088889999998E-3</v>
      </c>
      <c r="BX77" s="191">
        <v>4.0571518415999999E-3</v>
      </c>
      <c r="BY77" s="189">
        <v>-2.9531420153000001</v>
      </c>
      <c r="BZ77" s="191">
        <v>-1.8943809990000001E-2</v>
      </c>
      <c r="CA77" s="191">
        <v>-1.8943809990000001E-2</v>
      </c>
      <c r="CB77" s="182">
        <v>45364</v>
      </c>
      <c r="CC77" s="182">
        <v>45412</v>
      </c>
      <c r="CD77" s="201">
        <v>82</v>
      </c>
      <c r="CE77" s="202">
        <v>45483</v>
      </c>
      <c r="CF77" s="116"/>
    </row>
    <row r="78" spans="2:84" ht="15.6" x14ac:dyDescent="0.3">
      <c r="B78" s="110" t="s">
        <v>2216</v>
      </c>
      <c r="C78" s="147" t="s">
        <v>2601</v>
      </c>
      <c r="D78" s="148" t="s">
        <v>1136</v>
      </c>
      <c r="E78" s="148" t="s">
        <v>103</v>
      </c>
      <c r="F78" s="149">
        <v>8467115000100</v>
      </c>
      <c r="G78" s="149" t="s">
        <v>2351</v>
      </c>
      <c r="H78" s="149" t="s">
        <v>388</v>
      </c>
      <c r="I78" s="150">
        <v>3</v>
      </c>
      <c r="J78" s="151" t="s">
        <v>107</v>
      </c>
      <c r="K78" s="151" t="s">
        <v>126</v>
      </c>
      <c r="L78" s="151" t="s">
        <v>112</v>
      </c>
      <c r="M78" s="151" t="s">
        <v>114</v>
      </c>
      <c r="N78" s="151" t="s">
        <v>109</v>
      </c>
      <c r="O78" s="152">
        <v>180000</v>
      </c>
      <c r="P78" s="153">
        <v>180000000</v>
      </c>
      <c r="Q78" s="153">
        <v>1000</v>
      </c>
      <c r="R78" s="154">
        <v>45122</v>
      </c>
      <c r="S78" s="154">
        <v>47679</v>
      </c>
      <c r="T78" s="155" t="s">
        <v>1972</v>
      </c>
      <c r="U78" s="155" t="s">
        <v>2725</v>
      </c>
      <c r="V78" s="154" t="s">
        <v>105</v>
      </c>
      <c r="W78" s="154" t="s">
        <v>102</v>
      </c>
      <c r="X78" s="154" t="s">
        <v>1623</v>
      </c>
      <c r="Y78" s="154">
        <v>47253</v>
      </c>
      <c r="Z78" s="156">
        <f>IFERROR(INDEX(Base!G:G,MATCH('Debêntures IPCA-Spread'!Y78,Base!F:F,0)),"")</f>
        <v>6.41</v>
      </c>
      <c r="AA78" s="115"/>
      <c r="AB78" s="157">
        <v>45552</v>
      </c>
      <c r="AC78" s="158">
        <v>6.5243000000000002</v>
      </c>
      <c r="AD78" s="159">
        <f t="shared" si="4"/>
        <v>0.11430000000000007</v>
      </c>
      <c r="AE78" s="160">
        <v>0.15</v>
      </c>
      <c r="AF78" s="161">
        <v>6.7539999999999996</v>
      </c>
      <c r="AG78" s="161">
        <v>6.4275000000000002</v>
      </c>
      <c r="AH78" s="162">
        <v>1056.29043</v>
      </c>
      <c r="AI78" s="162"/>
      <c r="AJ78" s="163" t="str">
        <f t="shared" si="5"/>
        <v/>
      </c>
      <c r="AK78" s="164"/>
      <c r="AL78" s="165">
        <v>99.9</v>
      </c>
      <c r="AM78" s="166">
        <v>1136</v>
      </c>
      <c r="AN78" s="115"/>
      <c r="AO78" s="167">
        <v>1.4578316677E-3</v>
      </c>
      <c r="AP78" s="168">
        <f>IF(AO78="","",AO78-AO$6)</f>
        <v>9.7768678277000004E-4</v>
      </c>
      <c r="AQ78" s="168">
        <v>6.2595196305000001E-3</v>
      </c>
      <c r="AR78" s="168">
        <f>IF(AQ78="","",AQ78-AQ$6)</f>
        <v>6.4770263834600002E-3</v>
      </c>
      <c r="AS78" s="168">
        <v>6.3801644744999997E-2</v>
      </c>
      <c r="AT78" s="168">
        <f>IF(AS78="","",AS78-AS$6)</f>
        <v>4.907580969E-2</v>
      </c>
      <c r="AU78" s="168">
        <v>-2.7141931932E-3</v>
      </c>
      <c r="AV78" s="168">
        <f>IF(AU78="","",AU78-AU$6)</f>
        <v>1.03543894028E-2</v>
      </c>
      <c r="AW78" s="168">
        <v>3.4542693127E-2</v>
      </c>
      <c r="AX78" s="168">
        <f>IF(AW78="","",AW78-AW$6)</f>
        <v>1.0547625339E-2</v>
      </c>
      <c r="AY78" s="168">
        <v>2.5685025637000002E-2</v>
      </c>
      <c r="AZ78" s="168">
        <f>IF(AY78="","",AY78-AY$6)</f>
        <v>1.1442770847000001E-2</v>
      </c>
      <c r="BA78" s="168"/>
      <c r="BB78" s="168" t="str">
        <f>IF(BA78="","",BA78-BA$6)</f>
        <v/>
      </c>
      <c r="BC78" s="168"/>
      <c r="BD78" s="168" t="str">
        <f>IF(BC78="","",BC78-BC$6)</f>
        <v/>
      </c>
      <c r="BE78" s="168"/>
      <c r="BF78" s="168" t="str">
        <f>IF(BE78="","",BE78-BE$6)</f>
        <v/>
      </c>
      <c r="BG78" s="168"/>
      <c r="BH78" s="168" t="str">
        <f>IF(BG78="","",BG78-BG$6)</f>
        <v/>
      </c>
      <c r="BI78" s="168"/>
      <c r="BJ78" s="168" t="str">
        <f>IF(BI78="","",BI78-BI$6)</f>
        <v/>
      </c>
      <c r="BK78" s="169"/>
      <c r="BL78" s="115"/>
      <c r="BM78" s="170">
        <v>1.4532124646999999E-2</v>
      </c>
      <c r="BN78" s="163">
        <v>-8.3956357620999997E-3</v>
      </c>
      <c r="BO78" s="163">
        <v>3.1079781670999999E-2</v>
      </c>
      <c r="BP78" s="163">
        <v>-2.1328722553000001E-2</v>
      </c>
      <c r="BQ78" s="171"/>
      <c r="BR78" s="171"/>
      <c r="BS78" s="171"/>
      <c r="BT78" s="171"/>
      <c r="BU78" s="172"/>
      <c r="BV78" s="172"/>
      <c r="BW78" s="163"/>
      <c r="BX78" s="163">
        <v>4.6480296265999999E-3</v>
      </c>
      <c r="BY78" s="161"/>
      <c r="BZ78" s="163">
        <v>-2.2128254154999999E-2</v>
      </c>
      <c r="CA78" s="163">
        <v>-2.2128254154999999E-2</v>
      </c>
      <c r="CB78" s="154">
        <v>45371</v>
      </c>
      <c r="CC78" s="154">
        <v>45474</v>
      </c>
      <c r="CD78" s="173">
        <v>81</v>
      </c>
      <c r="CE78" s="174">
        <v>45489</v>
      </c>
      <c r="CF78" s="116"/>
    </row>
    <row r="79" spans="2:84" ht="15.6" x14ac:dyDescent="0.3">
      <c r="B79" s="98" t="s">
        <v>2217</v>
      </c>
      <c r="C79" s="175" t="s">
        <v>2602</v>
      </c>
      <c r="D79" s="176" t="s">
        <v>2850</v>
      </c>
      <c r="E79" s="176" t="s">
        <v>226</v>
      </c>
      <c r="F79" s="177">
        <v>92715812000131</v>
      </c>
      <c r="G79" s="177" t="s">
        <v>2352</v>
      </c>
      <c r="H79" s="177" t="s">
        <v>388</v>
      </c>
      <c r="I79" s="178">
        <v>10</v>
      </c>
      <c r="J79" s="179" t="s">
        <v>107</v>
      </c>
      <c r="K79" s="179" t="s">
        <v>126</v>
      </c>
      <c r="L79" s="179" t="s">
        <v>112</v>
      </c>
      <c r="M79" s="179" t="s">
        <v>114</v>
      </c>
      <c r="N79" s="179" t="s">
        <v>109</v>
      </c>
      <c r="O79" s="180">
        <v>450000</v>
      </c>
      <c r="P79" s="181">
        <v>450000000</v>
      </c>
      <c r="Q79" s="181">
        <v>1000</v>
      </c>
      <c r="R79" s="182">
        <v>45214</v>
      </c>
      <c r="S79" s="182">
        <v>48867</v>
      </c>
      <c r="T79" s="183" t="s">
        <v>2771</v>
      </c>
      <c r="U79" s="183" t="s">
        <v>2711</v>
      </c>
      <c r="V79" s="182" t="s">
        <v>105</v>
      </c>
      <c r="W79" s="182" t="s">
        <v>102</v>
      </c>
      <c r="X79" s="182" t="s">
        <v>2471</v>
      </c>
      <c r="Y79" s="182">
        <v>48441</v>
      </c>
      <c r="Z79" s="184">
        <f>IFERROR(INDEX(Base!G:G,MATCH('Debêntures IPCA-Spread'!Y79,Base!F:F,0)),"")</f>
        <v>6.3467000000000002</v>
      </c>
      <c r="AA79" s="115"/>
      <c r="AB79" s="185">
        <v>45552</v>
      </c>
      <c r="AC79" s="186">
        <v>6.3773999999999997</v>
      </c>
      <c r="AD79" s="187">
        <f t="shared" si="4"/>
        <v>3.0699999999999505E-2</v>
      </c>
      <c r="AE79" s="188">
        <v>0.08</v>
      </c>
      <c r="AF79" s="189">
        <v>6.5936000000000003</v>
      </c>
      <c r="AG79" s="189">
        <v>6.2495000000000003</v>
      </c>
      <c r="AH79" s="190">
        <v>1052.66912</v>
      </c>
      <c r="AI79" s="190"/>
      <c r="AJ79" s="191" t="str">
        <f t="shared" si="5"/>
        <v/>
      </c>
      <c r="AK79" s="192"/>
      <c r="AL79" s="193">
        <v>98.82</v>
      </c>
      <c r="AM79" s="194">
        <v>1582</v>
      </c>
      <c r="AN79" s="115"/>
      <c r="AO79" s="195">
        <v>4.5228099406999998E-4</v>
      </c>
      <c r="AP79" s="196">
        <f>IF(AO79="","",AO79-AO$6)</f>
        <v>-2.7863890860000014E-5</v>
      </c>
      <c r="AQ79" s="196">
        <v>1.2118747453999999E-3</v>
      </c>
      <c r="AR79" s="196">
        <f>IF(AQ79="","",AQ79-AQ$6)</f>
        <v>1.4293814983599999E-3</v>
      </c>
      <c r="AS79" s="196">
        <v>5.3100567901999997E-2</v>
      </c>
      <c r="AT79" s="196">
        <f>IF(AS79="","",AS79-AS$6)</f>
        <v>3.8374732846999993E-2</v>
      </c>
      <c r="AU79" s="196">
        <v>-1.0418149918999999E-2</v>
      </c>
      <c r="AV79" s="196">
        <f>IF(AU79="","",AU79-AU$6)</f>
        <v>2.6504326770000006E-3</v>
      </c>
      <c r="AW79" s="196">
        <v>4.4460257716999997E-2</v>
      </c>
      <c r="AX79" s="196">
        <f>IF(AW79="","",AW79-AW$6)</f>
        <v>2.0465189928999997E-2</v>
      </c>
      <c r="AY79" s="196">
        <v>2.3328380914E-2</v>
      </c>
      <c r="AZ79" s="196">
        <f>IF(AY79="","",AY79-AY$6)</f>
        <v>9.0861261239999994E-3</v>
      </c>
      <c r="BA79" s="196"/>
      <c r="BB79" s="196" t="str">
        <f>IF(BA79="","",BA79-BA$6)</f>
        <v/>
      </c>
      <c r="BC79" s="196"/>
      <c r="BD79" s="196" t="str">
        <f>IF(BC79="","",BC79-BC$6)</f>
        <v/>
      </c>
      <c r="BE79" s="196"/>
      <c r="BF79" s="196" t="str">
        <f>IF(BE79="","",BE79-BE$6)</f>
        <v/>
      </c>
      <c r="BG79" s="196"/>
      <c r="BH79" s="196" t="str">
        <f>IF(BG79="","",BG79-BG$6)</f>
        <v/>
      </c>
      <c r="BI79" s="196"/>
      <c r="BJ79" s="196" t="str">
        <f>IF(BI79="","",BI79-BI$6)</f>
        <v/>
      </c>
      <c r="BK79" s="197"/>
      <c r="BL79" s="115"/>
      <c r="BM79" s="198">
        <v>1.3460669648000001E-2</v>
      </c>
      <c r="BN79" s="191">
        <v>-1.0201248962E-2</v>
      </c>
      <c r="BO79" s="191">
        <v>3.3971405529999998E-2</v>
      </c>
      <c r="BP79" s="191">
        <v>-2.4148213004E-2</v>
      </c>
      <c r="BQ79" s="199"/>
      <c r="BR79" s="199"/>
      <c r="BS79" s="199"/>
      <c r="BT79" s="199"/>
      <c r="BU79" s="200"/>
      <c r="BV79" s="200"/>
      <c r="BW79" s="191"/>
      <c r="BX79" s="191">
        <v>4.8672000117999997E-3</v>
      </c>
      <c r="BY79" s="189"/>
      <c r="BZ79" s="191">
        <v>-3.1842364791E-2</v>
      </c>
      <c r="CA79" s="191">
        <v>-3.1842364791E-2</v>
      </c>
      <c r="CB79" s="182">
        <v>45364</v>
      </c>
      <c r="CC79" s="182">
        <v>45475</v>
      </c>
      <c r="CD79" s="201">
        <v>98</v>
      </c>
      <c r="CE79" s="202">
        <v>45505</v>
      </c>
      <c r="CF79" s="116"/>
    </row>
    <row r="80" spans="2:84" ht="15.6" x14ac:dyDescent="0.3">
      <c r="B80" s="110" t="s">
        <v>2218</v>
      </c>
      <c r="C80" s="147" t="s">
        <v>2603</v>
      </c>
      <c r="D80" s="148" t="s">
        <v>2850</v>
      </c>
      <c r="E80" s="148" t="s">
        <v>226</v>
      </c>
      <c r="F80" s="149">
        <v>92715812000131</v>
      </c>
      <c r="G80" s="149" t="s">
        <v>2353</v>
      </c>
      <c r="H80" s="149" t="s">
        <v>388</v>
      </c>
      <c r="I80" s="150">
        <v>11</v>
      </c>
      <c r="J80" s="151">
        <v>1</v>
      </c>
      <c r="K80" s="151" t="s">
        <v>126</v>
      </c>
      <c r="L80" s="151" t="s">
        <v>112</v>
      </c>
      <c r="M80" s="151" t="s">
        <v>114</v>
      </c>
      <c r="N80" s="151" t="s">
        <v>109</v>
      </c>
      <c r="O80" s="152">
        <v>508000</v>
      </c>
      <c r="P80" s="153">
        <v>508000000</v>
      </c>
      <c r="Q80" s="153">
        <v>1000</v>
      </c>
      <c r="R80" s="154">
        <v>45397</v>
      </c>
      <c r="S80" s="154">
        <v>49049</v>
      </c>
      <c r="T80" s="155" t="s">
        <v>2816</v>
      </c>
      <c r="U80" s="155" t="s">
        <v>2712</v>
      </c>
      <c r="V80" s="154" t="s">
        <v>105</v>
      </c>
      <c r="W80" s="154" t="s">
        <v>102</v>
      </c>
      <c r="X80" s="154" t="s">
        <v>2488</v>
      </c>
      <c r="Y80" s="154">
        <v>48714</v>
      </c>
      <c r="Z80" s="156">
        <f>IFERROR(INDEX(Base!G:G,MATCH('Debêntures IPCA-Spread'!Y80,Base!F:F,0)),"")</f>
        <v>6.3373999999999997</v>
      </c>
      <c r="AA80" s="115"/>
      <c r="AB80" s="157">
        <v>45552</v>
      </c>
      <c r="AC80" s="158">
        <v>6.3848000000000003</v>
      </c>
      <c r="AD80" s="159">
        <f t="shared" si="4"/>
        <v>4.7400000000000553E-2</v>
      </c>
      <c r="AE80" s="160">
        <v>0.08</v>
      </c>
      <c r="AF80" s="161">
        <v>6.6029999999999998</v>
      </c>
      <c r="AG80" s="161">
        <v>6.3113999999999999</v>
      </c>
      <c r="AH80" s="162">
        <v>1011.677</v>
      </c>
      <c r="AI80" s="162"/>
      <c r="AJ80" s="163" t="str">
        <f t="shared" si="5"/>
        <v/>
      </c>
      <c r="AK80" s="164"/>
      <c r="AL80" s="165">
        <v>98.23</v>
      </c>
      <c r="AM80" s="166">
        <v>1671</v>
      </c>
      <c r="AN80" s="115"/>
      <c r="AO80" s="167">
        <v>1.8348789745000001E-3</v>
      </c>
      <c r="AP80" s="168">
        <f>IF(AO80="","",AO80-AO$6)</f>
        <v>1.3547340895700001E-3</v>
      </c>
      <c r="AQ80" s="168">
        <v>1.1309652745E-3</v>
      </c>
      <c r="AR80" s="168">
        <f>IF(AQ80="","",AQ80-AQ$6)</f>
        <v>1.3484720274600001E-3</v>
      </c>
      <c r="AS80" s="168"/>
      <c r="AT80" s="168" t="str">
        <f>IF(AS80="","",AS80-AS$6)</f>
        <v/>
      </c>
      <c r="AU80" s="168">
        <v>-1.5897831112999999E-2</v>
      </c>
      <c r="AV80" s="168">
        <f>IF(AU80="","",AU80-AU$6)</f>
        <v>-2.8292485169999996E-3</v>
      </c>
      <c r="AW80" s="168"/>
      <c r="AX80" s="168" t="str">
        <f>IF(AW80="","",AW80-AW$6)</f>
        <v/>
      </c>
      <c r="AY80" s="168"/>
      <c r="AZ80" s="168" t="str">
        <f>IF(AY80="","",AY80-AY$6)</f>
        <v/>
      </c>
      <c r="BA80" s="168"/>
      <c r="BB80" s="168" t="str">
        <f>IF(BA80="","",BA80-BA$6)</f>
        <v/>
      </c>
      <c r="BC80" s="168"/>
      <c r="BD80" s="168" t="str">
        <f>IF(BC80="","",BC80-BC$6)</f>
        <v/>
      </c>
      <c r="BE80" s="168"/>
      <c r="BF80" s="168" t="str">
        <f>IF(BE80="","",BE80-BE$6)</f>
        <v/>
      </c>
      <c r="BG80" s="168"/>
      <c r="BH80" s="168" t="str">
        <f>IF(BG80="","",BG80-BG$6)</f>
        <v/>
      </c>
      <c r="BI80" s="168"/>
      <c r="BJ80" s="168" t="str">
        <f>IF(BI80="","",BI80-BI$6)</f>
        <v/>
      </c>
      <c r="BK80" s="169"/>
      <c r="BL80" s="115"/>
      <c r="BM80" s="170">
        <v>9.6898823302999995E-3</v>
      </c>
      <c r="BN80" s="163">
        <v>-6.4157469796999999E-3</v>
      </c>
      <c r="BO80" s="163">
        <v>3.3717044788999999E-2</v>
      </c>
      <c r="BP80" s="163">
        <v>1.1309652745E-3</v>
      </c>
      <c r="BQ80" s="171"/>
      <c r="BR80" s="171"/>
      <c r="BS80" s="171"/>
      <c r="BT80" s="171"/>
      <c r="BU80" s="172"/>
      <c r="BV80" s="172"/>
      <c r="BW80" s="163"/>
      <c r="BX80" s="163">
        <v>4.9802625206999997E-3</v>
      </c>
      <c r="BY80" s="161"/>
      <c r="BZ80" s="163">
        <v>-1.5477370488999999E-2</v>
      </c>
      <c r="CA80" s="163">
        <v>-1.8699989220000001E-2</v>
      </c>
      <c r="CB80" s="154">
        <v>45518</v>
      </c>
      <c r="CC80" s="154">
        <v>45537</v>
      </c>
      <c r="CD80" s="173"/>
      <c r="CE80" s="174"/>
      <c r="CF80" s="116"/>
    </row>
    <row r="81" spans="2:84" ht="15.6" x14ac:dyDescent="0.3">
      <c r="B81" s="98" t="s">
        <v>2219</v>
      </c>
      <c r="C81" s="175" t="s">
        <v>2604</v>
      </c>
      <c r="D81" s="176" t="s">
        <v>2850</v>
      </c>
      <c r="E81" s="176" t="s">
        <v>226</v>
      </c>
      <c r="F81" s="177">
        <v>92715812000131</v>
      </c>
      <c r="G81" s="177" t="s">
        <v>2354</v>
      </c>
      <c r="H81" s="177" t="s">
        <v>388</v>
      </c>
      <c r="I81" s="178">
        <v>11</v>
      </c>
      <c r="J81" s="179">
        <v>2</v>
      </c>
      <c r="K81" s="179" t="s">
        <v>126</v>
      </c>
      <c r="L81" s="179" t="s">
        <v>112</v>
      </c>
      <c r="M81" s="179" t="s">
        <v>114</v>
      </c>
      <c r="N81" s="179" t="s">
        <v>109</v>
      </c>
      <c r="O81" s="180">
        <v>127000</v>
      </c>
      <c r="P81" s="181">
        <v>127000000</v>
      </c>
      <c r="Q81" s="181">
        <v>1000</v>
      </c>
      <c r="R81" s="182">
        <v>45397</v>
      </c>
      <c r="S81" s="182">
        <v>50875</v>
      </c>
      <c r="T81" s="183" t="s">
        <v>2816</v>
      </c>
      <c r="U81" s="183" t="s">
        <v>2713</v>
      </c>
      <c r="V81" s="182" t="s">
        <v>105</v>
      </c>
      <c r="W81" s="182" t="s">
        <v>102</v>
      </c>
      <c r="X81" s="182" t="s">
        <v>2489</v>
      </c>
      <c r="Y81" s="182">
        <v>51363</v>
      </c>
      <c r="Z81" s="184">
        <f>IFERROR(INDEX(Base!G:G,MATCH('Debêntures IPCA-Spread'!Y81,Base!F:F,0)),"")</f>
        <v>6.2279</v>
      </c>
      <c r="AA81" s="115"/>
      <c r="AB81" s="185">
        <v>45552</v>
      </c>
      <c r="AC81" s="186">
        <v>6.3673000000000002</v>
      </c>
      <c r="AD81" s="187">
        <f t="shared" si="4"/>
        <v>0.13940000000000019</v>
      </c>
      <c r="AE81" s="188">
        <v>0.14000000000000001</v>
      </c>
      <c r="AF81" s="189">
        <v>6.5035999999999996</v>
      </c>
      <c r="AG81" s="189">
        <v>6.1981000000000002</v>
      </c>
      <c r="AH81" s="190">
        <v>1011.539787</v>
      </c>
      <c r="AI81" s="190"/>
      <c r="AJ81" s="191" t="str">
        <f t="shared" si="5"/>
        <v/>
      </c>
      <c r="AK81" s="192"/>
      <c r="AL81" s="193">
        <v>98.2</v>
      </c>
      <c r="AM81" s="194">
        <v>2308</v>
      </c>
      <c r="AN81" s="115"/>
      <c r="AO81" s="195">
        <v>-2.8128257245000001E-3</v>
      </c>
      <c r="AP81" s="196">
        <f>IF(AO81="","",AO81-AO$6)</f>
        <v>-3.2929706094300001E-3</v>
      </c>
      <c r="AQ81" s="196">
        <v>-2.0762016465999998E-3</v>
      </c>
      <c r="AR81" s="196">
        <f>IF(AQ81="","",AQ81-AQ$6)</f>
        <v>-1.8586948936399998E-3</v>
      </c>
      <c r="AS81" s="196"/>
      <c r="AT81" s="196" t="str">
        <f>IF(AS81="","",AS81-AS$6)</f>
        <v/>
      </c>
      <c r="AU81" s="196">
        <v>-7.8576612832000001E-3</v>
      </c>
      <c r="AV81" s="196">
        <f>IF(AU81="","",AU81-AU$6)</f>
        <v>5.2109213127999997E-3</v>
      </c>
      <c r="AW81" s="196"/>
      <c r="AX81" s="196" t="str">
        <f>IF(AW81="","",AW81-AW$6)</f>
        <v/>
      </c>
      <c r="AY81" s="196"/>
      <c r="AZ81" s="196" t="str">
        <f>IF(AY81="","",AY81-AY$6)</f>
        <v/>
      </c>
      <c r="BA81" s="196"/>
      <c r="BB81" s="196" t="str">
        <f>IF(BA81="","",BA81-BA$6)</f>
        <v/>
      </c>
      <c r="BC81" s="196"/>
      <c r="BD81" s="196" t="str">
        <f>IF(BC81="","",BC81-BC$6)</f>
        <v/>
      </c>
      <c r="BE81" s="196"/>
      <c r="BF81" s="196" t="str">
        <f>IF(BE81="","",BE81-BE$6)</f>
        <v/>
      </c>
      <c r="BG81" s="196"/>
      <c r="BH81" s="196" t="str">
        <f>IF(BG81="","",BG81-BG$6)</f>
        <v/>
      </c>
      <c r="BI81" s="196"/>
      <c r="BJ81" s="196" t="str">
        <f>IF(BI81="","",BI81-BI$6)</f>
        <v/>
      </c>
      <c r="BK81" s="197"/>
      <c r="BL81" s="115"/>
      <c r="BM81" s="198">
        <v>1.3652430780999999E-2</v>
      </c>
      <c r="BN81" s="191">
        <v>-1.7845092108000001E-2</v>
      </c>
      <c r="BO81" s="191">
        <v>3.9715910239E-2</v>
      </c>
      <c r="BP81" s="191">
        <v>-2.0762016465999998E-3</v>
      </c>
      <c r="BQ81" s="199"/>
      <c r="BR81" s="199"/>
      <c r="BS81" s="199"/>
      <c r="BT81" s="199"/>
      <c r="BU81" s="200"/>
      <c r="BV81" s="200"/>
      <c r="BW81" s="191"/>
      <c r="BX81" s="191">
        <v>6.5609677288000004E-3</v>
      </c>
      <c r="BY81" s="189"/>
      <c r="BZ81" s="191">
        <v>-3.1846110905000002E-2</v>
      </c>
      <c r="CA81" s="191">
        <v>-3.1846110905000002E-2</v>
      </c>
      <c r="CB81" s="182">
        <v>45467</v>
      </c>
      <c r="CC81" s="182">
        <v>45474</v>
      </c>
      <c r="CD81" s="201">
        <v>13</v>
      </c>
      <c r="CE81" s="202">
        <v>45484</v>
      </c>
      <c r="CF81" s="116"/>
    </row>
    <row r="82" spans="2:84" ht="15.6" x14ac:dyDescent="0.3">
      <c r="B82" s="110" t="s">
        <v>2220</v>
      </c>
      <c r="C82" s="147" t="s">
        <v>2605</v>
      </c>
      <c r="D82" s="148" t="s">
        <v>2851</v>
      </c>
      <c r="E82" s="148" t="s">
        <v>226</v>
      </c>
      <c r="F82" s="149">
        <v>8336783000190</v>
      </c>
      <c r="G82" s="149" t="s">
        <v>2355</v>
      </c>
      <c r="H82" s="149" t="s">
        <v>388</v>
      </c>
      <c r="I82" s="150">
        <v>6</v>
      </c>
      <c r="J82" s="151">
        <v>2</v>
      </c>
      <c r="K82" s="151" t="s">
        <v>126</v>
      </c>
      <c r="L82" s="151" t="s">
        <v>124</v>
      </c>
      <c r="M82" s="151" t="s">
        <v>114</v>
      </c>
      <c r="N82" s="151" t="s">
        <v>109</v>
      </c>
      <c r="O82" s="152">
        <v>400000</v>
      </c>
      <c r="P82" s="153">
        <v>400000000</v>
      </c>
      <c r="Q82" s="153">
        <v>1000</v>
      </c>
      <c r="R82" s="154">
        <v>45245</v>
      </c>
      <c r="S82" s="154">
        <v>47802</v>
      </c>
      <c r="T82" s="155" t="s">
        <v>2821</v>
      </c>
      <c r="U82" s="155" t="s">
        <v>2726</v>
      </c>
      <c r="V82" s="154" t="s">
        <v>105</v>
      </c>
      <c r="W82" s="154" t="s">
        <v>102</v>
      </c>
      <c r="X82" s="154" t="s">
        <v>2490</v>
      </c>
      <c r="Y82" s="154">
        <v>47253</v>
      </c>
      <c r="Z82" s="156">
        <f>IFERROR(INDEX(Base!G:G,MATCH('Debêntures IPCA-Spread'!Y82,Base!F:F,0)),"")</f>
        <v>6.41</v>
      </c>
      <c r="AA82" s="115"/>
      <c r="AB82" s="157">
        <v>45552</v>
      </c>
      <c r="AC82" s="158">
        <v>6.6195000000000004</v>
      </c>
      <c r="AD82" s="159">
        <f t="shared" si="4"/>
        <v>0.20950000000000024</v>
      </c>
      <c r="AE82" s="160">
        <v>0.11</v>
      </c>
      <c r="AF82" s="161">
        <v>6.8085000000000004</v>
      </c>
      <c r="AG82" s="161">
        <v>6.5137999999999998</v>
      </c>
      <c r="AH82" s="162">
        <v>1055.832664</v>
      </c>
      <c r="AI82" s="162"/>
      <c r="AJ82" s="163" t="str">
        <f t="shared" si="5"/>
        <v/>
      </c>
      <c r="AK82" s="164"/>
      <c r="AL82" s="165">
        <v>99.63</v>
      </c>
      <c r="AM82" s="166">
        <v>1093</v>
      </c>
      <c r="AN82" s="115"/>
      <c r="AO82" s="167">
        <v>1.8289815798E-3</v>
      </c>
      <c r="AP82" s="168">
        <f>IF(AO82="","",AO82-AO$6)</f>
        <v>1.34883669487E-3</v>
      </c>
      <c r="AQ82" s="168">
        <v>8.4632762409000001E-3</v>
      </c>
      <c r="AR82" s="168">
        <f>IF(AQ82="","",AQ82-AQ$6)</f>
        <v>8.6807829938599992E-3</v>
      </c>
      <c r="AS82" s="168">
        <v>6.0365749764999997E-2</v>
      </c>
      <c r="AT82" s="168">
        <f>IF(AS82="","",AS82-AS$6)</f>
        <v>4.5639914709999993E-2</v>
      </c>
      <c r="AU82" s="168">
        <v>1.6006897204E-4</v>
      </c>
      <c r="AV82" s="168">
        <f>IF(AU82="","",AU82-AU$6)</f>
        <v>1.322865156804E-2</v>
      </c>
      <c r="AW82" s="168">
        <v>3.3497420525000002E-2</v>
      </c>
      <c r="AX82" s="168">
        <f>IF(AW82="","",AW82-AW$6)</f>
        <v>9.5023527370000013E-3</v>
      </c>
      <c r="AY82" s="168">
        <v>1.8093963101000001E-2</v>
      </c>
      <c r="AZ82" s="168">
        <f>IF(AY82="","",AY82-AY$6)</f>
        <v>3.8517083110000006E-3</v>
      </c>
      <c r="BA82" s="168"/>
      <c r="BB82" s="168" t="str">
        <f>IF(BA82="","",BA82-BA$6)</f>
        <v/>
      </c>
      <c r="BC82" s="168"/>
      <c r="BD82" s="168" t="str">
        <f>IF(BC82="","",BC82-BC$6)</f>
        <v/>
      </c>
      <c r="BE82" s="168"/>
      <c r="BF82" s="168" t="str">
        <f>IF(BE82="","",BE82-BE$6)</f>
        <v/>
      </c>
      <c r="BG82" s="168"/>
      <c r="BH82" s="168" t="str">
        <f>IF(BG82="","",BG82-BG$6)</f>
        <v/>
      </c>
      <c r="BI82" s="168"/>
      <c r="BJ82" s="168" t="str">
        <f>IF(BI82="","",BI82-BI$6)</f>
        <v/>
      </c>
      <c r="BK82" s="169"/>
      <c r="BL82" s="115"/>
      <c r="BM82" s="170">
        <v>8.1207453059000002E-3</v>
      </c>
      <c r="BN82" s="163">
        <v>-6.7879429616000001E-3</v>
      </c>
      <c r="BO82" s="163">
        <v>2.0012483817E-2</v>
      </c>
      <c r="BP82" s="163">
        <v>-1.4771829843E-2</v>
      </c>
      <c r="BQ82" s="171"/>
      <c r="BR82" s="171"/>
      <c r="BS82" s="171"/>
      <c r="BT82" s="171"/>
      <c r="BU82" s="172"/>
      <c r="BV82" s="172"/>
      <c r="BW82" s="163"/>
      <c r="BX82" s="163">
        <v>4.1892270893999998E-3</v>
      </c>
      <c r="BY82" s="161"/>
      <c r="BZ82" s="163">
        <v>-1.9608980115000001E-2</v>
      </c>
      <c r="CA82" s="163">
        <v>-1.9608980115000001E-2</v>
      </c>
      <c r="CB82" s="154">
        <v>45366</v>
      </c>
      <c r="CC82" s="154">
        <v>45412</v>
      </c>
      <c r="CD82" s="173">
        <v>81</v>
      </c>
      <c r="CE82" s="174">
        <v>45484</v>
      </c>
      <c r="CF82" s="116"/>
    </row>
    <row r="83" spans="2:84" ht="15.6" x14ac:dyDescent="0.3">
      <c r="B83" s="98" t="s">
        <v>2221</v>
      </c>
      <c r="C83" s="175" t="s">
        <v>2606</v>
      </c>
      <c r="D83" s="176" t="s">
        <v>2851</v>
      </c>
      <c r="E83" s="176" t="s">
        <v>226</v>
      </c>
      <c r="F83" s="177">
        <v>8336783000190</v>
      </c>
      <c r="G83" s="177" t="s">
        <v>2356</v>
      </c>
      <c r="H83" s="177" t="s">
        <v>388</v>
      </c>
      <c r="I83" s="178">
        <v>7</v>
      </c>
      <c r="J83" s="179">
        <v>2</v>
      </c>
      <c r="K83" s="179" t="s">
        <v>126</v>
      </c>
      <c r="L83" s="179" t="s">
        <v>118</v>
      </c>
      <c r="M83" s="179" t="s">
        <v>114</v>
      </c>
      <c r="N83" s="179" t="s">
        <v>109</v>
      </c>
      <c r="O83" s="180">
        <v>1000000</v>
      </c>
      <c r="P83" s="181">
        <v>1000000000</v>
      </c>
      <c r="Q83" s="181">
        <v>1000</v>
      </c>
      <c r="R83" s="182">
        <v>45488</v>
      </c>
      <c r="S83" s="182">
        <v>49140</v>
      </c>
      <c r="T83" s="183" t="s">
        <v>2827</v>
      </c>
      <c r="U83" s="183" t="s">
        <v>2727</v>
      </c>
      <c r="V83" s="182" t="s">
        <v>105</v>
      </c>
      <c r="W83" s="182" t="s">
        <v>102</v>
      </c>
      <c r="X83" s="182" t="s">
        <v>2491</v>
      </c>
      <c r="Y83" s="182">
        <v>48714</v>
      </c>
      <c r="Z83" s="184">
        <f>IFERROR(INDEX(Base!G:G,MATCH('Debêntures IPCA-Spread'!Y83,Base!F:F,0)),"")</f>
        <v>6.3373999999999997</v>
      </c>
      <c r="AA83" s="115"/>
      <c r="AB83" s="185">
        <v>45552</v>
      </c>
      <c r="AC83" s="186">
        <v>6.7369000000000003</v>
      </c>
      <c r="AD83" s="187">
        <f t="shared" si="4"/>
        <v>0.39950000000000063</v>
      </c>
      <c r="AE83" s="188">
        <v>0.03</v>
      </c>
      <c r="AF83" s="189">
        <v>6.9227999999999996</v>
      </c>
      <c r="AG83" s="189">
        <v>6.5542999999999996</v>
      </c>
      <c r="AH83" s="190">
        <v>1024.490348</v>
      </c>
      <c r="AI83" s="190"/>
      <c r="AJ83" s="191" t="str">
        <f t="shared" si="5"/>
        <v/>
      </c>
      <c r="AK83" s="192"/>
      <c r="AL83" s="193">
        <v>101.33</v>
      </c>
      <c r="AM83" s="194">
        <v>1649</v>
      </c>
      <c r="AN83" s="115"/>
      <c r="AO83" s="195">
        <v>9.2997089268000003E-4</v>
      </c>
      <c r="AP83" s="196">
        <f>IF(AO83="","",AO83-AO$6)</f>
        <v>4.4982600775000004E-4</v>
      </c>
      <c r="AQ83" s="196">
        <v>3.7083852167000002E-3</v>
      </c>
      <c r="AR83" s="196">
        <f>IF(AQ83="","",AQ83-AQ$6)</f>
        <v>3.9258919696599998E-3</v>
      </c>
      <c r="AS83" s="196"/>
      <c r="AT83" s="196" t="str">
        <f>IF(AS83="","",AS83-AS$6)</f>
        <v/>
      </c>
      <c r="AU83" s="196"/>
      <c r="AV83" s="196" t="str">
        <f>IF(AU83="","",AU83-AU$6)</f>
        <v/>
      </c>
      <c r="AW83" s="196"/>
      <c r="AX83" s="196" t="str">
        <f>IF(AW83="","",AW83-AW$6)</f>
        <v/>
      </c>
      <c r="AY83" s="196"/>
      <c r="AZ83" s="196" t="str">
        <f>IF(AY83="","",AY83-AY$6)</f>
        <v/>
      </c>
      <c r="BA83" s="196"/>
      <c r="BB83" s="196" t="str">
        <f>IF(BA83="","",BA83-BA$6)</f>
        <v/>
      </c>
      <c r="BC83" s="196"/>
      <c r="BD83" s="196" t="str">
        <f>IF(BC83="","",BC83-BC$6)</f>
        <v/>
      </c>
      <c r="BE83" s="196"/>
      <c r="BF83" s="196" t="str">
        <f>IF(BE83="","",BE83-BE$6)</f>
        <v/>
      </c>
      <c r="BG83" s="196"/>
      <c r="BH83" s="196" t="str">
        <f>IF(BG83="","",BG83-BG$6)</f>
        <v/>
      </c>
      <c r="BI83" s="196"/>
      <c r="BJ83" s="196" t="str">
        <f>IF(BI83="","",BI83-BI$6)</f>
        <v/>
      </c>
      <c r="BK83" s="197"/>
      <c r="BL83" s="115"/>
      <c r="BM83" s="198">
        <v>4.0405051622999996E-3</v>
      </c>
      <c r="BN83" s="191">
        <v>-6.5961817089999998E-3</v>
      </c>
      <c r="BO83" s="191">
        <v>3.7083852167000002E-3</v>
      </c>
      <c r="BP83" s="191">
        <v>3.7083852167000002E-3</v>
      </c>
      <c r="BQ83" s="199"/>
      <c r="BR83" s="199"/>
      <c r="BS83" s="199"/>
      <c r="BT83" s="199"/>
      <c r="BU83" s="200"/>
      <c r="BV83" s="200"/>
      <c r="BW83" s="191"/>
      <c r="BX83" s="191"/>
      <c r="BY83" s="189"/>
      <c r="BZ83" s="191">
        <v>-5.3887910166000004E-3</v>
      </c>
      <c r="CA83" s="191">
        <v>-9.3410163842000005E-3</v>
      </c>
      <c r="CB83" s="182">
        <v>45541</v>
      </c>
      <c r="CC83" s="182">
        <v>45547</v>
      </c>
      <c r="CD83" s="201"/>
      <c r="CE83" s="202"/>
      <c r="CF83" s="116"/>
    </row>
    <row r="84" spans="2:84" ht="15.6" x14ac:dyDescent="0.3">
      <c r="B84" s="110" t="s">
        <v>1411</v>
      </c>
      <c r="C84" s="147" t="s">
        <v>2057</v>
      </c>
      <c r="D84" s="148" t="s">
        <v>1902</v>
      </c>
      <c r="E84" s="148" t="s">
        <v>226</v>
      </c>
      <c r="F84" s="149">
        <v>1543032000104</v>
      </c>
      <c r="G84" s="149" t="s">
        <v>1770</v>
      </c>
      <c r="H84" s="149" t="s">
        <v>388</v>
      </c>
      <c r="I84" s="150">
        <v>3</v>
      </c>
      <c r="J84" s="151" t="s">
        <v>107</v>
      </c>
      <c r="K84" s="151" t="s">
        <v>126</v>
      </c>
      <c r="L84" s="151" t="s">
        <v>125</v>
      </c>
      <c r="M84" s="151" t="s">
        <v>114</v>
      </c>
      <c r="N84" s="151" t="s">
        <v>109</v>
      </c>
      <c r="O84" s="152">
        <v>1000000</v>
      </c>
      <c r="P84" s="153">
        <v>1000000000</v>
      </c>
      <c r="Q84" s="153">
        <v>1000</v>
      </c>
      <c r="R84" s="154">
        <v>45031</v>
      </c>
      <c r="S84" s="154">
        <v>47953</v>
      </c>
      <c r="T84" s="155" t="s">
        <v>1983</v>
      </c>
      <c r="U84" s="155" t="s">
        <v>1668</v>
      </c>
      <c r="V84" s="154" t="s">
        <v>105</v>
      </c>
      <c r="W84" s="154" t="s">
        <v>102</v>
      </c>
      <c r="X84" s="154" t="s">
        <v>1550</v>
      </c>
      <c r="Y84" s="154">
        <v>47710</v>
      </c>
      <c r="Z84" s="156">
        <f>IFERROR(INDEX(Base!G:G,MATCH('Debêntures IPCA-Spread'!Y84,Base!F:F,0)),"")</f>
        <v>6.3273999999999999</v>
      </c>
      <c r="AA84" s="115"/>
      <c r="AB84" s="157">
        <v>45552</v>
      </c>
      <c r="AC84" s="158">
        <v>6.5395000000000003</v>
      </c>
      <c r="AD84" s="159">
        <f t="shared" si="4"/>
        <v>0.2121000000000004</v>
      </c>
      <c r="AE84" s="160">
        <v>0.1</v>
      </c>
      <c r="AF84" s="161">
        <v>6.7389999999999999</v>
      </c>
      <c r="AG84" s="161">
        <v>6.4013</v>
      </c>
      <c r="AH84" s="162">
        <v>1107.3152299999999</v>
      </c>
      <c r="AI84" s="162">
        <v>1117.475293</v>
      </c>
      <c r="AJ84" s="163">
        <f t="shared" si="5"/>
        <v>0.99090802001293099</v>
      </c>
      <c r="AK84" s="164">
        <v>45523</v>
      </c>
      <c r="AL84" s="165">
        <v>102.41</v>
      </c>
      <c r="AM84" s="166">
        <v>1146</v>
      </c>
      <c r="AN84" s="115"/>
      <c r="AO84" s="167">
        <v>1.2422847976E-4</v>
      </c>
      <c r="AP84" s="168">
        <f>IF(AO84="","",AO84-AO$6)</f>
        <v>-3.5591640516999999E-4</v>
      </c>
      <c r="AQ84" s="168">
        <v>4.2752578774999999E-3</v>
      </c>
      <c r="AR84" s="168">
        <f>IF(AQ84="","",AQ84-AQ$6)</f>
        <v>4.49276463046E-3</v>
      </c>
      <c r="AS84" s="168">
        <v>6.5372792062999993E-2</v>
      </c>
      <c r="AT84" s="168">
        <f>IF(AS84="","",AS84-AS$6)</f>
        <v>5.0646957007999996E-2</v>
      </c>
      <c r="AU84" s="168">
        <v>-4.8442621701000003E-3</v>
      </c>
      <c r="AV84" s="168">
        <f>IF(AU84="","",AU84-AU$6)</f>
        <v>8.2243204258999995E-3</v>
      </c>
      <c r="AW84" s="168">
        <v>3.3822496592999997E-2</v>
      </c>
      <c r="AX84" s="168">
        <f>IF(AW84="","",AW84-AW$6)</f>
        <v>9.8274288049999964E-3</v>
      </c>
      <c r="AY84" s="168">
        <v>2.2039981654999999E-2</v>
      </c>
      <c r="AZ84" s="168">
        <f>IF(AY84="","",AY84-AY$6)</f>
        <v>7.7977268649999983E-3</v>
      </c>
      <c r="BA84" s="168">
        <v>8.3125234554000005E-2</v>
      </c>
      <c r="BB84" s="168">
        <f>IF(BA84="","",BA84-BA$6)</f>
        <v>2.9638269996000007E-2</v>
      </c>
      <c r="BC84" s="168"/>
      <c r="BD84" s="168" t="str">
        <f>IF(BC84="","",BC84-BC$6)</f>
        <v/>
      </c>
      <c r="BE84" s="168"/>
      <c r="BF84" s="168" t="str">
        <f>IF(BE84="","",BE84-BE$6)</f>
        <v/>
      </c>
      <c r="BG84" s="168"/>
      <c r="BH84" s="168" t="str">
        <f>IF(BG84="","",BG84-BG$6)</f>
        <v/>
      </c>
      <c r="BI84" s="168"/>
      <c r="BJ84" s="168" t="str">
        <f>IF(BI84="","",BI84-BI$6)</f>
        <v/>
      </c>
      <c r="BK84" s="169">
        <v>5.5810360071999998</v>
      </c>
      <c r="BL84" s="115"/>
      <c r="BM84" s="170">
        <v>1.2967202757E-2</v>
      </c>
      <c r="BN84" s="163">
        <v>-1.1628207926E-2</v>
      </c>
      <c r="BO84" s="163">
        <v>3.3127409597000002E-2</v>
      </c>
      <c r="BP84" s="163">
        <v>-1.8004794647999998E-2</v>
      </c>
      <c r="BQ84" s="171">
        <v>8</v>
      </c>
      <c r="BR84" s="171">
        <v>4</v>
      </c>
      <c r="BS84" s="171">
        <v>6</v>
      </c>
      <c r="BT84" s="171">
        <v>6</v>
      </c>
      <c r="BU84" s="172">
        <v>-0.43441283218999999</v>
      </c>
      <c r="BV84" s="172"/>
      <c r="BW84" s="163">
        <v>5.7688396447000004E-3</v>
      </c>
      <c r="BX84" s="163">
        <v>4.7520310837000004E-3</v>
      </c>
      <c r="BY84" s="161">
        <v>-3.2669490053999999</v>
      </c>
      <c r="BZ84" s="163">
        <v>-2.9747811749E-2</v>
      </c>
      <c r="CA84" s="163">
        <v>-2.9747811749E-2</v>
      </c>
      <c r="CB84" s="154">
        <v>45189</v>
      </c>
      <c r="CC84" s="154">
        <v>45224</v>
      </c>
      <c r="CD84" s="173">
        <v>56</v>
      </c>
      <c r="CE84" s="174">
        <v>45272</v>
      </c>
      <c r="CF84" s="116"/>
    </row>
    <row r="85" spans="2:84" ht="15.6" x14ac:dyDescent="0.3">
      <c r="B85" s="98" t="s">
        <v>2222</v>
      </c>
      <c r="C85" s="175" t="s">
        <v>2607</v>
      </c>
      <c r="D85" s="176" t="s">
        <v>1902</v>
      </c>
      <c r="E85" s="176" t="s">
        <v>226</v>
      </c>
      <c r="F85" s="177">
        <v>1543032000104</v>
      </c>
      <c r="G85" s="177" t="s">
        <v>2357</v>
      </c>
      <c r="H85" s="177" t="s">
        <v>388</v>
      </c>
      <c r="I85" s="178">
        <v>4</v>
      </c>
      <c r="J85" s="179">
        <v>2</v>
      </c>
      <c r="K85" s="179" t="s">
        <v>126</v>
      </c>
      <c r="L85" s="179" t="s">
        <v>112</v>
      </c>
      <c r="M85" s="179" t="s">
        <v>114</v>
      </c>
      <c r="N85" s="179" t="s">
        <v>109</v>
      </c>
      <c r="O85" s="180">
        <v>480000</v>
      </c>
      <c r="P85" s="181">
        <v>480000000</v>
      </c>
      <c r="Q85" s="181">
        <v>1000</v>
      </c>
      <c r="R85" s="182">
        <v>45214</v>
      </c>
      <c r="S85" s="182">
        <v>48136</v>
      </c>
      <c r="T85" s="183" t="s">
        <v>2771</v>
      </c>
      <c r="U85" s="183" t="s">
        <v>2728</v>
      </c>
      <c r="V85" s="182" t="s">
        <v>105</v>
      </c>
      <c r="W85" s="182" t="s">
        <v>102</v>
      </c>
      <c r="X85" s="182" t="s">
        <v>2492</v>
      </c>
      <c r="Y85" s="182">
        <v>47710</v>
      </c>
      <c r="Z85" s="184">
        <f>IFERROR(INDEX(Base!G:G,MATCH('Debêntures IPCA-Spread'!Y85,Base!F:F,0)),"")</f>
        <v>6.3273999999999999</v>
      </c>
      <c r="AA85" s="115"/>
      <c r="AB85" s="185">
        <v>45552</v>
      </c>
      <c r="AC85" s="186">
        <v>6.5598000000000001</v>
      </c>
      <c r="AD85" s="187">
        <f t="shared" si="4"/>
        <v>0.23240000000000016</v>
      </c>
      <c r="AE85" s="188">
        <v>0.08</v>
      </c>
      <c r="AF85" s="189">
        <v>6.7089999999999996</v>
      </c>
      <c r="AG85" s="189">
        <v>6.4284999999999997</v>
      </c>
      <c r="AH85" s="190">
        <v>1061.413022</v>
      </c>
      <c r="AI85" s="190"/>
      <c r="AJ85" s="191" t="str">
        <f t="shared" si="5"/>
        <v/>
      </c>
      <c r="AK85" s="192"/>
      <c r="AL85" s="193">
        <v>99.45</v>
      </c>
      <c r="AM85" s="194">
        <v>1248</v>
      </c>
      <c r="AN85" s="115"/>
      <c r="AO85" s="195">
        <v>9.4606431958000004E-5</v>
      </c>
      <c r="AP85" s="196">
        <f>IF(AO85="","",AO85-AO$6)</f>
        <v>-3.8553845297200002E-4</v>
      </c>
      <c r="AQ85" s="196">
        <v>2.3875825663999999E-3</v>
      </c>
      <c r="AR85" s="196">
        <f>IF(AQ85="","",AQ85-AQ$6)</f>
        <v>2.6050893193599999E-3</v>
      </c>
      <c r="AS85" s="196">
        <v>6.1801627789000002E-2</v>
      </c>
      <c r="AT85" s="196">
        <f>IF(AS85="","",AS85-AS$6)</f>
        <v>4.7075792734000005E-2</v>
      </c>
      <c r="AU85" s="196">
        <v>-6.2049930092999998E-3</v>
      </c>
      <c r="AV85" s="196">
        <f>IF(AU85="","",AU85-AU$6)</f>
        <v>6.8635895867E-3</v>
      </c>
      <c r="AW85" s="196">
        <v>3.2654947902999998E-2</v>
      </c>
      <c r="AX85" s="196">
        <f>IF(AW85="","",AW85-AW$6)</f>
        <v>8.6598801149999974E-3</v>
      </c>
      <c r="AY85" s="196">
        <v>2.7040057116999999E-2</v>
      </c>
      <c r="AZ85" s="196">
        <f>IF(AY85="","",AY85-AY$6)</f>
        <v>1.2797802326999999E-2</v>
      </c>
      <c r="BA85" s="196"/>
      <c r="BB85" s="196" t="str">
        <f>IF(BA85="","",BA85-BA$6)</f>
        <v/>
      </c>
      <c r="BC85" s="196"/>
      <c r="BD85" s="196" t="str">
        <f>IF(BC85="","",BC85-BC$6)</f>
        <v/>
      </c>
      <c r="BE85" s="196"/>
      <c r="BF85" s="196" t="str">
        <f>IF(BE85="","",BE85-BE$6)</f>
        <v/>
      </c>
      <c r="BG85" s="196"/>
      <c r="BH85" s="196" t="str">
        <f>IF(BG85="","",BG85-BG$6)</f>
        <v/>
      </c>
      <c r="BI85" s="196"/>
      <c r="BJ85" s="196" t="str">
        <f>IF(BI85="","",BI85-BI$6)</f>
        <v/>
      </c>
      <c r="BK85" s="197"/>
      <c r="BL85" s="115"/>
      <c r="BM85" s="198">
        <v>1.4121996062E-2</v>
      </c>
      <c r="BN85" s="191">
        <v>-9.0602597438000001E-3</v>
      </c>
      <c r="BO85" s="191">
        <v>2.6674419450999999E-2</v>
      </c>
      <c r="BP85" s="191">
        <v>-1.7810177077E-2</v>
      </c>
      <c r="BQ85" s="199"/>
      <c r="BR85" s="199"/>
      <c r="BS85" s="199"/>
      <c r="BT85" s="199"/>
      <c r="BU85" s="200"/>
      <c r="BV85" s="200"/>
      <c r="BW85" s="191"/>
      <c r="BX85" s="191">
        <v>4.2200846790000001E-3</v>
      </c>
      <c r="BY85" s="189"/>
      <c r="BZ85" s="191">
        <v>-2.1906131201999999E-2</v>
      </c>
      <c r="CA85" s="191">
        <v>-2.1906131201999999E-2</v>
      </c>
      <c r="CB85" s="182">
        <v>45364</v>
      </c>
      <c r="CC85" s="182">
        <v>45412</v>
      </c>
      <c r="CD85" s="201">
        <v>82</v>
      </c>
      <c r="CE85" s="202">
        <v>45483</v>
      </c>
      <c r="CF85" s="116"/>
    </row>
    <row r="86" spans="2:84" ht="15.6" x14ac:dyDescent="0.3">
      <c r="B86" s="110" t="s">
        <v>2223</v>
      </c>
      <c r="C86" s="147" t="s">
        <v>2608</v>
      </c>
      <c r="D86" s="148" t="s">
        <v>1902</v>
      </c>
      <c r="E86" s="148" t="s">
        <v>226</v>
      </c>
      <c r="F86" s="149">
        <v>1543032000104</v>
      </c>
      <c r="G86" s="149" t="s">
        <v>2358</v>
      </c>
      <c r="H86" s="149" t="s">
        <v>388</v>
      </c>
      <c r="I86" s="150">
        <v>4</v>
      </c>
      <c r="J86" s="151">
        <v>3</v>
      </c>
      <c r="K86" s="151" t="s">
        <v>126</v>
      </c>
      <c r="L86" s="151" t="s">
        <v>112</v>
      </c>
      <c r="M86" s="151" t="s">
        <v>114</v>
      </c>
      <c r="N86" s="151" t="s">
        <v>109</v>
      </c>
      <c r="O86" s="152">
        <v>720000</v>
      </c>
      <c r="P86" s="153">
        <v>720000000</v>
      </c>
      <c r="Q86" s="153">
        <v>1000</v>
      </c>
      <c r="R86" s="154">
        <v>45214</v>
      </c>
      <c r="S86" s="154">
        <v>49597</v>
      </c>
      <c r="T86" s="155" t="s">
        <v>2771</v>
      </c>
      <c r="U86" s="155" t="s">
        <v>2729</v>
      </c>
      <c r="V86" s="154" t="s">
        <v>105</v>
      </c>
      <c r="W86" s="154" t="s">
        <v>102</v>
      </c>
      <c r="X86" s="154" t="s">
        <v>2493</v>
      </c>
      <c r="Y86" s="154">
        <v>48714</v>
      </c>
      <c r="Z86" s="156">
        <f>IFERROR(INDEX(Base!G:G,MATCH('Debêntures IPCA-Spread'!Y86,Base!F:F,0)),"")</f>
        <v>6.3373999999999997</v>
      </c>
      <c r="AA86" s="115"/>
      <c r="AB86" s="157">
        <v>45552</v>
      </c>
      <c r="AC86" s="158">
        <v>6.6646999999999998</v>
      </c>
      <c r="AD86" s="159">
        <f t="shared" si="4"/>
        <v>0.32730000000000015</v>
      </c>
      <c r="AE86" s="160">
        <v>0.1</v>
      </c>
      <c r="AF86" s="161">
        <v>6.8540000000000001</v>
      </c>
      <c r="AG86" s="161">
        <v>6.5353000000000003</v>
      </c>
      <c r="AH86" s="162">
        <v>1069.341893</v>
      </c>
      <c r="AI86" s="162"/>
      <c r="AJ86" s="163" t="str">
        <f t="shared" si="5"/>
        <v/>
      </c>
      <c r="AK86" s="164"/>
      <c r="AL86" s="165">
        <v>100.09</v>
      </c>
      <c r="AM86" s="166">
        <v>1766</v>
      </c>
      <c r="AN86" s="115"/>
      <c r="AO86" s="167">
        <v>-3.6819130872999999E-3</v>
      </c>
      <c r="AP86" s="168">
        <f>IF(AO86="","",AO86-AO$6)</f>
        <v>-4.1620579722299999E-3</v>
      </c>
      <c r="AQ86" s="168">
        <v>-1.3456840588E-4</v>
      </c>
      <c r="AR86" s="168">
        <f>IF(AQ86="","",AQ86-AQ$6)</f>
        <v>8.2938347080000006E-5</v>
      </c>
      <c r="AS86" s="168">
        <v>6.3339027273999995E-2</v>
      </c>
      <c r="AT86" s="168">
        <f>IF(AS86="","",AS86-AS$6)</f>
        <v>4.8613192218999998E-2</v>
      </c>
      <c r="AU86" s="168">
        <v>-1.1221856612E-2</v>
      </c>
      <c r="AV86" s="168">
        <f>IF(AU86="","",AU86-AU$6)</f>
        <v>1.846725984E-3</v>
      </c>
      <c r="AW86" s="168">
        <v>4.9777029488000002E-2</v>
      </c>
      <c r="AX86" s="168">
        <f>IF(AW86="","",AW86-AW$6)</f>
        <v>2.5781961700000001E-2</v>
      </c>
      <c r="AY86" s="168">
        <v>2.3601265279999999E-2</v>
      </c>
      <c r="AZ86" s="168">
        <f>IF(AY86="","",AY86-AY$6)</f>
        <v>9.3590104899999981E-3</v>
      </c>
      <c r="BA86" s="168"/>
      <c r="BB86" s="168" t="str">
        <f>IF(BA86="","",BA86-BA$6)</f>
        <v/>
      </c>
      <c r="BC86" s="168"/>
      <c r="BD86" s="168" t="str">
        <f>IF(BC86="","",BC86-BC$6)</f>
        <v/>
      </c>
      <c r="BE86" s="168"/>
      <c r="BF86" s="168" t="str">
        <f>IF(BE86="","",BE86-BE$6)</f>
        <v/>
      </c>
      <c r="BG86" s="168"/>
      <c r="BH86" s="168" t="str">
        <f>IF(BG86="","",BG86-BG$6)</f>
        <v/>
      </c>
      <c r="BI86" s="168"/>
      <c r="BJ86" s="168" t="str">
        <f>IF(BI86="","",BI86-BI$6)</f>
        <v/>
      </c>
      <c r="BK86" s="169"/>
      <c r="BL86" s="115"/>
      <c r="BM86" s="170">
        <v>1.915514871E-2</v>
      </c>
      <c r="BN86" s="163">
        <v>-1.0774754515E-2</v>
      </c>
      <c r="BO86" s="163">
        <v>3.6680854818999999E-2</v>
      </c>
      <c r="BP86" s="163">
        <v>-2.6865013536000001E-2</v>
      </c>
      <c r="BQ86" s="171"/>
      <c r="BR86" s="171"/>
      <c r="BS86" s="171"/>
      <c r="BT86" s="171"/>
      <c r="BU86" s="172"/>
      <c r="BV86" s="172"/>
      <c r="BW86" s="163"/>
      <c r="BX86" s="163">
        <v>4.5566162834E-3</v>
      </c>
      <c r="BY86" s="161"/>
      <c r="BZ86" s="163">
        <v>-3.6669339205999997E-2</v>
      </c>
      <c r="CA86" s="163">
        <v>-3.6669339205999997E-2</v>
      </c>
      <c r="CB86" s="154">
        <v>45364</v>
      </c>
      <c r="CC86" s="154">
        <v>45455</v>
      </c>
      <c r="CD86" s="173">
        <v>87</v>
      </c>
      <c r="CE86" s="174">
        <v>45490</v>
      </c>
      <c r="CF86" s="116"/>
    </row>
    <row r="87" spans="2:84" ht="15.6" x14ac:dyDescent="0.3">
      <c r="B87" s="98" t="s">
        <v>2224</v>
      </c>
      <c r="C87" s="175" t="s">
        <v>2609</v>
      </c>
      <c r="D87" s="176" t="s">
        <v>1902</v>
      </c>
      <c r="E87" s="176" t="s">
        <v>226</v>
      </c>
      <c r="F87" s="177">
        <v>1543032000104</v>
      </c>
      <c r="G87" s="177" t="s">
        <v>2359</v>
      </c>
      <c r="H87" s="177" t="s">
        <v>388</v>
      </c>
      <c r="I87" s="178">
        <v>6</v>
      </c>
      <c r="J87" s="179" t="s">
        <v>107</v>
      </c>
      <c r="K87" s="179" t="s">
        <v>111</v>
      </c>
      <c r="L87" s="179" t="s">
        <v>1252</v>
      </c>
      <c r="M87" s="179" t="s">
        <v>114</v>
      </c>
      <c r="N87" s="179" t="s">
        <v>109</v>
      </c>
      <c r="O87" s="180">
        <v>950000</v>
      </c>
      <c r="P87" s="181">
        <v>950000000</v>
      </c>
      <c r="Q87" s="181">
        <v>1000</v>
      </c>
      <c r="R87" s="182">
        <v>45427</v>
      </c>
      <c r="S87" s="182">
        <v>49810</v>
      </c>
      <c r="T87" s="183" t="s">
        <v>2718</v>
      </c>
      <c r="U87" s="183" t="s">
        <v>2730</v>
      </c>
      <c r="V87" s="182" t="s">
        <v>105</v>
      </c>
      <c r="W87" s="182" t="s">
        <v>102</v>
      </c>
      <c r="X87" s="182" t="s">
        <v>2494</v>
      </c>
      <c r="Y87" s="182">
        <v>49444</v>
      </c>
      <c r="Z87" s="184">
        <f>IFERROR(INDEX(Base!G:G,MATCH('Debêntures IPCA-Spread'!Y87,Base!F:F,0)),"")</f>
        <v>6.3137999999999996</v>
      </c>
      <c r="AA87" s="115"/>
      <c r="AB87" s="185">
        <v>45552</v>
      </c>
      <c r="AC87" s="186">
        <v>6.7045000000000003</v>
      </c>
      <c r="AD87" s="187">
        <f t="shared" si="4"/>
        <v>0.39070000000000071</v>
      </c>
      <c r="AE87" s="188">
        <v>7.0000000000000007E-2</v>
      </c>
      <c r="AF87" s="189">
        <v>6.8609999999999998</v>
      </c>
      <c r="AG87" s="189">
        <v>6.5391000000000004</v>
      </c>
      <c r="AH87" s="190">
        <v>1008.390186</v>
      </c>
      <c r="AI87" s="190"/>
      <c r="AJ87" s="191" t="str">
        <f t="shared" si="5"/>
        <v/>
      </c>
      <c r="AK87" s="192"/>
      <c r="AL87" s="193">
        <v>98.51</v>
      </c>
      <c r="AM87" s="194">
        <v>1869</v>
      </c>
      <c r="AN87" s="115"/>
      <c r="AO87" s="195">
        <v>-8.7459497626999998E-4</v>
      </c>
      <c r="AP87" s="196">
        <f>IF(AO87="","",AO87-AO$6)</f>
        <v>-1.3547398612E-3</v>
      </c>
      <c r="AQ87" s="196">
        <v>1.3578381584999999E-3</v>
      </c>
      <c r="AR87" s="196">
        <f>IF(AQ87="","",AQ87-AQ$6)</f>
        <v>1.5753449114599999E-3</v>
      </c>
      <c r="AS87" s="196"/>
      <c r="AT87" s="196" t="str">
        <f>IF(AS87="","",AS87-AS$6)</f>
        <v/>
      </c>
      <c r="AU87" s="196">
        <v>-1.2383541058E-2</v>
      </c>
      <c r="AV87" s="196">
        <f>IF(AU87="","",AU87-AU$6)</f>
        <v>6.8504153799999953E-4</v>
      </c>
      <c r="AW87" s="196"/>
      <c r="AX87" s="196" t="str">
        <f>IF(AW87="","",AW87-AW$6)</f>
        <v/>
      </c>
      <c r="AY87" s="196"/>
      <c r="AZ87" s="196" t="str">
        <f>IF(AY87="","",AY87-AY$6)</f>
        <v/>
      </c>
      <c r="BA87" s="196"/>
      <c r="BB87" s="196" t="str">
        <f>IF(BA87="","",BA87-BA$6)</f>
        <v/>
      </c>
      <c r="BC87" s="196"/>
      <c r="BD87" s="196" t="str">
        <f>IF(BC87="","",BC87-BC$6)</f>
        <v/>
      </c>
      <c r="BE87" s="196"/>
      <c r="BF87" s="196" t="str">
        <f>IF(BE87="","",BE87-BE$6)</f>
        <v/>
      </c>
      <c r="BG87" s="196"/>
      <c r="BH87" s="196" t="str">
        <f>IF(BG87="","",BG87-BG$6)</f>
        <v/>
      </c>
      <c r="BI87" s="196"/>
      <c r="BJ87" s="196" t="str">
        <f>IF(BI87="","",BI87-BI$6)</f>
        <v/>
      </c>
      <c r="BK87" s="197"/>
      <c r="BL87" s="115"/>
      <c r="BM87" s="198">
        <v>2.2024142537999999E-2</v>
      </c>
      <c r="BN87" s="191">
        <v>-1.0660501433E-2</v>
      </c>
      <c r="BO87" s="191">
        <v>1.2550687684E-2</v>
      </c>
      <c r="BP87" s="191">
        <v>1.3578381584999999E-3</v>
      </c>
      <c r="BQ87" s="199"/>
      <c r="BR87" s="199"/>
      <c r="BS87" s="199"/>
      <c r="BT87" s="199"/>
      <c r="BU87" s="200"/>
      <c r="BV87" s="200"/>
      <c r="BW87" s="191"/>
      <c r="BX87" s="191">
        <v>8.1646177092999997E-3</v>
      </c>
      <c r="BY87" s="189"/>
      <c r="BZ87" s="191">
        <v>-1.6856111750999998E-2</v>
      </c>
      <c r="CA87" s="191">
        <v>-2.2502578078000001E-2</v>
      </c>
      <c r="CB87" s="182">
        <v>45527</v>
      </c>
      <c r="CC87" s="182">
        <v>45538</v>
      </c>
      <c r="CD87" s="201"/>
      <c r="CE87" s="202"/>
      <c r="CF87" s="116"/>
    </row>
    <row r="88" spans="2:84" ht="15.6" x14ac:dyDescent="0.3">
      <c r="B88" s="110" t="s">
        <v>499</v>
      </c>
      <c r="C88" s="147" t="s">
        <v>664</v>
      </c>
      <c r="D88" s="148" t="s">
        <v>70</v>
      </c>
      <c r="E88" s="148" t="s">
        <v>226</v>
      </c>
      <c r="F88" s="149">
        <v>10835932000108</v>
      </c>
      <c r="G88" s="149" t="s">
        <v>819</v>
      </c>
      <c r="H88" s="149" t="s">
        <v>388</v>
      </c>
      <c r="I88" s="150">
        <v>9</v>
      </c>
      <c r="J88" s="151">
        <v>1</v>
      </c>
      <c r="K88" s="151" t="s">
        <v>130</v>
      </c>
      <c r="L88" s="151" t="s">
        <v>112</v>
      </c>
      <c r="M88" s="151" t="s">
        <v>106</v>
      </c>
      <c r="N88" s="151" t="s">
        <v>109</v>
      </c>
      <c r="O88" s="152">
        <v>600000</v>
      </c>
      <c r="P88" s="153">
        <v>600000000</v>
      </c>
      <c r="Q88" s="153">
        <v>1000</v>
      </c>
      <c r="R88" s="154">
        <v>43296</v>
      </c>
      <c r="S88" s="154">
        <v>45853</v>
      </c>
      <c r="T88" s="155" t="s">
        <v>755</v>
      </c>
      <c r="U88" s="155" t="s">
        <v>907</v>
      </c>
      <c r="V88" s="154" t="s">
        <v>105</v>
      </c>
      <c r="W88" s="154" t="s">
        <v>102</v>
      </c>
      <c r="X88" s="154" t="s">
        <v>960</v>
      </c>
      <c r="Y88" s="154">
        <v>45792</v>
      </c>
      <c r="Z88" s="156">
        <f>IFERROR(INDEX(Base!G:G,MATCH('Debêntures IPCA-Spread'!Y88,Base!F:F,0)),"")</f>
        <v>5.73</v>
      </c>
      <c r="AA88" s="115"/>
      <c r="AB88" s="157">
        <v>45552</v>
      </c>
      <c r="AC88" s="158">
        <v>5.5801999999999996</v>
      </c>
      <c r="AD88" s="159">
        <f t="shared" si="4"/>
        <v>-0.14980000000000082</v>
      </c>
      <c r="AE88" s="160">
        <v>0.17</v>
      </c>
      <c r="AF88" s="161">
        <v>5.8720999999999997</v>
      </c>
      <c r="AG88" s="161">
        <v>5.3875000000000002</v>
      </c>
      <c r="AH88" s="162">
        <v>465.69374099999999</v>
      </c>
      <c r="AI88" s="162">
        <v>465.69374099999999</v>
      </c>
      <c r="AJ88" s="163">
        <f t="shared" si="5"/>
        <v>1</v>
      </c>
      <c r="AK88" s="164">
        <v>45552</v>
      </c>
      <c r="AL88" s="165">
        <v>100.34</v>
      </c>
      <c r="AM88" s="166">
        <v>201</v>
      </c>
      <c r="AN88" s="115"/>
      <c r="AO88" s="167">
        <v>7.9811122305000002E-4</v>
      </c>
      <c r="AP88" s="168">
        <f>IF(AO88="","",AO88-AO$6)</f>
        <v>3.1796633812000003E-4</v>
      </c>
      <c r="AQ88" s="168">
        <v>7.6749423970000003E-3</v>
      </c>
      <c r="AR88" s="168">
        <f>IF(AQ88="","",AQ88-AQ$6)</f>
        <v>7.8924491499600003E-3</v>
      </c>
      <c r="AS88" s="168">
        <v>8.0757471346999996E-2</v>
      </c>
      <c r="AT88" s="168">
        <f>IF(AS88="","",AS88-AS$6)</f>
        <v>6.6031636291999998E-2</v>
      </c>
      <c r="AU88" s="168">
        <v>8.8638906891000003E-3</v>
      </c>
      <c r="AV88" s="168">
        <f>IF(AU88="","",AU88-AU$6)</f>
        <v>2.19324732851E-2</v>
      </c>
      <c r="AW88" s="168">
        <v>2.7190000419E-2</v>
      </c>
      <c r="AX88" s="168">
        <f>IF(AW88="","",AW88-AW$6)</f>
        <v>3.1949326309999998E-3</v>
      </c>
      <c r="AY88" s="168">
        <v>5.1246431558000002E-2</v>
      </c>
      <c r="AZ88" s="168">
        <f>IF(AY88="","",AY88-AY$6)</f>
        <v>3.7004176768000004E-2</v>
      </c>
      <c r="BA88" s="168">
        <v>0.11444768801999999</v>
      </c>
      <c r="BB88" s="168">
        <f>IF(BA88="","",BA88-BA$6)</f>
        <v>6.0960723461999995E-2</v>
      </c>
      <c r="BC88" s="168">
        <v>0.25152918827999998</v>
      </c>
      <c r="BD88" s="168">
        <f>IF(BC88="","",BC88-BC$6)</f>
        <v>5.7220621789999981E-2</v>
      </c>
      <c r="BE88" s="168">
        <v>0.39705820017999999</v>
      </c>
      <c r="BF88" s="168">
        <f>IF(BE88="","",BE88-BE$6)</f>
        <v>0.13533886064</v>
      </c>
      <c r="BG88" s="168">
        <v>0.52302022338999998</v>
      </c>
      <c r="BH88" s="168">
        <f>IF(BG88="","",BG88-BG$6)</f>
        <v>0.21410357457999996</v>
      </c>
      <c r="BI88" s="168">
        <v>0.59291022332999999</v>
      </c>
      <c r="BJ88" s="168">
        <f>IF(BI88="","",BI88-BI$6)</f>
        <v>0.21996721324999996</v>
      </c>
      <c r="BK88" s="169">
        <v>1.5926890921000001</v>
      </c>
      <c r="BL88" s="115"/>
      <c r="BM88" s="170">
        <v>4.2675588866000003E-3</v>
      </c>
      <c r="BN88" s="163">
        <v>-5.4747994582000003E-3</v>
      </c>
      <c r="BO88" s="163">
        <v>1.3096989065E-2</v>
      </c>
      <c r="BP88" s="163">
        <v>3.3368875501999999E-3</v>
      </c>
      <c r="BQ88" s="171">
        <v>12</v>
      </c>
      <c r="BR88" s="171">
        <v>0</v>
      </c>
      <c r="BS88" s="171">
        <v>7</v>
      </c>
      <c r="BT88" s="171">
        <v>5</v>
      </c>
      <c r="BU88" s="172">
        <v>0.15882306138999999</v>
      </c>
      <c r="BV88" s="172">
        <v>3.0608893657000001E-2</v>
      </c>
      <c r="BW88" s="163">
        <v>1.6452747855999999E-3</v>
      </c>
      <c r="BX88" s="163">
        <v>1.5498280459E-3</v>
      </c>
      <c r="BY88" s="161">
        <v>0.11698641536</v>
      </c>
      <c r="BZ88" s="163">
        <v>-6.9123308357999999E-3</v>
      </c>
      <c r="CA88" s="163">
        <v>-6.9123308357999999E-3</v>
      </c>
      <c r="CB88" s="154">
        <v>45209</v>
      </c>
      <c r="CC88" s="154">
        <v>45212</v>
      </c>
      <c r="CD88" s="173">
        <v>11</v>
      </c>
      <c r="CE88" s="174">
        <v>45225</v>
      </c>
      <c r="CF88" s="116"/>
    </row>
    <row r="89" spans="2:84" ht="15.6" x14ac:dyDescent="0.3">
      <c r="B89" s="98" t="s">
        <v>1412</v>
      </c>
      <c r="C89" s="175" t="s">
        <v>2058</v>
      </c>
      <c r="D89" s="176" t="s">
        <v>70</v>
      </c>
      <c r="E89" s="176" t="s">
        <v>226</v>
      </c>
      <c r="F89" s="177">
        <v>10835932000108</v>
      </c>
      <c r="G89" s="177" t="s">
        <v>1771</v>
      </c>
      <c r="H89" s="177" t="s">
        <v>388</v>
      </c>
      <c r="I89" s="178">
        <v>11</v>
      </c>
      <c r="J89" s="179">
        <v>3</v>
      </c>
      <c r="K89" s="179" t="s">
        <v>126</v>
      </c>
      <c r="L89" s="179" t="s">
        <v>1252</v>
      </c>
      <c r="M89" s="179" t="s">
        <v>106</v>
      </c>
      <c r="N89" s="179" t="s">
        <v>109</v>
      </c>
      <c r="O89" s="180">
        <v>200000</v>
      </c>
      <c r="P89" s="181">
        <v>200000000</v>
      </c>
      <c r="Q89" s="181">
        <v>1000</v>
      </c>
      <c r="R89" s="182">
        <v>44484</v>
      </c>
      <c r="S89" s="182">
        <v>48136</v>
      </c>
      <c r="T89" s="183" t="s">
        <v>1199</v>
      </c>
      <c r="U89" s="183" t="s">
        <v>1669</v>
      </c>
      <c r="V89" s="182" t="s">
        <v>105</v>
      </c>
      <c r="W89" s="182" t="s">
        <v>102</v>
      </c>
      <c r="X89" s="182" t="s">
        <v>1551</v>
      </c>
      <c r="Y89" s="182">
        <v>47710</v>
      </c>
      <c r="Z89" s="184">
        <f>IFERROR(INDEX(Base!G:G,MATCH('Debêntures IPCA-Spread'!Y89,Base!F:F,0)),"")</f>
        <v>6.3273999999999999</v>
      </c>
      <c r="AA89" s="115"/>
      <c r="AB89" s="185">
        <v>45552</v>
      </c>
      <c r="AC89" s="186">
        <v>6.4962</v>
      </c>
      <c r="AD89" s="187">
        <f t="shared" si="4"/>
        <v>0.16880000000000006</v>
      </c>
      <c r="AE89" s="188">
        <v>0.08</v>
      </c>
      <c r="AF89" s="189">
        <v>6.6379000000000001</v>
      </c>
      <c r="AG89" s="189">
        <v>6.3665000000000003</v>
      </c>
      <c r="AH89" s="190">
        <v>1159.538961</v>
      </c>
      <c r="AI89" s="190">
        <v>1175.659543</v>
      </c>
      <c r="AJ89" s="191">
        <f t="shared" si="5"/>
        <v>0.98628805244172635</v>
      </c>
      <c r="AK89" s="192">
        <v>45518</v>
      </c>
      <c r="AL89" s="193">
        <v>97.1</v>
      </c>
      <c r="AM89" s="194">
        <v>1265</v>
      </c>
      <c r="AN89" s="115"/>
      <c r="AO89" s="195">
        <v>-8.9432075583000003E-4</v>
      </c>
      <c r="AP89" s="196">
        <f>IF(AO89="","",AO89-AO$6)</f>
        <v>-1.37446564076E-3</v>
      </c>
      <c r="AQ89" s="196">
        <v>-5.9423385392000003E-4</v>
      </c>
      <c r="AR89" s="196">
        <f>IF(AQ89="","",AQ89-AQ$6)</f>
        <v>-3.7672710096E-4</v>
      </c>
      <c r="AS89" s="196">
        <v>6.3388998175999994E-2</v>
      </c>
      <c r="AT89" s="196">
        <f>IF(AS89="","",AS89-AS$6)</f>
        <v>4.8663163120999997E-2</v>
      </c>
      <c r="AU89" s="196">
        <v>-8.6065662189999999E-3</v>
      </c>
      <c r="AV89" s="196">
        <f>IF(AU89="","",AU89-AU$6)</f>
        <v>4.4620163769999999E-3</v>
      </c>
      <c r="AW89" s="196">
        <v>3.1131162124000002E-2</v>
      </c>
      <c r="AX89" s="196">
        <f>IF(AW89="","",AW89-AW$6)</f>
        <v>7.1360943360000012E-3</v>
      </c>
      <c r="AY89" s="196">
        <v>1.8634723068E-2</v>
      </c>
      <c r="AZ89" s="196">
        <f>IF(AY89="","",AY89-AY$6)</f>
        <v>4.3924682779999998E-3</v>
      </c>
      <c r="BA89" s="196">
        <v>9.4044854280999998E-2</v>
      </c>
      <c r="BB89" s="196">
        <f>IF(BA89="","",BA89-BA$6)</f>
        <v>4.0557889723E-2</v>
      </c>
      <c r="BC89" s="196">
        <v>0.23373402121</v>
      </c>
      <c r="BD89" s="196">
        <f>IF(BC89="","",BC89-BC$6)</f>
        <v>3.9425454720000003E-2</v>
      </c>
      <c r="BE89" s="196"/>
      <c r="BF89" s="196" t="str">
        <f>IF(BE89="","",BE89-BE$6)</f>
        <v/>
      </c>
      <c r="BG89" s="196"/>
      <c r="BH89" s="196" t="str">
        <f>IF(BG89="","",BG89-BG$6)</f>
        <v/>
      </c>
      <c r="BI89" s="196"/>
      <c r="BJ89" s="196" t="str">
        <f>IF(BI89="","",BI89-BI$6)</f>
        <v/>
      </c>
      <c r="BK89" s="197">
        <v>4.7245566764999998</v>
      </c>
      <c r="BL89" s="115"/>
      <c r="BM89" s="198">
        <v>9.5674885397000007E-3</v>
      </c>
      <c r="BN89" s="191">
        <v>-9.2139508815E-3</v>
      </c>
      <c r="BO89" s="191">
        <v>2.7454882457999999E-2</v>
      </c>
      <c r="BP89" s="191">
        <v>-1.3735617138000001E-2</v>
      </c>
      <c r="BQ89" s="199">
        <v>8</v>
      </c>
      <c r="BR89" s="199">
        <v>4</v>
      </c>
      <c r="BS89" s="199">
        <v>7</v>
      </c>
      <c r="BT89" s="199">
        <v>5</v>
      </c>
      <c r="BU89" s="200">
        <v>-0.31433218997000001</v>
      </c>
      <c r="BV89" s="200"/>
      <c r="BW89" s="191">
        <v>4.8827059799999998E-3</v>
      </c>
      <c r="BX89" s="191">
        <v>3.7624518496000002E-3</v>
      </c>
      <c r="BY89" s="189">
        <v>-2.3494199473999999</v>
      </c>
      <c r="BZ89" s="191">
        <v>-2.2243002125000001E-2</v>
      </c>
      <c r="CA89" s="191">
        <v>-2.2243002125000001E-2</v>
      </c>
      <c r="CB89" s="182">
        <v>45364</v>
      </c>
      <c r="CC89" s="182">
        <v>45474</v>
      </c>
      <c r="CD89" s="201">
        <v>83</v>
      </c>
      <c r="CE89" s="202">
        <v>45484</v>
      </c>
      <c r="CF89" s="116"/>
    </row>
    <row r="90" spans="2:84" ht="15.6" x14ac:dyDescent="0.3">
      <c r="B90" s="110" t="s">
        <v>1413</v>
      </c>
      <c r="C90" s="147" t="s">
        <v>2059</v>
      </c>
      <c r="D90" s="148" t="s">
        <v>70</v>
      </c>
      <c r="E90" s="148" t="s">
        <v>226</v>
      </c>
      <c r="F90" s="149">
        <v>10835932000108</v>
      </c>
      <c r="G90" s="149" t="s">
        <v>1772</v>
      </c>
      <c r="H90" s="149" t="s">
        <v>388</v>
      </c>
      <c r="I90" s="150">
        <v>12</v>
      </c>
      <c r="J90" s="151">
        <v>3</v>
      </c>
      <c r="K90" s="151" t="s">
        <v>126</v>
      </c>
      <c r="L90" s="151" t="s">
        <v>112</v>
      </c>
      <c r="M90" s="151" t="s">
        <v>106</v>
      </c>
      <c r="N90" s="151" t="s">
        <v>109</v>
      </c>
      <c r="O90" s="152">
        <v>400000</v>
      </c>
      <c r="P90" s="153">
        <v>400000000</v>
      </c>
      <c r="Q90" s="153">
        <v>1000</v>
      </c>
      <c r="R90" s="154">
        <v>44666</v>
      </c>
      <c r="S90" s="154">
        <v>48319</v>
      </c>
      <c r="T90" s="155" t="s">
        <v>1974</v>
      </c>
      <c r="U90" s="155" t="s">
        <v>1670</v>
      </c>
      <c r="V90" s="154" t="s">
        <v>105</v>
      </c>
      <c r="W90" s="154" t="s">
        <v>102</v>
      </c>
      <c r="X90" s="154" t="s">
        <v>1552</v>
      </c>
      <c r="Y90" s="154">
        <v>47710</v>
      </c>
      <c r="Z90" s="156">
        <f>IFERROR(INDEX(Base!G:G,MATCH('Debêntures IPCA-Spread'!Y90,Base!F:F,0)),"")</f>
        <v>6.3273999999999999</v>
      </c>
      <c r="AA90" s="115"/>
      <c r="AB90" s="157">
        <v>45552</v>
      </c>
      <c r="AC90" s="158">
        <v>6.4642999999999997</v>
      </c>
      <c r="AD90" s="159">
        <f t="shared" si="4"/>
        <v>0.1368999999999998</v>
      </c>
      <c r="AE90" s="160">
        <v>0.03</v>
      </c>
      <c r="AF90" s="161">
        <v>6.6310000000000002</v>
      </c>
      <c r="AG90" s="161">
        <v>6.3712999999999997</v>
      </c>
      <c r="AH90" s="162">
        <v>1121.0853179999999</v>
      </c>
      <c r="AI90" s="162">
        <v>1134.1415890000001</v>
      </c>
      <c r="AJ90" s="163">
        <f t="shared" si="5"/>
        <v>0.98848797087891627</v>
      </c>
      <c r="AK90" s="164">
        <v>45518</v>
      </c>
      <c r="AL90" s="165">
        <v>99.08</v>
      </c>
      <c r="AM90" s="166">
        <v>1337</v>
      </c>
      <c r="AN90" s="115"/>
      <c r="AO90" s="167">
        <v>3.5996208498999998E-4</v>
      </c>
      <c r="AP90" s="168">
        <f>IF(AO90="","",AO90-AO$6)</f>
        <v>-1.2018279994000002E-4</v>
      </c>
      <c r="AQ90" s="168">
        <v>3.0844360081000001E-3</v>
      </c>
      <c r="AR90" s="168">
        <f>IF(AQ90="","",AQ90-AQ$6)</f>
        <v>3.3019427610600002E-3</v>
      </c>
      <c r="AS90" s="168">
        <v>5.9911150002999999E-2</v>
      </c>
      <c r="AT90" s="168">
        <f>IF(AS90="","",AS90-AS$6)</f>
        <v>4.5185314948000002E-2</v>
      </c>
      <c r="AU90" s="168">
        <v>-1.0190148619E-2</v>
      </c>
      <c r="AV90" s="168">
        <f>IF(AU90="","",AU90-AU$6)</f>
        <v>2.8784339769999997E-3</v>
      </c>
      <c r="AW90" s="168">
        <v>3.5734287576000001E-2</v>
      </c>
      <c r="AX90" s="168">
        <f>IF(AW90="","",AW90-AW$6)</f>
        <v>1.1739219788000001E-2</v>
      </c>
      <c r="AY90" s="168">
        <v>1.7912681185000001E-2</v>
      </c>
      <c r="AZ90" s="168">
        <f>IF(AY90="","",AY90-AY$6)</f>
        <v>3.6704263950000007E-3</v>
      </c>
      <c r="BA90" s="168">
        <v>9.6261871903999999E-2</v>
      </c>
      <c r="BB90" s="168">
        <f>IF(BA90="","",BA90-BA$6)</f>
        <v>4.2774907346E-2</v>
      </c>
      <c r="BC90" s="168">
        <v>0.23671239350000001</v>
      </c>
      <c r="BD90" s="168">
        <f>IF(BC90="","",BC90-BC$6)</f>
        <v>4.2403827010000006E-2</v>
      </c>
      <c r="BE90" s="168"/>
      <c r="BF90" s="168" t="str">
        <f>IF(BE90="","",BE90-BE$6)</f>
        <v/>
      </c>
      <c r="BG90" s="168"/>
      <c r="BH90" s="168" t="str">
        <f>IF(BG90="","",BG90-BG$6)</f>
        <v/>
      </c>
      <c r="BI90" s="168"/>
      <c r="BJ90" s="168" t="str">
        <f>IF(BI90="","",BI90-BI$6)</f>
        <v/>
      </c>
      <c r="BK90" s="169">
        <v>5.0825303026000004</v>
      </c>
      <c r="BL90" s="115"/>
      <c r="BM90" s="170">
        <v>1.5155801167000001E-2</v>
      </c>
      <c r="BN90" s="163">
        <v>-1.0446052088999999E-2</v>
      </c>
      <c r="BO90" s="163">
        <v>3.1478947140999997E-2</v>
      </c>
      <c r="BP90" s="163">
        <v>-2.2488538735000001E-2</v>
      </c>
      <c r="BQ90" s="171">
        <v>9</v>
      </c>
      <c r="BR90" s="171">
        <v>3</v>
      </c>
      <c r="BS90" s="171">
        <v>6</v>
      </c>
      <c r="BT90" s="171">
        <v>6</v>
      </c>
      <c r="BU90" s="172">
        <v>-0.24948954494</v>
      </c>
      <c r="BV90" s="172"/>
      <c r="BW90" s="163">
        <v>5.2531323973999998E-3</v>
      </c>
      <c r="BX90" s="163">
        <v>3.7182245889E-3</v>
      </c>
      <c r="BY90" s="161">
        <v>-2.1219303556</v>
      </c>
      <c r="BZ90" s="163">
        <v>-2.9498332772999999E-2</v>
      </c>
      <c r="CA90" s="163">
        <v>-2.9498332772999999E-2</v>
      </c>
      <c r="CB90" s="154">
        <v>45364</v>
      </c>
      <c r="CC90" s="154">
        <v>45474</v>
      </c>
      <c r="CD90" s="173">
        <v>98</v>
      </c>
      <c r="CE90" s="174">
        <v>45505</v>
      </c>
      <c r="CF90" s="116"/>
    </row>
    <row r="91" spans="2:84" ht="15.6" x14ac:dyDescent="0.3">
      <c r="B91" s="98" t="s">
        <v>2225</v>
      </c>
      <c r="C91" s="175" t="s">
        <v>2610</v>
      </c>
      <c r="D91" s="176" t="s">
        <v>70</v>
      </c>
      <c r="E91" s="176" t="s">
        <v>226</v>
      </c>
      <c r="F91" s="177">
        <v>10835932000108</v>
      </c>
      <c r="G91" s="177" t="s">
        <v>2360</v>
      </c>
      <c r="H91" s="177" t="s">
        <v>388</v>
      </c>
      <c r="I91" s="178">
        <v>13</v>
      </c>
      <c r="J91" s="179">
        <v>2</v>
      </c>
      <c r="K91" s="179" t="s">
        <v>126</v>
      </c>
      <c r="L91" s="179" t="s">
        <v>1252</v>
      </c>
      <c r="M91" s="179" t="s">
        <v>106</v>
      </c>
      <c r="N91" s="179" t="s">
        <v>109</v>
      </c>
      <c r="O91" s="180">
        <v>500000</v>
      </c>
      <c r="P91" s="181">
        <v>500000000</v>
      </c>
      <c r="Q91" s="181">
        <v>1000</v>
      </c>
      <c r="R91" s="182">
        <v>45245</v>
      </c>
      <c r="S91" s="182">
        <v>48898</v>
      </c>
      <c r="T91" s="183" t="s">
        <v>2821</v>
      </c>
      <c r="U91" s="183" t="s">
        <v>2731</v>
      </c>
      <c r="V91" s="182" t="s">
        <v>105</v>
      </c>
      <c r="W91" s="182" t="s">
        <v>102</v>
      </c>
      <c r="X91" s="182" t="s">
        <v>1355</v>
      </c>
      <c r="Y91" s="182">
        <v>48441</v>
      </c>
      <c r="Z91" s="184">
        <f>IFERROR(INDEX(Base!G:G,MATCH('Debêntures IPCA-Spread'!Y91,Base!F:F,0)),"")</f>
        <v>6.3467000000000002</v>
      </c>
      <c r="AA91" s="115"/>
      <c r="AB91" s="185">
        <v>45552</v>
      </c>
      <c r="AC91" s="186">
        <v>6.5273000000000003</v>
      </c>
      <c r="AD91" s="187">
        <f t="shared" si="4"/>
        <v>0.18060000000000009</v>
      </c>
      <c r="AE91" s="188">
        <v>0.06</v>
      </c>
      <c r="AF91" s="189">
        <v>6.6906999999999996</v>
      </c>
      <c r="AG91" s="189">
        <v>6.4486999999999997</v>
      </c>
      <c r="AH91" s="190">
        <v>1028.227736</v>
      </c>
      <c r="AI91" s="190"/>
      <c r="AJ91" s="191" t="str">
        <f t="shared" si="5"/>
        <v/>
      </c>
      <c r="AK91" s="192"/>
      <c r="AL91" s="193">
        <v>97.47</v>
      </c>
      <c r="AM91" s="194">
        <v>1604</v>
      </c>
      <c r="AN91" s="115"/>
      <c r="AO91" s="195">
        <v>-1.1751495603000001E-3</v>
      </c>
      <c r="AP91" s="196">
        <f>IF(AO91="","",AO91-AO$6)</f>
        <v>-1.6552944452300001E-3</v>
      </c>
      <c r="AQ91" s="196">
        <v>8.5494338072999998E-3</v>
      </c>
      <c r="AR91" s="196">
        <f>IF(AQ91="","",AQ91-AQ$6)</f>
        <v>8.766940560259999E-3</v>
      </c>
      <c r="AS91" s="196"/>
      <c r="AT91" s="196" t="str">
        <f>IF(AS91="","",AS91-AS$6)</f>
        <v/>
      </c>
      <c r="AU91" s="196">
        <v>-1.3635069236E-2</v>
      </c>
      <c r="AV91" s="196">
        <f>IF(AU91="","",AU91-AU$6)</f>
        <v>-5.6648664000000064E-4</v>
      </c>
      <c r="AW91" s="196">
        <v>4.0839059339999997E-2</v>
      </c>
      <c r="AX91" s="196">
        <f>IF(AW91="","",AW91-AW$6)</f>
        <v>1.6843991551999997E-2</v>
      </c>
      <c r="AY91" s="196">
        <v>2.2506756805999999E-2</v>
      </c>
      <c r="AZ91" s="196">
        <f>IF(AY91="","",AY91-AY$6)</f>
        <v>8.2645020159999982E-3</v>
      </c>
      <c r="BA91" s="196"/>
      <c r="BB91" s="196" t="str">
        <f>IF(BA91="","",BA91-BA$6)</f>
        <v/>
      </c>
      <c r="BC91" s="196"/>
      <c r="BD91" s="196" t="str">
        <f>IF(BC91="","",BC91-BC$6)</f>
        <v/>
      </c>
      <c r="BE91" s="196"/>
      <c r="BF91" s="196" t="str">
        <f>IF(BE91="","",BE91-BE$6)</f>
        <v/>
      </c>
      <c r="BG91" s="196"/>
      <c r="BH91" s="196" t="str">
        <f>IF(BG91="","",BG91-BG$6)</f>
        <v/>
      </c>
      <c r="BI91" s="196"/>
      <c r="BJ91" s="196" t="str">
        <f>IF(BI91="","",BI91-BI$6)</f>
        <v/>
      </c>
      <c r="BK91" s="197"/>
      <c r="BL91" s="115"/>
      <c r="BM91" s="198">
        <v>2.0160069619999998E-2</v>
      </c>
      <c r="BN91" s="191">
        <v>-1.0647594032E-2</v>
      </c>
      <c r="BO91" s="191">
        <v>3.2510748148E-2</v>
      </c>
      <c r="BP91" s="191">
        <v>-2.4028852486000001E-2</v>
      </c>
      <c r="BQ91" s="199"/>
      <c r="BR91" s="199"/>
      <c r="BS91" s="199"/>
      <c r="BT91" s="199"/>
      <c r="BU91" s="200"/>
      <c r="BV91" s="200"/>
      <c r="BW91" s="191"/>
      <c r="BX91" s="191">
        <v>6.0206589541000003E-3</v>
      </c>
      <c r="BY91" s="189"/>
      <c r="BZ91" s="191">
        <v>-3.3331288458999998E-2</v>
      </c>
      <c r="CA91" s="191">
        <v>-3.3331288458999998E-2</v>
      </c>
      <c r="CB91" s="182">
        <v>45439</v>
      </c>
      <c r="CC91" s="182">
        <v>45474</v>
      </c>
      <c r="CD91" s="201">
        <v>32</v>
      </c>
      <c r="CE91" s="202">
        <v>45484</v>
      </c>
      <c r="CF91" s="116"/>
    </row>
    <row r="92" spans="2:84" ht="15.6" x14ac:dyDescent="0.3">
      <c r="B92" s="110" t="s">
        <v>2226</v>
      </c>
      <c r="C92" s="147" t="s">
        <v>2611</v>
      </c>
      <c r="D92" s="148" t="s">
        <v>2852</v>
      </c>
      <c r="E92" s="148" t="s">
        <v>226</v>
      </c>
      <c r="F92" s="149">
        <v>23758522000152</v>
      </c>
      <c r="G92" s="149" t="s">
        <v>2361</v>
      </c>
      <c r="H92" s="149" t="s">
        <v>388</v>
      </c>
      <c r="I92" s="150">
        <v>2</v>
      </c>
      <c r="J92" s="151">
        <v>3</v>
      </c>
      <c r="K92" s="151" t="s">
        <v>126</v>
      </c>
      <c r="L92" s="151" t="s">
        <v>112</v>
      </c>
      <c r="M92" s="151" t="s">
        <v>114</v>
      </c>
      <c r="N92" s="151" t="s">
        <v>109</v>
      </c>
      <c r="O92" s="152">
        <v>1800000</v>
      </c>
      <c r="P92" s="153">
        <v>1800000000</v>
      </c>
      <c r="Q92" s="153">
        <v>1000</v>
      </c>
      <c r="R92" s="154">
        <v>45184</v>
      </c>
      <c r="S92" s="154">
        <v>47741</v>
      </c>
      <c r="T92" s="155" t="s">
        <v>2828</v>
      </c>
      <c r="U92" s="155" t="s">
        <v>2732</v>
      </c>
      <c r="V92" s="154" t="s">
        <v>105</v>
      </c>
      <c r="W92" s="154" t="s">
        <v>102</v>
      </c>
      <c r="X92" s="154" t="s">
        <v>2495</v>
      </c>
      <c r="Y92" s="154">
        <v>47710</v>
      </c>
      <c r="Z92" s="156">
        <f>IFERROR(INDEX(Base!G:G,MATCH('Debêntures IPCA-Spread'!Y92,Base!F:F,0)),"")</f>
        <v>6.3273999999999999</v>
      </c>
      <c r="AA92" s="115"/>
      <c r="AB92" s="157">
        <v>45552</v>
      </c>
      <c r="AC92" s="158">
        <v>6.5119999999999996</v>
      </c>
      <c r="AD92" s="159">
        <f t="shared" si="4"/>
        <v>0.18459999999999965</v>
      </c>
      <c r="AE92" s="160">
        <v>0.16</v>
      </c>
      <c r="AF92" s="161">
        <v>6.7629999999999999</v>
      </c>
      <c r="AG92" s="161">
        <v>6.4924999999999997</v>
      </c>
      <c r="AH92" s="162">
        <v>1086.6196110000001</v>
      </c>
      <c r="AI92" s="162"/>
      <c r="AJ92" s="163" t="str">
        <f t="shared" si="5"/>
        <v/>
      </c>
      <c r="AK92" s="164"/>
      <c r="AL92" s="165">
        <v>104.31</v>
      </c>
      <c r="AM92" s="166">
        <v>1161</v>
      </c>
      <c r="AN92" s="115"/>
      <c r="AO92" s="167">
        <v>2.1329783995000001E-3</v>
      </c>
      <c r="AP92" s="168">
        <f>IF(AO92="","",AO92-AO$6)</f>
        <v>1.6528335145700001E-3</v>
      </c>
      <c r="AQ92" s="168">
        <v>7.6006992422000003E-3</v>
      </c>
      <c r="AR92" s="168">
        <f>IF(AQ92="","",AQ92-AQ$6)</f>
        <v>7.8182059951599995E-3</v>
      </c>
      <c r="AS92" s="168"/>
      <c r="AT92" s="168" t="str">
        <f>IF(AS92="","",AS92-AS$6)</f>
        <v/>
      </c>
      <c r="AU92" s="168">
        <v>5.315406961E-3</v>
      </c>
      <c r="AV92" s="168">
        <f>IF(AU92="","",AU92-AU$6)</f>
        <v>1.8383989556999998E-2</v>
      </c>
      <c r="AW92" s="168">
        <v>5.0155952896999999E-2</v>
      </c>
      <c r="AX92" s="168">
        <f>IF(AW92="","",AW92-AW$6)</f>
        <v>2.6160885108999998E-2</v>
      </c>
      <c r="AY92" s="168"/>
      <c r="AZ92" s="168" t="str">
        <f>IF(AY92="","",AY92-AY$6)</f>
        <v/>
      </c>
      <c r="BA92" s="168"/>
      <c r="BB92" s="168" t="str">
        <f>IF(BA92="","",BA92-BA$6)</f>
        <v/>
      </c>
      <c r="BC92" s="168"/>
      <c r="BD92" s="168" t="str">
        <f>IF(BC92="","",BC92-BC$6)</f>
        <v/>
      </c>
      <c r="BE92" s="168"/>
      <c r="BF92" s="168" t="str">
        <f>IF(BE92="","",BE92-BE$6)</f>
        <v/>
      </c>
      <c r="BG92" s="168"/>
      <c r="BH92" s="168" t="str">
        <f>IF(BG92="","",BG92-BG$6)</f>
        <v/>
      </c>
      <c r="BI92" s="168"/>
      <c r="BJ92" s="168" t="str">
        <f>IF(BI92="","",BI92-BI$6)</f>
        <v/>
      </c>
      <c r="BK92" s="169"/>
      <c r="BL92" s="115"/>
      <c r="BM92" s="170">
        <v>6.1835547457999998E-3</v>
      </c>
      <c r="BN92" s="163">
        <v>-6.2105793803999996E-3</v>
      </c>
      <c r="BO92" s="163">
        <v>2.2592421145E-2</v>
      </c>
      <c r="BP92" s="163">
        <v>-9.4167873194000006E-3</v>
      </c>
      <c r="BQ92" s="171"/>
      <c r="BR92" s="171"/>
      <c r="BS92" s="171"/>
      <c r="BT92" s="171"/>
      <c r="BU92" s="172"/>
      <c r="BV92" s="172"/>
      <c r="BW92" s="163"/>
      <c r="BX92" s="163">
        <v>3.2447650170000001E-3</v>
      </c>
      <c r="BY92" s="161"/>
      <c r="BZ92" s="163">
        <v>-1.5636715488E-2</v>
      </c>
      <c r="CA92" s="163">
        <v>-1.5636715488E-2</v>
      </c>
      <c r="CB92" s="154">
        <v>45443</v>
      </c>
      <c r="CC92" s="154">
        <v>45475</v>
      </c>
      <c r="CD92" s="173">
        <v>27</v>
      </c>
      <c r="CE92" s="174">
        <v>45482</v>
      </c>
      <c r="CF92" s="116"/>
    </row>
    <row r="93" spans="2:84" ht="15.6" x14ac:dyDescent="0.3">
      <c r="B93" s="98" t="s">
        <v>31</v>
      </c>
      <c r="C93" s="175" t="s">
        <v>288</v>
      </c>
      <c r="D93" s="176" t="s">
        <v>71</v>
      </c>
      <c r="E93" s="176" t="s">
        <v>226</v>
      </c>
      <c r="F93" s="177">
        <v>6981180000116</v>
      </c>
      <c r="G93" s="177" t="s">
        <v>345</v>
      </c>
      <c r="H93" s="177" t="s">
        <v>388</v>
      </c>
      <c r="I93" s="178">
        <v>3</v>
      </c>
      <c r="J93" s="179">
        <v>3</v>
      </c>
      <c r="K93" s="179" t="s">
        <v>129</v>
      </c>
      <c r="L93" s="179" t="s">
        <v>123</v>
      </c>
      <c r="M93" s="179" t="s">
        <v>106</v>
      </c>
      <c r="N93" s="179" t="s">
        <v>117</v>
      </c>
      <c r="O93" s="180">
        <v>653675</v>
      </c>
      <c r="P93" s="181">
        <v>653675000</v>
      </c>
      <c r="Q93" s="181">
        <v>1000</v>
      </c>
      <c r="R93" s="182">
        <v>41320</v>
      </c>
      <c r="S93" s="182">
        <v>45703</v>
      </c>
      <c r="T93" s="183" t="s">
        <v>135</v>
      </c>
      <c r="U93" s="183" t="s">
        <v>169</v>
      </c>
      <c r="V93" s="182" t="s">
        <v>105</v>
      </c>
      <c r="W93" s="182" t="s">
        <v>102</v>
      </c>
      <c r="X93" s="182" t="s">
        <v>1307</v>
      </c>
      <c r="Y93" s="182">
        <v>45792</v>
      </c>
      <c r="Z93" s="184">
        <f>IFERROR(INDEX(Base!G:G,MATCH('Debêntures IPCA-Spread'!Y93,Base!F:F,0)),"")</f>
        <v>5.73</v>
      </c>
      <c r="AA93" s="115"/>
      <c r="AB93" s="185">
        <v>45552</v>
      </c>
      <c r="AC93" s="186">
        <v>6.6847000000000003</v>
      </c>
      <c r="AD93" s="187">
        <f t="shared" si="4"/>
        <v>0.95469999999999988</v>
      </c>
      <c r="AE93" s="188">
        <v>0.53</v>
      </c>
      <c r="AF93" s="189">
        <v>7.0587999999999997</v>
      </c>
      <c r="AG93" s="189">
        <v>6.3465999999999996</v>
      </c>
      <c r="AH93" s="190">
        <v>490.79770400000001</v>
      </c>
      <c r="AI93" s="190">
        <v>490.79770400000001</v>
      </c>
      <c r="AJ93" s="191">
        <f t="shared" si="5"/>
        <v>1</v>
      </c>
      <c r="AK93" s="192">
        <v>45552</v>
      </c>
      <c r="AL93" s="193">
        <v>99.38</v>
      </c>
      <c r="AM93" s="194">
        <v>105</v>
      </c>
      <c r="AN93" s="115"/>
      <c r="AO93" s="195">
        <v>5.8436194195000003E-4</v>
      </c>
      <c r="AP93" s="196">
        <f>IF(AO93="","",AO93-AO$6)</f>
        <v>1.0421705702000003E-4</v>
      </c>
      <c r="AQ93" s="196">
        <v>4.7445701748E-3</v>
      </c>
      <c r="AR93" s="196">
        <f>IF(AQ93="","",AQ93-AQ$6)</f>
        <v>4.9620769277600001E-3</v>
      </c>
      <c r="AS93" s="196">
        <v>9.1244676285000006E-2</v>
      </c>
      <c r="AT93" s="196">
        <f>IF(AS93="","",AS93-AS$6)</f>
        <v>7.6518841230000009E-2</v>
      </c>
      <c r="AU93" s="196">
        <v>7.4135805461999996E-3</v>
      </c>
      <c r="AV93" s="196">
        <f>IF(AU93="","",AU93-AU$6)</f>
        <v>2.0482163142199999E-2</v>
      </c>
      <c r="AW93" s="196">
        <v>3.0579570192999998E-2</v>
      </c>
      <c r="AX93" s="196">
        <f>IF(AW93="","",AW93-AW$6)</f>
        <v>6.5845024049999978E-3</v>
      </c>
      <c r="AY93" s="196">
        <v>5.3919074174999998E-2</v>
      </c>
      <c r="AZ93" s="196">
        <f>IF(AY93="","",AY93-AY$6)</f>
        <v>3.9676819384999999E-2</v>
      </c>
      <c r="BA93" s="196">
        <v>0.12641123230000001</v>
      </c>
      <c r="BB93" s="196">
        <f>IF(BA93="","",BA93-BA$6)</f>
        <v>7.2924267742000004E-2</v>
      </c>
      <c r="BC93" s="196">
        <v>0.27602273524999998</v>
      </c>
      <c r="BD93" s="196">
        <f>IF(BC93="","",BC93-BC$6)</f>
        <v>8.1714168759999983E-2</v>
      </c>
      <c r="BE93" s="196">
        <v>0.41903960218000003</v>
      </c>
      <c r="BF93" s="196">
        <f>IF(BE93="","",BE93-BE$6)</f>
        <v>0.15732026264000004</v>
      </c>
      <c r="BG93" s="196">
        <v>0.57253623412999999</v>
      </c>
      <c r="BH93" s="196">
        <f>IF(BG93="","",BG93-BG$6)</f>
        <v>0.26361958531999996</v>
      </c>
      <c r="BI93" s="196">
        <v>0.69257813426000003</v>
      </c>
      <c r="BJ93" s="196">
        <f>IF(BI93="","",BI93-BI$6)</f>
        <v>0.31963512418000001</v>
      </c>
      <c r="BK93" s="197">
        <v>1.3061135561999999</v>
      </c>
      <c r="BL93" s="115"/>
      <c r="BM93" s="198">
        <v>5.8197105044999996E-3</v>
      </c>
      <c r="BN93" s="191">
        <v>-2.4260474511E-3</v>
      </c>
      <c r="BO93" s="191">
        <v>1.6184256458E-2</v>
      </c>
      <c r="BP93" s="191">
        <v>4.7445701748E-3</v>
      </c>
      <c r="BQ93" s="199">
        <v>12</v>
      </c>
      <c r="BR93" s="199">
        <v>0</v>
      </c>
      <c r="BS93" s="199">
        <v>8</v>
      </c>
      <c r="BT93" s="199">
        <v>4</v>
      </c>
      <c r="BU93" s="200">
        <v>1.0138793161999999</v>
      </c>
      <c r="BV93" s="200">
        <v>0.30143089601</v>
      </c>
      <c r="BW93" s="191">
        <v>1.3504809365E-3</v>
      </c>
      <c r="BX93" s="191">
        <v>9.3043248969999998E-4</v>
      </c>
      <c r="BY93" s="189">
        <v>1.3665847361000001</v>
      </c>
      <c r="BZ93" s="191">
        <v>-2.4260474511E-3</v>
      </c>
      <c r="CA93" s="191">
        <v>-2.4260474511E-3</v>
      </c>
      <c r="CB93" s="182">
        <v>45337</v>
      </c>
      <c r="CC93" s="182">
        <v>45338</v>
      </c>
      <c r="CD93" s="201">
        <v>3</v>
      </c>
      <c r="CE93" s="202">
        <v>45342</v>
      </c>
      <c r="CF93" s="116"/>
    </row>
    <row r="94" spans="2:84" ht="15.6" x14ac:dyDescent="0.3">
      <c r="B94" s="110" t="s">
        <v>500</v>
      </c>
      <c r="C94" s="147" t="s">
        <v>665</v>
      </c>
      <c r="D94" s="148" t="s">
        <v>71</v>
      </c>
      <c r="E94" s="148" t="s">
        <v>226</v>
      </c>
      <c r="F94" s="149">
        <v>6981180000116</v>
      </c>
      <c r="G94" s="149" t="s">
        <v>820</v>
      </c>
      <c r="H94" s="149" t="s">
        <v>388</v>
      </c>
      <c r="I94" s="150">
        <v>7</v>
      </c>
      <c r="J94" s="151">
        <v>2</v>
      </c>
      <c r="K94" s="151" t="s">
        <v>126</v>
      </c>
      <c r="L94" s="151" t="s">
        <v>123</v>
      </c>
      <c r="M94" s="151" t="s">
        <v>106</v>
      </c>
      <c r="N94" s="151" t="s">
        <v>109</v>
      </c>
      <c r="O94" s="152">
        <v>1500000</v>
      </c>
      <c r="P94" s="153">
        <v>1500000000</v>
      </c>
      <c r="Q94" s="153">
        <v>1000</v>
      </c>
      <c r="R94" s="154">
        <v>43631</v>
      </c>
      <c r="S94" s="154">
        <v>46188</v>
      </c>
      <c r="T94" s="155" t="s">
        <v>756</v>
      </c>
      <c r="U94" s="155" t="s">
        <v>908</v>
      </c>
      <c r="V94" s="154" t="s">
        <v>105</v>
      </c>
      <c r="W94" s="154" t="s">
        <v>102</v>
      </c>
      <c r="X94" s="154" t="s">
        <v>1308</v>
      </c>
      <c r="Y94" s="154">
        <v>45792</v>
      </c>
      <c r="Z94" s="156">
        <f>IFERROR(INDEX(Base!G:G,MATCH('Debêntures IPCA-Spread'!Y94,Base!F:F,0)),"")</f>
        <v>5.73</v>
      </c>
      <c r="AA94" s="115"/>
      <c r="AB94" s="157">
        <v>45552</v>
      </c>
      <c r="AC94" s="158">
        <v>5.7667999999999999</v>
      </c>
      <c r="AD94" s="159">
        <f t="shared" si="4"/>
        <v>3.67999999999995E-2</v>
      </c>
      <c r="AE94" s="160">
        <v>0.09</v>
      </c>
      <c r="AF94" s="161">
        <v>5.9509999999999996</v>
      </c>
      <c r="AG94" s="161">
        <v>5.5648</v>
      </c>
      <c r="AH94" s="162">
        <v>1324.7253949999999</v>
      </c>
      <c r="AI94" s="162">
        <v>1324.7253949999999</v>
      </c>
      <c r="AJ94" s="163">
        <f t="shared" si="5"/>
        <v>1</v>
      </c>
      <c r="AK94" s="164">
        <v>45552</v>
      </c>
      <c r="AL94" s="165">
        <v>98.12</v>
      </c>
      <c r="AM94" s="166">
        <v>300</v>
      </c>
      <c r="AN94" s="115"/>
      <c r="AO94" s="167">
        <v>2.4640382980999998E-4</v>
      </c>
      <c r="AP94" s="168">
        <f>IF(AO94="","",AO94-AO$6)</f>
        <v>-2.3374105512000002E-4</v>
      </c>
      <c r="AQ94" s="168">
        <v>6.3779237462E-3</v>
      </c>
      <c r="AR94" s="168">
        <f>IF(AQ94="","",AQ94-AQ$6)</f>
        <v>6.59543049916E-3</v>
      </c>
      <c r="AS94" s="168">
        <v>7.7330178471999994E-2</v>
      </c>
      <c r="AT94" s="168">
        <f>IF(AS94="","",AS94-AS$6)</f>
        <v>6.2604343416999997E-2</v>
      </c>
      <c r="AU94" s="168">
        <v>1.2372640840000001E-2</v>
      </c>
      <c r="AV94" s="168">
        <f>IF(AU94="","",AU94-AU$6)</f>
        <v>2.5441223435999999E-2</v>
      </c>
      <c r="AW94" s="168">
        <v>3.0470949006E-2</v>
      </c>
      <c r="AX94" s="168">
        <f>IF(AW94="","",AW94-AW$6)</f>
        <v>6.4758812179999993E-3</v>
      </c>
      <c r="AY94" s="168">
        <v>4.9359241151000002E-2</v>
      </c>
      <c r="AZ94" s="168">
        <f>IF(AY94="","",AY94-AY$6)</f>
        <v>3.5116986361000004E-2</v>
      </c>
      <c r="BA94" s="168">
        <v>0.10653399056</v>
      </c>
      <c r="BB94" s="168">
        <f>IF(BA94="","",BA94-BA$6)</f>
        <v>5.3047026002000001E-2</v>
      </c>
      <c r="BC94" s="168">
        <v>0.23696980804000001</v>
      </c>
      <c r="BD94" s="168">
        <f>IF(BC94="","",BC94-BC$6)</f>
        <v>4.2661241550000006E-2</v>
      </c>
      <c r="BE94" s="168">
        <v>0.35369389254</v>
      </c>
      <c r="BF94" s="168">
        <f>IF(BE94="","",BE94-BE$6)</f>
        <v>9.1974553000000014E-2</v>
      </c>
      <c r="BG94" s="168">
        <v>0.51748686078999995</v>
      </c>
      <c r="BH94" s="168">
        <f>IF(BG94="","",BG94-BG$6)</f>
        <v>0.20857021197999992</v>
      </c>
      <c r="BI94" s="168"/>
      <c r="BJ94" s="168" t="str">
        <f>IF(BI94="","",BI94-BI$6)</f>
        <v/>
      </c>
      <c r="BK94" s="169">
        <v>1.8129135780000001</v>
      </c>
      <c r="BL94" s="115"/>
      <c r="BM94" s="170">
        <v>4.1850521939000001E-3</v>
      </c>
      <c r="BN94" s="163">
        <v>-3.8440443041E-3</v>
      </c>
      <c r="BO94" s="163">
        <v>1.5719303963E-2</v>
      </c>
      <c r="BP94" s="163">
        <v>-2.6801234289000001E-3</v>
      </c>
      <c r="BQ94" s="171">
        <v>10</v>
      </c>
      <c r="BR94" s="171">
        <v>2</v>
      </c>
      <c r="BS94" s="171">
        <v>7</v>
      </c>
      <c r="BT94" s="171">
        <v>5</v>
      </c>
      <c r="BU94" s="172">
        <v>-0.25081959963</v>
      </c>
      <c r="BV94" s="172">
        <v>-0.26745060978000001</v>
      </c>
      <c r="BW94" s="163">
        <v>1.8734619626E-3</v>
      </c>
      <c r="BX94" s="163">
        <v>1.4097075721E-3</v>
      </c>
      <c r="BY94" s="161">
        <v>-0.69843760526999998</v>
      </c>
      <c r="BZ94" s="163">
        <v>-7.5079449984999996E-3</v>
      </c>
      <c r="CA94" s="163">
        <v>-7.5079449984999996E-3</v>
      </c>
      <c r="CB94" s="154">
        <v>45188</v>
      </c>
      <c r="CC94" s="154">
        <v>45218</v>
      </c>
      <c r="CD94" s="173">
        <v>32</v>
      </c>
      <c r="CE94" s="174">
        <v>45236</v>
      </c>
      <c r="CF94" s="116"/>
    </row>
    <row r="95" spans="2:84" ht="15.6" x14ac:dyDescent="0.3">
      <c r="B95" s="98" t="s">
        <v>1414</v>
      </c>
      <c r="C95" s="175" t="s">
        <v>2060</v>
      </c>
      <c r="D95" s="176" t="s">
        <v>71</v>
      </c>
      <c r="E95" s="176" t="s">
        <v>226</v>
      </c>
      <c r="F95" s="177">
        <v>6981180000116</v>
      </c>
      <c r="G95" s="177" t="s">
        <v>1773</v>
      </c>
      <c r="H95" s="177" t="s">
        <v>388</v>
      </c>
      <c r="I95" s="178">
        <v>8</v>
      </c>
      <c r="J95" s="179">
        <v>2</v>
      </c>
      <c r="K95" s="179" t="s">
        <v>128</v>
      </c>
      <c r="L95" s="179" t="s">
        <v>119</v>
      </c>
      <c r="M95" s="179" t="s">
        <v>114</v>
      </c>
      <c r="N95" s="179" t="s">
        <v>109</v>
      </c>
      <c r="O95" s="180">
        <v>500000</v>
      </c>
      <c r="P95" s="181">
        <v>500000000</v>
      </c>
      <c r="Q95" s="181">
        <v>1000</v>
      </c>
      <c r="R95" s="182">
        <v>44727</v>
      </c>
      <c r="S95" s="182">
        <v>47284</v>
      </c>
      <c r="T95" s="183" t="s">
        <v>1984</v>
      </c>
      <c r="U95" s="183" t="s">
        <v>1671</v>
      </c>
      <c r="V95" s="182" t="s">
        <v>105</v>
      </c>
      <c r="W95" s="182" t="s">
        <v>102</v>
      </c>
      <c r="X95" s="182" t="s">
        <v>1553</v>
      </c>
      <c r="Y95" s="182">
        <v>46980</v>
      </c>
      <c r="Z95" s="184">
        <f>IFERROR(INDEX(Base!G:G,MATCH('Debêntures IPCA-Spread'!Y95,Base!F:F,0)),"")</f>
        <v>6.4702000000000002</v>
      </c>
      <c r="AA95" s="115"/>
      <c r="AB95" s="185">
        <v>45552</v>
      </c>
      <c r="AC95" s="186">
        <v>6.3662000000000001</v>
      </c>
      <c r="AD95" s="187">
        <f t="shared" si="4"/>
        <v>-0.10400000000000009</v>
      </c>
      <c r="AE95" s="188">
        <v>0.12</v>
      </c>
      <c r="AF95" s="189">
        <v>6.5956999999999999</v>
      </c>
      <c r="AG95" s="189">
        <v>6.2141000000000002</v>
      </c>
      <c r="AH95" s="190">
        <v>1090.4468460000001</v>
      </c>
      <c r="AI95" s="190">
        <v>1093.341338</v>
      </c>
      <c r="AJ95" s="191">
        <f t="shared" si="5"/>
        <v>0.99735261816287435</v>
      </c>
      <c r="AK95" s="192">
        <v>45518</v>
      </c>
      <c r="AL95" s="193">
        <v>99.09</v>
      </c>
      <c r="AM95" s="194">
        <v>937</v>
      </c>
      <c r="AN95" s="115"/>
      <c r="AO95" s="195">
        <v>1.4532966596999999E-3</v>
      </c>
      <c r="AP95" s="196">
        <f>IF(AO95="","",AO95-AO$6)</f>
        <v>9.731517747699999E-4</v>
      </c>
      <c r="AQ95" s="196">
        <v>5.3946046718999999E-3</v>
      </c>
      <c r="AR95" s="196">
        <f>IF(AQ95="","",AQ95-AQ$6)</f>
        <v>5.61211142486E-3</v>
      </c>
      <c r="AS95" s="196">
        <v>6.1241150015000002E-2</v>
      </c>
      <c r="AT95" s="196">
        <f>IF(AS95="","",AS95-AS$6)</f>
        <v>4.6515314959999998E-2</v>
      </c>
      <c r="AU95" s="196">
        <v>1.0335585484000001E-3</v>
      </c>
      <c r="AV95" s="196">
        <f>IF(AU95="","",AU95-AU$6)</f>
        <v>1.4102141144399999E-2</v>
      </c>
      <c r="AW95" s="196">
        <v>3.2827158129E-2</v>
      </c>
      <c r="AX95" s="196">
        <f>IF(AW95="","",AW95-AW$6)</f>
        <v>8.8320903409999998E-3</v>
      </c>
      <c r="AY95" s="196">
        <v>2.5955502286E-2</v>
      </c>
      <c r="AZ95" s="196">
        <f>IF(AY95="","",AY95-AY$6)</f>
        <v>1.1713247495999999E-2</v>
      </c>
      <c r="BA95" s="196">
        <v>9.3347416153999996E-2</v>
      </c>
      <c r="BB95" s="196">
        <f>IF(BA95="","",BA95-BA$6)</f>
        <v>3.9860451595999997E-2</v>
      </c>
      <c r="BC95" s="196"/>
      <c r="BD95" s="196" t="str">
        <f>IF(BC95="","",BC95-BC$6)</f>
        <v/>
      </c>
      <c r="BE95" s="196"/>
      <c r="BF95" s="196" t="str">
        <f>IF(BE95="","",BE95-BE$6)</f>
        <v/>
      </c>
      <c r="BG95" s="196"/>
      <c r="BH95" s="196" t="str">
        <f>IF(BG95="","",BG95-BG$6)</f>
        <v/>
      </c>
      <c r="BI95" s="196"/>
      <c r="BJ95" s="196" t="str">
        <f>IF(BI95="","",BI95-BI$6)</f>
        <v/>
      </c>
      <c r="BK95" s="197">
        <v>4.0738115307999996</v>
      </c>
      <c r="BL95" s="115"/>
      <c r="BM95" s="198">
        <v>8.8624666587000002E-3</v>
      </c>
      <c r="BN95" s="191">
        <v>-7.3373738660000003E-3</v>
      </c>
      <c r="BO95" s="191">
        <v>2.5128490694E-2</v>
      </c>
      <c r="BP95" s="191">
        <v>-1.5032926437000001E-2</v>
      </c>
      <c r="BQ95" s="199">
        <v>9</v>
      </c>
      <c r="BR95" s="199">
        <v>3</v>
      </c>
      <c r="BS95" s="199">
        <v>7</v>
      </c>
      <c r="BT95" s="199">
        <v>5</v>
      </c>
      <c r="BU95" s="200">
        <v>-0.38684381906999998</v>
      </c>
      <c r="BV95" s="200"/>
      <c r="BW95" s="191">
        <v>4.2100739414000004E-3</v>
      </c>
      <c r="BX95" s="191">
        <v>3.2946307930000001E-3</v>
      </c>
      <c r="BY95" s="189">
        <v>-2.2853771667</v>
      </c>
      <c r="BZ95" s="191">
        <v>-1.8338967902E-2</v>
      </c>
      <c r="CA95" s="191">
        <v>-1.8338967902E-2</v>
      </c>
      <c r="CB95" s="182">
        <v>45187</v>
      </c>
      <c r="CC95" s="182">
        <v>45202</v>
      </c>
      <c r="CD95" s="201">
        <v>41</v>
      </c>
      <c r="CE95" s="202">
        <v>45247</v>
      </c>
      <c r="CF95" s="116"/>
    </row>
    <row r="96" spans="2:84" ht="15.6" x14ac:dyDescent="0.3">
      <c r="B96" s="110" t="s">
        <v>2227</v>
      </c>
      <c r="C96" s="147" t="s">
        <v>2612</v>
      </c>
      <c r="D96" s="148" t="s">
        <v>71</v>
      </c>
      <c r="E96" s="148" t="s">
        <v>226</v>
      </c>
      <c r="F96" s="149">
        <v>6981180000116</v>
      </c>
      <c r="G96" s="149" t="s">
        <v>2362</v>
      </c>
      <c r="H96" s="149" t="s">
        <v>388</v>
      </c>
      <c r="I96" s="150">
        <v>10</v>
      </c>
      <c r="J96" s="151">
        <v>2</v>
      </c>
      <c r="K96" s="151" t="s">
        <v>126</v>
      </c>
      <c r="L96" s="151" t="s">
        <v>120</v>
      </c>
      <c r="M96" s="151" t="s">
        <v>114</v>
      </c>
      <c r="N96" s="151" t="s">
        <v>109</v>
      </c>
      <c r="O96" s="152">
        <v>1600000</v>
      </c>
      <c r="P96" s="153">
        <v>1600000000</v>
      </c>
      <c r="Q96" s="153">
        <v>1000</v>
      </c>
      <c r="R96" s="154">
        <v>45337</v>
      </c>
      <c r="S96" s="154">
        <v>48990</v>
      </c>
      <c r="T96" s="155" t="s">
        <v>2829</v>
      </c>
      <c r="U96" s="155" t="s">
        <v>2733</v>
      </c>
      <c r="V96" s="154" t="s">
        <v>105</v>
      </c>
      <c r="W96" s="154" t="s">
        <v>102</v>
      </c>
      <c r="X96" s="154" t="s">
        <v>2496</v>
      </c>
      <c r="Y96" s="154">
        <v>48714</v>
      </c>
      <c r="Z96" s="156">
        <f>IFERROR(INDEX(Base!G:G,MATCH('Debêntures IPCA-Spread'!Y96,Base!F:F,0)),"")</f>
        <v>6.3373999999999997</v>
      </c>
      <c r="AA96" s="115"/>
      <c r="AB96" s="157">
        <v>45552</v>
      </c>
      <c r="AC96" s="158">
        <v>6.3802000000000003</v>
      </c>
      <c r="AD96" s="159">
        <f t="shared" si="4"/>
        <v>4.2800000000000615E-2</v>
      </c>
      <c r="AE96" s="160">
        <v>0.1</v>
      </c>
      <c r="AF96" s="161">
        <v>6.6180000000000003</v>
      </c>
      <c r="AG96" s="161">
        <v>6.2713999999999999</v>
      </c>
      <c r="AH96" s="162">
        <v>1006.85124</v>
      </c>
      <c r="AI96" s="162"/>
      <c r="AJ96" s="163" t="str">
        <f t="shared" si="5"/>
        <v/>
      </c>
      <c r="AK96" s="164"/>
      <c r="AL96" s="165">
        <v>98.56</v>
      </c>
      <c r="AM96" s="166">
        <v>1669</v>
      </c>
      <c r="AN96" s="115"/>
      <c r="AO96" s="167">
        <v>1.2095513320000001E-3</v>
      </c>
      <c r="AP96" s="168">
        <f>IF(AO96="","",AO96-AO$6)</f>
        <v>7.294064470700001E-4</v>
      </c>
      <c r="AQ96" s="168">
        <v>7.0587887730999997E-3</v>
      </c>
      <c r="AR96" s="168">
        <f>IF(AQ96="","",AQ96-AQ$6)</f>
        <v>7.2762955260599997E-3</v>
      </c>
      <c r="AS96" s="168"/>
      <c r="AT96" s="168" t="str">
        <f>IF(AS96="","",AS96-AS$6)</f>
        <v/>
      </c>
      <c r="AU96" s="168">
        <v>-3.6243358891E-3</v>
      </c>
      <c r="AV96" s="168">
        <f>IF(AU96="","",AU96-AU$6)</f>
        <v>9.4442467069000002E-3</v>
      </c>
      <c r="AW96" s="168">
        <v>4.5424339734000001E-2</v>
      </c>
      <c r="AX96" s="168">
        <f>IF(AW96="","",AW96-AW$6)</f>
        <v>2.1429271946E-2</v>
      </c>
      <c r="AY96" s="168"/>
      <c r="AZ96" s="168" t="str">
        <f>IF(AY96="","",AY96-AY$6)</f>
        <v/>
      </c>
      <c r="BA96" s="168"/>
      <c r="BB96" s="168" t="str">
        <f>IF(BA96="","",BA96-BA$6)</f>
        <v/>
      </c>
      <c r="BC96" s="168"/>
      <c r="BD96" s="168" t="str">
        <f>IF(BC96="","",BC96-BC$6)</f>
        <v/>
      </c>
      <c r="BE96" s="168"/>
      <c r="BF96" s="168" t="str">
        <f>IF(BE96="","",BE96-BE$6)</f>
        <v/>
      </c>
      <c r="BG96" s="168"/>
      <c r="BH96" s="168" t="str">
        <f>IF(BG96="","",BG96-BG$6)</f>
        <v/>
      </c>
      <c r="BI96" s="168"/>
      <c r="BJ96" s="168" t="str">
        <f>IF(BI96="","",BI96-BI$6)</f>
        <v/>
      </c>
      <c r="BK96" s="169"/>
      <c r="BL96" s="115"/>
      <c r="BM96" s="170">
        <v>8.0589632215999994E-3</v>
      </c>
      <c r="BN96" s="163">
        <v>-9.9356462405999994E-3</v>
      </c>
      <c r="BO96" s="163">
        <v>2.8379505151E-2</v>
      </c>
      <c r="BP96" s="163">
        <v>-2.2390997233000001E-2</v>
      </c>
      <c r="BQ96" s="171"/>
      <c r="BR96" s="171"/>
      <c r="BS96" s="171"/>
      <c r="BT96" s="171"/>
      <c r="BU96" s="172"/>
      <c r="BV96" s="172"/>
      <c r="BW96" s="163"/>
      <c r="BX96" s="163">
        <v>5.5652902423E-3</v>
      </c>
      <c r="BY96" s="161"/>
      <c r="BZ96" s="163">
        <v>-2.3610370357000001E-2</v>
      </c>
      <c r="CA96" s="163">
        <v>-2.3610370357000001E-2</v>
      </c>
      <c r="CB96" s="154">
        <v>45391</v>
      </c>
      <c r="CC96" s="154">
        <v>45474</v>
      </c>
      <c r="CD96" s="173">
        <v>64</v>
      </c>
      <c r="CE96" s="174">
        <v>45483</v>
      </c>
      <c r="CF96" s="116"/>
    </row>
    <row r="97" spans="2:84" ht="15.6" x14ac:dyDescent="0.3">
      <c r="B97" s="98" t="s">
        <v>1415</v>
      </c>
      <c r="C97" s="175" t="s">
        <v>2061</v>
      </c>
      <c r="D97" s="176" t="s">
        <v>72</v>
      </c>
      <c r="E97" s="176" t="s">
        <v>226</v>
      </c>
      <c r="F97" s="177">
        <v>6981176000158</v>
      </c>
      <c r="G97" s="177" t="s">
        <v>1774</v>
      </c>
      <c r="H97" s="177" t="s">
        <v>388</v>
      </c>
      <c r="I97" s="178">
        <v>9</v>
      </c>
      <c r="J97" s="179">
        <v>2</v>
      </c>
      <c r="K97" s="179" t="s">
        <v>126</v>
      </c>
      <c r="L97" s="179" t="s">
        <v>119</v>
      </c>
      <c r="M97" s="179" t="s">
        <v>114</v>
      </c>
      <c r="N97" s="179" t="s">
        <v>109</v>
      </c>
      <c r="O97" s="180">
        <v>300000</v>
      </c>
      <c r="P97" s="181">
        <v>300000000</v>
      </c>
      <c r="Q97" s="181">
        <v>1000</v>
      </c>
      <c r="R97" s="182">
        <v>44910</v>
      </c>
      <c r="S97" s="182">
        <v>47467</v>
      </c>
      <c r="T97" s="183" t="s">
        <v>1985</v>
      </c>
      <c r="U97" s="183" t="s">
        <v>113</v>
      </c>
      <c r="V97" s="182" t="s">
        <v>105</v>
      </c>
      <c r="W97" s="182" t="s">
        <v>102</v>
      </c>
      <c r="X97" s="182" t="s">
        <v>1554</v>
      </c>
      <c r="Y97" s="182">
        <v>47253</v>
      </c>
      <c r="Z97" s="184">
        <f>IFERROR(INDEX(Base!G:G,MATCH('Debêntures IPCA-Spread'!Y97,Base!F:F,0)),"")</f>
        <v>6.41</v>
      </c>
      <c r="AA97" s="115"/>
      <c r="AB97" s="185">
        <v>45552</v>
      </c>
      <c r="AC97" s="186">
        <v>6.4550999999999998</v>
      </c>
      <c r="AD97" s="187">
        <f t="shared" si="4"/>
        <v>4.5099999999999696E-2</v>
      </c>
      <c r="AE97" s="188">
        <v>0.06</v>
      </c>
      <c r="AF97" s="189">
        <v>6.6234999999999999</v>
      </c>
      <c r="AG97" s="189">
        <v>6.3209999999999997</v>
      </c>
      <c r="AH97" s="190">
        <v>1156.65715</v>
      </c>
      <c r="AI97" s="190">
        <v>1165.55189</v>
      </c>
      <c r="AJ97" s="191">
        <f t="shared" si="5"/>
        <v>0.99236864520892332</v>
      </c>
      <c r="AK97" s="192">
        <v>45518</v>
      </c>
      <c r="AL97" s="193">
        <v>104.85</v>
      </c>
      <c r="AM97" s="194">
        <v>1096</v>
      </c>
      <c r="AN97" s="115"/>
      <c r="AO97" s="195">
        <v>-1.0807200841999999E-3</v>
      </c>
      <c r="AP97" s="196">
        <f>IF(AO97="","",AO97-AO$6)</f>
        <v>-1.5608649691299999E-3</v>
      </c>
      <c r="AQ97" s="196">
        <v>4.7282864543000003E-3</v>
      </c>
      <c r="AR97" s="196">
        <f>IF(AQ97="","",AQ97-AQ$6)</f>
        <v>4.9457932072600004E-3</v>
      </c>
      <c r="AS97" s="196">
        <v>5.7271757061000003E-2</v>
      </c>
      <c r="AT97" s="196">
        <f>IF(AS97="","",AS97-AS$6)</f>
        <v>4.2545922006000006E-2</v>
      </c>
      <c r="AU97" s="196">
        <v>-4.7959307366999999E-3</v>
      </c>
      <c r="AV97" s="196">
        <f>IF(AU97="","",AU97-AU$6)</f>
        <v>8.2726518592999999E-3</v>
      </c>
      <c r="AW97" s="196">
        <v>3.1785345116000001E-2</v>
      </c>
      <c r="AX97" s="196">
        <f>IF(AW97="","",AW97-AW$6)</f>
        <v>7.7902773280000004E-3</v>
      </c>
      <c r="AY97" s="196">
        <v>1.9745287571000001E-2</v>
      </c>
      <c r="AZ97" s="196">
        <f>IF(AY97="","",AY97-AY$6)</f>
        <v>5.5030327810000005E-3</v>
      </c>
      <c r="BA97" s="196">
        <v>8.6468786076000004E-2</v>
      </c>
      <c r="BB97" s="196">
        <f>IF(BA97="","",BA97-BA$6)</f>
        <v>3.2981821518000005E-2</v>
      </c>
      <c r="BC97" s="196"/>
      <c r="BD97" s="196" t="str">
        <f>IF(BC97="","",BC97-BC$6)</f>
        <v/>
      </c>
      <c r="BE97" s="196"/>
      <c r="BF97" s="196" t="str">
        <f>IF(BE97="","",BE97-BE$6)</f>
        <v/>
      </c>
      <c r="BG97" s="196"/>
      <c r="BH97" s="196" t="str">
        <f>IF(BG97="","",BG97-BG$6)</f>
        <v/>
      </c>
      <c r="BI97" s="196"/>
      <c r="BJ97" s="196" t="str">
        <f>IF(BI97="","",BI97-BI$6)</f>
        <v/>
      </c>
      <c r="BK97" s="197">
        <v>4.2150991156000002</v>
      </c>
      <c r="BL97" s="115"/>
      <c r="BM97" s="198">
        <v>8.0152832742999992E-3</v>
      </c>
      <c r="BN97" s="191">
        <v>-8.7193577382999998E-3</v>
      </c>
      <c r="BO97" s="191">
        <v>2.4316814015E-2</v>
      </c>
      <c r="BP97" s="191">
        <v>-1.8181331314000002E-2</v>
      </c>
      <c r="BQ97" s="199">
        <v>9</v>
      </c>
      <c r="BR97" s="199">
        <v>3</v>
      </c>
      <c r="BS97" s="199">
        <v>6</v>
      </c>
      <c r="BT97" s="199">
        <v>6</v>
      </c>
      <c r="BU97" s="200">
        <v>-0.51970917055999999</v>
      </c>
      <c r="BV97" s="200"/>
      <c r="BW97" s="191">
        <v>4.3536921270999999E-3</v>
      </c>
      <c r="BX97" s="191">
        <v>4.2042182519E-3</v>
      </c>
      <c r="BY97" s="189">
        <v>-3.0271120781</v>
      </c>
      <c r="BZ97" s="191">
        <v>-2.0518993916000001E-2</v>
      </c>
      <c r="CA97" s="191">
        <v>-2.0518993916000001E-2</v>
      </c>
      <c r="CB97" s="182">
        <v>45391</v>
      </c>
      <c r="CC97" s="182">
        <v>45412</v>
      </c>
      <c r="CD97" s="201">
        <v>65</v>
      </c>
      <c r="CE97" s="202">
        <v>45484</v>
      </c>
      <c r="CF97" s="116"/>
    </row>
    <row r="98" spans="2:84" ht="15.6" x14ac:dyDescent="0.3">
      <c r="B98" s="110" t="s">
        <v>2228</v>
      </c>
      <c r="C98" s="147" t="s">
        <v>2613</v>
      </c>
      <c r="D98" s="148" t="s">
        <v>2792</v>
      </c>
      <c r="E98" s="148" t="s">
        <v>226</v>
      </c>
      <c r="F98" s="149">
        <v>357038000116</v>
      </c>
      <c r="G98" s="149" t="s">
        <v>2363</v>
      </c>
      <c r="H98" s="149" t="s">
        <v>388</v>
      </c>
      <c r="I98" s="150">
        <v>5</v>
      </c>
      <c r="J98" s="151" t="s">
        <v>107</v>
      </c>
      <c r="K98" s="151" t="s">
        <v>128</v>
      </c>
      <c r="L98" s="151" t="s">
        <v>112</v>
      </c>
      <c r="M98" s="151" t="s">
        <v>128</v>
      </c>
      <c r="N98" s="151" t="s">
        <v>109</v>
      </c>
      <c r="O98" s="152">
        <v>1000000</v>
      </c>
      <c r="P98" s="153">
        <v>1000000000</v>
      </c>
      <c r="Q98" s="153">
        <v>1000</v>
      </c>
      <c r="R98" s="154">
        <v>45397</v>
      </c>
      <c r="S98" s="154">
        <v>47953</v>
      </c>
      <c r="T98" s="155" t="s">
        <v>2816</v>
      </c>
      <c r="U98" s="155" t="s">
        <v>113</v>
      </c>
      <c r="V98" s="154" t="s">
        <v>105</v>
      </c>
      <c r="W98" s="154" t="s">
        <v>102</v>
      </c>
      <c r="X98" s="154" t="s">
        <v>2497</v>
      </c>
      <c r="Y98" s="154">
        <v>47710</v>
      </c>
      <c r="Z98" s="156">
        <f>IFERROR(INDEX(Base!G:G,MATCH('Debêntures IPCA-Spread'!Y98,Base!F:F,0)),"")</f>
        <v>6.3273999999999999</v>
      </c>
      <c r="AA98" s="115"/>
      <c r="AB98" s="157">
        <v>45552</v>
      </c>
      <c r="AC98" s="158">
        <v>6.6269999999999998</v>
      </c>
      <c r="AD98" s="159">
        <f t="shared" si="4"/>
        <v>0.29959999999999987</v>
      </c>
      <c r="AE98" s="160">
        <v>0.13</v>
      </c>
      <c r="AF98" s="161">
        <v>6.7809999999999997</v>
      </c>
      <c r="AG98" s="161">
        <v>6.5214999999999996</v>
      </c>
      <c r="AH98" s="162">
        <v>1022.280591</v>
      </c>
      <c r="AI98" s="162"/>
      <c r="AJ98" s="163" t="str">
        <f t="shared" si="5"/>
        <v/>
      </c>
      <c r="AK98" s="164"/>
      <c r="AL98" s="165">
        <v>98.59</v>
      </c>
      <c r="AM98" s="166">
        <v>1340</v>
      </c>
      <c r="AN98" s="115"/>
      <c r="AO98" s="167">
        <v>2.1611848933E-4</v>
      </c>
      <c r="AP98" s="168">
        <f>IF(AO98="","",AO98-AO$6)</f>
        <v>-2.6402639560000002E-4</v>
      </c>
      <c r="AQ98" s="168">
        <v>-9.4039748636999998E-4</v>
      </c>
      <c r="AR98" s="168">
        <f>IF(AQ98="","",AQ98-AQ$6)</f>
        <v>-7.2289073340999995E-4</v>
      </c>
      <c r="AS98" s="168"/>
      <c r="AT98" s="168" t="str">
        <f>IF(AS98="","",AS98-AS$6)</f>
        <v/>
      </c>
      <c r="AU98" s="168">
        <v>-1.0633475462999999E-2</v>
      </c>
      <c r="AV98" s="168">
        <f>IF(AU98="","",AU98-AU$6)</f>
        <v>2.4351071330000005E-3</v>
      </c>
      <c r="AW98" s="168">
        <v>3.2777326635999998E-2</v>
      </c>
      <c r="AX98" s="168">
        <f>IF(AW98="","",AW98-AW$6)</f>
        <v>8.7822588479999977E-3</v>
      </c>
      <c r="AY98" s="168"/>
      <c r="AZ98" s="168" t="str">
        <f>IF(AY98="","",AY98-AY$6)</f>
        <v/>
      </c>
      <c r="BA98" s="168"/>
      <c r="BB98" s="168" t="str">
        <f>IF(BA98="","",BA98-BA$6)</f>
        <v/>
      </c>
      <c r="BC98" s="168"/>
      <c r="BD98" s="168" t="str">
        <f>IF(BC98="","",BC98-BC$6)</f>
        <v/>
      </c>
      <c r="BE98" s="168"/>
      <c r="BF98" s="168" t="str">
        <f>IF(BE98="","",BE98-BE$6)</f>
        <v/>
      </c>
      <c r="BG98" s="168"/>
      <c r="BH98" s="168" t="str">
        <f>IF(BG98="","",BG98-BG$6)</f>
        <v/>
      </c>
      <c r="BI98" s="168"/>
      <c r="BJ98" s="168" t="str">
        <f>IF(BI98="","",BI98-BI$6)</f>
        <v/>
      </c>
      <c r="BK98" s="169"/>
      <c r="BL98" s="115"/>
      <c r="BM98" s="170">
        <v>1.0706754366E-2</v>
      </c>
      <c r="BN98" s="163">
        <v>-9.4542962523999994E-3</v>
      </c>
      <c r="BO98" s="163">
        <v>2.5024868200000001E-2</v>
      </c>
      <c r="BP98" s="163">
        <v>-9.9930679506999992E-3</v>
      </c>
      <c r="BQ98" s="171"/>
      <c r="BR98" s="171"/>
      <c r="BS98" s="171"/>
      <c r="BT98" s="171"/>
      <c r="BU98" s="172"/>
      <c r="BV98" s="172"/>
      <c r="BW98" s="163"/>
      <c r="BX98" s="163">
        <v>4.2647008629000003E-3</v>
      </c>
      <c r="BY98" s="161"/>
      <c r="BZ98" s="163">
        <v>-1.9891399014999998E-2</v>
      </c>
      <c r="CA98" s="163">
        <v>-1.9891399014999998E-2</v>
      </c>
      <c r="CB98" s="154">
        <v>45440</v>
      </c>
      <c r="CC98" s="154">
        <v>45474</v>
      </c>
      <c r="CD98" s="173">
        <v>30</v>
      </c>
      <c r="CE98" s="174">
        <v>45483</v>
      </c>
      <c r="CF98" s="116"/>
    </row>
    <row r="99" spans="2:84" ht="15.6" x14ac:dyDescent="0.3">
      <c r="B99" s="98" t="s">
        <v>260</v>
      </c>
      <c r="C99" s="175" t="s">
        <v>289</v>
      </c>
      <c r="D99" s="176" t="s">
        <v>267</v>
      </c>
      <c r="E99" s="176" t="s">
        <v>226</v>
      </c>
      <c r="F99" s="177">
        <v>24274124000123</v>
      </c>
      <c r="G99" s="177" t="s">
        <v>346</v>
      </c>
      <c r="H99" s="177" t="s">
        <v>388</v>
      </c>
      <c r="I99" s="178">
        <v>1</v>
      </c>
      <c r="J99" s="179" t="s">
        <v>107</v>
      </c>
      <c r="K99" s="179" t="s">
        <v>128</v>
      </c>
      <c r="L99" s="179" t="s">
        <v>112</v>
      </c>
      <c r="M99" s="179" t="s">
        <v>114</v>
      </c>
      <c r="N99" s="179" t="s">
        <v>109</v>
      </c>
      <c r="O99" s="180">
        <v>158000</v>
      </c>
      <c r="P99" s="181">
        <v>158000000</v>
      </c>
      <c r="Q99" s="181">
        <v>1000</v>
      </c>
      <c r="R99" s="182">
        <v>43205</v>
      </c>
      <c r="S99" s="182">
        <v>47649</v>
      </c>
      <c r="T99" s="183" t="s">
        <v>273</v>
      </c>
      <c r="U99" s="183" t="s">
        <v>273</v>
      </c>
      <c r="V99" s="182" t="s">
        <v>194</v>
      </c>
      <c r="W99" s="182" t="s">
        <v>102</v>
      </c>
      <c r="X99" s="182" t="s">
        <v>270</v>
      </c>
      <c r="Y99" s="182">
        <v>46522</v>
      </c>
      <c r="Z99" s="184">
        <f>IFERROR(INDEX(Base!G:G,MATCH('Debêntures IPCA-Spread'!Y99,Base!F:F,0)),"")</f>
        <v>6.391</v>
      </c>
      <c r="AA99" s="115"/>
      <c r="AB99" s="185">
        <v>45552</v>
      </c>
      <c r="AC99" s="186">
        <v>6.7122000000000002</v>
      </c>
      <c r="AD99" s="187">
        <f t="shared" si="4"/>
        <v>0.32120000000000015</v>
      </c>
      <c r="AE99" s="188">
        <v>0.35</v>
      </c>
      <c r="AF99" s="189">
        <v>7.1097999999999999</v>
      </c>
      <c r="AG99" s="189">
        <v>6.7011000000000003</v>
      </c>
      <c r="AH99" s="190">
        <v>976.93626800000004</v>
      </c>
      <c r="AI99" s="190">
        <v>978.699929</v>
      </c>
      <c r="AJ99" s="191">
        <f t="shared" si="5"/>
        <v>0.99819795532037892</v>
      </c>
      <c r="AK99" s="192">
        <v>45544</v>
      </c>
      <c r="AL99" s="193">
        <v>99.87</v>
      </c>
      <c r="AM99" s="194">
        <v>679</v>
      </c>
      <c r="AN99" s="115"/>
      <c r="AO99" s="195">
        <v>8.0456311116000004E-4</v>
      </c>
      <c r="AP99" s="196">
        <f>IF(AO99="","",AO99-AO$6)</f>
        <v>3.2441822623000005E-4</v>
      </c>
      <c r="AQ99" s="196">
        <v>1.0185762615E-2</v>
      </c>
      <c r="AR99" s="196">
        <f>IF(AQ99="","",AQ99-AQ$6)</f>
        <v>1.0403269367959999E-2</v>
      </c>
      <c r="AS99" s="196">
        <v>8.7422337685000004E-2</v>
      </c>
      <c r="AT99" s="196">
        <f>IF(AS99="","",AS99-AS$6)</f>
        <v>7.2696502630000007E-2</v>
      </c>
      <c r="AU99" s="196">
        <v>5.4151549720999996E-3</v>
      </c>
      <c r="AV99" s="196">
        <f>IF(AU99="","",AU99-AU$6)</f>
        <v>1.8483737568099998E-2</v>
      </c>
      <c r="AW99" s="196">
        <v>3.6659249188000002E-2</v>
      </c>
      <c r="AX99" s="196">
        <f>IF(AW99="","",AW99-AW$6)</f>
        <v>1.2664181400000002E-2</v>
      </c>
      <c r="AY99" s="196">
        <v>4.1242619245000001E-2</v>
      </c>
      <c r="AZ99" s="196">
        <f>IF(AY99="","",AY99-AY$6)</f>
        <v>2.7000364455000002E-2</v>
      </c>
      <c r="BA99" s="196">
        <v>0.11793759074</v>
      </c>
      <c r="BB99" s="196">
        <f>IF(BA99="","",BA99-BA$6)</f>
        <v>6.4450626182000009E-2</v>
      </c>
      <c r="BC99" s="196">
        <v>0.22981735146999999</v>
      </c>
      <c r="BD99" s="196">
        <f>IF(BC99="","",BC99-BC$6)</f>
        <v>3.5508784979999986E-2</v>
      </c>
      <c r="BE99" s="196">
        <v>0.34260626259999999</v>
      </c>
      <c r="BF99" s="196">
        <f>IF(BE99="","",BE99-BE$6)</f>
        <v>8.0886923060000004E-2</v>
      </c>
      <c r="BG99" s="196">
        <v>0.51520760259999998</v>
      </c>
      <c r="BH99" s="196">
        <f>IF(BG99="","",BG99-BG$6)</f>
        <v>0.20629095378999995</v>
      </c>
      <c r="BI99" s="196">
        <v>0.56640046441000003</v>
      </c>
      <c r="BJ99" s="196">
        <f>IF(BI99="","",BI99-BI$6)</f>
        <v>0.19345745433</v>
      </c>
      <c r="BK99" s="197">
        <v>3.761513296</v>
      </c>
      <c r="BL99" s="115"/>
      <c r="BM99" s="198">
        <v>1.0485512317E-2</v>
      </c>
      <c r="BN99" s="191">
        <v>-6.9318865453000004E-3</v>
      </c>
      <c r="BO99" s="191">
        <v>2.4911694843000001E-2</v>
      </c>
      <c r="BP99" s="191">
        <v>-8.5670086536999996E-3</v>
      </c>
      <c r="BQ99" s="199">
        <v>9</v>
      </c>
      <c r="BR99" s="199">
        <v>3</v>
      </c>
      <c r="BS99" s="199">
        <v>8</v>
      </c>
      <c r="BT99" s="199">
        <v>4</v>
      </c>
      <c r="BU99" s="200">
        <v>0.16616735970999999</v>
      </c>
      <c r="BV99" s="200">
        <v>-0.29471212894999999</v>
      </c>
      <c r="BW99" s="191">
        <v>3.8882093906999998E-3</v>
      </c>
      <c r="BX99" s="191">
        <v>4.1040556373999997E-3</v>
      </c>
      <c r="BY99" s="189">
        <v>0.27975704243999999</v>
      </c>
      <c r="BZ99" s="191">
        <v>-1.5810363441000001E-2</v>
      </c>
      <c r="CA99" s="191">
        <v>-1.5810363441000001E-2</v>
      </c>
      <c r="CB99" s="182">
        <v>45187</v>
      </c>
      <c r="CC99" s="182">
        <v>45230</v>
      </c>
      <c r="CD99" s="201">
        <v>41</v>
      </c>
      <c r="CE99" s="202">
        <v>45247</v>
      </c>
      <c r="CF99" s="116"/>
    </row>
    <row r="100" spans="2:84" ht="15.6" x14ac:dyDescent="0.3">
      <c r="B100" s="110" t="s">
        <v>501</v>
      </c>
      <c r="C100" s="147" t="s">
        <v>666</v>
      </c>
      <c r="D100" s="148" t="s">
        <v>616</v>
      </c>
      <c r="E100" s="148" t="s">
        <v>226</v>
      </c>
      <c r="F100" s="149">
        <v>60933603000178</v>
      </c>
      <c r="G100" s="149" t="s">
        <v>821</v>
      </c>
      <c r="H100" s="149" t="s">
        <v>388</v>
      </c>
      <c r="I100" s="150">
        <v>12</v>
      </c>
      <c r="J100" s="151" t="s">
        <v>107</v>
      </c>
      <c r="K100" s="151" t="s">
        <v>127</v>
      </c>
      <c r="L100" s="151" t="s">
        <v>112</v>
      </c>
      <c r="M100" s="151" t="s">
        <v>106</v>
      </c>
      <c r="N100" s="151" t="s">
        <v>109</v>
      </c>
      <c r="O100" s="152">
        <v>1500000</v>
      </c>
      <c r="P100" s="153">
        <v>1500000000</v>
      </c>
      <c r="Q100" s="153">
        <v>1000</v>
      </c>
      <c r="R100" s="154">
        <v>44058</v>
      </c>
      <c r="S100" s="154">
        <v>47710</v>
      </c>
      <c r="T100" s="155" t="s">
        <v>757</v>
      </c>
      <c r="U100" s="155" t="s">
        <v>909</v>
      </c>
      <c r="V100" s="154" t="s">
        <v>105</v>
      </c>
      <c r="W100" s="154" t="s">
        <v>102</v>
      </c>
      <c r="X100" s="154" t="s">
        <v>1309</v>
      </c>
      <c r="Y100" s="154">
        <v>47253</v>
      </c>
      <c r="Z100" s="156">
        <f>IFERROR(INDEX(Base!G:G,MATCH('Debêntures IPCA-Spread'!Y100,Base!F:F,0)),"")</f>
        <v>6.41</v>
      </c>
      <c r="AA100" s="115"/>
      <c r="AB100" s="157">
        <v>45552</v>
      </c>
      <c r="AC100" s="158">
        <v>6.516</v>
      </c>
      <c r="AD100" s="159">
        <f t="shared" si="4"/>
        <v>0.10599999999999987</v>
      </c>
      <c r="AE100" s="160">
        <v>0.06</v>
      </c>
      <c r="AF100" s="161">
        <v>6.6902999999999997</v>
      </c>
      <c r="AG100" s="161">
        <v>6.3472999999999997</v>
      </c>
      <c r="AH100" s="162">
        <v>1192.378735</v>
      </c>
      <c r="AI100" s="162">
        <v>1205.3236750000001</v>
      </c>
      <c r="AJ100" s="163">
        <f t="shared" si="5"/>
        <v>0.98926019602162041</v>
      </c>
      <c r="AK100" s="164">
        <v>45519</v>
      </c>
      <c r="AL100" s="165">
        <v>91.15</v>
      </c>
      <c r="AM100" s="166">
        <v>1106</v>
      </c>
      <c r="AN100" s="115"/>
      <c r="AO100" s="167">
        <v>2.9365232694999999E-4</v>
      </c>
      <c r="AP100" s="168">
        <f>IF(AO100="","",AO100-AO$6)</f>
        <v>-1.8649255798E-4</v>
      </c>
      <c r="AQ100" s="168">
        <v>3.043656674E-3</v>
      </c>
      <c r="AR100" s="168">
        <f>IF(AQ100="","",AQ100-AQ$6)</f>
        <v>3.26116342696E-3</v>
      </c>
      <c r="AS100" s="168">
        <v>5.3039014729000002E-2</v>
      </c>
      <c r="AT100" s="168">
        <f>IF(AS100="","",AS100-AS$6)</f>
        <v>3.8313179673999997E-2</v>
      </c>
      <c r="AU100" s="168">
        <v>-6.5617491745999998E-3</v>
      </c>
      <c r="AV100" s="168">
        <f>IF(AU100="","",AU100-AU$6)</f>
        <v>6.5068334214E-3</v>
      </c>
      <c r="AW100" s="168">
        <v>3.0251202290000001E-2</v>
      </c>
      <c r="AX100" s="168">
        <f>IF(AW100="","",AW100-AW$6)</f>
        <v>6.2561345020000006E-3</v>
      </c>
      <c r="AY100" s="168">
        <v>1.6445313906E-2</v>
      </c>
      <c r="AZ100" s="168">
        <f>IF(AY100="","",AY100-AY$6)</f>
        <v>2.2030591159999998E-3</v>
      </c>
      <c r="BA100" s="168">
        <v>8.4504887119999997E-2</v>
      </c>
      <c r="BB100" s="168">
        <f>IF(BA100="","",BA100-BA$6)</f>
        <v>3.1017922561999998E-2</v>
      </c>
      <c r="BC100" s="168">
        <v>0.22187489286000001</v>
      </c>
      <c r="BD100" s="168">
        <f>IF(BC100="","",BC100-BC$6)</f>
        <v>2.7566326370000005E-2</v>
      </c>
      <c r="BE100" s="168">
        <v>0.30541454210000002</v>
      </c>
      <c r="BF100" s="168">
        <f>IF(BE100="","",BE100-BE$6)</f>
        <v>4.3695202560000035E-2</v>
      </c>
      <c r="BG100" s="168"/>
      <c r="BH100" s="168" t="str">
        <f>IF(BG100="","",BG100-BG$6)</f>
        <v/>
      </c>
      <c r="BI100" s="168"/>
      <c r="BJ100" s="168" t="str">
        <f>IF(BI100="","",BI100-BI$6)</f>
        <v/>
      </c>
      <c r="BK100" s="169">
        <v>4.4890244014</v>
      </c>
      <c r="BL100" s="115"/>
      <c r="BM100" s="170">
        <v>7.8035153165000003E-3</v>
      </c>
      <c r="BN100" s="163">
        <v>-1.0835449941999999E-2</v>
      </c>
      <c r="BO100" s="163">
        <v>2.5958812146000002E-2</v>
      </c>
      <c r="BP100" s="163">
        <v>-1.5369997703E-2</v>
      </c>
      <c r="BQ100" s="171">
        <v>8</v>
      </c>
      <c r="BR100" s="171">
        <v>4</v>
      </c>
      <c r="BS100" s="171">
        <v>6</v>
      </c>
      <c r="BT100" s="171">
        <v>6</v>
      </c>
      <c r="BU100" s="172">
        <v>-0.52483480516000003</v>
      </c>
      <c r="BV100" s="172">
        <v>-0.38801285934000002</v>
      </c>
      <c r="BW100" s="163">
        <v>4.6369630998999998E-3</v>
      </c>
      <c r="BX100" s="163">
        <v>4.2547367922000003E-3</v>
      </c>
      <c r="BY100" s="161">
        <v>-3.2664997624000001</v>
      </c>
      <c r="BZ100" s="163">
        <v>-2.2225406776999999E-2</v>
      </c>
      <c r="CA100" s="163">
        <v>-2.2225406776999999E-2</v>
      </c>
      <c r="CB100" s="154">
        <v>45189</v>
      </c>
      <c r="CC100" s="154">
        <v>45230</v>
      </c>
      <c r="CD100" s="173">
        <v>42</v>
      </c>
      <c r="CE100" s="174">
        <v>45252</v>
      </c>
      <c r="CF100" s="116"/>
    </row>
    <row r="101" spans="2:84" ht="15.6" x14ac:dyDescent="0.3">
      <c r="B101" s="98" t="s">
        <v>2229</v>
      </c>
      <c r="C101" s="175" t="s">
        <v>2614</v>
      </c>
      <c r="D101" s="176" t="s">
        <v>616</v>
      </c>
      <c r="E101" s="176" t="s">
        <v>226</v>
      </c>
      <c r="F101" s="177">
        <v>60933603000178</v>
      </c>
      <c r="G101" s="177" t="s">
        <v>2364</v>
      </c>
      <c r="H101" s="177" t="s">
        <v>388</v>
      </c>
      <c r="I101" s="178">
        <v>13</v>
      </c>
      <c r="J101" s="179" t="s">
        <v>107</v>
      </c>
      <c r="K101" s="179" t="s">
        <v>128</v>
      </c>
      <c r="L101" s="179" t="s">
        <v>119</v>
      </c>
      <c r="M101" s="179" t="s">
        <v>106</v>
      </c>
      <c r="N101" s="179" t="s">
        <v>109</v>
      </c>
      <c r="O101" s="180">
        <v>1100000</v>
      </c>
      <c r="P101" s="181">
        <v>1100000000</v>
      </c>
      <c r="Q101" s="181">
        <v>1000</v>
      </c>
      <c r="R101" s="182">
        <v>45397</v>
      </c>
      <c r="S101" s="182">
        <v>49049</v>
      </c>
      <c r="T101" s="183" t="s">
        <v>2816</v>
      </c>
      <c r="U101" s="183" t="s">
        <v>2712</v>
      </c>
      <c r="V101" s="182" t="s">
        <v>105</v>
      </c>
      <c r="W101" s="182" t="s">
        <v>102</v>
      </c>
      <c r="X101" s="182" t="s">
        <v>2498</v>
      </c>
      <c r="Y101" s="182">
        <v>48714</v>
      </c>
      <c r="Z101" s="184">
        <f>IFERROR(INDEX(Base!G:G,MATCH('Debêntures IPCA-Spread'!Y101,Base!F:F,0)),"")</f>
        <v>6.3373999999999997</v>
      </c>
      <c r="AA101" s="115"/>
      <c r="AB101" s="185">
        <v>45552</v>
      </c>
      <c r="AC101" s="186">
        <v>6.37</v>
      </c>
      <c r="AD101" s="187">
        <f t="shared" si="4"/>
        <v>3.2600000000000406E-2</v>
      </c>
      <c r="AE101" s="188">
        <v>0.11</v>
      </c>
      <c r="AF101" s="189">
        <v>6.5571000000000002</v>
      </c>
      <c r="AG101" s="189">
        <v>6.2137000000000002</v>
      </c>
      <c r="AH101" s="190">
        <v>1026.666401</v>
      </c>
      <c r="AI101" s="190"/>
      <c r="AJ101" s="191" t="str">
        <f t="shared" si="5"/>
        <v/>
      </c>
      <c r="AK101" s="192"/>
      <c r="AL101" s="193">
        <v>98.74</v>
      </c>
      <c r="AM101" s="194">
        <v>1659</v>
      </c>
      <c r="AN101" s="115"/>
      <c r="AO101" s="195">
        <v>1.8378955137000001E-3</v>
      </c>
      <c r="AP101" s="196">
        <f>IF(AO101="","",AO101-AO$6)</f>
        <v>1.3577506287700001E-3</v>
      </c>
      <c r="AQ101" s="196">
        <v>3.3717055156999999E-4</v>
      </c>
      <c r="AR101" s="196">
        <f>IF(AQ101="","",AQ101-AQ$6)</f>
        <v>5.5467730453000001E-4</v>
      </c>
      <c r="AS101" s="196"/>
      <c r="AT101" s="196" t="str">
        <f>IF(AS101="","",AS101-AS$6)</f>
        <v/>
      </c>
      <c r="AU101" s="196">
        <v>-7.0976600864000004E-3</v>
      </c>
      <c r="AV101" s="196">
        <f>IF(AU101="","",AU101-AU$6)</f>
        <v>5.9709225095999994E-3</v>
      </c>
      <c r="AW101" s="196">
        <v>4.5425798567999998E-2</v>
      </c>
      <c r="AX101" s="196">
        <f>IF(AW101="","",AW101-AW$6)</f>
        <v>2.1430730779999997E-2</v>
      </c>
      <c r="AY101" s="196"/>
      <c r="AZ101" s="196" t="str">
        <f>IF(AY101="","",AY101-AY$6)</f>
        <v/>
      </c>
      <c r="BA101" s="196"/>
      <c r="BB101" s="196" t="str">
        <f>IF(BA101="","",BA101-BA$6)</f>
        <v/>
      </c>
      <c r="BC101" s="196"/>
      <c r="BD101" s="196" t="str">
        <f>IF(BC101="","",BC101-BC$6)</f>
        <v/>
      </c>
      <c r="BE101" s="196"/>
      <c r="BF101" s="196" t="str">
        <f>IF(BE101="","",BE101-BE$6)</f>
        <v/>
      </c>
      <c r="BG101" s="196"/>
      <c r="BH101" s="196" t="str">
        <f>IF(BG101="","",BG101-BG$6)</f>
        <v/>
      </c>
      <c r="BI101" s="196"/>
      <c r="BJ101" s="196" t="str">
        <f>IF(BI101="","",BI101-BI$6)</f>
        <v/>
      </c>
      <c r="BK101" s="197"/>
      <c r="BL101" s="115"/>
      <c r="BM101" s="198">
        <v>1.2101280244E-2</v>
      </c>
      <c r="BN101" s="191">
        <v>-7.5922356490999996E-3</v>
      </c>
      <c r="BO101" s="191">
        <v>3.0341815463999999E-2</v>
      </c>
      <c r="BP101" s="191">
        <v>-1.7994839501E-2</v>
      </c>
      <c r="BQ101" s="199"/>
      <c r="BR101" s="199"/>
      <c r="BS101" s="199"/>
      <c r="BT101" s="199"/>
      <c r="BU101" s="200"/>
      <c r="BV101" s="200"/>
      <c r="BW101" s="191"/>
      <c r="BX101" s="191">
        <v>6.287960966E-3</v>
      </c>
      <c r="BY101" s="189"/>
      <c r="BZ101" s="191">
        <v>-2.3343372519E-2</v>
      </c>
      <c r="CA101" s="191">
        <v>-2.3343372519E-2</v>
      </c>
      <c r="CB101" s="182">
        <v>45443</v>
      </c>
      <c r="CC101" s="182">
        <v>45474</v>
      </c>
      <c r="CD101" s="201">
        <v>28</v>
      </c>
      <c r="CE101" s="202">
        <v>45483</v>
      </c>
      <c r="CF101" s="116"/>
    </row>
    <row r="102" spans="2:84" ht="15.6" x14ac:dyDescent="0.3">
      <c r="B102" s="110" t="s">
        <v>32</v>
      </c>
      <c r="C102" s="147" t="s">
        <v>290</v>
      </c>
      <c r="D102" s="148" t="s">
        <v>73</v>
      </c>
      <c r="E102" s="148" t="s">
        <v>104</v>
      </c>
      <c r="F102" s="149">
        <v>20512213000100</v>
      </c>
      <c r="G102" s="149" t="s">
        <v>347</v>
      </c>
      <c r="H102" s="149" t="s">
        <v>388</v>
      </c>
      <c r="I102" s="150">
        <v>1</v>
      </c>
      <c r="J102" s="151" t="s">
        <v>107</v>
      </c>
      <c r="K102" s="151" t="s">
        <v>127</v>
      </c>
      <c r="L102" s="151" t="s">
        <v>122</v>
      </c>
      <c r="M102" s="151" t="s">
        <v>114</v>
      </c>
      <c r="N102" s="151" t="s">
        <v>109</v>
      </c>
      <c r="O102" s="152">
        <v>7063</v>
      </c>
      <c r="P102" s="153">
        <v>70630000</v>
      </c>
      <c r="Q102" s="153">
        <v>10000</v>
      </c>
      <c r="R102" s="154">
        <v>42231</v>
      </c>
      <c r="S102" s="154">
        <v>47192</v>
      </c>
      <c r="T102" s="155" t="s">
        <v>136</v>
      </c>
      <c r="U102" s="155" t="s">
        <v>1203</v>
      </c>
      <c r="V102" s="154" t="s">
        <v>105</v>
      </c>
      <c r="W102" s="154" t="s">
        <v>102</v>
      </c>
      <c r="X102" s="154" t="s">
        <v>1310</v>
      </c>
      <c r="Y102" s="154">
        <v>46249</v>
      </c>
      <c r="Z102" s="156">
        <f>IFERROR(INDEX(Base!G:G,MATCH('Debêntures IPCA-Spread'!Y102,Base!F:F,0)),"")</f>
        <v>6.5365000000000002</v>
      </c>
      <c r="AA102" s="115"/>
      <c r="AB102" s="157">
        <v>45449</v>
      </c>
      <c r="AC102" s="158"/>
      <c r="AD102" s="159" t="str">
        <f t="shared" si="4"/>
        <v/>
      </c>
      <c r="AE102" s="160"/>
      <c r="AF102" s="161"/>
      <c r="AG102" s="161"/>
      <c r="AH102" s="162"/>
      <c r="AI102" s="162">
        <v>11875.176484</v>
      </c>
      <c r="AJ102" s="163">
        <f t="shared" si="5"/>
        <v>0</v>
      </c>
      <c r="AK102" s="164">
        <v>45449</v>
      </c>
      <c r="AL102" s="165"/>
      <c r="AM102" s="166"/>
      <c r="AN102" s="115"/>
      <c r="AO102" s="167"/>
      <c r="AP102" s="168" t="str">
        <f>IF(AO102="","",AO102-AO$6)</f>
        <v/>
      </c>
      <c r="AQ102" s="168"/>
      <c r="AR102" s="168" t="str">
        <f>IF(AQ102="","",AQ102-AQ$6)</f>
        <v/>
      </c>
      <c r="AS102" s="168"/>
      <c r="AT102" s="168" t="str">
        <f>IF(AS102="","",AS102-AS$6)</f>
        <v/>
      </c>
      <c r="AU102" s="168"/>
      <c r="AV102" s="168" t="str">
        <f>IF(AU102="","",AU102-AU$6)</f>
        <v/>
      </c>
      <c r="AW102" s="168"/>
      <c r="AX102" s="168" t="str">
        <f>IF(AW102="","",AW102-AW$6)</f>
        <v/>
      </c>
      <c r="AY102" s="168"/>
      <c r="AZ102" s="168" t="str">
        <f>IF(AY102="","",AY102-AY$6)</f>
        <v/>
      </c>
      <c r="BA102" s="168"/>
      <c r="BB102" s="168" t="str">
        <f>IF(BA102="","",BA102-BA$6)</f>
        <v/>
      </c>
      <c r="BC102" s="168"/>
      <c r="BD102" s="168" t="str">
        <f>IF(BC102="","",BC102-BC$6)</f>
        <v/>
      </c>
      <c r="BE102" s="168"/>
      <c r="BF102" s="168" t="str">
        <f>IF(BE102="","",BE102-BE$6)</f>
        <v/>
      </c>
      <c r="BG102" s="168"/>
      <c r="BH102" s="168" t="str">
        <f>IF(BG102="","",BG102-BG$6)</f>
        <v/>
      </c>
      <c r="BI102" s="168"/>
      <c r="BJ102" s="168" t="str">
        <f>IF(BI102="","",BI102-BI$6)</f>
        <v/>
      </c>
      <c r="BK102" s="169"/>
      <c r="BL102" s="115"/>
      <c r="BM102" s="170">
        <v>1.0088907627E-2</v>
      </c>
      <c r="BN102" s="163">
        <v>-8.8764752445000001E-3</v>
      </c>
      <c r="BO102" s="163">
        <v>3.0429666886999999E-2</v>
      </c>
      <c r="BP102" s="163">
        <v>-1.0229848047000001E-2</v>
      </c>
      <c r="BQ102" s="171"/>
      <c r="BR102" s="171"/>
      <c r="BS102" s="171"/>
      <c r="BT102" s="171"/>
      <c r="BU102" s="172"/>
      <c r="BV102" s="172"/>
      <c r="BW102" s="163"/>
      <c r="BX102" s="163"/>
      <c r="BY102" s="161"/>
      <c r="BZ102" s="163">
        <v>-2.309129289E-2</v>
      </c>
      <c r="CA102" s="163">
        <v>-2.309129289E-2</v>
      </c>
      <c r="CB102" s="154">
        <v>45187</v>
      </c>
      <c r="CC102" s="154">
        <v>45222</v>
      </c>
      <c r="CD102" s="173">
        <v>38</v>
      </c>
      <c r="CE102" s="174">
        <v>45243</v>
      </c>
      <c r="CF102" s="116"/>
    </row>
    <row r="103" spans="2:84" ht="15.6" x14ac:dyDescent="0.3">
      <c r="B103" s="98" t="s">
        <v>1099</v>
      </c>
      <c r="C103" s="175" t="s">
        <v>1263</v>
      </c>
      <c r="D103" s="176" t="s">
        <v>1137</v>
      </c>
      <c r="E103" s="176" t="s">
        <v>231</v>
      </c>
      <c r="F103" s="177">
        <v>7040108000157</v>
      </c>
      <c r="G103" s="177" t="s">
        <v>1160</v>
      </c>
      <c r="H103" s="177" t="s">
        <v>388</v>
      </c>
      <c r="I103" s="178">
        <v>1</v>
      </c>
      <c r="J103" s="179">
        <v>2</v>
      </c>
      <c r="K103" s="179" t="s">
        <v>128</v>
      </c>
      <c r="L103" s="179" t="s">
        <v>125</v>
      </c>
      <c r="M103" s="179" t="s">
        <v>128</v>
      </c>
      <c r="N103" s="179" t="s">
        <v>109</v>
      </c>
      <c r="O103" s="180">
        <v>515990</v>
      </c>
      <c r="P103" s="181">
        <v>515990000</v>
      </c>
      <c r="Q103" s="181">
        <v>1000</v>
      </c>
      <c r="R103" s="182">
        <v>44270</v>
      </c>
      <c r="S103" s="182">
        <v>47192</v>
      </c>
      <c r="T103" s="183" t="s">
        <v>1227</v>
      </c>
      <c r="U103" s="183" t="s">
        <v>1204</v>
      </c>
      <c r="V103" s="182" t="s">
        <v>105</v>
      </c>
      <c r="W103" s="182" t="s">
        <v>102</v>
      </c>
      <c r="X103" s="182" t="s">
        <v>1311</v>
      </c>
      <c r="Y103" s="182">
        <v>46522</v>
      </c>
      <c r="Z103" s="184">
        <f>IFERROR(INDEX(Base!G:G,MATCH('Debêntures IPCA-Spread'!Y103,Base!F:F,0)),"")</f>
        <v>6.391</v>
      </c>
      <c r="AA103" s="115"/>
      <c r="AB103" s="185">
        <v>45552</v>
      </c>
      <c r="AC103" s="186">
        <v>7.3502999999999998</v>
      </c>
      <c r="AD103" s="187">
        <f t="shared" si="4"/>
        <v>0.95929999999999982</v>
      </c>
      <c r="AE103" s="188">
        <v>0.08</v>
      </c>
      <c r="AF103" s="189">
        <v>7.5475000000000003</v>
      </c>
      <c r="AG103" s="189">
        <v>7.1976000000000004</v>
      </c>
      <c r="AH103" s="190">
        <v>1166.1156679999999</v>
      </c>
      <c r="AI103" s="190">
        <v>1166.1156679999999</v>
      </c>
      <c r="AJ103" s="191">
        <f t="shared" si="5"/>
        <v>1</v>
      </c>
      <c r="AK103" s="192">
        <v>45552</v>
      </c>
      <c r="AL103" s="193">
        <v>94.7</v>
      </c>
      <c r="AM103" s="194">
        <v>748</v>
      </c>
      <c r="AN103" s="115"/>
      <c r="AO103" s="195">
        <v>1.9050856245E-3</v>
      </c>
      <c r="AP103" s="196">
        <f>IF(AO103="","",AO103-AO$6)</f>
        <v>1.4249407395700001E-3</v>
      </c>
      <c r="AQ103" s="196">
        <v>8.0508552965000008E-3</v>
      </c>
      <c r="AR103" s="196">
        <f>IF(AQ103="","",AQ103-AQ$6)</f>
        <v>8.2683620494599999E-3</v>
      </c>
      <c r="AS103" s="196">
        <v>8.7492447988999994E-2</v>
      </c>
      <c r="AT103" s="196">
        <f>IF(AS103="","",AS103-AS$6)</f>
        <v>7.2766612933999997E-2</v>
      </c>
      <c r="AU103" s="196">
        <v>3.0600562795000001E-2</v>
      </c>
      <c r="AV103" s="196">
        <f>IF(AU103="","",AU103-AU$6)</f>
        <v>4.3669145391000003E-2</v>
      </c>
      <c r="AW103" s="196">
        <v>3.3182507405999997E-2</v>
      </c>
      <c r="AX103" s="196">
        <f>IF(AW103="","",AW103-AW$6)</f>
        <v>9.187439617999997E-3</v>
      </c>
      <c r="AY103" s="196">
        <v>3.5491320361000001E-2</v>
      </c>
      <c r="AZ103" s="196">
        <f>IF(AY103="","",AY103-AY$6)</f>
        <v>2.1249065571000002E-2</v>
      </c>
      <c r="BA103" s="196">
        <v>0.10797084624</v>
      </c>
      <c r="BB103" s="196">
        <f>IF(BA103="","",BA103-BA$6)</f>
        <v>5.4483881682000003E-2</v>
      </c>
      <c r="BC103" s="196">
        <v>0.24378931009999999</v>
      </c>
      <c r="BD103" s="196">
        <f>IF(BC103="","",BC103-BC$6)</f>
        <v>4.9480743609999989E-2</v>
      </c>
      <c r="BE103" s="196">
        <v>0.35834005790000001</v>
      </c>
      <c r="BF103" s="196">
        <f>IF(BE103="","",BE103-BE$6)</f>
        <v>9.6620718360000024E-2</v>
      </c>
      <c r="BG103" s="196"/>
      <c r="BH103" s="196" t="str">
        <f>IF(BG103="","",BG103-BG$6)</f>
        <v/>
      </c>
      <c r="BI103" s="196"/>
      <c r="BJ103" s="196" t="str">
        <f>IF(BI103="","",BI103-BI$6)</f>
        <v/>
      </c>
      <c r="BK103" s="197">
        <v>4.8542753795999998</v>
      </c>
      <c r="BL103" s="115"/>
      <c r="BM103" s="198">
        <v>1.7372803972E-2</v>
      </c>
      <c r="BN103" s="191">
        <v>-2.4882134508999999E-2</v>
      </c>
      <c r="BO103" s="191">
        <v>2.5851530615999999E-2</v>
      </c>
      <c r="BP103" s="191">
        <v>-1.3465633062E-2</v>
      </c>
      <c r="BQ103" s="199">
        <v>10</v>
      </c>
      <c r="BR103" s="199">
        <v>2</v>
      </c>
      <c r="BS103" s="199">
        <v>7</v>
      </c>
      <c r="BT103" s="199">
        <v>5</v>
      </c>
      <c r="BU103" s="200">
        <v>-4.6462785731000003E-2</v>
      </c>
      <c r="BV103" s="200">
        <v>-0.16284039237</v>
      </c>
      <c r="BW103" s="191">
        <v>5.0045570762000001E-3</v>
      </c>
      <c r="BX103" s="191">
        <v>5.1790050029000001E-3</v>
      </c>
      <c r="BY103" s="189">
        <v>-0.77493843636000004</v>
      </c>
      <c r="BZ103" s="191">
        <v>-2.6778156914000002E-2</v>
      </c>
      <c r="CA103" s="191">
        <v>-2.6778156914000002E-2</v>
      </c>
      <c r="CB103" s="182">
        <v>45518</v>
      </c>
      <c r="CC103" s="182">
        <v>45520</v>
      </c>
      <c r="CD103" s="201">
        <v>20</v>
      </c>
      <c r="CE103" s="202">
        <v>45546</v>
      </c>
      <c r="CF103" s="116"/>
    </row>
    <row r="104" spans="2:84" ht="15.6" x14ac:dyDescent="0.3">
      <c r="B104" s="110" t="s">
        <v>2230</v>
      </c>
      <c r="C104" s="147" t="s">
        <v>2615</v>
      </c>
      <c r="D104" s="148" t="s">
        <v>1137</v>
      </c>
      <c r="E104" s="148" t="s">
        <v>231</v>
      </c>
      <c r="F104" s="149">
        <v>7040108000157</v>
      </c>
      <c r="G104" s="149" t="s">
        <v>2365</v>
      </c>
      <c r="H104" s="149" t="s">
        <v>388</v>
      </c>
      <c r="I104" s="150">
        <v>2</v>
      </c>
      <c r="J104" s="151">
        <v>1</v>
      </c>
      <c r="K104" s="151" t="s">
        <v>128</v>
      </c>
      <c r="L104" s="151" t="s">
        <v>119</v>
      </c>
      <c r="M104" s="151" t="s">
        <v>128</v>
      </c>
      <c r="N104" s="151" t="s">
        <v>109</v>
      </c>
      <c r="O104" s="152">
        <v>262000</v>
      </c>
      <c r="P104" s="153">
        <v>262000000</v>
      </c>
      <c r="Q104" s="153">
        <v>1000</v>
      </c>
      <c r="R104" s="154">
        <v>45458</v>
      </c>
      <c r="S104" s="154">
        <v>49841</v>
      </c>
      <c r="T104" s="155" t="s">
        <v>1150</v>
      </c>
      <c r="U104" s="155" t="s">
        <v>2734</v>
      </c>
      <c r="V104" s="154" t="s">
        <v>105</v>
      </c>
      <c r="W104" s="154" t="s">
        <v>102</v>
      </c>
      <c r="X104" s="154" t="s">
        <v>2499</v>
      </c>
      <c r="Y104" s="154">
        <v>49444</v>
      </c>
      <c r="Z104" s="156">
        <f>IFERROR(INDEX(Base!G:G,MATCH('Debêntures IPCA-Spread'!Y104,Base!F:F,0)),"")</f>
        <v>6.3137999999999996</v>
      </c>
      <c r="AA104" s="115"/>
      <c r="AB104" s="157">
        <v>45552</v>
      </c>
      <c r="AC104" s="158">
        <v>7.8246000000000002</v>
      </c>
      <c r="AD104" s="159">
        <f t="shared" si="4"/>
        <v>1.5108000000000006</v>
      </c>
      <c r="AE104" s="160">
        <v>0.08</v>
      </c>
      <c r="AF104" s="161">
        <v>8.0631000000000004</v>
      </c>
      <c r="AG104" s="161">
        <v>7.5964999999999998</v>
      </c>
      <c r="AH104" s="162">
        <v>1045.850715</v>
      </c>
      <c r="AI104" s="162"/>
      <c r="AJ104" s="163" t="str">
        <f t="shared" si="5"/>
        <v/>
      </c>
      <c r="AK104" s="164"/>
      <c r="AL104" s="165">
        <v>102.48</v>
      </c>
      <c r="AM104" s="166">
        <v>1837</v>
      </c>
      <c r="AN104" s="115"/>
      <c r="AO104" s="167">
        <v>1.6413757711999999E-3</v>
      </c>
      <c r="AP104" s="168">
        <f>IF(AO104="","",AO104-AO$6)</f>
        <v>1.16123088627E-3</v>
      </c>
      <c r="AQ104" s="168">
        <v>2.3065714558000001E-3</v>
      </c>
      <c r="AR104" s="168">
        <f>IF(AQ104="","",AQ104-AQ$6)</f>
        <v>2.5240782087600001E-3</v>
      </c>
      <c r="AS104" s="168"/>
      <c r="AT104" s="168" t="str">
        <f>IF(AS104="","",AS104-AS$6)</f>
        <v/>
      </c>
      <c r="AU104" s="168">
        <v>-1.0525221972000001E-2</v>
      </c>
      <c r="AV104" s="168">
        <f>IF(AU104="","",AU104-AU$6)</f>
        <v>2.543360623999999E-3</v>
      </c>
      <c r="AW104" s="168"/>
      <c r="AX104" s="168" t="str">
        <f>IF(AW104="","",AW104-AW$6)</f>
        <v/>
      </c>
      <c r="AY104" s="168"/>
      <c r="AZ104" s="168" t="str">
        <f>IF(AY104="","",AY104-AY$6)</f>
        <v/>
      </c>
      <c r="BA104" s="168"/>
      <c r="BB104" s="168" t="str">
        <f>IF(BA104="","",BA104-BA$6)</f>
        <v/>
      </c>
      <c r="BC104" s="168"/>
      <c r="BD104" s="168" t="str">
        <f>IF(BC104="","",BC104-BC$6)</f>
        <v/>
      </c>
      <c r="BE104" s="168"/>
      <c r="BF104" s="168" t="str">
        <f>IF(BE104="","",BE104-BE$6)</f>
        <v/>
      </c>
      <c r="BG104" s="168"/>
      <c r="BH104" s="168" t="str">
        <f>IF(BG104="","",BG104-BG$6)</f>
        <v/>
      </c>
      <c r="BI104" s="168"/>
      <c r="BJ104" s="168" t="str">
        <f>IF(BI104="","",BI104-BI$6)</f>
        <v/>
      </c>
      <c r="BK104" s="169"/>
      <c r="BL104" s="115"/>
      <c r="BM104" s="170">
        <v>1.4260412195000001E-2</v>
      </c>
      <c r="BN104" s="163">
        <v>-6.5367484330999997E-3</v>
      </c>
      <c r="BO104" s="163">
        <v>1.4057715635999999E-2</v>
      </c>
      <c r="BP104" s="163">
        <v>2.3065714558000001E-3</v>
      </c>
      <c r="BQ104" s="171"/>
      <c r="BR104" s="171"/>
      <c r="BS104" s="171"/>
      <c r="BT104" s="171"/>
      <c r="BU104" s="172"/>
      <c r="BV104" s="172"/>
      <c r="BW104" s="163"/>
      <c r="BX104" s="163">
        <v>6.1285884611000001E-3</v>
      </c>
      <c r="BY104" s="161"/>
      <c r="BZ104" s="163">
        <v>-3.5551425036000001E-3</v>
      </c>
      <c r="CA104" s="163">
        <v>-1.9705266204999999E-2</v>
      </c>
      <c r="CB104" s="154">
        <v>45517</v>
      </c>
      <c r="CC104" s="154">
        <v>45537</v>
      </c>
      <c r="CD104" s="173"/>
      <c r="CE104" s="174"/>
      <c r="CF104" s="116"/>
    </row>
    <row r="105" spans="2:84" ht="15.6" x14ac:dyDescent="0.3">
      <c r="B105" s="98" t="s">
        <v>1439</v>
      </c>
      <c r="C105" s="175" t="s">
        <v>2085</v>
      </c>
      <c r="D105" s="176" t="s">
        <v>2793</v>
      </c>
      <c r="E105" s="176" t="s">
        <v>226</v>
      </c>
      <c r="F105" s="177">
        <v>2016507000169</v>
      </c>
      <c r="G105" s="177" t="s">
        <v>1798</v>
      </c>
      <c r="H105" s="177" t="s">
        <v>388</v>
      </c>
      <c r="I105" s="178">
        <v>1</v>
      </c>
      <c r="J105" s="179" t="s">
        <v>107</v>
      </c>
      <c r="K105" s="179" t="s">
        <v>126</v>
      </c>
      <c r="L105" s="179" t="s">
        <v>1743</v>
      </c>
      <c r="M105" s="179" t="s">
        <v>106</v>
      </c>
      <c r="N105" s="179" t="s">
        <v>109</v>
      </c>
      <c r="O105" s="180">
        <v>300000</v>
      </c>
      <c r="P105" s="181">
        <v>300000000</v>
      </c>
      <c r="Q105" s="181">
        <v>1000</v>
      </c>
      <c r="R105" s="182">
        <v>44150</v>
      </c>
      <c r="S105" s="182">
        <v>47072</v>
      </c>
      <c r="T105" s="183" t="s">
        <v>1995</v>
      </c>
      <c r="U105" s="183" t="s">
        <v>1688</v>
      </c>
      <c r="V105" s="182" t="s">
        <v>105</v>
      </c>
      <c r="W105" s="182" t="s">
        <v>102</v>
      </c>
      <c r="X105" s="182" t="s">
        <v>1573</v>
      </c>
      <c r="Y105" s="182">
        <v>47253</v>
      </c>
      <c r="Z105" s="184">
        <f>IFERROR(INDEX(Base!G:G,MATCH('Debêntures IPCA-Spread'!Y105,Base!F:F,0)),"")</f>
        <v>6.41</v>
      </c>
      <c r="AA105" s="115"/>
      <c r="AB105" s="185">
        <v>45552</v>
      </c>
      <c r="AC105" s="186">
        <v>6.4599000000000002</v>
      </c>
      <c r="AD105" s="187">
        <f t="shared" ref="AD105:AD136" si="6">IF(AND(Z105&lt;&gt;"",AC105&lt;&gt;""),AC105-Z105,"")</f>
        <v>4.9900000000000055E-2</v>
      </c>
      <c r="AE105" s="188">
        <v>0.09</v>
      </c>
      <c r="AF105" s="189">
        <v>6.6957000000000004</v>
      </c>
      <c r="AG105" s="189">
        <v>6.2962999999999996</v>
      </c>
      <c r="AH105" s="190"/>
      <c r="AI105" s="190"/>
      <c r="AJ105" s="191" t="str">
        <f t="shared" ref="AJ105:AJ136" si="7">IFERROR(AH105/AI105,"")</f>
        <v/>
      </c>
      <c r="AK105" s="192"/>
      <c r="AL105" s="193"/>
      <c r="AM105" s="194"/>
      <c r="AN105" s="115"/>
      <c r="AO105" s="195"/>
      <c r="AP105" s="196" t="str">
        <f>IF(AO105="","",AO105-AO$6)</f>
        <v/>
      </c>
      <c r="AQ105" s="196"/>
      <c r="AR105" s="196" t="str">
        <f>IF(AQ105="","",AQ105-AQ$6)</f>
        <v/>
      </c>
      <c r="AS105" s="196"/>
      <c r="AT105" s="196" t="str">
        <f>IF(AS105="","",AS105-AS$6)</f>
        <v/>
      </c>
      <c r="AU105" s="196"/>
      <c r="AV105" s="196" t="str">
        <f>IF(AU105="","",AU105-AU$6)</f>
        <v/>
      </c>
      <c r="AW105" s="196"/>
      <c r="AX105" s="196" t="str">
        <f>IF(AW105="","",AW105-AW$6)</f>
        <v/>
      </c>
      <c r="AY105" s="196"/>
      <c r="AZ105" s="196" t="str">
        <f>IF(AY105="","",AY105-AY$6)</f>
        <v/>
      </c>
      <c r="BA105" s="196"/>
      <c r="BB105" s="196" t="str">
        <f>IF(BA105="","",BA105-BA$6)</f>
        <v/>
      </c>
      <c r="BC105" s="196"/>
      <c r="BD105" s="196" t="str">
        <f>IF(BC105="","",BC105-BC$6)</f>
        <v/>
      </c>
      <c r="BE105" s="196"/>
      <c r="BF105" s="196" t="str">
        <f>IF(BE105="","",BE105-BE$6)</f>
        <v/>
      </c>
      <c r="BG105" s="196"/>
      <c r="BH105" s="196" t="str">
        <f>IF(BG105="","",BG105-BG$6)</f>
        <v/>
      </c>
      <c r="BI105" s="196"/>
      <c r="BJ105" s="196" t="str">
        <f>IF(BI105="","",BI105-BI$6)</f>
        <v/>
      </c>
      <c r="BK105" s="197"/>
      <c r="BL105" s="115"/>
      <c r="BM105" s="198"/>
      <c r="BN105" s="191"/>
      <c r="BO105" s="191"/>
      <c r="BP105" s="191"/>
      <c r="BQ105" s="199"/>
      <c r="BR105" s="199"/>
      <c r="BS105" s="199"/>
      <c r="BT105" s="199"/>
      <c r="BU105" s="200"/>
      <c r="BV105" s="200"/>
      <c r="BW105" s="191"/>
      <c r="BX105" s="191"/>
      <c r="BY105" s="189"/>
      <c r="BZ105" s="191"/>
      <c r="CA105" s="191"/>
      <c r="CB105" s="182"/>
      <c r="CC105" s="182"/>
      <c r="CD105" s="201"/>
      <c r="CE105" s="202"/>
      <c r="CF105" s="116"/>
    </row>
    <row r="106" spans="2:84" ht="15.6" x14ac:dyDescent="0.3">
      <c r="B106" s="110" t="s">
        <v>1440</v>
      </c>
      <c r="C106" s="147" t="s">
        <v>2086</v>
      </c>
      <c r="D106" s="148" t="s">
        <v>2793</v>
      </c>
      <c r="E106" s="148" t="s">
        <v>226</v>
      </c>
      <c r="F106" s="149">
        <v>2016507000169</v>
      </c>
      <c r="G106" s="149" t="s">
        <v>1799</v>
      </c>
      <c r="H106" s="149" t="s">
        <v>388</v>
      </c>
      <c r="I106" s="150">
        <v>3</v>
      </c>
      <c r="J106" s="151">
        <v>1</v>
      </c>
      <c r="K106" s="151" t="s">
        <v>126</v>
      </c>
      <c r="L106" s="151" t="s">
        <v>122</v>
      </c>
      <c r="M106" s="151" t="s">
        <v>114</v>
      </c>
      <c r="N106" s="151" t="s">
        <v>109</v>
      </c>
      <c r="O106" s="152">
        <v>185000</v>
      </c>
      <c r="P106" s="153">
        <v>185000000</v>
      </c>
      <c r="Q106" s="153">
        <v>1000</v>
      </c>
      <c r="R106" s="154">
        <v>44454</v>
      </c>
      <c r="S106" s="154">
        <v>47376</v>
      </c>
      <c r="T106" s="155" t="s">
        <v>1996</v>
      </c>
      <c r="U106" s="155" t="s">
        <v>166</v>
      </c>
      <c r="V106" s="154" t="s">
        <v>105</v>
      </c>
      <c r="W106" s="154" t="s">
        <v>102</v>
      </c>
      <c r="X106" s="154" t="s">
        <v>1574</v>
      </c>
      <c r="Y106" s="154">
        <v>47253</v>
      </c>
      <c r="Z106" s="156">
        <f>IFERROR(INDEX(Base!G:G,MATCH('Debêntures IPCA-Spread'!Y106,Base!F:F,0)),"")</f>
        <v>6.41</v>
      </c>
      <c r="AA106" s="115"/>
      <c r="AB106" s="157">
        <v>45552</v>
      </c>
      <c r="AC106" s="158">
        <v>6.5928000000000004</v>
      </c>
      <c r="AD106" s="159">
        <f t="shared" si="6"/>
        <v>0.1828000000000003</v>
      </c>
      <c r="AE106" s="160">
        <v>0.06</v>
      </c>
      <c r="AF106" s="161">
        <v>6.7610000000000001</v>
      </c>
      <c r="AG106" s="161">
        <v>6.3719999999999999</v>
      </c>
      <c r="AH106" s="162">
        <v>1244.602155</v>
      </c>
      <c r="AI106" s="162">
        <v>1254.445608</v>
      </c>
      <c r="AJ106" s="163">
        <f t="shared" si="7"/>
        <v>0.99215314483368178</v>
      </c>
      <c r="AK106" s="164">
        <v>45518</v>
      </c>
      <c r="AL106" s="165">
        <v>94.93</v>
      </c>
      <c r="AM106" s="166">
        <v>1112</v>
      </c>
      <c r="AN106" s="115"/>
      <c r="AO106" s="167">
        <v>-1.1298793787999999E-3</v>
      </c>
      <c r="AP106" s="168">
        <f>IF(AO106="","",AO106-AO$6)</f>
        <v>-1.6100242637299999E-3</v>
      </c>
      <c r="AQ106" s="168">
        <v>3.2415488749E-3</v>
      </c>
      <c r="AR106" s="168">
        <f>IF(AQ106="","",AQ106-AQ$6)</f>
        <v>3.45905562786E-3</v>
      </c>
      <c r="AS106" s="168">
        <v>6.0842768872999997E-2</v>
      </c>
      <c r="AT106" s="168">
        <f>IF(AS106="","",AS106-AS$6)</f>
        <v>4.6116933818E-2</v>
      </c>
      <c r="AU106" s="168">
        <v>-5.1986291446000001E-3</v>
      </c>
      <c r="AV106" s="168">
        <f>IF(AU106="","",AU106-AU$6)</f>
        <v>7.8699534513999997E-3</v>
      </c>
      <c r="AW106" s="168">
        <v>2.8839018615999999E-2</v>
      </c>
      <c r="AX106" s="168">
        <f>IF(AW106="","",AW106-AW$6)</f>
        <v>4.8439508279999981E-3</v>
      </c>
      <c r="AY106" s="168">
        <v>1.8794006490000001E-2</v>
      </c>
      <c r="AZ106" s="168">
        <f>IF(AY106="","",AY106-AY$6)</f>
        <v>4.5517517000000004E-3</v>
      </c>
      <c r="BA106" s="168">
        <v>9.0541394876999998E-2</v>
      </c>
      <c r="BB106" s="168">
        <f>IF(BA106="","",BA106-BA$6)</f>
        <v>3.7054430318999999E-2</v>
      </c>
      <c r="BC106" s="168">
        <v>0.22275418600999999</v>
      </c>
      <c r="BD106" s="168">
        <f>IF(BC106="","",BC106-BC$6)</f>
        <v>2.8445619519999993E-2</v>
      </c>
      <c r="BE106" s="168"/>
      <c r="BF106" s="168" t="str">
        <f>IF(BE106="","",BE106-BE$6)</f>
        <v/>
      </c>
      <c r="BG106" s="168"/>
      <c r="BH106" s="168" t="str">
        <f>IF(BG106="","",BG106-BG$6)</f>
        <v/>
      </c>
      <c r="BI106" s="168"/>
      <c r="BJ106" s="168" t="str">
        <f>IF(BI106="","",BI106-BI$6)</f>
        <v/>
      </c>
      <c r="BK106" s="169">
        <v>4.6144069910000001</v>
      </c>
      <c r="BL106" s="115"/>
      <c r="BM106" s="170">
        <v>1.2475735013E-2</v>
      </c>
      <c r="BN106" s="163">
        <v>-7.6502947494999996E-3</v>
      </c>
      <c r="BO106" s="163">
        <v>2.5658169562999999E-2</v>
      </c>
      <c r="BP106" s="163">
        <v>-1.6635727214000001E-2</v>
      </c>
      <c r="BQ106" s="171">
        <v>9</v>
      </c>
      <c r="BR106" s="171">
        <v>3</v>
      </c>
      <c r="BS106" s="171">
        <v>6</v>
      </c>
      <c r="BT106" s="171">
        <v>6</v>
      </c>
      <c r="BU106" s="172">
        <v>-0.39124693423000001</v>
      </c>
      <c r="BV106" s="172"/>
      <c r="BW106" s="163">
        <v>4.7696607813999996E-3</v>
      </c>
      <c r="BX106" s="163">
        <v>3.9589705113999996E-3</v>
      </c>
      <c r="BY106" s="161">
        <v>-2.6094154577999999</v>
      </c>
      <c r="BZ106" s="163">
        <v>-2.1144898672E-2</v>
      </c>
      <c r="CA106" s="163">
        <v>-2.1144898672E-2</v>
      </c>
      <c r="CB106" s="154">
        <v>45364</v>
      </c>
      <c r="CC106" s="154">
        <v>45474</v>
      </c>
      <c r="CD106" s="173">
        <v>83</v>
      </c>
      <c r="CE106" s="174">
        <v>45484</v>
      </c>
      <c r="CF106" s="116"/>
    </row>
    <row r="107" spans="2:84" ht="15.6" x14ac:dyDescent="0.3">
      <c r="B107" s="98" t="s">
        <v>2231</v>
      </c>
      <c r="C107" s="175" t="s">
        <v>2616</v>
      </c>
      <c r="D107" s="176" t="s">
        <v>2793</v>
      </c>
      <c r="E107" s="176" t="s">
        <v>226</v>
      </c>
      <c r="F107" s="177">
        <v>2016507000169</v>
      </c>
      <c r="G107" s="177" t="s">
        <v>2366</v>
      </c>
      <c r="H107" s="177" t="s">
        <v>388</v>
      </c>
      <c r="I107" s="178">
        <v>5</v>
      </c>
      <c r="J107" s="179" t="s">
        <v>107</v>
      </c>
      <c r="K107" s="179" t="s">
        <v>128</v>
      </c>
      <c r="L107" s="179" t="s">
        <v>112</v>
      </c>
      <c r="M107" s="179" t="s">
        <v>128</v>
      </c>
      <c r="N107" s="179" t="s">
        <v>109</v>
      </c>
      <c r="O107" s="180">
        <v>500000</v>
      </c>
      <c r="P107" s="181">
        <v>500000000</v>
      </c>
      <c r="Q107" s="181">
        <v>1000</v>
      </c>
      <c r="R107" s="182">
        <v>45397</v>
      </c>
      <c r="S107" s="182">
        <v>47953</v>
      </c>
      <c r="T107" s="183" t="s">
        <v>2816</v>
      </c>
      <c r="U107" s="183" t="s">
        <v>113</v>
      </c>
      <c r="V107" s="182" t="s">
        <v>105</v>
      </c>
      <c r="W107" s="182" t="s">
        <v>102</v>
      </c>
      <c r="X107" s="182" t="s">
        <v>2497</v>
      </c>
      <c r="Y107" s="182">
        <v>47710</v>
      </c>
      <c r="Z107" s="184">
        <f>IFERROR(INDEX(Base!G:G,MATCH('Debêntures IPCA-Spread'!Y107,Base!F:F,0)),"")</f>
        <v>6.3273999999999999</v>
      </c>
      <c r="AA107" s="115"/>
      <c r="AB107" s="185">
        <v>45552</v>
      </c>
      <c r="AC107" s="186">
        <v>6.6207000000000003</v>
      </c>
      <c r="AD107" s="187">
        <f t="shared" si="6"/>
        <v>0.29330000000000034</v>
      </c>
      <c r="AE107" s="188">
        <v>0.06</v>
      </c>
      <c r="AF107" s="189">
        <v>6.7523</v>
      </c>
      <c r="AG107" s="189">
        <v>6.4930000000000003</v>
      </c>
      <c r="AH107" s="190">
        <v>1022.6018340000001</v>
      </c>
      <c r="AI107" s="190"/>
      <c r="AJ107" s="191" t="str">
        <f t="shared" si="7"/>
        <v/>
      </c>
      <c r="AK107" s="192"/>
      <c r="AL107" s="193">
        <v>98.62</v>
      </c>
      <c r="AM107" s="194">
        <v>1340</v>
      </c>
      <c r="AN107" s="115"/>
      <c r="AO107" s="195">
        <v>-5.0292714149999999E-4</v>
      </c>
      <c r="AP107" s="196">
        <f>IF(AO107="","",AO107-AO$6)</f>
        <v>-9.8307202642999988E-4</v>
      </c>
      <c r="AQ107" s="196">
        <v>-2.2971476710000002E-3</v>
      </c>
      <c r="AR107" s="196">
        <f>IF(AQ107="","",AQ107-AQ$6)</f>
        <v>-2.0796409180400001E-3</v>
      </c>
      <c r="AS107" s="196"/>
      <c r="AT107" s="196" t="str">
        <f>IF(AS107="","",AS107-AS$6)</f>
        <v/>
      </c>
      <c r="AU107" s="196">
        <v>-1.2101707264E-2</v>
      </c>
      <c r="AV107" s="196">
        <f>IF(AU107="","",AU107-AU$6)</f>
        <v>9.6687533199999939E-4</v>
      </c>
      <c r="AW107" s="196">
        <v>3.5280931996999998E-2</v>
      </c>
      <c r="AX107" s="196">
        <f>IF(AW107="","",AW107-AW$6)</f>
        <v>1.1285864208999997E-2</v>
      </c>
      <c r="AY107" s="196"/>
      <c r="AZ107" s="196" t="str">
        <f>IF(AY107="","",AY107-AY$6)</f>
        <v/>
      </c>
      <c r="BA107" s="196"/>
      <c r="BB107" s="196" t="str">
        <f>IF(BA107="","",BA107-BA$6)</f>
        <v/>
      </c>
      <c r="BC107" s="196"/>
      <c r="BD107" s="196" t="str">
        <f>IF(BC107="","",BC107-BC$6)</f>
        <v/>
      </c>
      <c r="BE107" s="196"/>
      <c r="BF107" s="196" t="str">
        <f>IF(BE107="","",BE107-BE$6)</f>
        <v/>
      </c>
      <c r="BG107" s="196"/>
      <c r="BH107" s="196" t="str">
        <f>IF(BG107="","",BG107-BG$6)</f>
        <v/>
      </c>
      <c r="BI107" s="196"/>
      <c r="BJ107" s="196" t="str">
        <f>IF(BI107="","",BI107-BI$6)</f>
        <v/>
      </c>
      <c r="BK107" s="197"/>
      <c r="BL107" s="115"/>
      <c r="BM107" s="198">
        <v>1.3659879005E-2</v>
      </c>
      <c r="BN107" s="191">
        <v>-8.7542346600000005E-3</v>
      </c>
      <c r="BO107" s="191">
        <v>2.6369612779000001E-2</v>
      </c>
      <c r="BP107" s="191">
        <v>-9.0595270603000006E-3</v>
      </c>
      <c r="BQ107" s="199"/>
      <c r="BR107" s="199"/>
      <c r="BS107" s="199"/>
      <c r="BT107" s="199"/>
      <c r="BU107" s="200"/>
      <c r="BV107" s="200"/>
      <c r="BW107" s="191"/>
      <c r="BX107" s="191">
        <v>5.5161213740999998E-3</v>
      </c>
      <c r="BY107" s="189"/>
      <c r="BZ107" s="191">
        <v>-1.6817368231999998E-2</v>
      </c>
      <c r="CA107" s="191">
        <v>-1.6935246112999999E-2</v>
      </c>
      <c r="CB107" s="182">
        <v>45523</v>
      </c>
      <c r="CC107" s="182">
        <v>45547</v>
      </c>
      <c r="CD107" s="201"/>
      <c r="CE107" s="202"/>
      <c r="CF107" s="116"/>
    </row>
    <row r="108" spans="2:84" ht="15.6" x14ac:dyDescent="0.3">
      <c r="B108" s="110" t="s">
        <v>2232</v>
      </c>
      <c r="C108" s="147" t="s">
        <v>2617</v>
      </c>
      <c r="D108" s="148" t="s">
        <v>2794</v>
      </c>
      <c r="E108" s="148" t="s">
        <v>226</v>
      </c>
      <c r="F108" s="149">
        <v>33541368000116</v>
      </c>
      <c r="G108" s="149" t="s">
        <v>2367</v>
      </c>
      <c r="H108" s="149" t="s">
        <v>388</v>
      </c>
      <c r="I108" s="150">
        <v>3</v>
      </c>
      <c r="J108" s="151" t="s">
        <v>107</v>
      </c>
      <c r="K108" s="151" t="s">
        <v>128</v>
      </c>
      <c r="L108" s="151" t="s">
        <v>2467</v>
      </c>
      <c r="M108" s="151" t="s">
        <v>128</v>
      </c>
      <c r="N108" s="151" t="s">
        <v>109</v>
      </c>
      <c r="O108" s="152">
        <v>4900000</v>
      </c>
      <c r="P108" s="153">
        <v>4900000000</v>
      </c>
      <c r="Q108" s="153">
        <v>1000</v>
      </c>
      <c r="R108" s="154">
        <v>45458</v>
      </c>
      <c r="S108" s="154">
        <v>48014</v>
      </c>
      <c r="T108" s="155" t="s">
        <v>2819</v>
      </c>
      <c r="U108" s="155" t="s">
        <v>113</v>
      </c>
      <c r="V108" s="154" t="s">
        <v>105</v>
      </c>
      <c r="W108" s="154" t="s">
        <v>102</v>
      </c>
      <c r="X108" s="154" t="s">
        <v>2500</v>
      </c>
      <c r="Y108" s="154">
        <v>47710</v>
      </c>
      <c r="Z108" s="156">
        <f>IFERROR(INDEX(Base!G:G,MATCH('Debêntures IPCA-Spread'!Y108,Base!F:F,0)),"")</f>
        <v>6.3273999999999999</v>
      </c>
      <c r="AA108" s="115"/>
      <c r="AB108" s="157">
        <v>45552</v>
      </c>
      <c r="AC108" s="158">
        <v>6.5719000000000003</v>
      </c>
      <c r="AD108" s="159">
        <f t="shared" si="6"/>
        <v>0.24450000000000038</v>
      </c>
      <c r="AE108" s="160">
        <v>0.06</v>
      </c>
      <c r="AF108" s="161">
        <v>6.7805999999999997</v>
      </c>
      <c r="AG108" s="161">
        <v>6.4970999999999997</v>
      </c>
      <c r="AH108" s="162">
        <v>1032.814793</v>
      </c>
      <c r="AI108" s="162"/>
      <c r="AJ108" s="163" t="str">
        <f t="shared" si="7"/>
        <v/>
      </c>
      <c r="AK108" s="164"/>
      <c r="AL108" s="165">
        <v>101</v>
      </c>
      <c r="AM108" s="166">
        <v>1366</v>
      </c>
      <c r="AN108" s="115"/>
      <c r="AO108" s="167">
        <v>-6.2715263357000003E-4</v>
      </c>
      <c r="AP108" s="168">
        <f>IF(AO108="","",AO108-AO$6)</f>
        <v>-1.1072975185E-3</v>
      </c>
      <c r="AQ108" s="168">
        <v>5.0611939986999997E-3</v>
      </c>
      <c r="AR108" s="168">
        <f>IF(AQ108="","",AQ108-AQ$6)</f>
        <v>5.2787007516599998E-3</v>
      </c>
      <c r="AS108" s="168"/>
      <c r="AT108" s="168" t="str">
        <f>IF(AS108="","",AS108-AS$6)</f>
        <v/>
      </c>
      <c r="AU108" s="168">
        <v>-5.6812315588000003E-3</v>
      </c>
      <c r="AV108" s="168">
        <f>IF(AU108="","",AU108-AU$6)</f>
        <v>7.3873510371999995E-3</v>
      </c>
      <c r="AW108" s="168"/>
      <c r="AX108" s="168" t="str">
        <f>IF(AW108="","",AW108-AW$6)</f>
        <v/>
      </c>
      <c r="AY108" s="168"/>
      <c r="AZ108" s="168" t="str">
        <f>IF(AY108="","",AY108-AY$6)</f>
        <v/>
      </c>
      <c r="BA108" s="168"/>
      <c r="BB108" s="168" t="str">
        <f>IF(BA108="","",BA108-BA$6)</f>
        <v/>
      </c>
      <c r="BC108" s="168"/>
      <c r="BD108" s="168" t="str">
        <f>IF(BC108="","",BC108-BC$6)</f>
        <v/>
      </c>
      <c r="BE108" s="168"/>
      <c r="BF108" s="168" t="str">
        <f>IF(BE108="","",BE108-BE$6)</f>
        <v/>
      </c>
      <c r="BG108" s="168"/>
      <c r="BH108" s="168" t="str">
        <f>IF(BG108="","",BG108-BG$6)</f>
        <v/>
      </c>
      <c r="BI108" s="168"/>
      <c r="BJ108" s="168" t="str">
        <f>IF(BI108="","",BI108-BI$6)</f>
        <v/>
      </c>
      <c r="BK108" s="169"/>
      <c r="BL108" s="115"/>
      <c r="BM108" s="170">
        <v>8.9866963008000001E-3</v>
      </c>
      <c r="BN108" s="163">
        <v>-4.1298795958999998E-3</v>
      </c>
      <c r="BO108" s="163">
        <v>9.140337359E-3</v>
      </c>
      <c r="BP108" s="163">
        <v>5.0611939986999997E-3</v>
      </c>
      <c r="BQ108" s="171"/>
      <c r="BR108" s="171"/>
      <c r="BS108" s="171"/>
      <c r="BT108" s="171"/>
      <c r="BU108" s="172"/>
      <c r="BV108" s="172"/>
      <c r="BW108" s="163"/>
      <c r="BX108" s="163">
        <v>3.4715390222000001E-3</v>
      </c>
      <c r="BY108" s="161"/>
      <c r="BZ108" s="163">
        <v>-2.5577019806999998E-3</v>
      </c>
      <c r="CA108" s="163">
        <v>-1.6171351691999999E-2</v>
      </c>
      <c r="CB108" s="154">
        <v>45519</v>
      </c>
      <c r="CC108" s="154">
        <v>45537</v>
      </c>
      <c r="CD108" s="173"/>
      <c r="CE108" s="174"/>
      <c r="CF108" s="116"/>
    </row>
    <row r="109" spans="2:84" ht="15.6" x14ac:dyDescent="0.3">
      <c r="B109" s="98" t="s">
        <v>1100</v>
      </c>
      <c r="C109" s="175" t="s">
        <v>1264</v>
      </c>
      <c r="D109" s="176" t="s">
        <v>1188</v>
      </c>
      <c r="E109" s="176" t="s">
        <v>231</v>
      </c>
      <c r="F109" s="177">
        <v>92802784000190</v>
      </c>
      <c r="G109" s="177" t="s">
        <v>1161</v>
      </c>
      <c r="H109" s="177" t="s">
        <v>388</v>
      </c>
      <c r="I109" s="178">
        <v>4</v>
      </c>
      <c r="J109" s="179">
        <v>3</v>
      </c>
      <c r="K109" s="179" t="s">
        <v>126</v>
      </c>
      <c r="L109" s="179" t="s">
        <v>118</v>
      </c>
      <c r="M109" s="179" t="s">
        <v>986</v>
      </c>
      <c r="N109" s="179" t="s">
        <v>109</v>
      </c>
      <c r="O109" s="180">
        <v>115000</v>
      </c>
      <c r="P109" s="181">
        <v>115000000</v>
      </c>
      <c r="Q109" s="181">
        <v>1000</v>
      </c>
      <c r="R109" s="182">
        <v>44242</v>
      </c>
      <c r="S109" s="182">
        <v>46798</v>
      </c>
      <c r="T109" s="183" t="s">
        <v>1233</v>
      </c>
      <c r="U109" s="183" t="s">
        <v>1205</v>
      </c>
      <c r="V109" s="182" t="s">
        <v>105</v>
      </c>
      <c r="W109" s="182" t="s">
        <v>102</v>
      </c>
      <c r="X109" s="182" t="s">
        <v>1312</v>
      </c>
      <c r="Y109" s="182">
        <v>46249</v>
      </c>
      <c r="Z109" s="184">
        <f>IFERROR(INDEX(Base!G:G,MATCH('Debêntures IPCA-Spread'!Y109,Base!F:F,0)),"")</f>
        <v>6.5365000000000002</v>
      </c>
      <c r="AA109" s="115"/>
      <c r="AB109" s="185">
        <v>45552</v>
      </c>
      <c r="AC109" s="186">
        <v>6.8459000000000003</v>
      </c>
      <c r="AD109" s="187">
        <f t="shared" si="6"/>
        <v>0.30940000000000012</v>
      </c>
      <c r="AE109" s="188">
        <v>0.08</v>
      </c>
      <c r="AF109" s="189">
        <v>7.0029000000000003</v>
      </c>
      <c r="AG109" s="189">
        <v>6.6996000000000002</v>
      </c>
      <c r="AH109" s="190">
        <v>1191.566744</v>
      </c>
      <c r="AI109" s="190">
        <v>1191.566744</v>
      </c>
      <c r="AJ109" s="191">
        <f t="shared" si="7"/>
        <v>1</v>
      </c>
      <c r="AK109" s="192">
        <v>45552</v>
      </c>
      <c r="AL109" s="193">
        <v>95.89</v>
      </c>
      <c r="AM109" s="194">
        <v>451</v>
      </c>
      <c r="AN109" s="115"/>
      <c r="AO109" s="195">
        <v>8.4209168563000007E-6</v>
      </c>
      <c r="AP109" s="196">
        <f>IF(AO109="","",AO109-AO$6)</f>
        <v>-4.7172396807369999E-4</v>
      </c>
      <c r="AQ109" s="196">
        <v>9.1230094694999993E-3</v>
      </c>
      <c r="AR109" s="196">
        <f>IF(AQ109="","",AQ109-AQ$6)</f>
        <v>9.3405162224599984E-3</v>
      </c>
      <c r="AS109" s="196">
        <v>7.8118958742999997E-2</v>
      </c>
      <c r="AT109" s="196">
        <f>IF(AS109="","",AS109-AS$6)</f>
        <v>6.3393123688E-2</v>
      </c>
      <c r="AU109" s="196">
        <v>1.0022638751E-2</v>
      </c>
      <c r="AV109" s="196">
        <f>IF(AU109="","",AU109-AU$6)</f>
        <v>2.3091221347E-2</v>
      </c>
      <c r="AW109" s="196">
        <v>3.4588506705000001E-2</v>
      </c>
      <c r="AX109" s="196">
        <f>IF(AW109="","",AW109-AW$6)</f>
        <v>1.0593438917E-2</v>
      </c>
      <c r="AY109" s="196">
        <v>3.9313944979000003E-2</v>
      </c>
      <c r="AZ109" s="196">
        <f>IF(AY109="","",AY109-AY$6)</f>
        <v>2.5071690189000004E-2</v>
      </c>
      <c r="BA109" s="196">
        <v>0.10942578662000001</v>
      </c>
      <c r="BB109" s="196">
        <f>IF(BA109="","",BA109-BA$6)</f>
        <v>5.5938822062000008E-2</v>
      </c>
      <c r="BC109" s="196">
        <v>0.23169719108</v>
      </c>
      <c r="BD109" s="196">
        <f>IF(BC109="","",BC109-BC$6)</f>
        <v>3.7388624590000002E-2</v>
      </c>
      <c r="BE109" s="196">
        <v>0.34998938871000002</v>
      </c>
      <c r="BF109" s="196">
        <f>IF(BE109="","",BE109-BE$6)</f>
        <v>8.8270049170000031E-2</v>
      </c>
      <c r="BG109" s="196"/>
      <c r="BH109" s="196" t="str">
        <f>IF(BG109="","",BG109-BG$6)</f>
        <v/>
      </c>
      <c r="BI109" s="196"/>
      <c r="BJ109" s="196" t="str">
        <f>IF(BI109="","",BI109-BI$6)</f>
        <v/>
      </c>
      <c r="BK109" s="197">
        <v>2.6460228000999999</v>
      </c>
      <c r="BL109" s="115"/>
      <c r="BM109" s="198">
        <v>4.8236518032000004E-3</v>
      </c>
      <c r="BN109" s="191">
        <v>-5.8213836201000003E-3</v>
      </c>
      <c r="BO109" s="191">
        <v>2.2690207912E-2</v>
      </c>
      <c r="BP109" s="191">
        <v>-3.4886072581E-3</v>
      </c>
      <c r="BQ109" s="199">
        <v>10</v>
      </c>
      <c r="BR109" s="199">
        <v>2</v>
      </c>
      <c r="BS109" s="199">
        <v>7</v>
      </c>
      <c r="BT109" s="199">
        <v>5</v>
      </c>
      <c r="BU109" s="200">
        <v>-6.6724891192999999E-2</v>
      </c>
      <c r="BV109" s="200">
        <v>-0.27888506226999998</v>
      </c>
      <c r="BW109" s="191">
        <v>2.7336622780000002E-3</v>
      </c>
      <c r="BX109" s="191">
        <v>2.4007828053E-3</v>
      </c>
      <c r="BY109" s="189">
        <v>-0.54739476498999995</v>
      </c>
      <c r="BZ109" s="191">
        <v>-1.1777130385000001E-2</v>
      </c>
      <c r="CA109" s="191">
        <v>-1.1777130385000001E-2</v>
      </c>
      <c r="CB109" s="182">
        <v>45189</v>
      </c>
      <c r="CC109" s="182">
        <v>45218</v>
      </c>
      <c r="CD109" s="201">
        <v>37</v>
      </c>
      <c r="CE109" s="202">
        <v>45244</v>
      </c>
      <c r="CF109" s="116"/>
    </row>
    <row r="110" spans="2:84" ht="15.6" x14ac:dyDescent="0.3">
      <c r="B110" s="110" t="s">
        <v>1101</v>
      </c>
      <c r="C110" s="147" t="s">
        <v>1265</v>
      </c>
      <c r="D110" s="148" t="s">
        <v>1188</v>
      </c>
      <c r="E110" s="148" t="s">
        <v>231</v>
      </c>
      <c r="F110" s="149">
        <v>92802784000190</v>
      </c>
      <c r="G110" s="149" t="s">
        <v>1162</v>
      </c>
      <c r="H110" s="149" t="s">
        <v>388</v>
      </c>
      <c r="I110" s="150">
        <v>4</v>
      </c>
      <c r="J110" s="151">
        <v>4</v>
      </c>
      <c r="K110" s="151" t="s">
        <v>1251</v>
      </c>
      <c r="L110" s="151" t="s">
        <v>118</v>
      </c>
      <c r="M110" s="151" t="s">
        <v>986</v>
      </c>
      <c r="N110" s="151" t="s">
        <v>109</v>
      </c>
      <c r="O110" s="152">
        <v>335000</v>
      </c>
      <c r="P110" s="153">
        <v>335000000</v>
      </c>
      <c r="Q110" s="153">
        <v>1000</v>
      </c>
      <c r="R110" s="154">
        <v>44242</v>
      </c>
      <c r="S110" s="154">
        <v>47894</v>
      </c>
      <c r="T110" s="155" t="s">
        <v>1233</v>
      </c>
      <c r="U110" s="155" t="s">
        <v>1205</v>
      </c>
      <c r="V110" s="154" t="s">
        <v>105</v>
      </c>
      <c r="W110" s="154" t="s">
        <v>102</v>
      </c>
      <c r="X110" s="154" t="s">
        <v>1313</v>
      </c>
      <c r="Y110" s="154">
        <v>46980</v>
      </c>
      <c r="Z110" s="156">
        <f>IFERROR(INDEX(Base!G:G,MATCH('Debêntures IPCA-Spread'!Y110,Base!F:F,0)),"")</f>
        <v>6.4702000000000002</v>
      </c>
      <c r="AA110" s="115"/>
      <c r="AB110" s="157">
        <v>45552</v>
      </c>
      <c r="AC110" s="158">
        <v>6.8731999999999998</v>
      </c>
      <c r="AD110" s="159">
        <f t="shared" si="6"/>
        <v>0.40299999999999958</v>
      </c>
      <c r="AE110" s="160">
        <v>0.11</v>
      </c>
      <c r="AF110" s="161">
        <v>7.1193999999999997</v>
      </c>
      <c r="AG110" s="161">
        <v>6.7154999999999996</v>
      </c>
      <c r="AH110" s="162">
        <v>1172.3810060000001</v>
      </c>
      <c r="AI110" s="162">
        <v>1173.3320189999999</v>
      </c>
      <c r="AJ110" s="163">
        <f t="shared" si="7"/>
        <v>0.99918947664889401</v>
      </c>
      <c r="AK110" s="164">
        <v>45546</v>
      </c>
      <c r="AL110" s="165">
        <v>94.31</v>
      </c>
      <c r="AM110" s="166">
        <v>757</v>
      </c>
      <c r="AN110" s="115"/>
      <c r="AO110" s="167">
        <v>2.9306580835999998E-3</v>
      </c>
      <c r="AP110" s="168">
        <f>IF(AO110="","",AO110-AO$6)</f>
        <v>2.4505131986699998E-3</v>
      </c>
      <c r="AQ110" s="168">
        <v>1.2071687531E-2</v>
      </c>
      <c r="AR110" s="168">
        <f>IF(AQ110="","",AQ110-AQ$6)</f>
        <v>1.2289194283959999E-2</v>
      </c>
      <c r="AS110" s="168">
        <v>7.6471232003000003E-2</v>
      </c>
      <c r="AT110" s="168">
        <f>IF(AS110="","",AS110-AS$6)</f>
        <v>6.1745396948000006E-2</v>
      </c>
      <c r="AU110" s="168">
        <v>8.2097890789999996E-3</v>
      </c>
      <c r="AV110" s="168">
        <f>IF(AU110="","",AU110-AU$6)</f>
        <v>2.1278371674999998E-2</v>
      </c>
      <c r="AW110" s="168">
        <v>4.3732081866E-2</v>
      </c>
      <c r="AX110" s="168">
        <f>IF(AW110="","",AW110-AW$6)</f>
        <v>1.9737014077999999E-2</v>
      </c>
      <c r="AY110" s="168">
        <v>3.7890430737999997E-2</v>
      </c>
      <c r="AZ110" s="168">
        <f>IF(AY110="","",AY110-AY$6)</f>
        <v>2.3648175947999998E-2</v>
      </c>
      <c r="BA110" s="168">
        <v>0.11096740161</v>
      </c>
      <c r="BB110" s="168">
        <f>IF(BA110="","",BA110-BA$6)</f>
        <v>5.7480437052000004E-2</v>
      </c>
      <c r="BC110" s="168">
        <v>0.23201106687</v>
      </c>
      <c r="BD110" s="168">
        <f>IF(BC110="","",BC110-BC$6)</f>
        <v>3.7702500380000004E-2</v>
      </c>
      <c r="BE110" s="168">
        <v>0.35333467330000001</v>
      </c>
      <c r="BF110" s="168">
        <f>IF(BE110="","",BE110-BE$6)</f>
        <v>9.1615333760000028E-2</v>
      </c>
      <c r="BG110" s="168"/>
      <c r="BH110" s="168" t="str">
        <f>IF(BG110="","",BG110-BG$6)</f>
        <v/>
      </c>
      <c r="BI110" s="168"/>
      <c r="BJ110" s="168" t="str">
        <f>IF(BI110="","",BI110-BI$6)</f>
        <v/>
      </c>
      <c r="BK110" s="169">
        <v>3.7398859494000001</v>
      </c>
      <c r="BL110" s="115"/>
      <c r="BM110" s="170">
        <v>7.9713012127999999E-3</v>
      </c>
      <c r="BN110" s="163">
        <v>-7.8863024501000002E-3</v>
      </c>
      <c r="BO110" s="163">
        <v>2.3124797895E-2</v>
      </c>
      <c r="BP110" s="163">
        <v>-7.3107376310999998E-3</v>
      </c>
      <c r="BQ110" s="171">
        <v>9</v>
      </c>
      <c r="BR110" s="171">
        <v>3</v>
      </c>
      <c r="BS110" s="171">
        <v>7</v>
      </c>
      <c r="BT110" s="171">
        <v>5</v>
      </c>
      <c r="BU110" s="172">
        <v>-7.7559868668000004E-4</v>
      </c>
      <c r="BV110" s="172">
        <v>-0.21079598425000001</v>
      </c>
      <c r="BW110" s="163">
        <v>3.8644399896999998E-3</v>
      </c>
      <c r="BX110" s="163">
        <v>3.9313354887999998E-3</v>
      </c>
      <c r="BY110" s="161">
        <v>-0.4955984283</v>
      </c>
      <c r="BZ110" s="163">
        <v>-1.79920116E-2</v>
      </c>
      <c r="CA110" s="163">
        <v>-1.79920116E-2</v>
      </c>
      <c r="CB110" s="154">
        <v>45391</v>
      </c>
      <c r="CC110" s="154">
        <v>45425</v>
      </c>
      <c r="CD110" s="173">
        <v>65</v>
      </c>
      <c r="CE110" s="174">
        <v>45484</v>
      </c>
      <c r="CF110" s="116"/>
    </row>
    <row r="111" spans="2:84" ht="15.6" x14ac:dyDescent="0.3">
      <c r="B111" s="98" t="s">
        <v>2233</v>
      </c>
      <c r="C111" s="175" t="s">
        <v>2618</v>
      </c>
      <c r="D111" s="176" t="s">
        <v>2795</v>
      </c>
      <c r="E111" s="176" t="s">
        <v>103</v>
      </c>
      <c r="F111" s="177">
        <v>10319900000150</v>
      </c>
      <c r="G111" s="177" t="s">
        <v>2368</v>
      </c>
      <c r="H111" s="177" t="s">
        <v>388</v>
      </c>
      <c r="I111" s="178">
        <v>1</v>
      </c>
      <c r="J111" s="179">
        <v>1</v>
      </c>
      <c r="K111" s="179" t="s">
        <v>126</v>
      </c>
      <c r="L111" s="179" t="s">
        <v>125</v>
      </c>
      <c r="M111" s="179" t="s">
        <v>106</v>
      </c>
      <c r="N111" s="179" t="s">
        <v>109</v>
      </c>
      <c r="O111" s="180">
        <v>450000</v>
      </c>
      <c r="P111" s="181">
        <v>450000000</v>
      </c>
      <c r="Q111" s="181">
        <v>1000</v>
      </c>
      <c r="R111" s="182">
        <v>44545</v>
      </c>
      <c r="S111" s="182">
        <v>47863</v>
      </c>
      <c r="T111" s="183" t="s">
        <v>1973</v>
      </c>
      <c r="U111" s="183" t="s">
        <v>113</v>
      </c>
      <c r="V111" s="182" t="s">
        <v>105</v>
      </c>
      <c r="W111" s="182" t="s">
        <v>102</v>
      </c>
      <c r="X111" s="182" t="s">
        <v>2501</v>
      </c>
      <c r="Y111" s="182">
        <v>47710</v>
      </c>
      <c r="Z111" s="184">
        <f>IFERROR(INDEX(Base!G:G,MATCH('Debêntures IPCA-Spread'!Y111,Base!F:F,0)),"")</f>
        <v>6.3273999999999999</v>
      </c>
      <c r="AA111" s="115"/>
      <c r="AB111" s="185">
        <v>45548</v>
      </c>
      <c r="AC111" s="186"/>
      <c r="AD111" s="187" t="str">
        <f t="shared" si="6"/>
        <v/>
      </c>
      <c r="AE111" s="188"/>
      <c r="AF111" s="189"/>
      <c r="AG111" s="189"/>
      <c r="AH111" s="190"/>
      <c r="AI111" s="190"/>
      <c r="AJ111" s="191" t="str">
        <f t="shared" si="7"/>
        <v/>
      </c>
      <c r="AK111" s="192"/>
      <c r="AL111" s="193"/>
      <c r="AM111" s="194"/>
      <c r="AN111" s="115"/>
      <c r="AO111" s="195"/>
      <c r="AP111" s="196" t="str">
        <f>IF(AO111="","",AO111-AO$6)</f>
        <v/>
      </c>
      <c r="AQ111" s="196">
        <v>4.1339827548999997E-3</v>
      </c>
      <c r="AR111" s="196">
        <f>IF(AQ111="","",AQ111-AQ$6)</f>
        <v>4.3514895078599998E-3</v>
      </c>
      <c r="AS111" s="196">
        <v>7.4029949174999998E-2</v>
      </c>
      <c r="AT111" s="196">
        <f>IF(AS111="","",AS111-AS$6)</f>
        <v>5.9304114120000001E-2</v>
      </c>
      <c r="AU111" s="196">
        <v>-3.0001898775999999E-3</v>
      </c>
      <c r="AV111" s="196">
        <f>IF(AU111="","",AU111-AU$6)</f>
        <v>1.00683927184E-2</v>
      </c>
      <c r="AW111" s="196">
        <v>4.4558203219000003E-2</v>
      </c>
      <c r="AX111" s="196">
        <f>IF(AW111="","",AW111-AW$6)</f>
        <v>2.0563135431000003E-2</v>
      </c>
      <c r="AY111" s="196">
        <v>4.1312101116999997E-2</v>
      </c>
      <c r="AZ111" s="196">
        <f>IF(AY111="","",AY111-AY$6)</f>
        <v>2.7069846326999998E-2</v>
      </c>
      <c r="BA111" s="196"/>
      <c r="BB111" s="196" t="str">
        <f>IF(BA111="","",BA111-BA$6)</f>
        <v/>
      </c>
      <c r="BC111" s="196"/>
      <c r="BD111" s="196" t="str">
        <f>IF(BC111="","",BC111-BC$6)</f>
        <v/>
      </c>
      <c r="BE111" s="196"/>
      <c r="BF111" s="196" t="str">
        <f>IF(BE111="","",BE111-BE$6)</f>
        <v/>
      </c>
      <c r="BG111" s="196"/>
      <c r="BH111" s="196" t="str">
        <f>IF(BG111="","",BG111-BG$6)</f>
        <v/>
      </c>
      <c r="BI111" s="196"/>
      <c r="BJ111" s="196" t="str">
        <f>IF(BI111="","",BI111-BI$6)</f>
        <v/>
      </c>
      <c r="BK111" s="197"/>
      <c r="BL111" s="115"/>
      <c r="BM111" s="198">
        <v>1.3044434525999999E-2</v>
      </c>
      <c r="BN111" s="191">
        <v>-9.1487884129000004E-3</v>
      </c>
      <c r="BO111" s="191">
        <v>2.1945335140000001E-2</v>
      </c>
      <c r="BP111" s="191">
        <v>-2.1907867933000001E-2</v>
      </c>
      <c r="BQ111" s="199"/>
      <c r="BR111" s="199"/>
      <c r="BS111" s="199"/>
      <c r="BT111" s="199"/>
      <c r="BU111" s="200"/>
      <c r="BV111" s="200"/>
      <c r="BW111" s="191"/>
      <c r="BX111" s="191"/>
      <c r="BY111" s="189"/>
      <c r="BZ111" s="191">
        <v>-2.4293541817999999E-2</v>
      </c>
      <c r="CA111" s="191">
        <v>-2.4293541817999999E-2</v>
      </c>
      <c r="CB111" s="182">
        <v>45391</v>
      </c>
      <c r="CC111" s="182">
        <v>45455</v>
      </c>
      <c r="CD111" s="201">
        <v>60</v>
      </c>
      <c r="CE111" s="202">
        <v>45477</v>
      </c>
      <c r="CF111" s="116"/>
    </row>
    <row r="112" spans="2:84" ht="15.6" x14ac:dyDescent="0.3">
      <c r="B112" s="110" t="s">
        <v>2234</v>
      </c>
      <c r="C112" s="147" t="s">
        <v>2619</v>
      </c>
      <c r="D112" s="148" t="s">
        <v>2795</v>
      </c>
      <c r="E112" s="148" t="s">
        <v>103</v>
      </c>
      <c r="F112" s="149">
        <v>10319900000150</v>
      </c>
      <c r="G112" s="149" t="s">
        <v>2369</v>
      </c>
      <c r="H112" s="149" t="s">
        <v>388</v>
      </c>
      <c r="I112" s="150">
        <v>1</v>
      </c>
      <c r="J112" s="151">
        <v>2</v>
      </c>
      <c r="K112" s="151" t="s">
        <v>126</v>
      </c>
      <c r="L112" s="151" t="s">
        <v>125</v>
      </c>
      <c r="M112" s="151" t="s">
        <v>106</v>
      </c>
      <c r="N112" s="151" t="s">
        <v>109</v>
      </c>
      <c r="O112" s="152">
        <v>100000</v>
      </c>
      <c r="P112" s="153">
        <v>100000000</v>
      </c>
      <c r="Q112" s="153">
        <v>1000</v>
      </c>
      <c r="R112" s="154">
        <v>44545</v>
      </c>
      <c r="S112" s="154">
        <v>48044</v>
      </c>
      <c r="T112" s="155" t="s">
        <v>1992</v>
      </c>
      <c r="U112" s="155" t="s">
        <v>113</v>
      </c>
      <c r="V112" s="154" t="s">
        <v>194</v>
      </c>
      <c r="W112" s="154" t="s">
        <v>102</v>
      </c>
      <c r="X112" s="154" t="s">
        <v>2502</v>
      </c>
      <c r="Y112" s="154">
        <v>47710</v>
      </c>
      <c r="Z112" s="156">
        <f>IFERROR(INDEX(Base!G:G,MATCH('Debêntures IPCA-Spread'!Y112,Base!F:F,0)),"")</f>
        <v>6.3273999999999999</v>
      </c>
      <c r="AA112" s="115"/>
      <c r="AB112" s="157">
        <v>45408</v>
      </c>
      <c r="AC112" s="158"/>
      <c r="AD112" s="159" t="str">
        <f t="shared" si="6"/>
        <v/>
      </c>
      <c r="AE112" s="160"/>
      <c r="AF112" s="161"/>
      <c r="AG112" s="161"/>
      <c r="AH112" s="162"/>
      <c r="AI112" s="162"/>
      <c r="AJ112" s="163" t="str">
        <f t="shared" si="7"/>
        <v/>
      </c>
      <c r="AK112" s="164"/>
      <c r="AL112" s="165"/>
      <c r="AM112" s="166"/>
      <c r="AN112" s="115"/>
      <c r="AO112" s="167"/>
      <c r="AP112" s="168" t="str">
        <f>IF(AO112="","",AO112-AO$6)</f>
        <v/>
      </c>
      <c r="AQ112" s="168"/>
      <c r="AR112" s="168" t="str">
        <f>IF(AQ112="","",AQ112-AQ$6)</f>
        <v/>
      </c>
      <c r="AS112" s="168"/>
      <c r="AT112" s="168" t="str">
        <f>IF(AS112="","",AS112-AS$6)</f>
        <v/>
      </c>
      <c r="AU112" s="168"/>
      <c r="AV112" s="168" t="str">
        <f>IF(AU112="","",AU112-AU$6)</f>
        <v/>
      </c>
      <c r="AW112" s="168"/>
      <c r="AX112" s="168" t="str">
        <f>IF(AW112="","",AW112-AW$6)</f>
        <v/>
      </c>
      <c r="AY112" s="168"/>
      <c r="AZ112" s="168" t="str">
        <f>IF(AY112="","",AY112-AY$6)</f>
        <v/>
      </c>
      <c r="BA112" s="168"/>
      <c r="BB112" s="168" t="str">
        <f>IF(BA112="","",BA112-BA$6)</f>
        <v/>
      </c>
      <c r="BC112" s="168"/>
      <c r="BD112" s="168" t="str">
        <f>IF(BC112="","",BC112-BC$6)</f>
        <v/>
      </c>
      <c r="BE112" s="168"/>
      <c r="BF112" s="168" t="str">
        <f>IF(BE112="","",BE112-BE$6)</f>
        <v/>
      </c>
      <c r="BG112" s="168"/>
      <c r="BH112" s="168" t="str">
        <f>IF(BG112="","",BG112-BG$6)</f>
        <v/>
      </c>
      <c r="BI112" s="168"/>
      <c r="BJ112" s="168" t="str">
        <f>IF(BI112="","",BI112-BI$6)</f>
        <v/>
      </c>
      <c r="BK112" s="169"/>
      <c r="BL112" s="115"/>
      <c r="BM112" s="170">
        <v>6.0760428004999999E-3</v>
      </c>
      <c r="BN112" s="163">
        <v>-6.1984560734000002E-3</v>
      </c>
      <c r="BO112" s="163">
        <v>1.8591301585000001E-2</v>
      </c>
      <c r="BP112" s="163">
        <v>-2.3072120415000001E-2</v>
      </c>
      <c r="BQ112" s="171"/>
      <c r="BR112" s="171"/>
      <c r="BS112" s="171"/>
      <c r="BT112" s="171"/>
      <c r="BU112" s="172"/>
      <c r="BV112" s="172"/>
      <c r="BW112" s="163"/>
      <c r="BX112" s="163"/>
      <c r="BY112" s="161"/>
      <c r="BZ112" s="163">
        <v>-9.5715916780000007E-3</v>
      </c>
      <c r="CA112" s="163">
        <v>-2.3949185703999998E-2</v>
      </c>
      <c r="CB112" s="154">
        <v>45391</v>
      </c>
      <c r="CC112" s="154">
        <v>45407</v>
      </c>
      <c r="CD112" s="173"/>
      <c r="CE112" s="174"/>
      <c r="CF112" s="116"/>
    </row>
    <row r="113" spans="2:84" ht="15.6" x14ac:dyDescent="0.3">
      <c r="B113" s="98" t="s">
        <v>2235</v>
      </c>
      <c r="C113" s="175" t="s">
        <v>2620</v>
      </c>
      <c r="D113" s="176" t="s">
        <v>2853</v>
      </c>
      <c r="E113" s="176" t="s">
        <v>227</v>
      </c>
      <c r="F113" s="177">
        <v>40432544000147</v>
      </c>
      <c r="G113" s="177" t="s">
        <v>2370</v>
      </c>
      <c r="H113" s="177" t="s">
        <v>388</v>
      </c>
      <c r="I113" s="178">
        <v>15</v>
      </c>
      <c r="J113" s="179" t="s">
        <v>107</v>
      </c>
      <c r="K113" s="179" t="s">
        <v>126</v>
      </c>
      <c r="L113" s="179" t="s">
        <v>112</v>
      </c>
      <c r="M113" s="179" t="s">
        <v>114</v>
      </c>
      <c r="N113" s="179" t="s">
        <v>109</v>
      </c>
      <c r="O113" s="180">
        <v>2500000</v>
      </c>
      <c r="P113" s="181">
        <v>2500000000</v>
      </c>
      <c r="Q113" s="181">
        <v>1000</v>
      </c>
      <c r="R113" s="182">
        <v>45366</v>
      </c>
      <c r="S113" s="182">
        <v>47192</v>
      </c>
      <c r="T113" s="183" t="s">
        <v>2818</v>
      </c>
      <c r="U113" s="183" t="s">
        <v>113</v>
      </c>
      <c r="V113" s="182" t="s">
        <v>105</v>
      </c>
      <c r="W113" s="182" t="s">
        <v>102</v>
      </c>
      <c r="X113" s="182" t="s">
        <v>2503</v>
      </c>
      <c r="Y113" s="182">
        <v>47253</v>
      </c>
      <c r="Z113" s="184">
        <f>IFERROR(INDEX(Base!G:G,MATCH('Debêntures IPCA-Spread'!Y113,Base!F:F,0)),"")</f>
        <v>6.41</v>
      </c>
      <c r="AA113" s="115"/>
      <c r="AB113" s="185">
        <v>45552</v>
      </c>
      <c r="AC113" s="186">
        <v>6.5075000000000003</v>
      </c>
      <c r="AD113" s="187">
        <f t="shared" si="6"/>
        <v>9.7500000000000142E-2</v>
      </c>
      <c r="AE113" s="188">
        <v>0.01</v>
      </c>
      <c r="AF113" s="189">
        <v>6.6185</v>
      </c>
      <c r="AG113" s="189">
        <v>6.3205</v>
      </c>
      <c r="AH113" s="190">
        <v>987.79878599999995</v>
      </c>
      <c r="AI113" s="190"/>
      <c r="AJ113" s="191" t="str">
        <f t="shared" si="7"/>
        <v/>
      </c>
      <c r="AK113" s="192"/>
      <c r="AL113" s="193">
        <v>97.26</v>
      </c>
      <c r="AM113" s="194">
        <v>1005</v>
      </c>
      <c r="AN113" s="115"/>
      <c r="AO113" s="195">
        <v>-1.1388876737E-4</v>
      </c>
      <c r="AP113" s="196">
        <f>IF(AO113="","",AO113-AO$6)</f>
        <v>-5.9403365230000003E-4</v>
      </c>
      <c r="AQ113" s="196">
        <v>2.4328880081000001E-3</v>
      </c>
      <c r="AR113" s="196">
        <f>IF(AQ113="","",AQ113-AQ$6)</f>
        <v>2.6503947610600001E-3</v>
      </c>
      <c r="AS113" s="196"/>
      <c r="AT113" s="196" t="str">
        <f>IF(AS113="","",AS113-AS$6)</f>
        <v/>
      </c>
      <c r="AU113" s="196">
        <v>-7.0892556222999998E-3</v>
      </c>
      <c r="AV113" s="196">
        <f>IF(AU113="","",AU113-AU$6)</f>
        <v>5.9793269737000001E-3</v>
      </c>
      <c r="AW113" s="196">
        <v>2.5047462031999999E-2</v>
      </c>
      <c r="AX113" s="196">
        <f>IF(AW113="","",AW113-AW$6)</f>
        <v>1.0523942439999989E-3</v>
      </c>
      <c r="AY113" s="196"/>
      <c r="AZ113" s="196" t="str">
        <f>IF(AY113="","",AY113-AY$6)</f>
        <v/>
      </c>
      <c r="BA113" s="196"/>
      <c r="BB113" s="196" t="str">
        <f>IF(BA113="","",BA113-BA$6)</f>
        <v/>
      </c>
      <c r="BC113" s="196"/>
      <c r="BD113" s="196" t="str">
        <f>IF(BC113="","",BC113-BC$6)</f>
        <v/>
      </c>
      <c r="BE113" s="196"/>
      <c r="BF113" s="196" t="str">
        <f>IF(BE113="","",BE113-BE$6)</f>
        <v/>
      </c>
      <c r="BG113" s="196"/>
      <c r="BH113" s="196" t="str">
        <f>IF(BG113="","",BG113-BG$6)</f>
        <v/>
      </c>
      <c r="BI113" s="196"/>
      <c r="BJ113" s="196" t="str">
        <f>IF(BI113="","",BI113-BI$6)</f>
        <v/>
      </c>
      <c r="BK113" s="197"/>
      <c r="BL113" s="115"/>
      <c r="BM113" s="198">
        <v>6.0483451070000001E-3</v>
      </c>
      <c r="BN113" s="191">
        <v>-6.9514268588999999E-3</v>
      </c>
      <c r="BO113" s="191">
        <v>1.6465730697999999E-2</v>
      </c>
      <c r="BP113" s="191">
        <v>-4.3434828775999997E-3</v>
      </c>
      <c r="BQ113" s="199"/>
      <c r="BR113" s="199"/>
      <c r="BS113" s="199"/>
      <c r="BT113" s="199"/>
      <c r="BU113" s="200"/>
      <c r="BV113" s="200"/>
      <c r="BW113" s="191"/>
      <c r="BX113" s="191">
        <v>3.8914275415999999E-3</v>
      </c>
      <c r="BY113" s="189"/>
      <c r="BZ113" s="191">
        <v>-1.0615615647000001E-2</v>
      </c>
      <c r="CA113" s="191">
        <v>-1.0976653449E-2</v>
      </c>
      <c r="CB113" s="182">
        <v>45518</v>
      </c>
      <c r="CC113" s="182">
        <v>45534</v>
      </c>
      <c r="CD113" s="201"/>
      <c r="CE113" s="202"/>
      <c r="CF113" s="116"/>
    </row>
    <row r="114" spans="2:84" ht="15.6" x14ac:dyDescent="0.3">
      <c r="B114" s="110" t="s">
        <v>502</v>
      </c>
      <c r="C114" s="147" t="s">
        <v>667</v>
      </c>
      <c r="D114" s="148" t="s">
        <v>617</v>
      </c>
      <c r="E114" s="148" t="s">
        <v>226</v>
      </c>
      <c r="F114" s="149">
        <v>15139629000194</v>
      </c>
      <c r="G114" s="149" t="s">
        <v>822</v>
      </c>
      <c r="H114" s="149" t="s">
        <v>388</v>
      </c>
      <c r="I114" s="150">
        <v>11</v>
      </c>
      <c r="J114" s="151" t="s">
        <v>107</v>
      </c>
      <c r="K114" s="151" t="s">
        <v>130</v>
      </c>
      <c r="L114" s="151" t="s">
        <v>121</v>
      </c>
      <c r="M114" s="151" t="s">
        <v>106</v>
      </c>
      <c r="N114" s="151" t="s">
        <v>109</v>
      </c>
      <c r="O114" s="152">
        <v>800000</v>
      </c>
      <c r="P114" s="153">
        <v>800000000</v>
      </c>
      <c r="Q114" s="153">
        <v>1000</v>
      </c>
      <c r="R114" s="154">
        <v>43327</v>
      </c>
      <c r="S114" s="154">
        <v>45884</v>
      </c>
      <c r="T114" s="155" t="s">
        <v>758</v>
      </c>
      <c r="U114" s="155" t="s">
        <v>910</v>
      </c>
      <c r="V114" s="154" t="s">
        <v>105</v>
      </c>
      <c r="W114" s="154" t="s">
        <v>102</v>
      </c>
      <c r="X114" s="154" t="s">
        <v>961</v>
      </c>
      <c r="Y114" s="154">
        <v>45792</v>
      </c>
      <c r="Z114" s="156">
        <f>IFERROR(INDEX(Base!G:G,MATCH('Debêntures IPCA-Spread'!Y114,Base!F:F,0)),"")</f>
        <v>5.73</v>
      </c>
      <c r="AA114" s="115"/>
      <c r="AB114" s="157">
        <v>45552</v>
      </c>
      <c r="AC114" s="158">
        <v>6.0054999999999996</v>
      </c>
      <c r="AD114" s="159">
        <f t="shared" si="6"/>
        <v>0.27549999999999919</v>
      </c>
      <c r="AE114" s="160">
        <v>0.25</v>
      </c>
      <c r="AF114" s="161">
        <v>6.2469000000000001</v>
      </c>
      <c r="AG114" s="161">
        <v>5.9939999999999998</v>
      </c>
      <c r="AH114" s="162">
        <v>461.70976400000001</v>
      </c>
      <c r="AI114" s="162">
        <v>461.70976400000001</v>
      </c>
      <c r="AJ114" s="163">
        <f t="shared" si="7"/>
        <v>1</v>
      </c>
      <c r="AK114" s="164">
        <v>45552</v>
      </c>
      <c r="AL114" s="165">
        <v>100.18</v>
      </c>
      <c r="AM114" s="166">
        <v>224</v>
      </c>
      <c r="AN114" s="115"/>
      <c r="AO114" s="167">
        <v>7.4384885555999999E-4</v>
      </c>
      <c r="AP114" s="168">
        <f>IF(AO114="","",AO114-AO$6)</f>
        <v>2.6370397062999999E-4</v>
      </c>
      <c r="AQ114" s="168">
        <v>6.9214802969999999E-3</v>
      </c>
      <c r="AR114" s="168">
        <f>IF(AQ114="","",AQ114-AQ$6)</f>
        <v>7.13898704996E-3</v>
      </c>
      <c r="AS114" s="168">
        <v>7.9639416705999999E-2</v>
      </c>
      <c r="AT114" s="168">
        <f>IF(AS114="","",AS114-AS$6)</f>
        <v>6.4913581651000002E-2</v>
      </c>
      <c r="AU114" s="168">
        <v>1.0664562165E-2</v>
      </c>
      <c r="AV114" s="168">
        <f>IF(AU114="","",AU114-AU$6)</f>
        <v>2.3733144761E-2</v>
      </c>
      <c r="AW114" s="168">
        <v>2.7643938238000001E-2</v>
      </c>
      <c r="AX114" s="168">
        <f>IF(AW114="","",AW114-AW$6)</f>
        <v>3.648870450000001E-3</v>
      </c>
      <c r="AY114" s="168">
        <v>5.4757053695000002E-2</v>
      </c>
      <c r="AZ114" s="168">
        <f>IF(AY114="","",AY114-AY$6)</f>
        <v>4.0514798905000003E-2</v>
      </c>
      <c r="BA114" s="168">
        <v>0.11241797074</v>
      </c>
      <c r="BB114" s="168">
        <f>IF(BA114="","",BA114-BA$6)</f>
        <v>5.8931006181999999E-2</v>
      </c>
      <c r="BC114" s="168">
        <v>0.25496186243000002</v>
      </c>
      <c r="BD114" s="168">
        <f>IF(BC114="","",BC114-BC$6)</f>
        <v>6.0653295940000018E-2</v>
      </c>
      <c r="BE114" s="168">
        <v>0.4119650124</v>
      </c>
      <c r="BF114" s="168">
        <f>IF(BE114="","",BE114-BE$6)</f>
        <v>0.15024567286000001</v>
      </c>
      <c r="BG114" s="168">
        <v>0.52502255468000003</v>
      </c>
      <c r="BH114" s="168">
        <f>IF(BG114="","",BG114-BG$6)</f>
        <v>0.21610590587</v>
      </c>
      <c r="BI114" s="168"/>
      <c r="BJ114" s="168" t="str">
        <f>IF(BI114="","",BI114-BI$6)</f>
        <v/>
      </c>
      <c r="BK114" s="169">
        <v>2.1361415466999998</v>
      </c>
      <c r="BL114" s="115"/>
      <c r="BM114" s="170">
        <v>6.4222880410000002E-3</v>
      </c>
      <c r="BN114" s="163">
        <v>-5.6994042416000004E-3</v>
      </c>
      <c r="BO114" s="163">
        <v>1.8285806163000001E-2</v>
      </c>
      <c r="BP114" s="163">
        <v>3.4174363790999999E-3</v>
      </c>
      <c r="BQ114" s="171">
        <v>12</v>
      </c>
      <c r="BR114" s="171">
        <v>0</v>
      </c>
      <c r="BS114" s="171">
        <v>5</v>
      </c>
      <c r="BT114" s="171">
        <v>7</v>
      </c>
      <c r="BU114" s="172">
        <v>3.7667989382999999E-2</v>
      </c>
      <c r="BV114" s="172">
        <v>0.16067617067000001</v>
      </c>
      <c r="BW114" s="163">
        <v>2.2075007239000001E-3</v>
      </c>
      <c r="BX114" s="163">
        <v>1.2019055844999999E-3</v>
      </c>
      <c r="BY114" s="161">
        <v>-3.3267668657000003E-2</v>
      </c>
      <c r="BZ114" s="163">
        <v>-7.9720865133999994E-3</v>
      </c>
      <c r="CA114" s="163">
        <v>-7.9720865133999994E-3</v>
      </c>
      <c r="CB114" s="154">
        <v>45230</v>
      </c>
      <c r="CC114" s="154">
        <v>45233</v>
      </c>
      <c r="CD114" s="173">
        <v>9</v>
      </c>
      <c r="CE114" s="174">
        <v>45244</v>
      </c>
      <c r="CF114" s="116"/>
    </row>
    <row r="115" spans="2:84" ht="15.6" x14ac:dyDescent="0.3">
      <c r="B115" s="98" t="s">
        <v>1416</v>
      </c>
      <c r="C115" s="175" t="s">
        <v>2062</v>
      </c>
      <c r="D115" s="176" t="s">
        <v>617</v>
      </c>
      <c r="E115" s="176" t="s">
        <v>226</v>
      </c>
      <c r="F115" s="177">
        <v>15139629000194</v>
      </c>
      <c r="G115" s="177" t="s">
        <v>1775</v>
      </c>
      <c r="H115" s="177" t="s">
        <v>388</v>
      </c>
      <c r="I115" s="178">
        <v>13</v>
      </c>
      <c r="J115" s="179">
        <v>3</v>
      </c>
      <c r="K115" s="179" t="s">
        <v>126</v>
      </c>
      <c r="L115" s="179" t="s">
        <v>1252</v>
      </c>
      <c r="M115" s="179" t="s">
        <v>106</v>
      </c>
      <c r="N115" s="179" t="s">
        <v>109</v>
      </c>
      <c r="O115" s="180">
        <v>320000</v>
      </c>
      <c r="P115" s="181">
        <v>320000000</v>
      </c>
      <c r="Q115" s="181">
        <v>1000</v>
      </c>
      <c r="R115" s="182">
        <v>44484</v>
      </c>
      <c r="S115" s="182">
        <v>48136</v>
      </c>
      <c r="T115" s="183" t="s">
        <v>1199</v>
      </c>
      <c r="U115" s="183" t="s">
        <v>1672</v>
      </c>
      <c r="V115" s="182" t="s">
        <v>105</v>
      </c>
      <c r="W115" s="182" t="s">
        <v>102</v>
      </c>
      <c r="X115" s="182" t="s">
        <v>1555</v>
      </c>
      <c r="Y115" s="182">
        <v>47710</v>
      </c>
      <c r="Z115" s="184">
        <f>IFERROR(INDEX(Base!G:G,MATCH('Debêntures IPCA-Spread'!Y115,Base!F:F,0)),"")</f>
        <v>6.3273999999999999</v>
      </c>
      <c r="AA115" s="115"/>
      <c r="AB115" s="185">
        <v>45552</v>
      </c>
      <c r="AC115" s="186">
        <v>6.4896000000000003</v>
      </c>
      <c r="AD115" s="187">
        <f t="shared" si="6"/>
        <v>0.16220000000000034</v>
      </c>
      <c r="AE115" s="188">
        <v>0.05</v>
      </c>
      <c r="AF115" s="189">
        <v>6.6295000000000002</v>
      </c>
      <c r="AG115" s="189">
        <v>6.3788</v>
      </c>
      <c r="AH115" s="190">
        <v>1156.7062579999999</v>
      </c>
      <c r="AI115" s="190">
        <v>1172.211192</v>
      </c>
      <c r="AJ115" s="191">
        <f t="shared" si="7"/>
        <v>0.98677291762285102</v>
      </c>
      <c r="AK115" s="192">
        <v>45518</v>
      </c>
      <c r="AL115" s="193">
        <v>96.88</v>
      </c>
      <c r="AM115" s="194">
        <v>1266</v>
      </c>
      <c r="AN115" s="115"/>
      <c r="AO115" s="195">
        <v>9.8807381619000004E-4</v>
      </c>
      <c r="AP115" s="196">
        <f>IF(AO115="","",AO115-AO$6)</f>
        <v>5.0792893126000004E-4</v>
      </c>
      <c r="AQ115" s="196">
        <v>1.3010142647000001E-3</v>
      </c>
      <c r="AR115" s="196">
        <f>IF(AQ115="","",AQ115-AQ$6)</f>
        <v>1.5185210176600001E-3</v>
      </c>
      <c r="AS115" s="196">
        <v>6.2885340632000006E-2</v>
      </c>
      <c r="AT115" s="196">
        <f>IF(AS115="","",AS115-AS$6)</f>
        <v>4.8159505577000009E-2</v>
      </c>
      <c r="AU115" s="196">
        <v>-9.8628918058E-3</v>
      </c>
      <c r="AV115" s="196">
        <f>IF(AU115="","",AU115-AU$6)</f>
        <v>3.2056907901999998E-3</v>
      </c>
      <c r="AW115" s="196">
        <v>3.2217770482000002E-2</v>
      </c>
      <c r="AX115" s="196">
        <f>IF(AW115="","",AW115-AW$6)</f>
        <v>8.2227026940000017E-3</v>
      </c>
      <c r="AY115" s="196">
        <v>2.1774385483000001E-2</v>
      </c>
      <c r="AZ115" s="196">
        <f>IF(AY115="","",AY115-AY$6)</f>
        <v>7.5321306930000009E-3</v>
      </c>
      <c r="BA115" s="196">
        <v>9.2121433094000005E-2</v>
      </c>
      <c r="BB115" s="196">
        <f>IF(BA115="","",BA115-BA$6)</f>
        <v>3.8634468536000006E-2</v>
      </c>
      <c r="BC115" s="196">
        <v>0.23384964408</v>
      </c>
      <c r="BD115" s="196">
        <f>IF(BC115="","",BC115-BC$6)</f>
        <v>3.9541077590000001E-2</v>
      </c>
      <c r="BE115" s="196"/>
      <c r="BF115" s="196" t="str">
        <f>IF(BE115="","",BE115-BE$6)</f>
        <v/>
      </c>
      <c r="BG115" s="196"/>
      <c r="BH115" s="196" t="str">
        <f>IF(BG115="","",BG115-BG$6)</f>
        <v/>
      </c>
      <c r="BI115" s="196"/>
      <c r="BJ115" s="196" t="str">
        <f>IF(BI115="","",BI115-BI$6)</f>
        <v/>
      </c>
      <c r="BK115" s="197">
        <v>4.7312495633999996</v>
      </c>
      <c r="BL115" s="115"/>
      <c r="BM115" s="198">
        <v>1.1760052751E-2</v>
      </c>
      <c r="BN115" s="191">
        <v>-8.7427877342999994E-3</v>
      </c>
      <c r="BO115" s="191">
        <v>2.5734390985000001E-2</v>
      </c>
      <c r="BP115" s="191">
        <v>-1.9570150317000001E-2</v>
      </c>
      <c r="BQ115" s="199">
        <v>9</v>
      </c>
      <c r="BR115" s="199">
        <v>3</v>
      </c>
      <c r="BS115" s="199">
        <v>7</v>
      </c>
      <c r="BT115" s="199">
        <v>5</v>
      </c>
      <c r="BU115" s="200">
        <v>-0.35040635958999999</v>
      </c>
      <c r="BV115" s="200"/>
      <c r="BW115" s="191">
        <v>4.8895064767999997E-3</v>
      </c>
      <c r="BX115" s="191">
        <v>3.6803954219000001E-3</v>
      </c>
      <c r="BY115" s="189">
        <v>-2.5361351583</v>
      </c>
      <c r="BZ115" s="191">
        <v>-2.4844343535999999E-2</v>
      </c>
      <c r="CA115" s="191">
        <v>-2.4844343535999999E-2</v>
      </c>
      <c r="CB115" s="182">
        <v>45187</v>
      </c>
      <c r="CC115" s="182">
        <v>45202</v>
      </c>
      <c r="CD115" s="201">
        <v>47</v>
      </c>
      <c r="CE115" s="202">
        <v>45257</v>
      </c>
      <c r="CF115" s="116"/>
    </row>
    <row r="116" spans="2:84" ht="15.6" x14ac:dyDescent="0.3">
      <c r="B116" s="110" t="s">
        <v>1417</v>
      </c>
      <c r="C116" s="147" t="s">
        <v>2063</v>
      </c>
      <c r="D116" s="148" t="s">
        <v>617</v>
      </c>
      <c r="E116" s="148" t="s">
        <v>226</v>
      </c>
      <c r="F116" s="149">
        <v>15139629000194</v>
      </c>
      <c r="G116" s="149" t="s">
        <v>1776</v>
      </c>
      <c r="H116" s="149" t="s">
        <v>388</v>
      </c>
      <c r="I116" s="150">
        <v>14</v>
      </c>
      <c r="J116" s="151">
        <v>3</v>
      </c>
      <c r="K116" s="151" t="s">
        <v>126</v>
      </c>
      <c r="L116" s="151" t="s">
        <v>112</v>
      </c>
      <c r="M116" s="151" t="s">
        <v>106</v>
      </c>
      <c r="N116" s="151" t="s">
        <v>109</v>
      </c>
      <c r="O116" s="152">
        <v>400000</v>
      </c>
      <c r="P116" s="153">
        <v>400000000</v>
      </c>
      <c r="Q116" s="153">
        <v>1000</v>
      </c>
      <c r="R116" s="154">
        <v>44666</v>
      </c>
      <c r="S116" s="154">
        <v>48319</v>
      </c>
      <c r="T116" s="155" t="s">
        <v>1974</v>
      </c>
      <c r="U116" s="155" t="s">
        <v>1670</v>
      </c>
      <c r="V116" s="154" t="s">
        <v>105</v>
      </c>
      <c r="W116" s="154" t="s">
        <v>102</v>
      </c>
      <c r="X116" s="154" t="s">
        <v>1552</v>
      </c>
      <c r="Y116" s="154">
        <v>47710</v>
      </c>
      <c r="Z116" s="156">
        <f>IFERROR(INDEX(Base!G:G,MATCH('Debêntures IPCA-Spread'!Y116,Base!F:F,0)),"")</f>
        <v>6.3273999999999999</v>
      </c>
      <c r="AA116" s="115"/>
      <c r="AB116" s="157">
        <v>45552</v>
      </c>
      <c r="AC116" s="158">
        <v>6.4984000000000002</v>
      </c>
      <c r="AD116" s="159">
        <f t="shared" si="6"/>
        <v>0.17100000000000026</v>
      </c>
      <c r="AE116" s="160">
        <v>0.04</v>
      </c>
      <c r="AF116" s="161">
        <v>6.6448</v>
      </c>
      <c r="AG116" s="161">
        <v>6.3422000000000001</v>
      </c>
      <c r="AH116" s="162">
        <v>1119.18265</v>
      </c>
      <c r="AI116" s="162">
        <v>1137.4003499999999</v>
      </c>
      <c r="AJ116" s="163">
        <f t="shared" si="7"/>
        <v>0.9839830364040244</v>
      </c>
      <c r="AK116" s="164">
        <v>45518</v>
      </c>
      <c r="AL116" s="165">
        <v>98.91</v>
      </c>
      <c r="AM116" s="166">
        <v>1336</v>
      </c>
      <c r="AN116" s="115"/>
      <c r="AO116" s="167">
        <v>5.7236113207E-5</v>
      </c>
      <c r="AP116" s="168">
        <f>IF(AO116="","",AO116-AO$6)</f>
        <v>-4.2290877172300001E-4</v>
      </c>
      <c r="AQ116" s="168">
        <v>1.6589436890999999E-3</v>
      </c>
      <c r="AR116" s="168">
        <f>IF(AQ116="","",AQ116-AQ$6)</f>
        <v>1.8764504420599999E-3</v>
      </c>
      <c r="AS116" s="168">
        <v>6.2600775324999997E-2</v>
      </c>
      <c r="AT116" s="168">
        <f>IF(AS116="","",AS116-AS$6)</f>
        <v>4.7874940269999999E-2</v>
      </c>
      <c r="AU116" s="168">
        <v>-1.2468651856000001E-2</v>
      </c>
      <c r="AV116" s="168">
        <f>IF(AU116="","",AU116-AU$6)</f>
        <v>5.9993073999999903E-4</v>
      </c>
      <c r="AW116" s="168">
        <v>3.3239054008E-2</v>
      </c>
      <c r="AX116" s="168">
        <f>IF(AW116="","",AW116-AW$6)</f>
        <v>9.24398622E-3</v>
      </c>
      <c r="AY116" s="168">
        <v>1.7488330257000001E-2</v>
      </c>
      <c r="AZ116" s="168">
        <f>IF(AY116="","",AY116-AY$6)</f>
        <v>3.2460754670000005E-3</v>
      </c>
      <c r="BA116" s="168">
        <v>9.0130172787999993E-2</v>
      </c>
      <c r="BB116" s="168">
        <f>IF(BA116="","",BA116-BA$6)</f>
        <v>3.6643208229999995E-2</v>
      </c>
      <c r="BC116" s="168">
        <v>0.23154161492</v>
      </c>
      <c r="BD116" s="168">
        <f>IF(BC116="","",BC116-BC$6)</f>
        <v>3.7233048429999999E-2</v>
      </c>
      <c r="BE116" s="168"/>
      <c r="BF116" s="168" t="str">
        <f>IF(BE116="","",BE116-BE$6)</f>
        <v/>
      </c>
      <c r="BG116" s="168"/>
      <c r="BH116" s="168" t="str">
        <f>IF(BG116="","",BG116-BG$6)</f>
        <v/>
      </c>
      <c r="BI116" s="168"/>
      <c r="BJ116" s="168" t="str">
        <f>IF(BI116="","",BI116-BI$6)</f>
        <v/>
      </c>
      <c r="BK116" s="169">
        <v>4.7998546935000004</v>
      </c>
      <c r="BL116" s="115"/>
      <c r="BM116" s="170">
        <v>1.1523363271E-2</v>
      </c>
      <c r="BN116" s="163">
        <v>-9.2220726991999995E-3</v>
      </c>
      <c r="BO116" s="163">
        <v>2.7127503702999999E-2</v>
      </c>
      <c r="BP116" s="163">
        <v>-1.8662731530000001E-2</v>
      </c>
      <c r="BQ116" s="171">
        <v>8</v>
      </c>
      <c r="BR116" s="171">
        <v>4</v>
      </c>
      <c r="BS116" s="171">
        <v>7</v>
      </c>
      <c r="BT116" s="171">
        <v>5</v>
      </c>
      <c r="BU116" s="172">
        <v>-0.38205391416000001</v>
      </c>
      <c r="BV116" s="172"/>
      <c r="BW116" s="163">
        <v>4.9609033937999996E-3</v>
      </c>
      <c r="BX116" s="163">
        <v>3.6779509654000001E-3</v>
      </c>
      <c r="BY116" s="161">
        <v>-2.6715670290000002</v>
      </c>
      <c r="BZ116" s="163">
        <v>-2.7323247278E-2</v>
      </c>
      <c r="CA116" s="163">
        <v>-2.7323247278E-2</v>
      </c>
      <c r="CB116" s="154">
        <v>45364</v>
      </c>
      <c r="CC116" s="154">
        <v>45474</v>
      </c>
      <c r="CD116" s="173">
        <v>83</v>
      </c>
      <c r="CE116" s="174">
        <v>45484</v>
      </c>
      <c r="CF116" s="116"/>
    </row>
    <row r="117" spans="2:84" ht="15.6" x14ac:dyDescent="0.3">
      <c r="B117" s="98" t="s">
        <v>1418</v>
      </c>
      <c r="C117" s="175" t="s">
        <v>2064</v>
      </c>
      <c r="D117" s="176" t="s">
        <v>617</v>
      </c>
      <c r="E117" s="176" t="s">
        <v>226</v>
      </c>
      <c r="F117" s="177">
        <v>15139629000194</v>
      </c>
      <c r="G117" s="177" t="s">
        <v>1777</v>
      </c>
      <c r="H117" s="177" t="s">
        <v>388</v>
      </c>
      <c r="I117" s="178">
        <v>16</v>
      </c>
      <c r="J117" s="179">
        <v>2</v>
      </c>
      <c r="K117" s="179" t="s">
        <v>126</v>
      </c>
      <c r="L117" s="179" t="s">
        <v>122</v>
      </c>
      <c r="M117" s="179" t="s">
        <v>106</v>
      </c>
      <c r="N117" s="179" t="s">
        <v>109</v>
      </c>
      <c r="O117" s="180">
        <v>800000</v>
      </c>
      <c r="P117" s="181">
        <v>800000000</v>
      </c>
      <c r="Q117" s="181">
        <v>1000</v>
      </c>
      <c r="R117" s="182">
        <v>45153</v>
      </c>
      <c r="S117" s="182">
        <v>47710</v>
      </c>
      <c r="T117" s="183" t="s">
        <v>1986</v>
      </c>
      <c r="U117" s="183" t="s">
        <v>1673</v>
      </c>
      <c r="V117" s="182" t="s">
        <v>105</v>
      </c>
      <c r="W117" s="182" t="s">
        <v>102</v>
      </c>
      <c r="X117" s="182" t="s">
        <v>1359</v>
      </c>
      <c r="Y117" s="182">
        <v>47710</v>
      </c>
      <c r="Z117" s="184">
        <f>IFERROR(INDEX(Base!G:G,MATCH('Debêntures IPCA-Spread'!Y117,Base!F:F,0)),"")</f>
        <v>6.3273999999999999</v>
      </c>
      <c r="AA117" s="115"/>
      <c r="AB117" s="185">
        <v>45552</v>
      </c>
      <c r="AC117" s="186">
        <v>6.4657999999999998</v>
      </c>
      <c r="AD117" s="187">
        <f t="shared" si="6"/>
        <v>0.13839999999999986</v>
      </c>
      <c r="AE117" s="188">
        <v>0.03</v>
      </c>
      <c r="AF117" s="189">
        <v>6.6066000000000003</v>
      </c>
      <c r="AG117" s="189">
        <v>6.3746</v>
      </c>
      <c r="AH117" s="190">
        <v>1040.717995</v>
      </c>
      <c r="AI117" s="190"/>
      <c r="AJ117" s="191" t="str">
        <f t="shared" si="7"/>
        <v/>
      </c>
      <c r="AK117" s="192"/>
      <c r="AL117" s="193">
        <v>99.07</v>
      </c>
      <c r="AM117" s="194">
        <v>1164</v>
      </c>
      <c r="AN117" s="115"/>
      <c r="AO117" s="195">
        <v>7.1888201273E-4</v>
      </c>
      <c r="AP117" s="196">
        <f>IF(AO117="","",AO117-AO$6)</f>
        <v>2.3873712780000001E-4</v>
      </c>
      <c r="AQ117" s="196">
        <v>2.8505623467999998E-3</v>
      </c>
      <c r="AR117" s="196">
        <f>IF(AQ117="","",AQ117-AQ$6)</f>
        <v>3.0680690997599998E-3</v>
      </c>
      <c r="AS117" s="196">
        <v>6.2931472005999994E-2</v>
      </c>
      <c r="AT117" s="196">
        <f>IF(AS117="","",AS117-AS$6)</f>
        <v>4.8205636950999997E-2</v>
      </c>
      <c r="AU117" s="196">
        <v>-7.6222116668E-3</v>
      </c>
      <c r="AV117" s="196">
        <f>IF(AU117="","",AU117-AU$6)</f>
        <v>5.4463709291999998E-3</v>
      </c>
      <c r="AW117" s="196">
        <v>3.1310826771E-2</v>
      </c>
      <c r="AX117" s="196">
        <f>IF(AW117="","",AW117-AW$6)</f>
        <v>7.3157589829999994E-3</v>
      </c>
      <c r="AY117" s="196">
        <v>2.0124002017999999E-2</v>
      </c>
      <c r="AZ117" s="196">
        <f>IF(AY117="","",AY117-AY$6)</f>
        <v>5.8817472279999988E-3</v>
      </c>
      <c r="BA117" s="196"/>
      <c r="BB117" s="196" t="str">
        <f>IF(BA117="","",BA117-BA$6)</f>
        <v/>
      </c>
      <c r="BC117" s="196"/>
      <c r="BD117" s="196" t="str">
        <f>IF(BC117="","",BC117-BC$6)</f>
        <v/>
      </c>
      <c r="BE117" s="196"/>
      <c r="BF117" s="196" t="str">
        <f>IF(BE117="","",BE117-BE$6)</f>
        <v/>
      </c>
      <c r="BG117" s="196"/>
      <c r="BH117" s="196" t="str">
        <f>IF(BG117="","",BG117-BG$6)</f>
        <v/>
      </c>
      <c r="BI117" s="196"/>
      <c r="BJ117" s="196" t="str">
        <f>IF(BI117="","",BI117-BI$6)</f>
        <v/>
      </c>
      <c r="BK117" s="197">
        <v>4.6658005899999999</v>
      </c>
      <c r="BL117" s="115"/>
      <c r="BM117" s="198">
        <v>9.0357677072000001E-3</v>
      </c>
      <c r="BN117" s="191">
        <v>-9.9970034989000003E-3</v>
      </c>
      <c r="BO117" s="191">
        <v>3.0105552412000001E-2</v>
      </c>
      <c r="BP117" s="191">
        <v>-1.758532078E-2</v>
      </c>
      <c r="BQ117" s="199">
        <v>9</v>
      </c>
      <c r="BR117" s="199">
        <v>3</v>
      </c>
      <c r="BS117" s="199">
        <v>5</v>
      </c>
      <c r="BT117" s="199">
        <v>7</v>
      </c>
      <c r="BU117" s="200">
        <v>-0.15196241798999999</v>
      </c>
      <c r="BV117" s="200"/>
      <c r="BW117" s="191">
        <v>4.8205913529E-3</v>
      </c>
      <c r="BX117" s="191">
        <v>3.1495090787999999E-3</v>
      </c>
      <c r="BY117" s="189">
        <v>-1.9284051453</v>
      </c>
      <c r="BZ117" s="191">
        <v>-2.0961858361999999E-2</v>
      </c>
      <c r="CA117" s="191">
        <v>-2.0961858361999999E-2</v>
      </c>
      <c r="CB117" s="182">
        <v>45391</v>
      </c>
      <c r="CC117" s="182">
        <v>45412</v>
      </c>
      <c r="CD117" s="201">
        <v>65</v>
      </c>
      <c r="CE117" s="202">
        <v>45484</v>
      </c>
      <c r="CF117" s="116"/>
    </row>
    <row r="118" spans="2:84" ht="15.6" x14ac:dyDescent="0.3">
      <c r="B118" s="110" t="s">
        <v>2236</v>
      </c>
      <c r="C118" s="147" t="s">
        <v>2621</v>
      </c>
      <c r="D118" s="148" t="s">
        <v>617</v>
      </c>
      <c r="E118" s="148" t="s">
        <v>226</v>
      </c>
      <c r="F118" s="149">
        <v>15139629000194</v>
      </c>
      <c r="G118" s="149" t="s">
        <v>2371</v>
      </c>
      <c r="H118" s="149" t="s">
        <v>388</v>
      </c>
      <c r="I118" s="150">
        <v>17</v>
      </c>
      <c r="J118" s="151">
        <v>2</v>
      </c>
      <c r="K118" s="151" t="s">
        <v>126</v>
      </c>
      <c r="L118" s="151" t="s">
        <v>1252</v>
      </c>
      <c r="M118" s="151" t="s">
        <v>106</v>
      </c>
      <c r="N118" s="151" t="s">
        <v>109</v>
      </c>
      <c r="O118" s="152">
        <v>700000</v>
      </c>
      <c r="P118" s="153">
        <v>700000000</v>
      </c>
      <c r="Q118" s="153">
        <v>1000</v>
      </c>
      <c r="R118" s="154">
        <v>45275</v>
      </c>
      <c r="S118" s="154">
        <v>48898</v>
      </c>
      <c r="T118" s="155" t="s">
        <v>2821</v>
      </c>
      <c r="U118" s="155" t="s">
        <v>2731</v>
      </c>
      <c r="V118" s="154" t="s">
        <v>105</v>
      </c>
      <c r="W118" s="154" t="s">
        <v>102</v>
      </c>
      <c r="X118" s="154" t="s">
        <v>1355</v>
      </c>
      <c r="Y118" s="154">
        <v>48441</v>
      </c>
      <c r="Z118" s="156">
        <f>IFERROR(INDEX(Base!G:G,MATCH('Debêntures IPCA-Spread'!Y118,Base!F:F,0)),"")</f>
        <v>6.3467000000000002</v>
      </c>
      <c r="AA118" s="115"/>
      <c r="AB118" s="157">
        <v>45552</v>
      </c>
      <c r="AC118" s="158">
        <v>6.5183</v>
      </c>
      <c r="AD118" s="159">
        <f t="shared" si="6"/>
        <v>0.17159999999999975</v>
      </c>
      <c r="AE118" s="160">
        <v>0.09</v>
      </c>
      <c r="AF118" s="161">
        <v>6.6856</v>
      </c>
      <c r="AG118" s="161">
        <v>6.4128999999999996</v>
      </c>
      <c r="AH118" s="162">
        <v>1028.7809339999999</v>
      </c>
      <c r="AI118" s="162"/>
      <c r="AJ118" s="163" t="str">
        <f t="shared" si="7"/>
        <v/>
      </c>
      <c r="AK118" s="164"/>
      <c r="AL118" s="165">
        <v>97.52</v>
      </c>
      <c r="AM118" s="166">
        <v>1604</v>
      </c>
      <c r="AN118" s="115"/>
      <c r="AO118" s="167">
        <v>-1.6538713598E-3</v>
      </c>
      <c r="AP118" s="168">
        <f>IF(AO118="","",AO118-AO$6)</f>
        <v>-2.13401624473E-3</v>
      </c>
      <c r="AQ118" s="168">
        <v>7.1224800503999998E-3</v>
      </c>
      <c r="AR118" s="168">
        <f>IF(AQ118="","",AQ118-AQ$6)</f>
        <v>7.3399868033599998E-3</v>
      </c>
      <c r="AS118" s="168"/>
      <c r="AT118" s="168" t="str">
        <f>IF(AS118="","",AS118-AS$6)</f>
        <v/>
      </c>
      <c r="AU118" s="168">
        <v>-1.3729949371E-2</v>
      </c>
      <c r="AV118" s="168">
        <f>IF(AU118="","",AU118-AU$6)</f>
        <v>-6.6136677499999998E-4</v>
      </c>
      <c r="AW118" s="168">
        <v>4.1418368864000001E-2</v>
      </c>
      <c r="AX118" s="168">
        <f>IF(AW118="","",AW118-AW$6)</f>
        <v>1.7423301076E-2</v>
      </c>
      <c r="AY118" s="168">
        <v>1.9453459727000001E-2</v>
      </c>
      <c r="AZ118" s="168">
        <f>IF(AY118="","",AY118-AY$6)</f>
        <v>5.2112049370000007E-3</v>
      </c>
      <c r="BA118" s="168"/>
      <c r="BB118" s="168" t="str">
        <f>IF(BA118="","",BA118-BA$6)</f>
        <v/>
      </c>
      <c r="BC118" s="168"/>
      <c r="BD118" s="168" t="str">
        <f>IF(BC118="","",BC118-BC$6)</f>
        <v/>
      </c>
      <c r="BE118" s="168"/>
      <c r="BF118" s="168" t="str">
        <f>IF(BE118="","",BE118-BE$6)</f>
        <v/>
      </c>
      <c r="BG118" s="168"/>
      <c r="BH118" s="168" t="str">
        <f>IF(BG118="","",BG118-BG$6)</f>
        <v/>
      </c>
      <c r="BI118" s="168"/>
      <c r="BJ118" s="168" t="str">
        <f>IF(BI118="","",BI118-BI$6)</f>
        <v/>
      </c>
      <c r="BK118" s="169"/>
      <c r="BL118" s="115"/>
      <c r="BM118" s="170">
        <v>1.2974753188E-2</v>
      </c>
      <c r="BN118" s="163">
        <v>-9.9705345510000005E-3</v>
      </c>
      <c r="BO118" s="163">
        <v>3.2358634306E-2</v>
      </c>
      <c r="BP118" s="163">
        <v>-2.1196612803E-2</v>
      </c>
      <c r="BQ118" s="171"/>
      <c r="BR118" s="171"/>
      <c r="BS118" s="171"/>
      <c r="BT118" s="171"/>
      <c r="BU118" s="172"/>
      <c r="BV118" s="172"/>
      <c r="BW118" s="163"/>
      <c r="BX118" s="163">
        <v>5.8465230018000004E-3</v>
      </c>
      <c r="BY118" s="161"/>
      <c r="BZ118" s="163">
        <v>-3.4388369072999997E-2</v>
      </c>
      <c r="CA118" s="163">
        <v>-3.4388369072999997E-2</v>
      </c>
      <c r="CB118" s="154">
        <v>45364</v>
      </c>
      <c r="CC118" s="154">
        <v>45475</v>
      </c>
      <c r="CD118" s="173">
        <v>83</v>
      </c>
      <c r="CE118" s="174">
        <v>45484</v>
      </c>
      <c r="CF118" s="116"/>
    </row>
    <row r="119" spans="2:84" ht="15.6" x14ac:dyDescent="0.3">
      <c r="B119" s="98" t="s">
        <v>503</v>
      </c>
      <c r="C119" s="175" t="s">
        <v>668</v>
      </c>
      <c r="D119" s="176" t="s">
        <v>394</v>
      </c>
      <c r="E119" s="176" t="s">
        <v>226</v>
      </c>
      <c r="F119" s="177">
        <v>7047251000170</v>
      </c>
      <c r="G119" s="177" t="s">
        <v>823</v>
      </c>
      <c r="H119" s="177" t="s">
        <v>388</v>
      </c>
      <c r="I119" s="178">
        <v>5</v>
      </c>
      <c r="J119" s="179">
        <v>2</v>
      </c>
      <c r="K119" s="179" t="s">
        <v>126</v>
      </c>
      <c r="L119" s="179" t="s">
        <v>122</v>
      </c>
      <c r="M119" s="179" t="s">
        <v>114</v>
      </c>
      <c r="N119" s="179" t="s">
        <v>109</v>
      </c>
      <c r="O119" s="180">
        <v>150000</v>
      </c>
      <c r="P119" s="181">
        <v>150000000</v>
      </c>
      <c r="Q119" s="181">
        <v>1000</v>
      </c>
      <c r="R119" s="182">
        <v>43084</v>
      </c>
      <c r="S119" s="182">
        <v>45641</v>
      </c>
      <c r="T119" s="183" t="s">
        <v>759</v>
      </c>
      <c r="U119" s="183" t="s">
        <v>911</v>
      </c>
      <c r="V119" s="182" t="s">
        <v>105</v>
      </c>
      <c r="W119" s="182" t="s">
        <v>102</v>
      </c>
      <c r="X119" s="182" t="s">
        <v>962</v>
      </c>
      <c r="Y119" s="182">
        <v>45792</v>
      </c>
      <c r="Z119" s="184">
        <f>IFERROR(INDEX(Base!G:G,MATCH('Debêntures IPCA-Spread'!Y119,Base!F:F,0)),"")</f>
        <v>5.73</v>
      </c>
      <c r="AA119" s="115"/>
      <c r="AB119" s="185">
        <v>45552</v>
      </c>
      <c r="AC119" s="186">
        <v>6.3452000000000002</v>
      </c>
      <c r="AD119" s="187">
        <f t="shared" si="6"/>
        <v>0.61519999999999975</v>
      </c>
      <c r="AE119" s="188">
        <v>0.06</v>
      </c>
      <c r="AF119" s="189">
        <v>6.9903000000000004</v>
      </c>
      <c r="AG119" s="189"/>
      <c r="AH119" s="190">
        <v>721.16594499999997</v>
      </c>
      <c r="AI119" s="190">
        <v>721.16594499999997</v>
      </c>
      <c r="AJ119" s="191">
        <f t="shared" si="7"/>
        <v>1</v>
      </c>
      <c r="AK119" s="192">
        <v>45552</v>
      </c>
      <c r="AL119" s="193">
        <v>99.92</v>
      </c>
      <c r="AM119" s="194">
        <v>62</v>
      </c>
      <c r="AN119" s="115"/>
      <c r="AO119" s="195">
        <v>5.3604737694999997E-4</v>
      </c>
      <c r="AP119" s="196">
        <f>IF(AO119="","",AO119-AO$6)</f>
        <v>5.5902492019999973E-5</v>
      </c>
      <c r="AQ119" s="196">
        <v>3.6459550593E-3</v>
      </c>
      <c r="AR119" s="196">
        <f>IF(AQ119="","",AQ119-AQ$6)</f>
        <v>3.86346181226E-3</v>
      </c>
      <c r="AS119" s="196">
        <v>8.5690502998000004E-2</v>
      </c>
      <c r="AT119" s="196">
        <f>IF(AS119="","",AS119-AS$6)</f>
        <v>7.0964667943000007E-2</v>
      </c>
      <c r="AU119" s="196">
        <v>7.0576471935000001E-3</v>
      </c>
      <c r="AV119" s="196">
        <f>IF(AU119="","",AU119-AU$6)</f>
        <v>2.0126229789499999E-2</v>
      </c>
      <c r="AW119" s="196">
        <v>2.5970447458999998E-2</v>
      </c>
      <c r="AX119" s="196">
        <f>IF(AW119="","",AW119-AW$6)</f>
        <v>1.9753796709999979E-3</v>
      </c>
      <c r="AY119" s="196">
        <v>5.1213945801999998E-2</v>
      </c>
      <c r="AZ119" s="196">
        <f>IF(AY119="","",AY119-AY$6)</f>
        <v>3.6971691011999999E-2</v>
      </c>
      <c r="BA119" s="196">
        <v>0.11606115133</v>
      </c>
      <c r="BB119" s="196">
        <f>IF(BA119="","",BA119-BA$6)</f>
        <v>6.2574186771999996E-2</v>
      </c>
      <c r="BC119" s="196">
        <v>0.24743517221</v>
      </c>
      <c r="BD119" s="196">
        <f>IF(BC119="","",BC119-BC$6)</f>
        <v>5.3126605719999997E-2</v>
      </c>
      <c r="BE119" s="196">
        <v>0.38566437080999999</v>
      </c>
      <c r="BF119" s="196">
        <f>IF(BE119="","",BE119-BE$6)</f>
        <v>0.12394503127000001</v>
      </c>
      <c r="BG119" s="196">
        <v>0.51034659821999995</v>
      </c>
      <c r="BH119" s="196">
        <f>IF(BG119="","",BG119-BG$6)</f>
        <v>0.20142994940999992</v>
      </c>
      <c r="BI119" s="196"/>
      <c r="BJ119" s="196" t="str">
        <f>IF(BI119="","",BI119-BI$6)</f>
        <v/>
      </c>
      <c r="BK119" s="197">
        <v>1.1936115179</v>
      </c>
      <c r="BL119" s="115"/>
      <c r="BM119" s="198">
        <v>4.7733269585000003E-3</v>
      </c>
      <c r="BN119" s="191">
        <v>-2.5282655379000002E-3</v>
      </c>
      <c r="BO119" s="191">
        <v>1.7192885235999999E-2</v>
      </c>
      <c r="BP119" s="191">
        <v>3.6459550593E-3</v>
      </c>
      <c r="BQ119" s="199">
        <v>12</v>
      </c>
      <c r="BR119" s="199">
        <v>0</v>
      </c>
      <c r="BS119" s="199">
        <v>7</v>
      </c>
      <c r="BT119" s="199">
        <v>5</v>
      </c>
      <c r="BU119" s="200">
        <v>0.32857557386000003</v>
      </c>
      <c r="BV119" s="200">
        <v>-9.5427987359999994E-2</v>
      </c>
      <c r="BW119" s="191">
        <v>1.2340990254999999E-3</v>
      </c>
      <c r="BX119" s="191">
        <v>2.1257125678000001E-4</v>
      </c>
      <c r="BY119" s="189">
        <v>0.30991795228000002</v>
      </c>
      <c r="BZ119" s="191">
        <v>-2.6504621679999999E-3</v>
      </c>
      <c r="CA119" s="191">
        <v>-2.6504621679999999E-3</v>
      </c>
      <c r="CB119" s="182">
        <v>45316</v>
      </c>
      <c r="CC119" s="182">
        <v>45324</v>
      </c>
      <c r="CD119" s="201">
        <v>8</v>
      </c>
      <c r="CE119" s="202">
        <v>45328</v>
      </c>
      <c r="CF119" s="116"/>
    </row>
    <row r="120" spans="2:84" ht="15.6" x14ac:dyDescent="0.3">
      <c r="B120" s="110" t="s">
        <v>389</v>
      </c>
      <c r="C120" s="147" t="s">
        <v>393</v>
      </c>
      <c r="D120" s="148" t="s">
        <v>394</v>
      </c>
      <c r="E120" s="148" t="s">
        <v>226</v>
      </c>
      <c r="F120" s="149">
        <v>7047251000170</v>
      </c>
      <c r="G120" s="149" t="s">
        <v>390</v>
      </c>
      <c r="H120" s="149" t="s">
        <v>388</v>
      </c>
      <c r="I120" s="150">
        <v>6</v>
      </c>
      <c r="J120" s="151">
        <v>2</v>
      </c>
      <c r="K120" s="151" t="s">
        <v>126</v>
      </c>
      <c r="L120" s="151" t="s">
        <v>122</v>
      </c>
      <c r="M120" s="151" t="s">
        <v>106</v>
      </c>
      <c r="N120" s="151" t="s">
        <v>109</v>
      </c>
      <c r="O120" s="152">
        <v>270000</v>
      </c>
      <c r="P120" s="153">
        <v>270000000</v>
      </c>
      <c r="Q120" s="153">
        <v>1000</v>
      </c>
      <c r="R120" s="154">
        <v>43266</v>
      </c>
      <c r="S120" s="154">
        <v>45823</v>
      </c>
      <c r="T120" s="155" t="s">
        <v>273</v>
      </c>
      <c r="U120" s="155" t="s">
        <v>392</v>
      </c>
      <c r="V120" s="154" t="s">
        <v>105</v>
      </c>
      <c r="W120" s="154" t="s">
        <v>102</v>
      </c>
      <c r="X120" s="154" t="s">
        <v>391</v>
      </c>
      <c r="Y120" s="154">
        <v>45792</v>
      </c>
      <c r="Z120" s="156">
        <f>IFERROR(INDEX(Base!G:G,MATCH('Debêntures IPCA-Spread'!Y120,Base!F:F,0)),"")</f>
        <v>5.73</v>
      </c>
      <c r="AA120" s="115"/>
      <c r="AB120" s="157">
        <v>45552</v>
      </c>
      <c r="AC120" s="158">
        <v>6.0145</v>
      </c>
      <c r="AD120" s="159">
        <f t="shared" si="6"/>
        <v>0.28449999999999953</v>
      </c>
      <c r="AE120" s="160">
        <v>0.23</v>
      </c>
      <c r="AF120" s="161">
        <v>6.4015000000000004</v>
      </c>
      <c r="AG120" s="161">
        <v>5.8414000000000001</v>
      </c>
      <c r="AH120" s="162">
        <v>711.37358500000005</v>
      </c>
      <c r="AI120" s="162">
        <v>711.52903400000002</v>
      </c>
      <c r="AJ120" s="163">
        <f t="shared" si="7"/>
        <v>0.9997815282404906</v>
      </c>
      <c r="AK120" s="164">
        <v>45551</v>
      </c>
      <c r="AL120" s="165">
        <v>100.12</v>
      </c>
      <c r="AM120" s="166">
        <v>181</v>
      </c>
      <c r="AN120" s="115"/>
      <c r="AO120" s="167">
        <v>-2.1847175958E-4</v>
      </c>
      <c r="AP120" s="168">
        <f>IF(AO120="","",AO120-AO$6)</f>
        <v>-6.9861664451000005E-4</v>
      </c>
      <c r="AQ120" s="168">
        <v>3.9448736570000002E-3</v>
      </c>
      <c r="AR120" s="168">
        <f>IF(AQ120="","",AQ120-AQ$6)</f>
        <v>4.1623804099600002E-3</v>
      </c>
      <c r="AS120" s="168">
        <v>8.6330717998999995E-2</v>
      </c>
      <c r="AT120" s="168">
        <f>IF(AS120="","",AS120-AS$6)</f>
        <v>7.1604882943999998E-2</v>
      </c>
      <c r="AU120" s="168">
        <v>7.3627384481000004E-3</v>
      </c>
      <c r="AV120" s="168">
        <f>IF(AU120="","",AU120-AU$6)</f>
        <v>2.04313210441E-2</v>
      </c>
      <c r="AW120" s="168">
        <v>2.4448466091000001E-2</v>
      </c>
      <c r="AX120" s="168">
        <f>IF(AW120="","",AW120-AW$6)</f>
        <v>4.5339830300000078E-4</v>
      </c>
      <c r="AY120" s="168">
        <v>5.1096384410000001E-2</v>
      </c>
      <c r="AZ120" s="168">
        <f>IF(AY120="","",AY120-AY$6)</f>
        <v>3.6854129620000002E-2</v>
      </c>
      <c r="BA120" s="168">
        <v>0.11609169447000001</v>
      </c>
      <c r="BB120" s="168">
        <f>IF(BA120="","",BA120-BA$6)</f>
        <v>6.2604729912000001E-2</v>
      </c>
      <c r="BC120" s="168">
        <v>0.24017744553000001</v>
      </c>
      <c r="BD120" s="168">
        <f>IF(BC120="","",BC120-BC$6)</f>
        <v>4.5868879040000005E-2</v>
      </c>
      <c r="BE120" s="168">
        <v>0.35515516626999999</v>
      </c>
      <c r="BF120" s="168">
        <f>IF(BE120="","",BE120-BE$6)</f>
        <v>9.3435826730000004E-2</v>
      </c>
      <c r="BG120" s="168">
        <v>0.48443216421000002</v>
      </c>
      <c r="BH120" s="168">
        <f>IF(BG120="","",BG120-BG$6)</f>
        <v>0.17551551539999999</v>
      </c>
      <c r="BI120" s="168">
        <v>0.56150821581999999</v>
      </c>
      <c r="BJ120" s="168">
        <f>IF(BI120="","",BI120-BI$6)</f>
        <v>0.18856520573999996</v>
      </c>
      <c r="BK120" s="169">
        <v>1.3026819251999999</v>
      </c>
      <c r="BL120" s="115"/>
      <c r="BM120" s="170">
        <v>2.8792562061000001E-3</v>
      </c>
      <c r="BN120" s="163">
        <v>-2.9040789704999998E-3</v>
      </c>
      <c r="BO120" s="163">
        <v>1.462780644E-2</v>
      </c>
      <c r="BP120" s="163">
        <v>3.9448736570000002E-3</v>
      </c>
      <c r="BQ120" s="171">
        <v>12</v>
      </c>
      <c r="BR120" s="171">
        <v>0</v>
      </c>
      <c r="BS120" s="171">
        <v>8</v>
      </c>
      <c r="BT120" s="171">
        <v>4</v>
      </c>
      <c r="BU120" s="172">
        <v>0.30424409080999998</v>
      </c>
      <c r="BV120" s="172">
        <v>-0.36732658237999999</v>
      </c>
      <c r="BW120" s="163">
        <v>1.346373139E-3</v>
      </c>
      <c r="BX120" s="163">
        <v>9.3520772677999997E-4</v>
      </c>
      <c r="BY120" s="161">
        <v>0.33697101437999999</v>
      </c>
      <c r="BZ120" s="163">
        <v>-4.8165757835000001E-3</v>
      </c>
      <c r="CA120" s="163">
        <v>-4.8165757835000001E-3</v>
      </c>
      <c r="CB120" s="154">
        <v>45280</v>
      </c>
      <c r="CC120" s="154">
        <v>45286</v>
      </c>
      <c r="CD120" s="173">
        <v>8</v>
      </c>
      <c r="CE120" s="174">
        <v>45294</v>
      </c>
      <c r="CF120" s="116"/>
    </row>
    <row r="121" spans="2:84" ht="15.6" x14ac:dyDescent="0.3">
      <c r="B121" s="98" t="s">
        <v>1419</v>
      </c>
      <c r="C121" s="175" t="s">
        <v>2065</v>
      </c>
      <c r="D121" s="176" t="s">
        <v>394</v>
      </c>
      <c r="E121" s="176" t="s">
        <v>226</v>
      </c>
      <c r="F121" s="177">
        <v>7047251000170</v>
      </c>
      <c r="G121" s="177" t="s">
        <v>1778</v>
      </c>
      <c r="H121" s="177" t="s">
        <v>388</v>
      </c>
      <c r="I121" s="178">
        <v>8</v>
      </c>
      <c r="J121" s="179" t="s">
        <v>107</v>
      </c>
      <c r="K121" s="179" t="s">
        <v>111</v>
      </c>
      <c r="L121" s="179" t="s">
        <v>112</v>
      </c>
      <c r="M121" s="179" t="s">
        <v>986</v>
      </c>
      <c r="N121" s="179" t="s">
        <v>109</v>
      </c>
      <c r="O121" s="180">
        <v>600000</v>
      </c>
      <c r="P121" s="181">
        <v>600000000</v>
      </c>
      <c r="Q121" s="181">
        <v>1000</v>
      </c>
      <c r="R121" s="182">
        <v>44696</v>
      </c>
      <c r="S121" s="182">
        <v>48349</v>
      </c>
      <c r="T121" s="183" t="s">
        <v>1970</v>
      </c>
      <c r="U121" s="183" t="s">
        <v>1653</v>
      </c>
      <c r="V121" s="182" t="s">
        <v>105</v>
      </c>
      <c r="W121" s="182" t="s">
        <v>102</v>
      </c>
      <c r="X121" s="182" t="s">
        <v>1556</v>
      </c>
      <c r="Y121" s="182">
        <v>47710</v>
      </c>
      <c r="Z121" s="184">
        <f>IFERROR(INDEX(Base!G:G,MATCH('Debêntures IPCA-Spread'!Y121,Base!F:F,0)),"")</f>
        <v>6.3273999999999999</v>
      </c>
      <c r="AA121" s="115"/>
      <c r="AB121" s="185">
        <v>45552</v>
      </c>
      <c r="AC121" s="186">
        <v>6.5149999999999997</v>
      </c>
      <c r="AD121" s="187">
        <f t="shared" si="6"/>
        <v>0.18759999999999977</v>
      </c>
      <c r="AE121" s="188">
        <v>0.06</v>
      </c>
      <c r="AF121" s="189">
        <v>6.6787000000000001</v>
      </c>
      <c r="AG121" s="189">
        <v>6.3331999999999997</v>
      </c>
      <c r="AH121" s="190">
        <v>1095.692331</v>
      </c>
      <c r="AI121" s="190">
        <v>1108.819739</v>
      </c>
      <c r="AJ121" s="191">
        <f t="shared" si="7"/>
        <v>0.98816091783156823</v>
      </c>
      <c r="AK121" s="192">
        <v>45527</v>
      </c>
      <c r="AL121" s="193">
        <v>98.48</v>
      </c>
      <c r="AM121" s="194">
        <v>1359</v>
      </c>
      <c r="AN121" s="115"/>
      <c r="AO121" s="195">
        <v>-9.9828477504999998E-4</v>
      </c>
      <c r="AP121" s="196">
        <f>IF(AO121="","",AO121-AO$6)</f>
        <v>-1.47842965998E-3</v>
      </c>
      <c r="AQ121" s="196">
        <v>1.8999482544999999E-3</v>
      </c>
      <c r="AR121" s="196">
        <f>IF(AQ121="","",AQ121-AQ$6)</f>
        <v>2.1174550074599999E-3</v>
      </c>
      <c r="AS121" s="196">
        <v>5.8052625593999999E-2</v>
      </c>
      <c r="AT121" s="196">
        <f>IF(AS121="","",AS121-AS$6)</f>
        <v>4.3326790539000001E-2</v>
      </c>
      <c r="AU121" s="196">
        <v>-1.1007952973E-2</v>
      </c>
      <c r="AV121" s="196">
        <f>IF(AU121="","",AU121-AU$6)</f>
        <v>2.0606296230000001E-3</v>
      </c>
      <c r="AW121" s="196">
        <v>3.2661654215000002E-2</v>
      </c>
      <c r="AX121" s="196">
        <f>IF(AW121="","",AW121-AW$6)</f>
        <v>8.6665864270000018E-3</v>
      </c>
      <c r="AY121" s="196">
        <v>1.6213928111E-2</v>
      </c>
      <c r="AZ121" s="196">
        <f>IF(AY121="","",AY121-AY$6)</f>
        <v>1.9716733209999993E-3</v>
      </c>
      <c r="BA121" s="196">
        <v>8.6258026493000003E-2</v>
      </c>
      <c r="BB121" s="196">
        <f>IF(BA121="","",BA121-BA$6)</f>
        <v>3.2771061935000005E-2</v>
      </c>
      <c r="BC121" s="196"/>
      <c r="BD121" s="196" t="str">
        <f>IF(BC121="","",BC121-BC$6)</f>
        <v/>
      </c>
      <c r="BE121" s="196"/>
      <c r="BF121" s="196" t="str">
        <f>IF(BE121="","",BE121-BE$6)</f>
        <v/>
      </c>
      <c r="BG121" s="196"/>
      <c r="BH121" s="196" t="str">
        <f>IF(BG121="","",BG121-BG$6)</f>
        <v/>
      </c>
      <c r="BI121" s="196"/>
      <c r="BJ121" s="196" t="str">
        <f>IF(BI121="","",BI121-BI$6)</f>
        <v/>
      </c>
      <c r="BK121" s="197">
        <v>5.0410651279999996</v>
      </c>
      <c r="BL121" s="115"/>
      <c r="BM121" s="198">
        <v>1.1670313582E-2</v>
      </c>
      <c r="BN121" s="191">
        <v>-1.0240948297999999E-2</v>
      </c>
      <c r="BO121" s="191">
        <v>3.1610188413E-2</v>
      </c>
      <c r="BP121" s="191">
        <v>-2.2688151114999999E-2</v>
      </c>
      <c r="BQ121" s="199">
        <v>9</v>
      </c>
      <c r="BR121" s="199">
        <v>3</v>
      </c>
      <c r="BS121" s="199">
        <v>6</v>
      </c>
      <c r="BT121" s="199">
        <v>6</v>
      </c>
      <c r="BU121" s="200">
        <v>-0.43061856496000001</v>
      </c>
      <c r="BV121" s="200"/>
      <c r="BW121" s="191">
        <v>5.2097633415000002E-3</v>
      </c>
      <c r="BX121" s="191">
        <v>4.0459875503E-3</v>
      </c>
      <c r="BY121" s="189">
        <v>-3.1321627133000001</v>
      </c>
      <c r="BZ121" s="191">
        <v>-3.0405325636E-2</v>
      </c>
      <c r="CA121" s="191">
        <v>-3.0405325636E-2</v>
      </c>
      <c r="CB121" s="182">
        <v>45364</v>
      </c>
      <c r="CC121" s="182">
        <v>45475</v>
      </c>
      <c r="CD121" s="201">
        <v>98</v>
      </c>
      <c r="CE121" s="202">
        <v>45505</v>
      </c>
      <c r="CF121" s="116"/>
    </row>
    <row r="122" spans="2:84" ht="15.6" x14ac:dyDescent="0.3">
      <c r="B122" s="110" t="s">
        <v>1102</v>
      </c>
      <c r="C122" s="147" t="s">
        <v>1266</v>
      </c>
      <c r="D122" s="148" t="s">
        <v>1138</v>
      </c>
      <c r="E122" s="148" t="s">
        <v>1147</v>
      </c>
      <c r="F122" s="149">
        <v>44330975000153</v>
      </c>
      <c r="G122" s="149" t="s">
        <v>1163</v>
      </c>
      <c r="H122" s="149" t="s">
        <v>388</v>
      </c>
      <c r="I122" s="150">
        <v>3</v>
      </c>
      <c r="J122" s="151" t="s">
        <v>107</v>
      </c>
      <c r="K122" s="151" t="s">
        <v>111</v>
      </c>
      <c r="L122" s="151" t="s">
        <v>1252</v>
      </c>
      <c r="M122" s="151" t="s">
        <v>986</v>
      </c>
      <c r="N122" s="151" t="s">
        <v>109</v>
      </c>
      <c r="O122" s="152">
        <v>400000</v>
      </c>
      <c r="P122" s="153">
        <v>400000000</v>
      </c>
      <c r="Q122" s="153">
        <v>1000</v>
      </c>
      <c r="R122" s="154">
        <v>44392</v>
      </c>
      <c r="S122" s="154">
        <v>46949</v>
      </c>
      <c r="T122" s="155" t="s">
        <v>1226</v>
      </c>
      <c r="U122" s="155" t="s">
        <v>1206</v>
      </c>
      <c r="V122" s="154" t="s">
        <v>105</v>
      </c>
      <c r="W122" s="154" t="s">
        <v>102</v>
      </c>
      <c r="X122" s="154" t="s">
        <v>1314</v>
      </c>
      <c r="Y122" s="154">
        <v>46522</v>
      </c>
      <c r="Z122" s="156">
        <f>IFERROR(INDEX(Base!G:G,MATCH('Debêntures IPCA-Spread'!Y122,Base!F:F,0)),"")</f>
        <v>6.391</v>
      </c>
      <c r="AA122" s="115"/>
      <c r="AB122" s="157">
        <v>45552</v>
      </c>
      <c r="AC122" s="158">
        <v>6.8010999999999999</v>
      </c>
      <c r="AD122" s="159">
        <f t="shared" si="6"/>
        <v>0.41009999999999991</v>
      </c>
      <c r="AE122" s="160">
        <v>0.06</v>
      </c>
      <c r="AF122" s="161">
        <v>6.9744999999999999</v>
      </c>
      <c r="AG122" s="161">
        <v>6.6275000000000004</v>
      </c>
      <c r="AH122" s="162">
        <v>1170.004938</v>
      </c>
      <c r="AI122" s="162">
        <v>1170.004938</v>
      </c>
      <c r="AJ122" s="163">
        <f t="shared" si="7"/>
        <v>1</v>
      </c>
      <c r="AK122" s="164">
        <v>45552</v>
      </c>
      <c r="AL122" s="165">
        <v>96.82</v>
      </c>
      <c r="AM122" s="166">
        <v>653</v>
      </c>
      <c r="AN122" s="115"/>
      <c r="AO122" s="167">
        <v>1.2594438521E-3</v>
      </c>
      <c r="AP122" s="168">
        <f>IF(AO122="","",AO122-AO$6)</f>
        <v>7.7929896717E-4</v>
      </c>
      <c r="AQ122" s="168">
        <v>5.9935086246999999E-3</v>
      </c>
      <c r="AR122" s="168">
        <f>IF(AQ122="","",AQ122-AQ$6)</f>
        <v>6.2110153776599999E-3</v>
      </c>
      <c r="AS122" s="168">
        <v>7.1479616038999993E-2</v>
      </c>
      <c r="AT122" s="168">
        <f>IF(AS122="","",AS122-AS$6)</f>
        <v>5.6753780983999996E-2</v>
      </c>
      <c r="AU122" s="168">
        <v>7.2246784911999999E-3</v>
      </c>
      <c r="AV122" s="168">
        <f>IF(AU122="","",AU122-AU$6)</f>
        <v>2.0293261087200001E-2</v>
      </c>
      <c r="AW122" s="168">
        <v>3.3116142465999997E-2</v>
      </c>
      <c r="AX122" s="168">
        <f>IF(AW122="","",AW122-AW$6)</f>
        <v>9.1210746779999963E-3</v>
      </c>
      <c r="AY122" s="168">
        <v>3.7602641376000001E-2</v>
      </c>
      <c r="AZ122" s="168">
        <f>IF(AY122="","",AY122-AY$6)</f>
        <v>2.3360386586000002E-2</v>
      </c>
      <c r="BA122" s="168">
        <v>0.10103386857</v>
      </c>
      <c r="BB122" s="168">
        <f>IF(BA122="","",BA122-BA$6)</f>
        <v>4.7546904012000006E-2</v>
      </c>
      <c r="BC122" s="168">
        <v>0.22850776644000001</v>
      </c>
      <c r="BD122" s="168">
        <f>IF(BC122="","",BC122-BC$6)</f>
        <v>3.4199199950000009E-2</v>
      </c>
      <c r="BE122" s="168"/>
      <c r="BF122" s="168" t="str">
        <f>IF(BE122="","",BE122-BE$6)</f>
        <v/>
      </c>
      <c r="BG122" s="168"/>
      <c r="BH122" s="168" t="str">
        <f>IF(BG122="","",BG122-BG$6)</f>
        <v/>
      </c>
      <c r="BI122" s="168"/>
      <c r="BJ122" s="168" t="str">
        <f>IF(BI122="","",BI122-BI$6)</f>
        <v/>
      </c>
      <c r="BK122" s="169">
        <v>3.4413876263000001</v>
      </c>
      <c r="BL122" s="115"/>
      <c r="BM122" s="170">
        <v>6.9913974876000002E-3</v>
      </c>
      <c r="BN122" s="163">
        <v>-6.1685069022000003E-3</v>
      </c>
      <c r="BO122" s="163">
        <v>2.5960426302999998E-2</v>
      </c>
      <c r="BP122" s="163">
        <v>-8.4938434237999995E-3</v>
      </c>
      <c r="BQ122" s="171">
        <v>9</v>
      </c>
      <c r="BR122" s="171">
        <v>3</v>
      </c>
      <c r="BS122" s="171">
        <v>8</v>
      </c>
      <c r="BT122" s="171">
        <v>4</v>
      </c>
      <c r="BU122" s="172">
        <v>-0.26375494310000003</v>
      </c>
      <c r="BV122" s="172">
        <v>-0.28801850171999999</v>
      </c>
      <c r="BW122" s="163">
        <v>3.5555499137999999E-3</v>
      </c>
      <c r="BX122" s="163">
        <v>2.7830986093000001E-3</v>
      </c>
      <c r="BY122" s="161">
        <v>-1.4944261445</v>
      </c>
      <c r="BZ122" s="163">
        <v>-1.8361835407999998E-2</v>
      </c>
      <c r="CA122" s="163">
        <v>-1.8361835407999998E-2</v>
      </c>
      <c r="CB122" s="154">
        <v>45191</v>
      </c>
      <c r="CC122" s="154">
        <v>45229</v>
      </c>
      <c r="CD122" s="173">
        <v>42</v>
      </c>
      <c r="CE122" s="174">
        <v>45254</v>
      </c>
      <c r="CF122" s="116"/>
    </row>
    <row r="123" spans="2:84" ht="15.6" x14ac:dyDescent="0.3">
      <c r="B123" s="98" t="s">
        <v>2237</v>
      </c>
      <c r="C123" s="175" t="s">
        <v>2622</v>
      </c>
      <c r="D123" s="176" t="s">
        <v>2854</v>
      </c>
      <c r="E123" s="176" t="s">
        <v>226</v>
      </c>
      <c r="F123" s="177">
        <v>25369840000157</v>
      </c>
      <c r="G123" s="177" t="s">
        <v>2372</v>
      </c>
      <c r="H123" s="177" t="s">
        <v>388</v>
      </c>
      <c r="I123" s="178">
        <v>4</v>
      </c>
      <c r="J123" s="179" t="s">
        <v>107</v>
      </c>
      <c r="K123" s="179" t="s">
        <v>128</v>
      </c>
      <c r="L123" s="179" t="s">
        <v>2466</v>
      </c>
      <c r="M123" s="179" t="s">
        <v>128</v>
      </c>
      <c r="N123" s="179" t="s">
        <v>109</v>
      </c>
      <c r="O123" s="180">
        <v>900000</v>
      </c>
      <c r="P123" s="181">
        <v>900000000</v>
      </c>
      <c r="Q123" s="181">
        <v>1000</v>
      </c>
      <c r="R123" s="182">
        <v>45246</v>
      </c>
      <c r="S123" s="182">
        <v>50724</v>
      </c>
      <c r="T123" s="183" t="s">
        <v>2821</v>
      </c>
      <c r="U123" s="183" t="s">
        <v>2735</v>
      </c>
      <c r="V123" s="182" t="s">
        <v>105</v>
      </c>
      <c r="W123" s="182" t="s">
        <v>102</v>
      </c>
      <c r="X123" s="182" t="s">
        <v>2504</v>
      </c>
      <c r="Y123" s="182">
        <v>48441</v>
      </c>
      <c r="Z123" s="184">
        <f>IFERROR(INDEX(Base!G:G,MATCH('Debêntures IPCA-Spread'!Y123,Base!F:F,0)),"")</f>
        <v>6.3467000000000002</v>
      </c>
      <c r="AA123" s="115"/>
      <c r="AB123" s="185">
        <v>45552</v>
      </c>
      <c r="AC123" s="186">
        <v>6.8151999999999999</v>
      </c>
      <c r="AD123" s="187">
        <f t="shared" si="6"/>
        <v>0.46849999999999969</v>
      </c>
      <c r="AE123" s="188">
        <v>0.46</v>
      </c>
      <c r="AF123" s="189">
        <v>7.1074999999999999</v>
      </c>
      <c r="AG123" s="189">
        <v>6.7306999999999997</v>
      </c>
      <c r="AH123" s="190">
        <v>1125.174407</v>
      </c>
      <c r="AI123" s="190"/>
      <c r="AJ123" s="191" t="str">
        <f t="shared" si="7"/>
        <v/>
      </c>
      <c r="AK123" s="192"/>
      <c r="AL123" s="193">
        <v>106.52</v>
      </c>
      <c r="AM123" s="194">
        <v>1571</v>
      </c>
      <c r="AN123" s="115"/>
      <c r="AO123" s="195">
        <v>1.6441171065000001E-3</v>
      </c>
      <c r="AP123" s="196">
        <f>IF(AO123="","",AO123-AO$6)</f>
        <v>1.1639722215700001E-3</v>
      </c>
      <c r="AQ123" s="196">
        <v>2.0519760765E-3</v>
      </c>
      <c r="AR123" s="196">
        <f>IF(AQ123="","",AQ123-AQ$6)</f>
        <v>2.26948282946E-3</v>
      </c>
      <c r="AS123" s="196">
        <v>0.12599962910000001</v>
      </c>
      <c r="AT123" s="196">
        <f>IF(AS123="","",AS123-AS$6)</f>
        <v>0.11127379404500001</v>
      </c>
      <c r="AU123" s="196">
        <v>1.8473738903000001E-2</v>
      </c>
      <c r="AV123" s="196">
        <f>IF(AU123="","",AU123-AU$6)</f>
        <v>3.1542321498999999E-2</v>
      </c>
      <c r="AW123" s="196">
        <v>6.4507727333000003E-2</v>
      </c>
      <c r="AX123" s="196">
        <f>IF(AW123="","",AW123-AW$6)</f>
        <v>4.0512659545000003E-2</v>
      </c>
      <c r="AY123" s="196">
        <v>5.8734664290000002E-2</v>
      </c>
      <c r="AZ123" s="196">
        <f>IF(AY123="","",AY123-AY$6)</f>
        <v>4.4492409500000003E-2</v>
      </c>
      <c r="BA123" s="196"/>
      <c r="BB123" s="196" t="str">
        <f>IF(BA123="","",BA123-BA$6)</f>
        <v/>
      </c>
      <c r="BC123" s="196"/>
      <c r="BD123" s="196" t="str">
        <f>IF(BC123="","",BC123-BC$6)</f>
        <v/>
      </c>
      <c r="BE123" s="196"/>
      <c r="BF123" s="196" t="str">
        <f>IF(BE123="","",BE123-BE$6)</f>
        <v/>
      </c>
      <c r="BG123" s="196"/>
      <c r="BH123" s="196" t="str">
        <f>IF(BG123="","",BG123-BG$6)</f>
        <v/>
      </c>
      <c r="BI123" s="196"/>
      <c r="BJ123" s="196" t="str">
        <f>IF(BI123="","",BI123-BI$6)</f>
        <v/>
      </c>
      <c r="BK123" s="197"/>
      <c r="BL123" s="115"/>
      <c r="BM123" s="198">
        <v>2.3092032796E-2</v>
      </c>
      <c r="BN123" s="191">
        <v>-1.6089920008999999E-2</v>
      </c>
      <c r="BO123" s="191">
        <v>4.1480958093000002E-2</v>
      </c>
      <c r="BP123" s="191">
        <v>-1.2921815339E-2</v>
      </c>
      <c r="BQ123" s="199"/>
      <c r="BR123" s="199"/>
      <c r="BS123" s="199"/>
      <c r="BT123" s="199"/>
      <c r="BU123" s="200"/>
      <c r="BV123" s="200"/>
      <c r="BW123" s="191"/>
      <c r="BX123" s="191">
        <v>7.3813435990999999E-3</v>
      </c>
      <c r="BY123" s="189"/>
      <c r="BZ123" s="191">
        <v>-3.0984618726000002E-2</v>
      </c>
      <c r="CA123" s="191">
        <v>-3.0984618726000002E-2</v>
      </c>
      <c r="CB123" s="182">
        <v>45330</v>
      </c>
      <c r="CC123" s="182">
        <v>45338</v>
      </c>
      <c r="CD123" s="201">
        <v>105</v>
      </c>
      <c r="CE123" s="202">
        <v>45484</v>
      </c>
      <c r="CF123" s="116"/>
    </row>
    <row r="124" spans="2:84" ht="15.6" x14ac:dyDescent="0.3">
      <c r="B124" s="110" t="s">
        <v>2238</v>
      </c>
      <c r="C124" s="147" t="s">
        <v>2623</v>
      </c>
      <c r="D124" s="148" t="s">
        <v>2854</v>
      </c>
      <c r="E124" s="148" t="s">
        <v>226</v>
      </c>
      <c r="F124" s="149">
        <v>25369840000157</v>
      </c>
      <c r="G124" s="149" t="s">
        <v>2373</v>
      </c>
      <c r="H124" s="149" t="s">
        <v>388</v>
      </c>
      <c r="I124" s="150">
        <v>5</v>
      </c>
      <c r="J124" s="151" t="s">
        <v>107</v>
      </c>
      <c r="K124" s="151" t="s">
        <v>128</v>
      </c>
      <c r="L124" s="151" t="s">
        <v>2466</v>
      </c>
      <c r="M124" s="151" t="s">
        <v>128</v>
      </c>
      <c r="N124" s="151" t="s">
        <v>109</v>
      </c>
      <c r="O124" s="152">
        <v>600000</v>
      </c>
      <c r="P124" s="153">
        <v>600000000</v>
      </c>
      <c r="Q124" s="153">
        <v>1000</v>
      </c>
      <c r="R124" s="154">
        <v>45397</v>
      </c>
      <c r="S124" s="154">
        <v>51241</v>
      </c>
      <c r="T124" s="155" t="s">
        <v>2816</v>
      </c>
      <c r="U124" s="155" t="s">
        <v>1714</v>
      </c>
      <c r="V124" s="154" t="s">
        <v>194</v>
      </c>
      <c r="W124" s="154" t="s">
        <v>102</v>
      </c>
      <c r="X124" s="154" t="s">
        <v>2505</v>
      </c>
      <c r="Y124" s="154">
        <v>48441</v>
      </c>
      <c r="Z124" s="156">
        <f>IFERROR(INDEX(Base!G:G,MATCH('Debêntures IPCA-Spread'!Y124,Base!F:F,0)),"")</f>
        <v>6.3467000000000002</v>
      </c>
      <c r="AA124" s="115"/>
      <c r="AB124" s="157">
        <v>45552</v>
      </c>
      <c r="AC124" s="158">
        <v>6.7752999999999997</v>
      </c>
      <c r="AD124" s="159">
        <f t="shared" si="6"/>
        <v>0.42859999999999943</v>
      </c>
      <c r="AE124" s="160">
        <v>0.13</v>
      </c>
      <c r="AF124" s="161">
        <v>6.9748999999999999</v>
      </c>
      <c r="AG124" s="161">
        <v>6.6238999999999999</v>
      </c>
      <c r="AH124" s="162">
        <v>1067.830121</v>
      </c>
      <c r="AI124" s="162"/>
      <c r="AJ124" s="163" t="str">
        <f t="shared" si="7"/>
        <v/>
      </c>
      <c r="AK124" s="164"/>
      <c r="AL124" s="165">
        <v>102.65</v>
      </c>
      <c r="AM124" s="166">
        <v>1594</v>
      </c>
      <c r="AN124" s="115"/>
      <c r="AO124" s="167">
        <v>1.5996759593E-3</v>
      </c>
      <c r="AP124" s="168">
        <f>IF(AO124="","",AO124-AO$6)</f>
        <v>1.11953107437E-3</v>
      </c>
      <c r="AQ124" s="168">
        <v>-1.6898992980999999E-3</v>
      </c>
      <c r="AR124" s="168">
        <f>IF(AQ124="","",AQ124-AQ$6)</f>
        <v>-1.4723925451399999E-3</v>
      </c>
      <c r="AS124" s="168"/>
      <c r="AT124" s="168" t="str">
        <f>IF(AS124="","",AS124-AS$6)</f>
        <v/>
      </c>
      <c r="AU124" s="168">
        <v>2.1038488841E-2</v>
      </c>
      <c r="AV124" s="168">
        <f>IF(AU124="","",AU124-AU$6)</f>
        <v>3.4107071437000001E-2</v>
      </c>
      <c r="AW124" s="168">
        <v>7.2643514377000007E-2</v>
      </c>
      <c r="AX124" s="168">
        <f>IF(AW124="","",AW124-AW$6)</f>
        <v>4.8648446589000006E-2</v>
      </c>
      <c r="AY124" s="168"/>
      <c r="AZ124" s="168" t="str">
        <f>IF(AY124="","",AY124-AY$6)</f>
        <v/>
      </c>
      <c r="BA124" s="168"/>
      <c r="BB124" s="168" t="str">
        <f>IF(BA124="","",BA124-BA$6)</f>
        <v/>
      </c>
      <c r="BC124" s="168"/>
      <c r="BD124" s="168" t="str">
        <f>IF(BC124="","",BC124-BC$6)</f>
        <v/>
      </c>
      <c r="BE124" s="168"/>
      <c r="BF124" s="168" t="str">
        <f>IF(BE124="","",BE124-BE$6)</f>
        <v/>
      </c>
      <c r="BG124" s="168"/>
      <c r="BH124" s="168" t="str">
        <f>IF(BG124="","",BG124-BG$6)</f>
        <v/>
      </c>
      <c r="BI124" s="168"/>
      <c r="BJ124" s="168" t="str">
        <f>IF(BI124="","",BI124-BI$6)</f>
        <v/>
      </c>
      <c r="BK124" s="169"/>
      <c r="BL124" s="115"/>
      <c r="BM124" s="170">
        <v>2.3728258499999998E-2</v>
      </c>
      <c r="BN124" s="163">
        <v>-9.6345552174000003E-3</v>
      </c>
      <c r="BO124" s="163">
        <v>4.3418167575999998E-2</v>
      </c>
      <c r="BP124" s="163">
        <v>-1.3946074500999999E-2</v>
      </c>
      <c r="BQ124" s="171"/>
      <c r="BR124" s="171"/>
      <c r="BS124" s="171"/>
      <c r="BT124" s="171"/>
      <c r="BU124" s="172"/>
      <c r="BV124" s="172"/>
      <c r="BW124" s="163"/>
      <c r="BX124" s="163">
        <v>1.0176024788000001E-2</v>
      </c>
      <c r="BY124" s="161"/>
      <c r="BZ124" s="163">
        <v>-1.9617665313999999E-2</v>
      </c>
      <c r="CA124" s="163">
        <v>-1.9617665313999999E-2</v>
      </c>
      <c r="CB124" s="154">
        <v>45443</v>
      </c>
      <c r="CC124" s="154">
        <v>45474</v>
      </c>
      <c r="CD124" s="173">
        <v>25</v>
      </c>
      <c r="CE124" s="174">
        <v>45478</v>
      </c>
      <c r="CF124" s="116"/>
    </row>
    <row r="125" spans="2:84" ht="15.6" x14ac:dyDescent="0.3">
      <c r="B125" s="98" t="s">
        <v>33</v>
      </c>
      <c r="C125" s="175" t="s">
        <v>291</v>
      </c>
      <c r="D125" s="176" t="s">
        <v>25</v>
      </c>
      <c r="E125" s="176" t="s">
        <v>229</v>
      </c>
      <c r="F125" s="177">
        <v>61856571000117</v>
      </c>
      <c r="G125" s="177" t="s">
        <v>348</v>
      </c>
      <c r="H125" s="177" t="s">
        <v>388</v>
      </c>
      <c r="I125" s="178">
        <v>4</v>
      </c>
      <c r="J125" s="179">
        <v>3</v>
      </c>
      <c r="K125" s="179" t="s">
        <v>130</v>
      </c>
      <c r="L125" s="179" t="s">
        <v>119</v>
      </c>
      <c r="M125" s="179" t="s">
        <v>106</v>
      </c>
      <c r="N125" s="179" t="s">
        <v>109</v>
      </c>
      <c r="O125" s="180">
        <v>79900</v>
      </c>
      <c r="P125" s="181">
        <v>79900000</v>
      </c>
      <c r="Q125" s="181">
        <v>1000</v>
      </c>
      <c r="R125" s="182">
        <v>42353</v>
      </c>
      <c r="S125" s="182">
        <v>46006</v>
      </c>
      <c r="T125" s="183" t="s">
        <v>137</v>
      </c>
      <c r="U125" s="183" t="s">
        <v>170</v>
      </c>
      <c r="V125" s="182" t="s">
        <v>105</v>
      </c>
      <c r="W125" s="182" t="s">
        <v>102</v>
      </c>
      <c r="X125" s="182" t="s">
        <v>198</v>
      </c>
      <c r="Y125" s="182">
        <v>45792</v>
      </c>
      <c r="Z125" s="184">
        <f>IFERROR(INDEX(Base!G:G,MATCH('Debêntures IPCA-Spread'!Y125,Base!F:F,0)),"")</f>
        <v>5.73</v>
      </c>
      <c r="AA125" s="115"/>
      <c r="AB125" s="185">
        <v>45552</v>
      </c>
      <c r="AC125" s="186">
        <v>5.6829000000000001</v>
      </c>
      <c r="AD125" s="187">
        <f t="shared" si="6"/>
        <v>-4.7100000000000364E-2</v>
      </c>
      <c r="AE125" s="188">
        <v>0.13</v>
      </c>
      <c r="AF125" s="189">
        <v>6.0289999999999999</v>
      </c>
      <c r="AG125" s="189">
        <v>5.5613000000000001</v>
      </c>
      <c r="AH125" s="190">
        <v>1110.64445</v>
      </c>
      <c r="AI125" s="190">
        <v>1110.64445</v>
      </c>
      <c r="AJ125" s="191">
        <f t="shared" si="7"/>
        <v>1</v>
      </c>
      <c r="AK125" s="192">
        <v>45552</v>
      </c>
      <c r="AL125" s="193">
        <v>101.13</v>
      </c>
      <c r="AM125" s="194">
        <v>180</v>
      </c>
      <c r="AN125" s="115"/>
      <c r="AO125" s="195">
        <v>7.8770897017000003E-4</v>
      </c>
      <c r="AP125" s="196">
        <f>IF(AO125="","",AO125-AO$6)</f>
        <v>3.0756408524000003E-4</v>
      </c>
      <c r="AQ125" s="196">
        <v>5.9665577245999997E-3</v>
      </c>
      <c r="AR125" s="196">
        <f>IF(AQ125="","",AQ125-AQ$6)</f>
        <v>6.1840644775599998E-3</v>
      </c>
      <c r="AS125" s="196">
        <v>7.9829619934000007E-2</v>
      </c>
      <c r="AT125" s="196">
        <f>IF(AS125="","",AS125-AS$6)</f>
        <v>6.510378487900001E-2</v>
      </c>
      <c r="AU125" s="196">
        <v>1.03545167E-2</v>
      </c>
      <c r="AV125" s="196">
        <f>IF(AU125="","",AU125-AU$6)</f>
        <v>2.3423099295999998E-2</v>
      </c>
      <c r="AW125" s="196">
        <v>2.9273788216000001E-2</v>
      </c>
      <c r="AX125" s="196">
        <f>IF(AW125="","",AW125-AW$6)</f>
        <v>5.2787204280000007E-3</v>
      </c>
      <c r="AY125" s="196">
        <v>5.1991492266E-2</v>
      </c>
      <c r="AZ125" s="196">
        <f>IF(AY125="","",AY125-AY$6)</f>
        <v>3.7749237476000001E-2</v>
      </c>
      <c r="BA125" s="196">
        <v>0.12855711755999999</v>
      </c>
      <c r="BB125" s="196">
        <f>IF(BA125="","",BA125-BA$6)</f>
        <v>7.5070153001999984E-2</v>
      </c>
      <c r="BC125" s="196">
        <v>0.25172390382999998</v>
      </c>
      <c r="BD125" s="196">
        <f>IF(BC125="","",BC125-BC$6)</f>
        <v>5.7415337339999983E-2</v>
      </c>
      <c r="BE125" s="196">
        <v>0.35352642740000001</v>
      </c>
      <c r="BF125" s="196">
        <f>IF(BE125="","",BE125-BE$6)</f>
        <v>9.1807087860000025E-2</v>
      </c>
      <c r="BG125" s="196">
        <v>0.46245929652000001</v>
      </c>
      <c r="BH125" s="196">
        <f>IF(BG125="","",BG125-BG$6)</f>
        <v>0.15354264770999998</v>
      </c>
      <c r="BI125" s="196">
        <v>0.55630026994000004</v>
      </c>
      <c r="BJ125" s="196">
        <f>IF(BI125="","",BI125-BI$6)</f>
        <v>0.18335725986000001</v>
      </c>
      <c r="BK125" s="197">
        <v>2.0714846944</v>
      </c>
      <c r="BL125" s="115"/>
      <c r="BM125" s="198">
        <v>1.5096986049E-2</v>
      </c>
      <c r="BN125" s="191">
        <v>-2.1386313428999998E-3</v>
      </c>
      <c r="BO125" s="191">
        <v>2.2824827611E-2</v>
      </c>
      <c r="BP125" s="191">
        <v>2.2793425560000001E-3</v>
      </c>
      <c r="BQ125" s="199">
        <v>12</v>
      </c>
      <c r="BR125" s="199">
        <v>0</v>
      </c>
      <c r="BS125" s="199">
        <v>8</v>
      </c>
      <c r="BT125" s="199">
        <v>4</v>
      </c>
      <c r="BU125" s="200">
        <v>0.73696735059999996</v>
      </c>
      <c r="BV125" s="200">
        <v>-0.36674929325</v>
      </c>
      <c r="BW125" s="191">
        <v>2.1488347601999998E-3</v>
      </c>
      <c r="BX125" s="191">
        <v>8.5441005569999995E-4</v>
      </c>
      <c r="BY125" s="189">
        <v>1.5747107638</v>
      </c>
      <c r="BZ125" s="191">
        <v>-3.0659634886999998E-3</v>
      </c>
      <c r="CA125" s="191">
        <v>-3.0659634886999998E-3</v>
      </c>
      <c r="CB125" s="182">
        <v>45387</v>
      </c>
      <c r="CC125" s="182">
        <v>45399</v>
      </c>
      <c r="CD125" s="201">
        <v>15</v>
      </c>
      <c r="CE125" s="202">
        <v>45408</v>
      </c>
      <c r="CF125" s="116"/>
    </row>
    <row r="126" spans="2:84" ht="15.6" x14ac:dyDescent="0.3">
      <c r="B126" s="110" t="s">
        <v>34</v>
      </c>
      <c r="C126" s="147" t="s">
        <v>292</v>
      </c>
      <c r="D126" s="148" t="s">
        <v>25</v>
      </c>
      <c r="E126" s="148" t="s">
        <v>229</v>
      </c>
      <c r="F126" s="149">
        <v>61856571000117</v>
      </c>
      <c r="G126" s="149" t="s">
        <v>349</v>
      </c>
      <c r="H126" s="149" t="s">
        <v>388</v>
      </c>
      <c r="I126" s="150">
        <v>6</v>
      </c>
      <c r="J126" s="151" t="s">
        <v>107</v>
      </c>
      <c r="K126" s="151" t="s">
        <v>130</v>
      </c>
      <c r="L126" s="151" t="s">
        <v>112</v>
      </c>
      <c r="M126" s="151" t="s">
        <v>106</v>
      </c>
      <c r="N126" s="151" t="s">
        <v>109</v>
      </c>
      <c r="O126" s="152">
        <v>400000</v>
      </c>
      <c r="P126" s="153">
        <v>400000000</v>
      </c>
      <c r="Q126" s="153">
        <v>1000</v>
      </c>
      <c r="R126" s="154">
        <v>43023</v>
      </c>
      <c r="S126" s="154">
        <v>45580</v>
      </c>
      <c r="T126" s="155" t="s">
        <v>138</v>
      </c>
      <c r="U126" s="155" t="s">
        <v>113</v>
      </c>
      <c r="V126" s="154" t="s">
        <v>105</v>
      </c>
      <c r="W126" s="154" t="s">
        <v>102</v>
      </c>
      <c r="X126" s="154" t="s">
        <v>199</v>
      </c>
      <c r="Y126" s="154">
        <v>45792</v>
      </c>
      <c r="Z126" s="156">
        <f>IFERROR(INDEX(Base!G:G,MATCH('Debêntures IPCA-Spread'!Y126,Base!F:F,0)),"")</f>
        <v>5.73</v>
      </c>
      <c r="AA126" s="115"/>
      <c r="AB126" s="157">
        <v>45552</v>
      </c>
      <c r="AC126" s="158">
        <v>5.7304000000000004</v>
      </c>
      <c r="AD126" s="159">
        <f t="shared" si="6"/>
        <v>3.9999999999995595E-4</v>
      </c>
      <c r="AE126" s="160">
        <v>0.45</v>
      </c>
      <c r="AF126" s="161">
        <v>6.2417999999999996</v>
      </c>
      <c r="AG126" s="161">
        <v>5.4996999999999998</v>
      </c>
      <c r="AH126" s="162">
        <v>1485.5373420000001</v>
      </c>
      <c r="AI126" s="162">
        <v>1485.5373420000001</v>
      </c>
      <c r="AJ126" s="163">
        <f t="shared" si="7"/>
        <v>1</v>
      </c>
      <c r="AK126" s="164">
        <v>45552</v>
      </c>
      <c r="AL126" s="165">
        <v>99.89</v>
      </c>
      <c r="AM126" s="166">
        <v>20</v>
      </c>
      <c r="AN126" s="115"/>
      <c r="AO126" s="167">
        <v>5.9984301150999995E-4</v>
      </c>
      <c r="AP126" s="168">
        <f>IF(AO126="","",AO126-AO$6)</f>
        <v>1.1969812657999996E-4</v>
      </c>
      <c r="AQ126" s="168">
        <v>3.2651864676000002E-3</v>
      </c>
      <c r="AR126" s="168">
        <f>IF(AQ126="","",AQ126-AQ$6)</f>
        <v>3.4826932205600002E-3</v>
      </c>
      <c r="AS126" s="168">
        <v>8.3538848851999997E-2</v>
      </c>
      <c r="AT126" s="168">
        <f>IF(AS126="","",AS126-AS$6)</f>
        <v>6.8813013797E-2</v>
      </c>
      <c r="AU126" s="168">
        <v>6.4896802905000002E-3</v>
      </c>
      <c r="AV126" s="168">
        <f>IF(AU126="","",AU126-AU$6)</f>
        <v>1.9558262886499998E-2</v>
      </c>
      <c r="AW126" s="168">
        <v>2.5377311093E-2</v>
      </c>
      <c r="AX126" s="168">
        <f>IF(AW126="","",AW126-AW$6)</f>
        <v>1.3822433049999992E-3</v>
      </c>
      <c r="AY126" s="168">
        <v>5.0089327204E-2</v>
      </c>
      <c r="AZ126" s="168">
        <f>IF(AY126="","",AY126-AY$6)</f>
        <v>3.5847072414000002E-2</v>
      </c>
      <c r="BA126" s="168">
        <v>0.11805952862000001</v>
      </c>
      <c r="BB126" s="168">
        <f>IF(BA126="","",BA126-BA$6)</f>
        <v>6.4572564062000015E-2</v>
      </c>
      <c r="BC126" s="168">
        <v>0.23924676629</v>
      </c>
      <c r="BD126" s="168">
        <f>IF(BC126="","",BC126-BC$6)</f>
        <v>4.4938199799999995E-2</v>
      </c>
      <c r="BE126" s="168">
        <v>0.33755188613999998</v>
      </c>
      <c r="BF126" s="168">
        <f>IF(BE126="","",BE126-BE$6)</f>
        <v>7.5832546599999995E-2</v>
      </c>
      <c r="BG126" s="168">
        <v>0.43795010532</v>
      </c>
      <c r="BH126" s="168">
        <f>IF(BG126="","",BG126-BG$6)</f>
        <v>0.12903345650999998</v>
      </c>
      <c r="BI126" s="168">
        <v>0.55195139454999997</v>
      </c>
      <c r="BJ126" s="168">
        <f>IF(BI126="","",BI126-BI$6)</f>
        <v>0.17900838446999995</v>
      </c>
      <c r="BK126" s="169">
        <v>0.87919783663999995</v>
      </c>
      <c r="BL126" s="115"/>
      <c r="BM126" s="170">
        <v>2.3766872546000001E-3</v>
      </c>
      <c r="BN126" s="163">
        <v>-1.4784745370999999E-3</v>
      </c>
      <c r="BO126" s="163">
        <v>1.3598736663999999E-2</v>
      </c>
      <c r="BP126" s="163">
        <v>3.2651864676000002E-3</v>
      </c>
      <c r="BQ126" s="171">
        <v>12</v>
      </c>
      <c r="BR126" s="171">
        <v>0</v>
      </c>
      <c r="BS126" s="171">
        <v>7</v>
      </c>
      <c r="BT126" s="171">
        <v>5</v>
      </c>
      <c r="BU126" s="172">
        <v>0.64835065563000005</v>
      </c>
      <c r="BV126" s="172">
        <v>-0.56231560941000003</v>
      </c>
      <c r="BW126" s="163">
        <v>9.0875457030000005E-4</v>
      </c>
      <c r="BX126" s="163">
        <v>1.8313924732000001E-4</v>
      </c>
      <c r="BY126" s="161">
        <v>0.53466710442999998</v>
      </c>
      <c r="BZ126" s="163">
        <v>-2.1854358357E-3</v>
      </c>
      <c r="CA126" s="163">
        <v>-2.1854358357E-3</v>
      </c>
      <c r="CB126" s="154">
        <v>45198</v>
      </c>
      <c r="CC126" s="154">
        <v>45203</v>
      </c>
      <c r="CD126" s="173">
        <v>10</v>
      </c>
      <c r="CE126" s="174">
        <v>45215</v>
      </c>
      <c r="CF126" s="116"/>
    </row>
    <row r="127" spans="2:84" ht="15.6" x14ac:dyDescent="0.3">
      <c r="B127" s="98" t="s">
        <v>1103</v>
      </c>
      <c r="C127" s="175" t="s">
        <v>1267</v>
      </c>
      <c r="D127" s="176" t="s">
        <v>25</v>
      </c>
      <c r="E127" s="176" t="s">
        <v>229</v>
      </c>
      <c r="F127" s="177">
        <v>61856571000117</v>
      </c>
      <c r="G127" s="177" t="s">
        <v>1164</v>
      </c>
      <c r="H127" s="177" t="s">
        <v>388</v>
      </c>
      <c r="I127" s="178">
        <v>9</v>
      </c>
      <c r="J127" s="179">
        <v>1</v>
      </c>
      <c r="K127" s="179" t="s">
        <v>130</v>
      </c>
      <c r="L127" s="179" t="s">
        <v>1252</v>
      </c>
      <c r="M127" s="179" t="s">
        <v>114</v>
      </c>
      <c r="N127" s="179" t="s">
        <v>109</v>
      </c>
      <c r="O127" s="180">
        <v>500000</v>
      </c>
      <c r="P127" s="181">
        <v>500000000</v>
      </c>
      <c r="Q127" s="181">
        <v>1000</v>
      </c>
      <c r="R127" s="182">
        <v>44428</v>
      </c>
      <c r="S127" s="182">
        <v>48075</v>
      </c>
      <c r="T127" s="183" t="s">
        <v>1234</v>
      </c>
      <c r="U127" s="183" t="s">
        <v>1207</v>
      </c>
      <c r="V127" s="182" t="s">
        <v>105</v>
      </c>
      <c r="W127" s="182" t="s">
        <v>102</v>
      </c>
      <c r="X127" s="182" t="s">
        <v>1315</v>
      </c>
      <c r="Y127" s="182">
        <v>47710</v>
      </c>
      <c r="Z127" s="184">
        <f>IFERROR(INDEX(Base!G:G,MATCH('Debêntures IPCA-Spread'!Y127,Base!F:F,0)),"")</f>
        <v>6.3273999999999999</v>
      </c>
      <c r="AA127" s="115"/>
      <c r="AB127" s="185">
        <v>45552</v>
      </c>
      <c r="AC127" s="186">
        <v>6.3537999999999997</v>
      </c>
      <c r="AD127" s="187">
        <f t="shared" si="6"/>
        <v>2.6399999999999757E-2</v>
      </c>
      <c r="AE127" s="188">
        <v>0.1</v>
      </c>
      <c r="AF127" s="189">
        <v>6.5763999999999996</v>
      </c>
      <c r="AG127" s="189">
        <v>6.1897000000000002</v>
      </c>
      <c r="AH127" s="190">
        <v>1125.3754369999999</v>
      </c>
      <c r="AI127" s="190">
        <v>1138.7544809999999</v>
      </c>
      <c r="AJ127" s="191">
        <f t="shared" si="7"/>
        <v>0.98825116017260262</v>
      </c>
      <c r="AK127" s="192">
        <v>45527</v>
      </c>
      <c r="AL127" s="193">
        <v>94.23</v>
      </c>
      <c r="AM127" s="194">
        <v>1281</v>
      </c>
      <c r="AN127" s="115"/>
      <c r="AO127" s="195">
        <v>-1.5213122796E-3</v>
      </c>
      <c r="AP127" s="196">
        <f>IF(AO127="","",AO127-AO$6)</f>
        <v>-2.0014571645299998E-3</v>
      </c>
      <c r="AQ127" s="196">
        <v>-2.0385514526E-3</v>
      </c>
      <c r="AR127" s="196">
        <f>IF(AQ127="","",AQ127-AQ$6)</f>
        <v>-1.82104469964E-3</v>
      </c>
      <c r="AS127" s="196">
        <v>5.5012832066000002E-2</v>
      </c>
      <c r="AT127" s="196">
        <f>IF(AS127="","",AS127-AS$6)</f>
        <v>4.0286997010999998E-2</v>
      </c>
      <c r="AU127" s="196">
        <v>-5.2552854431000004E-3</v>
      </c>
      <c r="AV127" s="196">
        <f>IF(AU127="","",AU127-AU$6)</f>
        <v>7.8132971528999985E-3</v>
      </c>
      <c r="AW127" s="196">
        <v>3.1076694399000002E-2</v>
      </c>
      <c r="AX127" s="196">
        <f>IF(AW127="","",AW127-AW$6)</f>
        <v>7.0816266110000012E-3</v>
      </c>
      <c r="AY127" s="196">
        <v>1.7900368773999999E-2</v>
      </c>
      <c r="AZ127" s="196">
        <f>IF(AY127="","",AY127-AY$6)</f>
        <v>3.6581139839999988E-3</v>
      </c>
      <c r="BA127" s="196">
        <v>9.7665614516000004E-2</v>
      </c>
      <c r="BB127" s="196">
        <f>IF(BA127="","",BA127-BA$6)</f>
        <v>4.4178649958000006E-2</v>
      </c>
      <c r="BC127" s="196">
        <v>0.23013107986</v>
      </c>
      <c r="BD127" s="196">
        <f>IF(BC127="","",BC127-BC$6)</f>
        <v>3.5822513370000003E-2</v>
      </c>
      <c r="BE127" s="196"/>
      <c r="BF127" s="196" t="str">
        <f>IF(BE127="","",BE127-BE$6)</f>
        <v/>
      </c>
      <c r="BG127" s="196"/>
      <c r="BH127" s="196" t="str">
        <f>IF(BG127="","",BG127-BG$6)</f>
        <v/>
      </c>
      <c r="BI127" s="196"/>
      <c r="BJ127" s="196" t="str">
        <f>IF(BI127="","",BI127-BI$6)</f>
        <v/>
      </c>
      <c r="BK127" s="197">
        <v>4.8275635739</v>
      </c>
      <c r="BL127" s="115"/>
      <c r="BM127" s="198">
        <v>9.9444465976999998E-3</v>
      </c>
      <c r="BN127" s="191">
        <v>-1.2187527312999999E-2</v>
      </c>
      <c r="BO127" s="191">
        <v>2.6673180457000002E-2</v>
      </c>
      <c r="BP127" s="191">
        <v>-1.906509122E-2</v>
      </c>
      <c r="BQ127" s="199">
        <v>9</v>
      </c>
      <c r="BR127" s="199">
        <v>3</v>
      </c>
      <c r="BS127" s="199">
        <v>7</v>
      </c>
      <c r="BT127" s="199">
        <v>5</v>
      </c>
      <c r="BU127" s="200">
        <v>-0.23925836272000001</v>
      </c>
      <c r="BV127" s="200">
        <v>-0.43616130111000001</v>
      </c>
      <c r="BW127" s="191">
        <v>4.9865606680000001E-3</v>
      </c>
      <c r="BX127" s="191">
        <v>3.5044652984E-3</v>
      </c>
      <c r="BY127" s="189">
        <v>-1.94571867</v>
      </c>
      <c r="BZ127" s="191">
        <v>-2.2137423707E-2</v>
      </c>
      <c r="CA127" s="191">
        <v>-2.2137423707E-2</v>
      </c>
      <c r="CB127" s="182">
        <v>45391</v>
      </c>
      <c r="CC127" s="182">
        <v>45455</v>
      </c>
      <c r="CD127" s="201">
        <v>65</v>
      </c>
      <c r="CE127" s="202">
        <v>45484</v>
      </c>
      <c r="CF127" s="116"/>
    </row>
    <row r="128" spans="2:84" ht="15.6" x14ac:dyDescent="0.3">
      <c r="B128" s="110" t="s">
        <v>1104</v>
      </c>
      <c r="C128" s="147" t="s">
        <v>1268</v>
      </c>
      <c r="D128" s="148" t="s">
        <v>25</v>
      </c>
      <c r="E128" s="148" t="s">
        <v>229</v>
      </c>
      <c r="F128" s="149">
        <v>61856571000117</v>
      </c>
      <c r="G128" s="149" t="s">
        <v>1165</v>
      </c>
      <c r="H128" s="149" t="s">
        <v>388</v>
      </c>
      <c r="I128" s="150">
        <v>9</v>
      </c>
      <c r="J128" s="151">
        <v>2</v>
      </c>
      <c r="K128" s="151" t="s">
        <v>130</v>
      </c>
      <c r="L128" s="151" t="s">
        <v>1252</v>
      </c>
      <c r="M128" s="151" t="s">
        <v>114</v>
      </c>
      <c r="N128" s="151" t="s">
        <v>109</v>
      </c>
      <c r="O128" s="152">
        <v>500000</v>
      </c>
      <c r="P128" s="153">
        <v>500000000</v>
      </c>
      <c r="Q128" s="153">
        <v>1000</v>
      </c>
      <c r="R128" s="154">
        <v>44428</v>
      </c>
      <c r="S128" s="154">
        <v>49902</v>
      </c>
      <c r="T128" s="155" t="s">
        <v>1234</v>
      </c>
      <c r="U128" s="155" t="s">
        <v>1208</v>
      </c>
      <c r="V128" s="154" t="s">
        <v>105</v>
      </c>
      <c r="W128" s="154" t="s">
        <v>102</v>
      </c>
      <c r="X128" s="154" t="s">
        <v>1316</v>
      </c>
      <c r="Y128" s="154">
        <v>49444</v>
      </c>
      <c r="Z128" s="156">
        <f>IFERROR(INDEX(Base!G:G,MATCH('Debêntures IPCA-Spread'!Y128,Base!F:F,0)),"")</f>
        <v>6.3137999999999996</v>
      </c>
      <c r="AA128" s="115"/>
      <c r="AB128" s="157">
        <v>45552</v>
      </c>
      <c r="AC128" s="158">
        <v>6.6646999999999998</v>
      </c>
      <c r="AD128" s="159">
        <f t="shared" si="6"/>
        <v>0.35090000000000021</v>
      </c>
      <c r="AE128" s="160">
        <v>0.18</v>
      </c>
      <c r="AF128" s="161">
        <v>6.7965999999999998</v>
      </c>
      <c r="AG128" s="161">
        <v>6.4146999999999998</v>
      </c>
      <c r="AH128" s="162">
        <v>1066.1307099999999</v>
      </c>
      <c r="AI128" s="162">
        <v>1096.206338</v>
      </c>
      <c r="AJ128" s="163">
        <f t="shared" si="7"/>
        <v>0.97256389882321581</v>
      </c>
      <c r="AK128" s="164">
        <v>45527</v>
      </c>
      <c r="AL128" s="165">
        <v>89.26</v>
      </c>
      <c r="AM128" s="166">
        <v>2071</v>
      </c>
      <c r="AN128" s="115"/>
      <c r="AO128" s="167">
        <v>-1.3433946982000001E-2</v>
      </c>
      <c r="AP128" s="168">
        <f>IF(AO128="","",AO128-AO$6)</f>
        <v>-1.391409186693E-2</v>
      </c>
      <c r="AQ128" s="168">
        <v>-1.0633168237E-2</v>
      </c>
      <c r="AR128" s="168">
        <f>IF(AQ128="","",AQ128-AQ$6)</f>
        <v>-1.041566148404E-2</v>
      </c>
      <c r="AS128" s="168">
        <v>3.8871777710999998E-2</v>
      </c>
      <c r="AT128" s="168">
        <f>IF(AS128="","",AS128-AS$6)</f>
        <v>2.4145942655999997E-2</v>
      </c>
      <c r="AU128" s="168">
        <v>-1.3935852837000001E-2</v>
      </c>
      <c r="AV128" s="168">
        <f>IF(AU128="","",AU128-AU$6)</f>
        <v>-8.6727024100000105E-4</v>
      </c>
      <c r="AW128" s="168">
        <v>3.5835091732000002E-2</v>
      </c>
      <c r="AX128" s="168">
        <f>IF(AW128="","",AW128-AW$6)</f>
        <v>1.1840023944000001E-2</v>
      </c>
      <c r="AY128" s="168">
        <v>7.1175610064999999E-3</v>
      </c>
      <c r="AZ128" s="168">
        <f>IF(AY128="","",AY128-AY$6)</f>
        <v>-7.1246937835000006E-3</v>
      </c>
      <c r="BA128" s="168">
        <v>8.1852201935999999E-2</v>
      </c>
      <c r="BB128" s="168">
        <f>IF(BA128="","",BA128-BA$6)</f>
        <v>2.8365237378000001E-2</v>
      </c>
      <c r="BC128" s="168">
        <v>0.22720048922</v>
      </c>
      <c r="BD128" s="168">
        <f>IF(BC128="","",BC128-BC$6)</f>
        <v>3.2891922729999995E-2</v>
      </c>
      <c r="BE128" s="168"/>
      <c r="BF128" s="168" t="str">
        <f>IF(BE128="","",BE128-BE$6)</f>
        <v/>
      </c>
      <c r="BG128" s="168"/>
      <c r="BH128" s="168" t="str">
        <f>IF(BG128="","",BG128-BG$6)</f>
        <v/>
      </c>
      <c r="BI128" s="168"/>
      <c r="BJ128" s="168" t="str">
        <f>IF(BI128="","",BI128-BI$6)</f>
        <v/>
      </c>
      <c r="BK128" s="169">
        <v>7.5693873154000002</v>
      </c>
      <c r="BL128" s="115"/>
      <c r="BM128" s="170">
        <v>1.6568696163E-2</v>
      </c>
      <c r="BN128" s="163">
        <v>-1.5699906406999999E-2</v>
      </c>
      <c r="BO128" s="163">
        <v>4.6591001872E-2</v>
      </c>
      <c r="BP128" s="163">
        <v>-3.2858538935999999E-2</v>
      </c>
      <c r="BQ128" s="171">
        <v>6</v>
      </c>
      <c r="BR128" s="171">
        <v>6</v>
      </c>
      <c r="BS128" s="171">
        <v>6</v>
      </c>
      <c r="BT128" s="171">
        <v>6</v>
      </c>
      <c r="BU128" s="172">
        <v>-0.31852051503000001</v>
      </c>
      <c r="BV128" s="172">
        <v>-0.43929531515999998</v>
      </c>
      <c r="BW128" s="163">
        <v>7.8274029934000001E-3</v>
      </c>
      <c r="BX128" s="163">
        <v>8.5449686709000005E-3</v>
      </c>
      <c r="BY128" s="161">
        <v>-3.6288266711000001</v>
      </c>
      <c r="BZ128" s="163">
        <v>-4.6672021468000001E-2</v>
      </c>
      <c r="CA128" s="163">
        <v>-4.6672021468000001E-2</v>
      </c>
      <c r="CB128" s="154">
        <v>45364</v>
      </c>
      <c r="CC128" s="154">
        <v>45474</v>
      </c>
      <c r="CD128" s="173">
        <v>99</v>
      </c>
      <c r="CE128" s="174">
        <v>45506</v>
      </c>
      <c r="CF128" s="116"/>
    </row>
    <row r="129" spans="2:84" ht="15.6" x14ac:dyDescent="0.3">
      <c r="B129" s="98" t="s">
        <v>2239</v>
      </c>
      <c r="C129" s="175" t="s">
        <v>2624</v>
      </c>
      <c r="D129" s="176" t="s">
        <v>25</v>
      </c>
      <c r="E129" s="176" t="s">
        <v>229</v>
      </c>
      <c r="F129" s="177">
        <v>61856571000117</v>
      </c>
      <c r="G129" s="177" t="s">
        <v>2374</v>
      </c>
      <c r="H129" s="177" t="s">
        <v>388</v>
      </c>
      <c r="I129" s="178">
        <v>11</v>
      </c>
      <c r="J129" s="179">
        <v>2</v>
      </c>
      <c r="K129" s="179" t="s">
        <v>126</v>
      </c>
      <c r="L129" s="179" t="s">
        <v>2467</v>
      </c>
      <c r="M129" s="179" t="s">
        <v>114</v>
      </c>
      <c r="N129" s="179" t="s">
        <v>109</v>
      </c>
      <c r="O129" s="180">
        <v>750000</v>
      </c>
      <c r="P129" s="181">
        <v>750000000</v>
      </c>
      <c r="Q129" s="181">
        <v>1000</v>
      </c>
      <c r="R129" s="182">
        <v>45488</v>
      </c>
      <c r="S129" s="182">
        <v>50966</v>
      </c>
      <c r="T129" s="183" t="s">
        <v>2827</v>
      </c>
      <c r="U129" s="183" t="s">
        <v>2736</v>
      </c>
      <c r="V129" s="182" t="s">
        <v>105</v>
      </c>
      <c r="W129" s="182" t="s">
        <v>102</v>
      </c>
      <c r="X129" s="182" t="s">
        <v>2506</v>
      </c>
      <c r="Y129" s="182">
        <v>51363</v>
      </c>
      <c r="Z129" s="184">
        <f>IFERROR(INDEX(Base!G:G,MATCH('Debêntures IPCA-Spread'!Y129,Base!F:F,0)),"")</f>
        <v>6.2279</v>
      </c>
      <c r="AA129" s="115"/>
      <c r="AB129" s="185">
        <v>45552</v>
      </c>
      <c r="AC129" s="186">
        <v>6.3000999999999996</v>
      </c>
      <c r="AD129" s="187">
        <f t="shared" si="6"/>
        <v>7.2199999999999598E-2</v>
      </c>
      <c r="AE129" s="188">
        <v>0.04</v>
      </c>
      <c r="AF129" s="189">
        <v>6.4499000000000004</v>
      </c>
      <c r="AG129" s="189">
        <v>6.1685999999999996</v>
      </c>
      <c r="AH129" s="190">
        <v>1027.0565469999999</v>
      </c>
      <c r="AI129" s="190"/>
      <c r="AJ129" s="191" t="str">
        <f t="shared" si="7"/>
        <v/>
      </c>
      <c r="AK129" s="192"/>
      <c r="AL129" s="193">
        <v>101.32</v>
      </c>
      <c r="AM129" s="194">
        <v>2345</v>
      </c>
      <c r="AN129" s="115"/>
      <c r="AO129" s="195">
        <v>-8.5237290023000003E-4</v>
      </c>
      <c r="AP129" s="196">
        <f>IF(AO129="","",AO129-AO$6)</f>
        <v>-1.33251778516E-3</v>
      </c>
      <c r="AQ129" s="196">
        <v>-3.2447730273000002E-3</v>
      </c>
      <c r="AR129" s="196">
        <f>IF(AQ129="","",AQ129-AQ$6)</f>
        <v>-3.0272662743400002E-3</v>
      </c>
      <c r="AS129" s="196"/>
      <c r="AT129" s="196" t="str">
        <f>IF(AS129="","",AS129-AS$6)</f>
        <v/>
      </c>
      <c r="AU129" s="196"/>
      <c r="AV129" s="196" t="str">
        <f>IF(AU129="","",AU129-AU$6)</f>
        <v/>
      </c>
      <c r="AW129" s="196"/>
      <c r="AX129" s="196" t="str">
        <f>IF(AW129="","",AW129-AW$6)</f>
        <v/>
      </c>
      <c r="AY129" s="196"/>
      <c r="AZ129" s="196" t="str">
        <f>IF(AY129="","",AY129-AY$6)</f>
        <v/>
      </c>
      <c r="BA129" s="196"/>
      <c r="BB129" s="196" t="str">
        <f>IF(BA129="","",BA129-BA$6)</f>
        <v/>
      </c>
      <c r="BC129" s="196"/>
      <c r="BD129" s="196" t="str">
        <f>IF(BC129="","",BC129-BC$6)</f>
        <v/>
      </c>
      <c r="BE129" s="196"/>
      <c r="BF129" s="196" t="str">
        <f>IF(BE129="","",BE129-BE$6)</f>
        <v/>
      </c>
      <c r="BG129" s="196"/>
      <c r="BH129" s="196" t="str">
        <f>IF(BG129="","",BG129-BG$6)</f>
        <v/>
      </c>
      <c r="BI129" s="196"/>
      <c r="BJ129" s="196" t="str">
        <f>IF(BI129="","",BI129-BI$6)</f>
        <v/>
      </c>
      <c r="BK129" s="197"/>
      <c r="BL129" s="115"/>
      <c r="BM129" s="198">
        <v>4.5589849814999996E-3</v>
      </c>
      <c r="BN129" s="191">
        <v>-6.8615525634000002E-3</v>
      </c>
      <c r="BO129" s="191">
        <v>-3.2447730273000002E-3</v>
      </c>
      <c r="BP129" s="191">
        <v>-3.2447730273000002E-3</v>
      </c>
      <c r="BQ129" s="199"/>
      <c r="BR129" s="199"/>
      <c r="BS129" s="199"/>
      <c r="BT129" s="199"/>
      <c r="BU129" s="200"/>
      <c r="BV129" s="200"/>
      <c r="BW129" s="191"/>
      <c r="BX129" s="191"/>
      <c r="BY129" s="189"/>
      <c r="BZ129" s="191">
        <v>0</v>
      </c>
      <c r="CA129" s="191">
        <v>-1.6894292756E-2</v>
      </c>
      <c r="CB129" s="182">
        <v>45531</v>
      </c>
      <c r="CC129" s="182">
        <v>45552</v>
      </c>
      <c r="CD129" s="201"/>
      <c r="CE129" s="202"/>
      <c r="CF129" s="116"/>
    </row>
    <row r="130" spans="2:84" ht="15.6" x14ac:dyDescent="0.3">
      <c r="B130" s="110" t="s">
        <v>504</v>
      </c>
      <c r="C130" s="147" t="s">
        <v>669</v>
      </c>
      <c r="D130" s="148" t="s">
        <v>618</v>
      </c>
      <c r="E130" s="148" t="s">
        <v>231</v>
      </c>
      <c r="F130" s="149">
        <v>6220197000150</v>
      </c>
      <c r="G130" s="149" t="s">
        <v>824</v>
      </c>
      <c r="H130" s="149" t="s">
        <v>388</v>
      </c>
      <c r="I130" s="150">
        <v>2</v>
      </c>
      <c r="J130" s="151" t="s">
        <v>107</v>
      </c>
      <c r="K130" s="151" t="s">
        <v>127</v>
      </c>
      <c r="L130" s="151" t="s">
        <v>122</v>
      </c>
      <c r="M130" s="151" t="s">
        <v>986</v>
      </c>
      <c r="N130" s="151" t="s">
        <v>109</v>
      </c>
      <c r="O130" s="152">
        <v>100000</v>
      </c>
      <c r="P130" s="153">
        <v>100000000</v>
      </c>
      <c r="Q130" s="153">
        <v>1000</v>
      </c>
      <c r="R130" s="154">
        <v>43511</v>
      </c>
      <c r="S130" s="154">
        <v>46675</v>
      </c>
      <c r="T130" s="155" t="s">
        <v>760</v>
      </c>
      <c r="U130" s="155" t="s">
        <v>760</v>
      </c>
      <c r="V130" s="154" t="s">
        <v>194</v>
      </c>
      <c r="W130" s="154" t="s">
        <v>102</v>
      </c>
      <c r="X130" s="154" t="s">
        <v>1317</v>
      </c>
      <c r="Y130" s="154">
        <v>46249</v>
      </c>
      <c r="Z130" s="156">
        <f>IFERROR(INDEX(Base!G:G,MATCH('Debêntures IPCA-Spread'!Y130,Base!F:F,0)),"")</f>
        <v>6.5365000000000002</v>
      </c>
      <c r="AA130" s="115"/>
      <c r="AB130" s="157">
        <v>45506</v>
      </c>
      <c r="AC130" s="158"/>
      <c r="AD130" s="159" t="str">
        <f t="shared" si="6"/>
        <v/>
      </c>
      <c r="AE130" s="160"/>
      <c r="AF130" s="161"/>
      <c r="AG130" s="161"/>
      <c r="AH130" s="162"/>
      <c r="AI130" s="162">
        <v>704.19492400000001</v>
      </c>
      <c r="AJ130" s="163">
        <f t="shared" si="7"/>
        <v>0</v>
      </c>
      <c r="AK130" s="164">
        <v>45506</v>
      </c>
      <c r="AL130" s="165"/>
      <c r="AM130" s="166"/>
      <c r="AN130" s="115"/>
      <c r="AO130" s="167"/>
      <c r="AP130" s="168" t="str">
        <f>IF(AO130="","",AO130-AO$6)</f>
        <v/>
      </c>
      <c r="AQ130" s="168"/>
      <c r="AR130" s="168" t="str">
        <f>IF(AQ130="","",AQ130-AQ$6)</f>
        <v/>
      </c>
      <c r="AS130" s="168"/>
      <c r="AT130" s="168" t="str">
        <f>IF(AS130="","",AS130-AS$6)</f>
        <v/>
      </c>
      <c r="AU130" s="168"/>
      <c r="AV130" s="168" t="str">
        <f>IF(AU130="","",AU130-AU$6)</f>
        <v/>
      </c>
      <c r="AW130" s="168"/>
      <c r="AX130" s="168" t="str">
        <f>IF(AW130="","",AW130-AW$6)</f>
        <v/>
      </c>
      <c r="AY130" s="168"/>
      <c r="AZ130" s="168" t="str">
        <f>IF(AY130="","",AY130-AY$6)</f>
        <v/>
      </c>
      <c r="BA130" s="168"/>
      <c r="BB130" s="168" t="str">
        <f>IF(BA130="","",BA130-BA$6)</f>
        <v/>
      </c>
      <c r="BC130" s="168"/>
      <c r="BD130" s="168" t="str">
        <f>IF(BC130="","",BC130-BC$6)</f>
        <v/>
      </c>
      <c r="BE130" s="168"/>
      <c r="BF130" s="168" t="str">
        <f>IF(BE130="","",BE130-BE$6)</f>
        <v/>
      </c>
      <c r="BG130" s="168"/>
      <c r="BH130" s="168" t="str">
        <f>IF(BG130="","",BG130-BG$6)</f>
        <v/>
      </c>
      <c r="BI130" s="168"/>
      <c r="BJ130" s="168" t="str">
        <f>IF(BI130="","",BI130-BI$6)</f>
        <v/>
      </c>
      <c r="BK130" s="169"/>
      <c r="BL130" s="115"/>
      <c r="BM130" s="170">
        <v>5.9785647099000003E-3</v>
      </c>
      <c r="BN130" s="163">
        <v>-4.4302638343999999E-3</v>
      </c>
      <c r="BO130" s="163">
        <v>1.8708728008000001E-2</v>
      </c>
      <c r="BP130" s="163">
        <v>-1.019953198E-3</v>
      </c>
      <c r="BQ130" s="171"/>
      <c r="BR130" s="171"/>
      <c r="BS130" s="171"/>
      <c r="BT130" s="171"/>
      <c r="BU130" s="172"/>
      <c r="BV130" s="172">
        <v>-2.2654803954000002E-2</v>
      </c>
      <c r="BW130" s="163"/>
      <c r="BX130" s="163"/>
      <c r="BY130" s="161"/>
      <c r="BZ130" s="163">
        <v>-6.7808515303000002E-3</v>
      </c>
      <c r="CA130" s="163">
        <v>-6.7808515303000002E-3</v>
      </c>
      <c r="CB130" s="154">
        <v>45387</v>
      </c>
      <c r="CC130" s="154">
        <v>45399</v>
      </c>
      <c r="CD130" s="173">
        <v>15</v>
      </c>
      <c r="CE130" s="174">
        <v>45408</v>
      </c>
      <c r="CF130" s="116"/>
    </row>
    <row r="131" spans="2:84" ht="15.6" x14ac:dyDescent="0.3">
      <c r="B131" s="98" t="s">
        <v>2240</v>
      </c>
      <c r="C131" s="175" t="s">
        <v>2625</v>
      </c>
      <c r="D131" s="176" t="s">
        <v>2796</v>
      </c>
      <c r="E131" s="176" t="s">
        <v>226</v>
      </c>
      <c r="F131" s="177">
        <v>5965546000109</v>
      </c>
      <c r="G131" s="177" t="s">
        <v>2375</v>
      </c>
      <c r="H131" s="177" t="s">
        <v>388</v>
      </c>
      <c r="I131" s="178">
        <v>2</v>
      </c>
      <c r="J131" s="179" t="s">
        <v>107</v>
      </c>
      <c r="K131" s="179" t="s">
        <v>126</v>
      </c>
      <c r="L131" s="179" t="s">
        <v>112</v>
      </c>
      <c r="M131" s="179" t="s">
        <v>114</v>
      </c>
      <c r="N131" s="179" t="s">
        <v>109</v>
      </c>
      <c r="O131" s="180">
        <v>195000</v>
      </c>
      <c r="P131" s="181">
        <v>195000000</v>
      </c>
      <c r="Q131" s="181">
        <v>1000</v>
      </c>
      <c r="R131" s="182">
        <v>45122</v>
      </c>
      <c r="S131" s="182">
        <v>47679</v>
      </c>
      <c r="T131" s="183" t="s">
        <v>1972</v>
      </c>
      <c r="U131" s="183" t="s">
        <v>2725</v>
      </c>
      <c r="V131" s="182" t="s">
        <v>105</v>
      </c>
      <c r="W131" s="182" t="s">
        <v>102</v>
      </c>
      <c r="X131" s="182" t="s">
        <v>1623</v>
      </c>
      <c r="Y131" s="182">
        <v>47253</v>
      </c>
      <c r="Z131" s="184">
        <f>IFERROR(INDEX(Base!G:G,MATCH('Debêntures IPCA-Spread'!Y131,Base!F:F,0)),"")</f>
        <v>6.41</v>
      </c>
      <c r="AA131" s="115"/>
      <c r="AB131" s="185">
        <v>45552</v>
      </c>
      <c r="AC131" s="186">
        <v>6.5750000000000002</v>
      </c>
      <c r="AD131" s="187">
        <f t="shared" si="6"/>
        <v>0.16500000000000004</v>
      </c>
      <c r="AE131" s="188">
        <v>0.3</v>
      </c>
      <c r="AF131" s="189">
        <v>7.0190000000000001</v>
      </c>
      <c r="AG131" s="189"/>
      <c r="AH131" s="190">
        <v>1054.147952</v>
      </c>
      <c r="AI131" s="190"/>
      <c r="AJ131" s="191" t="str">
        <f t="shared" si="7"/>
        <v/>
      </c>
      <c r="AK131" s="192"/>
      <c r="AL131" s="193">
        <v>99.68</v>
      </c>
      <c r="AM131" s="194">
        <v>1136</v>
      </c>
      <c r="AN131" s="115"/>
      <c r="AO131" s="195">
        <v>3.8166293670999999E-3</v>
      </c>
      <c r="AP131" s="196">
        <f>IF(AO131="","",AO131-AO$6)</f>
        <v>3.3364844821699999E-3</v>
      </c>
      <c r="AQ131" s="196">
        <v>3.4820700330000002E-3</v>
      </c>
      <c r="AR131" s="196">
        <f>IF(AQ131="","",AQ131-AQ$6)</f>
        <v>3.6995767859600002E-3</v>
      </c>
      <c r="AS131" s="196">
        <v>6.7418920145000005E-2</v>
      </c>
      <c r="AT131" s="196">
        <f>IF(AS131="","",AS131-AS$6)</f>
        <v>5.2693085090000008E-2</v>
      </c>
      <c r="AU131" s="196">
        <v>-5.1088568753000002E-3</v>
      </c>
      <c r="AV131" s="196">
        <f>IF(AU131="","",AU131-AU$6)</f>
        <v>7.9597257207000005E-3</v>
      </c>
      <c r="AW131" s="196">
        <v>4.3170050276000002E-2</v>
      </c>
      <c r="AX131" s="196">
        <f>IF(AW131="","",AW131-AW$6)</f>
        <v>1.9174982488000002E-2</v>
      </c>
      <c r="AY131" s="196">
        <v>3.2499802034999997E-2</v>
      </c>
      <c r="AZ131" s="196">
        <f>IF(AY131="","",AY131-AY$6)</f>
        <v>1.8257547244999998E-2</v>
      </c>
      <c r="BA131" s="196"/>
      <c r="BB131" s="196" t="str">
        <f>IF(BA131="","",BA131-BA$6)</f>
        <v/>
      </c>
      <c r="BC131" s="196"/>
      <c r="BD131" s="196" t="str">
        <f>IF(BC131="","",BC131-BC$6)</f>
        <v/>
      </c>
      <c r="BE131" s="196"/>
      <c r="BF131" s="196" t="str">
        <f>IF(BE131="","",BE131-BE$6)</f>
        <v/>
      </c>
      <c r="BG131" s="196"/>
      <c r="BH131" s="196" t="str">
        <f>IF(BG131="","",BG131-BG$6)</f>
        <v/>
      </c>
      <c r="BI131" s="196"/>
      <c r="BJ131" s="196" t="str">
        <f>IF(BI131="","",BI131-BI$6)</f>
        <v/>
      </c>
      <c r="BK131" s="197"/>
      <c r="BL131" s="115"/>
      <c r="BM131" s="198">
        <v>1.2991057052E-2</v>
      </c>
      <c r="BN131" s="191">
        <v>-9.7512324327999993E-3</v>
      </c>
      <c r="BO131" s="191">
        <v>3.5804070216000003E-2</v>
      </c>
      <c r="BP131" s="191">
        <v>-1.7833305758E-2</v>
      </c>
      <c r="BQ131" s="199"/>
      <c r="BR131" s="199"/>
      <c r="BS131" s="199"/>
      <c r="BT131" s="199"/>
      <c r="BU131" s="200"/>
      <c r="BV131" s="200"/>
      <c r="BW131" s="191"/>
      <c r="BX131" s="191">
        <v>5.2738912778000002E-3</v>
      </c>
      <c r="BY131" s="189"/>
      <c r="BZ131" s="191">
        <v>-2.2169205341999999E-2</v>
      </c>
      <c r="CA131" s="191">
        <v>-2.2169205341999999E-2</v>
      </c>
      <c r="CB131" s="182">
        <v>45364</v>
      </c>
      <c r="CC131" s="182">
        <v>45475</v>
      </c>
      <c r="CD131" s="201">
        <v>83</v>
      </c>
      <c r="CE131" s="202">
        <v>45484</v>
      </c>
      <c r="CF131" s="116"/>
    </row>
    <row r="132" spans="2:84" ht="15.6" x14ac:dyDescent="0.3">
      <c r="B132" s="110" t="s">
        <v>2241</v>
      </c>
      <c r="C132" s="147" t="s">
        <v>2626</v>
      </c>
      <c r="D132" s="148" t="s">
        <v>2796</v>
      </c>
      <c r="E132" s="148" t="s">
        <v>226</v>
      </c>
      <c r="F132" s="149">
        <v>5965546000109</v>
      </c>
      <c r="G132" s="149" t="s">
        <v>2376</v>
      </c>
      <c r="H132" s="149" t="s">
        <v>388</v>
      </c>
      <c r="I132" s="150">
        <v>4</v>
      </c>
      <c r="J132" s="151" t="s">
        <v>107</v>
      </c>
      <c r="K132" s="151" t="s">
        <v>111</v>
      </c>
      <c r="L132" s="151" t="s">
        <v>125</v>
      </c>
      <c r="M132" s="151" t="s">
        <v>114</v>
      </c>
      <c r="N132" s="151" t="s">
        <v>109</v>
      </c>
      <c r="O132" s="152">
        <v>200000</v>
      </c>
      <c r="P132" s="153">
        <v>200000000</v>
      </c>
      <c r="Q132" s="153">
        <v>1000</v>
      </c>
      <c r="R132" s="154">
        <v>45275</v>
      </c>
      <c r="S132" s="154">
        <v>48928</v>
      </c>
      <c r="T132" s="155" t="s">
        <v>2001</v>
      </c>
      <c r="U132" s="155" t="s">
        <v>2737</v>
      </c>
      <c r="V132" s="154" t="s">
        <v>105</v>
      </c>
      <c r="W132" s="154" t="s">
        <v>102</v>
      </c>
      <c r="X132" s="154" t="s">
        <v>2507</v>
      </c>
      <c r="Y132" s="154">
        <v>48441</v>
      </c>
      <c r="Z132" s="156">
        <f>IFERROR(INDEX(Base!G:G,MATCH('Debêntures IPCA-Spread'!Y132,Base!F:F,0)),"")</f>
        <v>6.3467000000000002</v>
      </c>
      <c r="AA132" s="115"/>
      <c r="AB132" s="157">
        <v>45552</v>
      </c>
      <c r="AC132" s="158">
        <v>6.7866999999999997</v>
      </c>
      <c r="AD132" s="159">
        <f t="shared" si="6"/>
        <v>0.4399999999999995</v>
      </c>
      <c r="AE132" s="160">
        <v>0.06</v>
      </c>
      <c r="AF132" s="161">
        <v>6.9416000000000002</v>
      </c>
      <c r="AG132" s="161">
        <v>6.6296999999999997</v>
      </c>
      <c r="AH132" s="162">
        <v>1047.6610310000001</v>
      </c>
      <c r="AI132" s="162"/>
      <c r="AJ132" s="163" t="str">
        <f t="shared" si="7"/>
        <v/>
      </c>
      <c r="AK132" s="164"/>
      <c r="AL132" s="165">
        <v>99.78</v>
      </c>
      <c r="AM132" s="166">
        <v>1594</v>
      </c>
      <c r="AN132" s="115"/>
      <c r="AO132" s="167">
        <v>1.7668090367999999E-4</v>
      </c>
      <c r="AP132" s="168">
        <f>IF(AO132="","",AO132-AO$6)</f>
        <v>-3.0346398125E-4</v>
      </c>
      <c r="AQ132" s="168">
        <v>-1.7182471946999999E-4</v>
      </c>
      <c r="AR132" s="168">
        <f>IF(AQ132="","",AQ132-AQ$6)</f>
        <v>4.5682033490000013E-5</v>
      </c>
      <c r="AS132" s="168"/>
      <c r="AT132" s="168" t="str">
        <f>IF(AS132="","",AS132-AS$6)</f>
        <v/>
      </c>
      <c r="AU132" s="168">
        <v>-1.4966118044E-2</v>
      </c>
      <c r="AV132" s="168">
        <f>IF(AU132="","",AU132-AU$6)</f>
        <v>-1.8975354480000005E-3</v>
      </c>
      <c r="AW132" s="168">
        <v>4.2316291552E-2</v>
      </c>
      <c r="AX132" s="168">
        <f>IF(AW132="","",AW132-AW$6)</f>
        <v>1.8321223764E-2</v>
      </c>
      <c r="AY132" s="168"/>
      <c r="AZ132" s="168" t="str">
        <f>IF(AY132="","",AY132-AY$6)</f>
        <v/>
      </c>
      <c r="BA132" s="168"/>
      <c r="BB132" s="168" t="str">
        <f>IF(BA132="","",BA132-BA$6)</f>
        <v/>
      </c>
      <c r="BC132" s="168"/>
      <c r="BD132" s="168" t="str">
        <f>IF(BC132="","",BC132-BC$6)</f>
        <v/>
      </c>
      <c r="BE132" s="168"/>
      <c r="BF132" s="168" t="str">
        <f>IF(BE132="","",BE132-BE$6)</f>
        <v/>
      </c>
      <c r="BG132" s="168"/>
      <c r="BH132" s="168" t="str">
        <f>IF(BG132="","",BG132-BG$6)</f>
        <v/>
      </c>
      <c r="BI132" s="168"/>
      <c r="BJ132" s="168" t="str">
        <f>IF(BI132="","",BI132-BI$6)</f>
        <v/>
      </c>
      <c r="BK132" s="169"/>
      <c r="BL132" s="115"/>
      <c r="BM132" s="170">
        <v>1.3624136518999999E-2</v>
      </c>
      <c r="BN132" s="163">
        <v>-1.2057587652999999E-2</v>
      </c>
      <c r="BO132" s="163">
        <v>2.5250782252999999E-2</v>
      </c>
      <c r="BP132" s="163">
        <v>-2.4205836213000001E-2</v>
      </c>
      <c r="BQ132" s="171"/>
      <c r="BR132" s="171"/>
      <c r="BS132" s="171"/>
      <c r="BT132" s="171"/>
      <c r="BU132" s="172"/>
      <c r="BV132" s="172"/>
      <c r="BW132" s="163"/>
      <c r="BX132" s="163">
        <v>5.1503399765000001E-3</v>
      </c>
      <c r="BY132" s="161"/>
      <c r="BZ132" s="163">
        <v>-3.2870074866E-2</v>
      </c>
      <c r="CA132" s="163">
        <v>-3.2870074866E-2</v>
      </c>
      <c r="CB132" s="154">
        <v>45378</v>
      </c>
      <c r="CC132" s="154">
        <v>45475</v>
      </c>
      <c r="CD132" s="173">
        <v>89</v>
      </c>
      <c r="CE132" s="174">
        <v>45506</v>
      </c>
      <c r="CF132" s="116"/>
    </row>
    <row r="133" spans="2:84" ht="15.6" x14ac:dyDescent="0.3">
      <c r="B133" s="98" t="s">
        <v>505</v>
      </c>
      <c r="C133" s="175" t="s">
        <v>670</v>
      </c>
      <c r="D133" s="176" t="s">
        <v>619</v>
      </c>
      <c r="E133" s="176" t="s">
        <v>229</v>
      </c>
      <c r="F133" s="177">
        <v>22261473000185</v>
      </c>
      <c r="G133" s="177" t="s">
        <v>825</v>
      </c>
      <c r="H133" s="177" t="s">
        <v>388</v>
      </c>
      <c r="I133" s="178">
        <v>8</v>
      </c>
      <c r="J133" s="179" t="s">
        <v>107</v>
      </c>
      <c r="K133" s="179" t="s">
        <v>130</v>
      </c>
      <c r="L133" s="179" t="s">
        <v>122</v>
      </c>
      <c r="M133" s="179" t="s">
        <v>106</v>
      </c>
      <c r="N133" s="179" t="s">
        <v>109</v>
      </c>
      <c r="O133" s="180">
        <v>850000</v>
      </c>
      <c r="P133" s="181">
        <v>850000000</v>
      </c>
      <c r="Q133" s="181">
        <v>1000</v>
      </c>
      <c r="R133" s="182">
        <v>44058</v>
      </c>
      <c r="S133" s="182">
        <v>48075</v>
      </c>
      <c r="T133" s="183" t="s">
        <v>757</v>
      </c>
      <c r="U133" s="183" t="s">
        <v>912</v>
      </c>
      <c r="V133" s="182" t="s">
        <v>105</v>
      </c>
      <c r="W133" s="182" t="s">
        <v>102</v>
      </c>
      <c r="X133" s="182" t="s">
        <v>1318</v>
      </c>
      <c r="Y133" s="182">
        <v>46980</v>
      </c>
      <c r="Z133" s="184">
        <f>IFERROR(INDEX(Base!G:G,MATCH('Debêntures IPCA-Spread'!Y133,Base!F:F,0)),"")</f>
        <v>6.4702000000000002</v>
      </c>
      <c r="AA133" s="115"/>
      <c r="AB133" s="185">
        <v>45552</v>
      </c>
      <c r="AC133" s="186">
        <v>6.5533000000000001</v>
      </c>
      <c r="AD133" s="187">
        <f t="shared" si="6"/>
        <v>8.3099999999999952E-2</v>
      </c>
      <c r="AE133" s="188">
        <v>0.05</v>
      </c>
      <c r="AF133" s="189">
        <v>6.6670999999999996</v>
      </c>
      <c r="AG133" s="189">
        <v>6.4653</v>
      </c>
      <c r="AH133" s="190">
        <v>1119.5150619999999</v>
      </c>
      <c r="AI133" s="190">
        <v>1123.3478689999999</v>
      </c>
      <c r="AJ133" s="191">
        <f t="shared" si="7"/>
        <v>0.99658804978780802</v>
      </c>
      <c r="AK133" s="192">
        <v>45518</v>
      </c>
      <c r="AL133" s="193">
        <v>95.77</v>
      </c>
      <c r="AM133" s="194">
        <v>893</v>
      </c>
      <c r="AN133" s="115"/>
      <c r="AO133" s="195">
        <v>1.4808156811000001E-4</v>
      </c>
      <c r="AP133" s="196">
        <f>IF(AO133="","",AO133-AO$6)</f>
        <v>-3.3206331681999999E-4</v>
      </c>
      <c r="AQ133" s="196">
        <v>1.8941370471999999E-3</v>
      </c>
      <c r="AR133" s="196">
        <f>IF(AQ133="","",AQ133-AQ$6)</f>
        <v>2.1116438001599997E-3</v>
      </c>
      <c r="AS133" s="196">
        <v>5.2865603414999997E-2</v>
      </c>
      <c r="AT133" s="196">
        <f>IF(AS133="","",AS133-AS$6)</f>
        <v>3.8139768359999993E-2</v>
      </c>
      <c r="AU133" s="196">
        <v>-1.9216418532E-3</v>
      </c>
      <c r="AV133" s="196">
        <f>IF(AU133="","",AU133-AU$6)</f>
        <v>1.11469407428E-2</v>
      </c>
      <c r="AW133" s="196">
        <v>2.4986232186999999E-2</v>
      </c>
      <c r="AX133" s="196">
        <f>IF(AW133="","",AW133-AW$6)</f>
        <v>9.9116439899999895E-4</v>
      </c>
      <c r="AY133" s="196">
        <v>2.2991612687999999E-2</v>
      </c>
      <c r="AZ133" s="196">
        <f>IF(AY133="","",AY133-AY$6)</f>
        <v>8.7493578979999983E-3</v>
      </c>
      <c r="BA133" s="196">
        <v>8.3151762715999999E-2</v>
      </c>
      <c r="BB133" s="196">
        <f>IF(BA133="","",BA133-BA$6)</f>
        <v>2.9664798158000001E-2</v>
      </c>
      <c r="BC133" s="196">
        <v>0.23314582985999999</v>
      </c>
      <c r="BD133" s="196">
        <f>IF(BC133="","",BC133-BC$6)</f>
        <v>3.8837263369999986E-2</v>
      </c>
      <c r="BE133" s="196">
        <v>0.32856909498999998</v>
      </c>
      <c r="BF133" s="196">
        <f>IF(BE133="","",BE133-BE$6)</f>
        <v>6.6849755449999992E-2</v>
      </c>
      <c r="BG133" s="196"/>
      <c r="BH133" s="196" t="str">
        <f>IF(BG133="","",BG133-BG$6)</f>
        <v/>
      </c>
      <c r="BI133" s="196"/>
      <c r="BJ133" s="196" t="str">
        <f>IF(BI133="","",BI133-BI$6)</f>
        <v/>
      </c>
      <c r="BK133" s="197">
        <v>3.2954415859999999</v>
      </c>
      <c r="BL133" s="115"/>
      <c r="BM133" s="198">
        <v>5.3896862646000002E-3</v>
      </c>
      <c r="BN133" s="191">
        <v>-7.1744992638000001E-3</v>
      </c>
      <c r="BO133" s="191">
        <v>2.2703444053999999E-2</v>
      </c>
      <c r="BP133" s="191">
        <v>-9.9942005954000001E-3</v>
      </c>
      <c r="BQ133" s="199">
        <v>9</v>
      </c>
      <c r="BR133" s="199">
        <v>3</v>
      </c>
      <c r="BS133" s="199">
        <v>5</v>
      </c>
      <c r="BT133" s="199">
        <v>7</v>
      </c>
      <c r="BU133" s="200">
        <v>-0.76557014179000005</v>
      </c>
      <c r="BV133" s="200">
        <v>-0.3505837665</v>
      </c>
      <c r="BW133" s="191">
        <v>3.4042872746999999E-3</v>
      </c>
      <c r="BX133" s="191">
        <v>3.1671050541E-3</v>
      </c>
      <c r="BY133" s="189">
        <v>-3.2892376892000001</v>
      </c>
      <c r="BZ133" s="191">
        <v>-1.4799489892999999E-2</v>
      </c>
      <c r="CA133" s="191">
        <v>-1.4799489892999999E-2</v>
      </c>
      <c r="CB133" s="182">
        <v>45189</v>
      </c>
      <c r="CC133" s="182">
        <v>45202</v>
      </c>
      <c r="CD133" s="201">
        <v>38</v>
      </c>
      <c r="CE133" s="202">
        <v>45246</v>
      </c>
      <c r="CF133" s="116"/>
    </row>
    <row r="134" spans="2:84" ht="15.6" x14ac:dyDescent="0.3">
      <c r="B134" s="110" t="s">
        <v>397</v>
      </c>
      <c r="C134" s="147" t="s">
        <v>418</v>
      </c>
      <c r="D134" s="148" t="s">
        <v>405</v>
      </c>
      <c r="E134" s="148" t="s">
        <v>226</v>
      </c>
      <c r="F134" s="149">
        <v>28925264000175</v>
      </c>
      <c r="G134" s="149" t="s">
        <v>433</v>
      </c>
      <c r="H134" s="149" t="s">
        <v>388</v>
      </c>
      <c r="I134" s="150">
        <v>1</v>
      </c>
      <c r="J134" s="151">
        <v>2</v>
      </c>
      <c r="K134" s="151" t="s">
        <v>126</v>
      </c>
      <c r="L134" s="151" t="s">
        <v>121</v>
      </c>
      <c r="M134" s="151" t="s">
        <v>106</v>
      </c>
      <c r="N134" s="151" t="s">
        <v>109</v>
      </c>
      <c r="O134" s="152">
        <v>634000</v>
      </c>
      <c r="P134" s="153">
        <v>634000000</v>
      </c>
      <c r="Q134" s="153">
        <v>1000</v>
      </c>
      <c r="R134" s="154">
        <v>43266</v>
      </c>
      <c r="S134" s="154">
        <v>46553</v>
      </c>
      <c r="T134" s="155" t="s">
        <v>409</v>
      </c>
      <c r="U134" s="155" t="s">
        <v>426</v>
      </c>
      <c r="V134" s="154" t="s">
        <v>194</v>
      </c>
      <c r="W134" s="154" t="s">
        <v>102</v>
      </c>
      <c r="X134" s="154" t="s">
        <v>442</v>
      </c>
      <c r="Y134" s="154">
        <v>46249</v>
      </c>
      <c r="Z134" s="156">
        <f>IFERROR(INDEX(Base!G:G,MATCH('Debêntures IPCA-Spread'!Y134,Base!F:F,0)),"")</f>
        <v>6.5365000000000002</v>
      </c>
      <c r="AA134" s="115"/>
      <c r="AB134" s="157">
        <v>45552</v>
      </c>
      <c r="AC134" s="158">
        <v>6.3288000000000002</v>
      </c>
      <c r="AD134" s="159">
        <f t="shared" si="6"/>
        <v>-0.2077</v>
      </c>
      <c r="AE134" s="160">
        <v>0.35</v>
      </c>
      <c r="AF134" s="161">
        <v>6.4885000000000002</v>
      </c>
      <c r="AG134" s="161">
        <v>6.1124999999999998</v>
      </c>
      <c r="AH134" s="162">
        <v>902.73846700000001</v>
      </c>
      <c r="AI134" s="162">
        <v>902.73846700000001</v>
      </c>
      <c r="AJ134" s="163">
        <f t="shared" si="7"/>
        <v>1</v>
      </c>
      <c r="AK134" s="164">
        <v>45552</v>
      </c>
      <c r="AL134" s="165">
        <v>100.22</v>
      </c>
      <c r="AM134" s="166">
        <v>353</v>
      </c>
      <c r="AN134" s="115"/>
      <c r="AO134" s="167">
        <v>1.0956334645E-3</v>
      </c>
      <c r="AP134" s="168">
        <f>IF(AO134="","",AO134-AO$6)</f>
        <v>6.1548857957000004E-4</v>
      </c>
      <c r="AQ134" s="168">
        <v>6.8834005106000002E-3</v>
      </c>
      <c r="AR134" s="168">
        <f>IF(AQ134="","",AQ134-AQ$6)</f>
        <v>7.1009072635600003E-3</v>
      </c>
      <c r="AS134" s="168">
        <v>7.0856421178000006E-2</v>
      </c>
      <c r="AT134" s="168">
        <f>IF(AS134="","",AS134-AS$6)</f>
        <v>5.6130586123000009E-2</v>
      </c>
      <c r="AU134" s="168">
        <v>6.8503178718000001E-3</v>
      </c>
      <c r="AV134" s="168">
        <f>IF(AU134="","",AU134-AU$6)</f>
        <v>1.99189004678E-2</v>
      </c>
      <c r="AW134" s="168">
        <v>2.6815693274000001E-2</v>
      </c>
      <c r="AX134" s="168">
        <f>IF(AW134="","",AW134-AW$6)</f>
        <v>2.8206254860000009E-3</v>
      </c>
      <c r="AY134" s="168">
        <v>4.1101484991999997E-2</v>
      </c>
      <c r="AZ134" s="168">
        <f>IF(AY134="","",AY134-AY$6)</f>
        <v>2.6859230201999998E-2</v>
      </c>
      <c r="BA134" s="168">
        <v>9.8512248314000003E-2</v>
      </c>
      <c r="BB134" s="168">
        <f>IF(BA134="","",BA134-BA$6)</f>
        <v>4.5025283756000005E-2</v>
      </c>
      <c r="BC134" s="168">
        <v>0.23533763151000001</v>
      </c>
      <c r="BD134" s="168">
        <f>IF(BC134="","",BC134-BC$6)</f>
        <v>4.1029065020000005E-2</v>
      </c>
      <c r="BE134" s="168">
        <v>0.34984039954000001</v>
      </c>
      <c r="BF134" s="168">
        <f>IF(BE134="","",BE134-BE$6)</f>
        <v>8.8121060000000029E-2</v>
      </c>
      <c r="BG134" s="168">
        <v>0.47399541174999998</v>
      </c>
      <c r="BH134" s="168">
        <f>IF(BG134="","",BG134-BG$6)</f>
        <v>0.16507876293999996</v>
      </c>
      <c r="BI134" s="168">
        <v>0.52723786621000002</v>
      </c>
      <c r="BJ134" s="168">
        <f>IF(BI134="","",BI134-BI$6)</f>
        <v>0.15429485612999999</v>
      </c>
      <c r="BK134" s="169">
        <v>1.8655668282</v>
      </c>
      <c r="BL134" s="115"/>
      <c r="BM134" s="170">
        <v>5.1087293267999996E-3</v>
      </c>
      <c r="BN134" s="163">
        <v>-3.1413717696999999E-3</v>
      </c>
      <c r="BO134" s="163">
        <v>1.4362875036999999E-2</v>
      </c>
      <c r="BP134" s="163">
        <v>-1.8566508032999999E-3</v>
      </c>
      <c r="BQ134" s="171">
        <v>10</v>
      </c>
      <c r="BR134" s="171">
        <v>2</v>
      </c>
      <c r="BS134" s="171">
        <v>6</v>
      </c>
      <c r="BT134" s="171">
        <v>6</v>
      </c>
      <c r="BU134" s="172">
        <v>-0.62994379017000002</v>
      </c>
      <c r="BV134" s="172">
        <v>-0.37504882651999999</v>
      </c>
      <c r="BW134" s="163">
        <v>1.9280871138E-3</v>
      </c>
      <c r="BX134" s="163">
        <v>1.6391975211E-3</v>
      </c>
      <c r="BY134" s="161">
        <v>-1.5462989626000001</v>
      </c>
      <c r="BZ134" s="163">
        <v>-6.8506494037999998E-3</v>
      </c>
      <c r="CA134" s="163">
        <v>-6.8506494037999998E-3</v>
      </c>
      <c r="CB134" s="154">
        <v>45189</v>
      </c>
      <c r="CC134" s="154">
        <v>45217</v>
      </c>
      <c r="CD134" s="173">
        <v>32</v>
      </c>
      <c r="CE134" s="174">
        <v>45237</v>
      </c>
      <c r="CF134" s="116"/>
    </row>
    <row r="135" spans="2:84" ht="15.6" x14ac:dyDescent="0.3">
      <c r="B135" s="98" t="s">
        <v>398</v>
      </c>
      <c r="C135" s="175" t="s">
        <v>419</v>
      </c>
      <c r="D135" s="176" t="s">
        <v>406</v>
      </c>
      <c r="E135" s="176" t="s">
        <v>226</v>
      </c>
      <c r="F135" s="177">
        <v>28942127000149</v>
      </c>
      <c r="G135" s="177" t="s">
        <v>434</v>
      </c>
      <c r="H135" s="177" t="s">
        <v>388</v>
      </c>
      <c r="I135" s="178">
        <v>1</v>
      </c>
      <c r="J135" s="179">
        <v>2</v>
      </c>
      <c r="K135" s="179" t="s">
        <v>126</v>
      </c>
      <c r="L135" s="179" t="s">
        <v>121</v>
      </c>
      <c r="M135" s="179" t="s">
        <v>106</v>
      </c>
      <c r="N135" s="179" t="s">
        <v>109</v>
      </c>
      <c r="O135" s="180">
        <v>386000</v>
      </c>
      <c r="P135" s="181">
        <v>386000000</v>
      </c>
      <c r="Q135" s="181">
        <v>1000</v>
      </c>
      <c r="R135" s="182">
        <v>43266</v>
      </c>
      <c r="S135" s="182">
        <v>46553</v>
      </c>
      <c r="T135" s="183" t="s">
        <v>410</v>
      </c>
      <c r="U135" s="183" t="s">
        <v>427</v>
      </c>
      <c r="V135" s="182" t="s">
        <v>194</v>
      </c>
      <c r="W135" s="182" t="s">
        <v>102</v>
      </c>
      <c r="X135" s="182" t="s">
        <v>442</v>
      </c>
      <c r="Y135" s="182">
        <v>46249</v>
      </c>
      <c r="Z135" s="184">
        <f>IFERROR(INDEX(Base!G:G,MATCH('Debêntures IPCA-Spread'!Y135,Base!F:F,0)),"")</f>
        <v>6.5365000000000002</v>
      </c>
      <c r="AA135" s="115"/>
      <c r="AB135" s="185">
        <v>45552</v>
      </c>
      <c r="AC135" s="186">
        <v>6.2442000000000002</v>
      </c>
      <c r="AD135" s="187">
        <f t="shared" si="6"/>
        <v>-0.2923</v>
      </c>
      <c r="AE135" s="188">
        <v>0.14000000000000001</v>
      </c>
      <c r="AF135" s="189">
        <v>6.4905999999999997</v>
      </c>
      <c r="AG135" s="189">
        <v>6.0416999999999996</v>
      </c>
      <c r="AH135" s="190">
        <v>996.25068499999998</v>
      </c>
      <c r="AI135" s="190">
        <v>996.25068499999998</v>
      </c>
      <c r="AJ135" s="191">
        <f t="shared" si="7"/>
        <v>1</v>
      </c>
      <c r="AK135" s="192">
        <v>45552</v>
      </c>
      <c r="AL135" s="193">
        <v>100.34</v>
      </c>
      <c r="AM135" s="194">
        <v>362</v>
      </c>
      <c r="AN135" s="115"/>
      <c r="AO135" s="195">
        <v>1.2439476395000001E-3</v>
      </c>
      <c r="AP135" s="196">
        <f>IF(AO135="","",AO135-AO$6)</f>
        <v>7.6380275457000007E-4</v>
      </c>
      <c r="AQ135" s="196">
        <v>7.4961423434000002E-3</v>
      </c>
      <c r="AR135" s="196">
        <f>IF(AQ135="","",AQ135-AQ$6)</f>
        <v>7.7136490963600002E-3</v>
      </c>
      <c r="AS135" s="196">
        <v>6.8031924290999995E-2</v>
      </c>
      <c r="AT135" s="196">
        <f>IF(AS135="","",AS135-AS$6)</f>
        <v>5.3306089235999998E-2</v>
      </c>
      <c r="AU135" s="196">
        <v>8.6947248636999996E-3</v>
      </c>
      <c r="AV135" s="196">
        <f>IF(AU135="","",AU135-AU$6)</f>
        <v>2.1763307459699999E-2</v>
      </c>
      <c r="AW135" s="196">
        <v>2.8119492012000001E-2</v>
      </c>
      <c r="AX135" s="196">
        <f>IF(AW135="","",AW135-AW$6)</f>
        <v>4.1244242240000006E-3</v>
      </c>
      <c r="AY135" s="196">
        <v>4.0691881184000002E-2</v>
      </c>
      <c r="AZ135" s="196">
        <f>IF(AY135="","",AY135-AY$6)</f>
        <v>2.6449626394000003E-2</v>
      </c>
      <c r="BA135" s="196">
        <v>9.8615274332E-2</v>
      </c>
      <c r="BB135" s="196">
        <f>IF(BA135="","",BA135-BA$6)</f>
        <v>4.5128309774000001E-2</v>
      </c>
      <c r="BC135" s="196">
        <v>0.23569778350000001</v>
      </c>
      <c r="BD135" s="196">
        <f>IF(BC135="","",BC135-BC$6)</f>
        <v>4.1389217010000007E-2</v>
      </c>
      <c r="BE135" s="196">
        <v>0.35160421826999999</v>
      </c>
      <c r="BF135" s="196">
        <f>IF(BE135="","",BE135-BE$6)</f>
        <v>8.9884878730000006E-2</v>
      </c>
      <c r="BG135" s="196">
        <v>0.47431336487999998</v>
      </c>
      <c r="BH135" s="196">
        <f>IF(BG135="","",BG135-BG$6)</f>
        <v>0.16539671606999995</v>
      </c>
      <c r="BI135" s="196">
        <v>0.53405175782000003</v>
      </c>
      <c r="BJ135" s="196">
        <f>IF(BI135="","",BI135-BI$6)</f>
        <v>0.16110874774</v>
      </c>
      <c r="BK135" s="197">
        <v>2.0821723984</v>
      </c>
      <c r="BL135" s="115"/>
      <c r="BM135" s="198">
        <v>8.5123536901E-3</v>
      </c>
      <c r="BN135" s="191">
        <v>-4.4205949853000004E-3</v>
      </c>
      <c r="BO135" s="191">
        <v>1.7521061731000001E-2</v>
      </c>
      <c r="BP135" s="191">
        <v>-1.5297526215E-3</v>
      </c>
      <c r="BQ135" s="199">
        <v>10</v>
      </c>
      <c r="BR135" s="199">
        <v>2</v>
      </c>
      <c r="BS135" s="199">
        <v>7</v>
      </c>
      <c r="BT135" s="199">
        <v>5</v>
      </c>
      <c r="BU135" s="200">
        <v>-0.55789696338999994</v>
      </c>
      <c r="BV135" s="200">
        <v>-0.32584465308999999</v>
      </c>
      <c r="BW135" s="191">
        <v>2.1525099354999999E-3</v>
      </c>
      <c r="BX135" s="191">
        <v>1.5551603744E-3</v>
      </c>
      <c r="BY135" s="189">
        <v>-1.5274652998</v>
      </c>
      <c r="BZ135" s="191">
        <v>-8.3166906861999994E-3</v>
      </c>
      <c r="CA135" s="191">
        <v>-8.3166906861999994E-3</v>
      </c>
      <c r="CB135" s="182">
        <v>45189</v>
      </c>
      <c r="CC135" s="182">
        <v>45218</v>
      </c>
      <c r="CD135" s="201">
        <v>37</v>
      </c>
      <c r="CE135" s="202">
        <v>45244</v>
      </c>
      <c r="CF135" s="116"/>
    </row>
    <row r="136" spans="2:84" ht="15.6" x14ac:dyDescent="0.3">
      <c r="B136" s="110" t="s">
        <v>506</v>
      </c>
      <c r="C136" s="147" t="s">
        <v>671</v>
      </c>
      <c r="D136" s="148" t="s">
        <v>620</v>
      </c>
      <c r="E136" s="148" t="s">
        <v>226</v>
      </c>
      <c r="F136" s="149">
        <v>19527586000175</v>
      </c>
      <c r="G136" s="149" t="s">
        <v>826</v>
      </c>
      <c r="H136" s="149" t="s">
        <v>388</v>
      </c>
      <c r="I136" s="150">
        <v>2</v>
      </c>
      <c r="J136" s="151">
        <v>1</v>
      </c>
      <c r="K136" s="151" t="s">
        <v>126</v>
      </c>
      <c r="L136" s="151" t="s">
        <v>124</v>
      </c>
      <c r="M136" s="151" t="s">
        <v>106</v>
      </c>
      <c r="N136" s="151" t="s">
        <v>109</v>
      </c>
      <c r="O136" s="152">
        <v>236000</v>
      </c>
      <c r="P136" s="153">
        <v>236000000</v>
      </c>
      <c r="Q136" s="153">
        <v>1000</v>
      </c>
      <c r="R136" s="154">
        <v>43235</v>
      </c>
      <c r="S136" s="154">
        <v>48380</v>
      </c>
      <c r="T136" s="155" t="s">
        <v>761</v>
      </c>
      <c r="U136" s="155" t="s">
        <v>913</v>
      </c>
      <c r="V136" s="154" t="s">
        <v>194</v>
      </c>
      <c r="W136" s="154" t="s">
        <v>102</v>
      </c>
      <c r="X136" s="154" t="s">
        <v>963</v>
      </c>
      <c r="Y136" s="154">
        <v>46980</v>
      </c>
      <c r="Z136" s="156">
        <f>IFERROR(INDEX(Base!G:G,MATCH('Debêntures IPCA-Spread'!Y136,Base!F:F,0)),"")</f>
        <v>6.4702000000000002</v>
      </c>
      <c r="AA136" s="115"/>
      <c r="AB136" s="157">
        <v>45552</v>
      </c>
      <c r="AC136" s="158">
        <v>7.6247999999999996</v>
      </c>
      <c r="AD136" s="159">
        <f t="shared" si="6"/>
        <v>1.1545999999999994</v>
      </c>
      <c r="AE136" s="160">
        <v>0.17</v>
      </c>
      <c r="AF136" s="161">
        <v>7.8323</v>
      </c>
      <c r="AG136" s="161">
        <v>7.3951000000000002</v>
      </c>
      <c r="AH136" s="162">
        <v>1303.4148299999999</v>
      </c>
      <c r="AI136" s="162">
        <v>1303.4148299999999</v>
      </c>
      <c r="AJ136" s="163">
        <f t="shared" si="7"/>
        <v>1</v>
      </c>
      <c r="AK136" s="164">
        <v>45552</v>
      </c>
      <c r="AL136" s="165">
        <v>101.11</v>
      </c>
      <c r="AM136" s="166">
        <v>932</v>
      </c>
      <c r="AN136" s="115"/>
      <c r="AO136" s="167">
        <v>2.1248210451E-3</v>
      </c>
      <c r="AP136" s="168">
        <f>IF(AO136="","",AO136-AO$6)</f>
        <v>1.64467616017E-3</v>
      </c>
      <c r="AQ136" s="168">
        <v>1.0869798667E-2</v>
      </c>
      <c r="AR136" s="168">
        <f>IF(AQ136="","",AQ136-AQ$6)</f>
        <v>1.1087305419959999E-2</v>
      </c>
      <c r="AS136" s="168">
        <v>6.2011644632999997E-2</v>
      </c>
      <c r="AT136" s="168">
        <f>IF(AS136="","",AS136-AS$6)</f>
        <v>4.7285809577999993E-2</v>
      </c>
      <c r="AU136" s="168">
        <v>2.4979019236000002E-3</v>
      </c>
      <c r="AV136" s="168">
        <f>IF(AU136="","",AU136-AU$6)</f>
        <v>1.55664845196E-2</v>
      </c>
      <c r="AW136" s="168">
        <v>3.3134378704000003E-2</v>
      </c>
      <c r="AX136" s="168">
        <f>IF(AW136="","",AW136-AW$6)</f>
        <v>9.1393109160000027E-3</v>
      </c>
      <c r="AY136" s="168">
        <v>3.8425580053000001E-2</v>
      </c>
      <c r="AZ136" s="168">
        <f>IF(AY136="","",AY136-AY$6)</f>
        <v>2.4183325263000002E-2</v>
      </c>
      <c r="BA136" s="168">
        <v>0.10156073357000001</v>
      </c>
      <c r="BB136" s="168">
        <f>IF(BA136="","",BA136-BA$6)</f>
        <v>4.8073769012000007E-2</v>
      </c>
      <c r="BC136" s="168">
        <v>0.21756714835999999</v>
      </c>
      <c r="BD136" s="168">
        <f>IF(BC136="","",BC136-BC$6)</f>
        <v>2.3258581869999989E-2</v>
      </c>
      <c r="BE136" s="168">
        <v>0.34134393730000001</v>
      </c>
      <c r="BF136" s="168">
        <f>IF(BE136="","",BE136-BE$6)</f>
        <v>7.9624597760000027E-2</v>
      </c>
      <c r="BG136" s="168">
        <v>0.49225382837999998</v>
      </c>
      <c r="BH136" s="168">
        <f>IF(BG136="","",BG136-BG$6)</f>
        <v>0.18333717956999995</v>
      </c>
      <c r="BI136" s="168">
        <v>0.51429995462</v>
      </c>
      <c r="BJ136" s="168">
        <f>IF(BI136="","",BI136-BI$6)</f>
        <v>0.14135694453999997</v>
      </c>
      <c r="BK136" s="169">
        <v>4.1232380527999997</v>
      </c>
      <c r="BL136" s="115"/>
      <c r="BM136" s="170">
        <v>7.6532808270999998E-3</v>
      </c>
      <c r="BN136" s="163">
        <v>-8.9969708496999996E-3</v>
      </c>
      <c r="BO136" s="163">
        <v>2.5806008583000001E-2</v>
      </c>
      <c r="BP136" s="163">
        <v>-1.3716844658999999E-2</v>
      </c>
      <c r="BQ136" s="171">
        <v>9</v>
      </c>
      <c r="BR136" s="171">
        <v>3</v>
      </c>
      <c r="BS136" s="171">
        <v>7</v>
      </c>
      <c r="BT136" s="171">
        <v>5</v>
      </c>
      <c r="BU136" s="172">
        <v>-0.20254105446000001</v>
      </c>
      <c r="BV136" s="172">
        <v>-0.2746313292</v>
      </c>
      <c r="BW136" s="163">
        <v>4.2592944727000001E-3</v>
      </c>
      <c r="BX136" s="163">
        <v>3.5516100620999998E-3</v>
      </c>
      <c r="BY136" s="161">
        <v>-1.3209950211000001</v>
      </c>
      <c r="BZ136" s="163">
        <v>-1.5458596450999999E-2</v>
      </c>
      <c r="CA136" s="163">
        <v>-1.5458596450999999E-2</v>
      </c>
      <c r="CB136" s="154">
        <v>45187</v>
      </c>
      <c r="CC136" s="154">
        <v>45196</v>
      </c>
      <c r="CD136" s="173">
        <v>38</v>
      </c>
      <c r="CE136" s="174">
        <v>45243</v>
      </c>
      <c r="CF136" s="116"/>
    </row>
    <row r="137" spans="2:84" ht="15.6" x14ac:dyDescent="0.3">
      <c r="B137" s="98" t="s">
        <v>35</v>
      </c>
      <c r="C137" s="175" t="s">
        <v>293</v>
      </c>
      <c r="D137" s="176" t="s">
        <v>74</v>
      </c>
      <c r="E137" s="176" t="s">
        <v>226</v>
      </c>
      <c r="F137" s="177">
        <v>20829557000147</v>
      </c>
      <c r="G137" s="177" t="s">
        <v>350</v>
      </c>
      <c r="H137" s="177" t="s">
        <v>388</v>
      </c>
      <c r="I137" s="178">
        <v>2</v>
      </c>
      <c r="J137" s="179" t="s">
        <v>108</v>
      </c>
      <c r="K137" s="179" t="s">
        <v>111</v>
      </c>
      <c r="L137" s="179" t="s">
        <v>112</v>
      </c>
      <c r="M137" s="179" t="s">
        <v>114</v>
      </c>
      <c r="N137" s="179" t="s">
        <v>109</v>
      </c>
      <c r="O137" s="180">
        <v>102500</v>
      </c>
      <c r="P137" s="181">
        <v>102500000</v>
      </c>
      <c r="Q137" s="181">
        <v>1000</v>
      </c>
      <c r="R137" s="182">
        <v>42840</v>
      </c>
      <c r="S137" s="182">
        <v>46736</v>
      </c>
      <c r="T137" s="183" t="s">
        <v>139</v>
      </c>
      <c r="U137" s="183" t="s">
        <v>171</v>
      </c>
      <c r="V137" s="182" t="s">
        <v>194</v>
      </c>
      <c r="W137" s="182" t="s">
        <v>102</v>
      </c>
      <c r="X137" s="182" t="s">
        <v>200</v>
      </c>
      <c r="Y137" s="182">
        <v>46249</v>
      </c>
      <c r="Z137" s="184">
        <f>IFERROR(INDEX(Base!G:G,MATCH('Debêntures IPCA-Spread'!Y137,Base!F:F,0)),"")</f>
        <v>6.5365000000000002</v>
      </c>
      <c r="AA137" s="115"/>
      <c r="AB137" s="185">
        <v>45552</v>
      </c>
      <c r="AC137" s="186">
        <v>7.4970999999999997</v>
      </c>
      <c r="AD137" s="187">
        <f t="shared" ref="AD137:AD168" si="8">IF(AND(Z137&lt;&gt;"",AC137&lt;&gt;""),AC137-Z137,"")</f>
        <v>0.96059999999999945</v>
      </c>
      <c r="AE137" s="188">
        <v>0.19</v>
      </c>
      <c r="AF137" s="189">
        <v>7.6058000000000003</v>
      </c>
      <c r="AG137" s="189">
        <v>7.3720999999999997</v>
      </c>
      <c r="AH137" s="190">
        <v>835.33848799999998</v>
      </c>
      <c r="AI137" s="190">
        <v>835.33848799999998</v>
      </c>
      <c r="AJ137" s="191">
        <f t="shared" ref="AJ137:AJ168" si="9">IFERROR(AH137/AI137,"")</f>
        <v>1</v>
      </c>
      <c r="AK137" s="192">
        <v>45552</v>
      </c>
      <c r="AL137" s="193">
        <v>99.3</v>
      </c>
      <c r="AM137" s="194">
        <v>435</v>
      </c>
      <c r="AN137" s="115"/>
      <c r="AO137" s="195">
        <v>6.1575461223000003E-4</v>
      </c>
      <c r="AP137" s="196">
        <f>IF(AO137="","",AO137-AO$6)</f>
        <v>1.3560972730000003E-4</v>
      </c>
      <c r="AQ137" s="196">
        <v>6.4165187195999998E-3</v>
      </c>
      <c r="AR137" s="196">
        <f>IF(AQ137="","",AQ137-AQ$6)</f>
        <v>6.6340254725599998E-3</v>
      </c>
      <c r="AS137" s="196">
        <v>7.5362725182999996E-2</v>
      </c>
      <c r="AT137" s="196">
        <f>IF(AS137="","",AS137-AS$6)</f>
        <v>6.0636890127999998E-2</v>
      </c>
      <c r="AU137" s="196">
        <v>6.2140994213999998E-3</v>
      </c>
      <c r="AV137" s="196">
        <f>IF(AU137="","",AU137-AU$6)</f>
        <v>1.92826820174E-2</v>
      </c>
      <c r="AW137" s="196">
        <v>3.3100468318000002E-2</v>
      </c>
      <c r="AX137" s="196">
        <f>IF(AW137="","",AW137-AW$6)</f>
        <v>9.1054005300000018E-3</v>
      </c>
      <c r="AY137" s="196">
        <v>5.1594493969000003E-2</v>
      </c>
      <c r="AZ137" s="196">
        <f>IF(AY137="","",AY137-AY$6)</f>
        <v>3.7352239179000005E-2</v>
      </c>
      <c r="BA137" s="196">
        <v>0.10991419898</v>
      </c>
      <c r="BB137" s="196">
        <f>IF(BA137="","",BA137-BA$6)</f>
        <v>5.6427234422000004E-2</v>
      </c>
      <c r="BC137" s="196">
        <v>0.23263114316</v>
      </c>
      <c r="BD137" s="196">
        <f>IF(BC137="","",BC137-BC$6)</f>
        <v>3.8322576669999997E-2</v>
      </c>
      <c r="BE137" s="196">
        <v>0.35082404245999999</v>
      </c>
      <c r="BF137" s="196">
        <f>IF(BE137="","",BE137-BE$6)</f>
        <v>8.9104702920000001E-2</v>
      </c>
      <c r="BG137" s="196">
        <v>0.49982542132000002</v>
      </c>
      <c r="BH137" s="196">
        <f>IF(BG137="","",BG137-BG$6)</f>
        <v>0.19090877250999999</v>
      </c>
      <c r="BI137" s="196">
        <v>0.5714771877</v>
      </c>
      <c r="BJ137" s="196">
        <f>IF(BI137="","",BI137-BI$6)</f>
        <v>0.19853417761999997</v>
      </c>
      <c r="BK137" s="197">
        <v>3.9142976117999999</v>
      </c>
      <c r="BL137" s="115"/>
      <c r="BM137" s="198">
        <v>7.6234670831999999E-3</v>
      </c>
      <c r="BN137" s="191">
        <v>-7.9562127356999999E-3</v>
      </c>
      <c r="BO137" s="191">
        <v>1.8938370616999999E-2</v>
      </c>
      <c r="BP137" s="191">
        <v>-8.1680346510999997E-3</v>
      </c>
      <c r="BQ137" s="199">
        <v>10</v>
      </c>
      <c r="BR137" s="199">
        <v>2</v>
      </c>
      <c r="BS137" s="199">
        <v>7</v>
      </c>
      <c r="BT137" s="199">
        <v>5</v>
      </c>
      <c r="BU137" s="200">
        <v>-2.3256796157E-2</v>
      </c>
      <c r="BV137" s="200">
        <v>-0.26886762521000002</v>
      </c>
      <c r="BW137" s="191">
        <v>4.0449057020000003E-3</v>
      </c>
      <c r="BX137" s="191">
        <v>1.9884470525999998E-3</v>
      </c>
      <c r="BY137" s="189">
        <v>-0.50390126814000002</v>
      </c>
      <c r="BZ137" s="191">
        <v>-1.1718283858E-2</v>
      </c>
      <c r="CA137" s="191">
        <v>-1.1718283858E-2</v>
      </c>
      <c r="CB137" s="182">
        <v>45379</v>
      </c>
      <c r="CC137" s="182">
        <v>45399</v>
      </c>
      <c r="CD137" s="201">
        <v>29</v>
      </c>
      <c r="CE137" s="202">
        <v>45422</v>
      </c>
      <c r="CF137" s="116"/>
    </row>
    <row r="138" spans="2:84" ht="15.6" x14ac:dyDescent="0.3">
      <c r="B138" s="110" t="s">
        <v>2242</v>
      </c>
      <c r="C138" s="147" t="s">
        <v>2627</v>
      </c>
      <c r="D138" s="148" t="s">
        <v>75</v>
      </c>
      <c r="E138" s="148" t="s">
        <v>228</v>
      </c>
      <c r="F138" s="149">
        <v>3207703000183</v>
      </c>
      <c r="G138" s="149" t="s">
        <v>2377</v>
      </c>
      <c r="H138" s="149" t="s">
        <v>388</v>
      </c>
      <c r="I138" s="150">
        <v>11</v>
      </c>
      <c r="J138" s="151" t="s">
        <v>107</v>
      </c>
      <c r="K138" s="151" t="s">
        <v>126</v>
      </c>
      <c r="L138" s="151" t="s">
        <v>125</v>
      </c>
      <c r="M138" s="151" t="s">
        <v>114</v>
      </c>
      <c r="N138" s="151" t="s">
        <v>109</v>
      </c>
      <c r="O138" s="152">
        <v>2500000</v>
      </c>
      <c r="P138" s="153">
        <v>2500000000</v>
      </c>
      <c r="Q138" s="153">
        <v>1000</v>
      </c>
      <c r="R138" s="154">
        <v>45427</v>
      </c>
      <c r="S138" s="154">
        <v>50540</v>
      </c>
      <c r="T138" s="155" t="s">
        <v>2718</v>
      </c>
      <c r="U138" s="155" t="s">
        <v>2738</v>
      </c>
      <c r="V138" s="154" t="s">
        <v>105</v>
      </c>
      <c r="W138" s="154" t="s">
        <v>102</v>
      </c>
      <c r="X138" s="154" t="s">
        <v>2508</v>
      </c>
      <c r="Y138" s="154">
        <v>48714</v>
      </c>
      <c r="Z138" s="156">
        <f>IFERROR(INDEX(Base!G:G,MATCH('Debêntures IPCA-Spread'!Y138,Base!F:F,0)),"")</f>
        <v>6.3373999999999997</v>
      </c>
      <c r="AA138" s="115"/>
      <c r="AB138" s="157">
        <v>45552</v>
      </c>
      <c r="AC138" s="158">
        <v>6.8552</v>
      </c>
      <c r="AD138" s="159">
        <f t="shared" si="8"/>
        <v>0.51780000000000026</v>
      </c>
      <c r="AE138" s="160">
        <v>0.04</v>
      </c>
      <c r="AF138" s="161">
        <v>7.0038</v>
      </c>
      <c r="AG138" s="161">
        <v>6.73</v>
      </c>
      <c r="AH138" s="162">
        <v>1024.0506559999999</v>
      </c>
      <c r="AI138" s="162"/>
      <c r="AJ138" s="163" t="str">
        <f t="shared" si="9"/>
        <v/>
      </c>
      <c r="AK138" s="164"/>
      <c r="AL138" s="165">
        <v>100.08</v>
      </c>
      <c r="AM138" s="166">
        <v>1755</v>
      </c>
      <c r="AN138" s="115"/>
      <c r="AO138" s="167">
        <v>-5.2085318110999998E-4</v>
      </c>
      <c r="AP138" s="168">
        <f>IF(AO138="","",AO138-AO$6)</f>
        <v>-1.00099806604E-3</v>
      </c>
      <c r="AQ138" s="168">
        <v>-2.9973807159000001E-4</v>
      </c>
      <c r="AR138" s="168">
        <f>IF(AQ138="","",AQ138-AQ$6)</f>
        <v>-8.2231318630000008E-5</v>
      </c>
      <c r="AS138" s="168"/>
      <c r="AT138" s="168" t="str">
        <f>IF(AS138="","",AS138-AS$6)</f>
        <v/>
      </c>
      <c r="AU138" s="168">
        <v>-1.7158549360999999E-2</v>
      </c>
      <c r="AV138" s="168">
        <f>IF(AU138="","",AU138-AU$6)</f>
        <v>-4.0899667649999995E-3</v>
      </c>
      <c r="AW138" s="168"/>
      <c r="AX138" s="168" t="str">
        <f>IF(AW138="","",AW138-AW$6)</f>
        <v/>
      </c>
      <c r="AY138" s="168"/>
      <c r="AZ138" s="168" t="str">
        <f>IF(AY138="","",AY138-AY$6)</f>
        <v/>
      </c>
      <c r="BA138" s="168"/>
      <c r="BB138" s="168" t="str">
        <f>IF(BA138="","",BA138-BA$6)</f>
        <v/>
      </c>
      <c r="BC138" s="168"/>
      <c r="BD138" s="168" t="str">
        <f>IF(BC138="","",BC138-BC$6)</f>
        <v/>
      </c>
      <c r="BE138" s="168"/>
      <c r="BF138" s="168" t="str">
        <f>IF(BE138="","",BE138-BE$6)</f>
        <v/>
      </c>
      <c r="BG138" s="168"/>
      <c r="BH138" s="168" t="str">
        <f>IF(BG138="","",BG138-BG$6)</f>
        <v/>
      </c>
      <c r="BI138" s="168"/>
      <c r="BJ138" s="168" t="str">
        <f>IF(BI138="","",BI138-BI$6)</f>
        <v/>
      </c>
      <c r="BK138" s="169"/>
      <c r="BL138" s="115"/>
      <c r="BM138" s="170">
        <v>1.4164983373E-2</v>
      </c>
      <c r="BN138" s="163">
        <v>-5.8323866541999999E-3</v>
      </c>
      <c r="BO138" s="163">
        <v>1.0861312608000001E-2</v>
      </c>
      <c r="BP138" s="163">
        <v>-2.9973807159000001E-4</v>
      </c>
      <c r="BQ138" s="171"/>
      <c r="BR138" s="171"/>
      <c r="BS138" s="171"/>
      <c r="BT138" s="171"/>
      <c r="BU138" s="172"/>
      <c r="BV138" s="172"/>
      <c r="BW138" s="163"/>
      <c r="BX138" s="163">
        <v>4.7462023545000002E-3</v>
      </c>
      <c r="BY138" s="161"/>
      <c r="BZ138" s="163">
        <v>-1.6989072624000001E-3</v>
      </c>
      <c r="CA138" s="163">
        <v>-2.2442209264999999E-2</v>
      </c>
      <c r="CB138" s="154">
        <v>45518</v>
      </c>
      <c r="CC138" s="154">
        <v>45537</v>
      </c>
      <c r="CD138" s="173"/>
      <c r="CE138" s="174"/>
      <c r="CF138" s="116"/>
    </row>
    <row r="139" spans="2:84" ht="15.6" x14ac:dyDescent="0.3">
      <c r="B139" s="98" t="s">
        <v>36</v>
      </c>
      <c r="C139" s="175" t="s">
        <v>294</v>
      </c>
      <c r="D139" s="176" t="s">
        <v>76</v>
      </c>
      <c r="E139" s="176" t="s">
        <v>230</v>
      </c>
      <c r="F139" s="177">
        <v>15578569000106</v>
      </c>
      <c r="G139" s="177" t="s">
        <v>351</v>
      </c>
      <c r="H139" s="177" t="s">
        <v>388</v>
      </c>
      <c r="I139" s="178">
        <v>1</v>
      </c>
      <c r="J139" s="179">
        <v>1</v>
      </c>
      <c r="K139" s="179" t="s">
        <v>126</v>
      </c>
      <c r="L139" s="179" t="s">
        <v>123</v>
      </c>
      <c r="M139" s="179" t="s">
        <v>106</v>
      </c>
      <c r="N139" s="179" t="s">
        <v>109</v>
      </c>
      <c r="O139" s="180">
        <v>75000</v>
      </c>
      <c r="P139" s="181">
        <v>75000000</v>
      </c>
      <c r="Q139" s="181">
        <v>1000</v>
      </c>
      <c r="R139" s="182">
        <v>41685</v>
      </c>
      <c r="S139" s="182">
        <v>45731</v>
      </c>
      <c r="T139" s="183" t="s">
        <v>141</v>
      </c>
      <c r="U139" s="183" t="s">
        <v>172</v>
      </c>
      <c r="V139" s="182" t="s">
        <v>194</v>
      </c>
      <c r="W139" s="182" t="s">
        <v>102</v>
      </c>
      <c r="X139" s="182" t="s">
        <v>1319</v>
      </c>
      <c r="Y139" s="182">
        <v>45792</v>
      </c>
      <c r="Z139" s="184">
        <f>IFERROR(INDEX(Base!G:G,MATCH('Debêntures IPCA-Spread'!Y139,Base!F:F,0)),"")</f>
        <v>5.73</v>
      </c>
      <c r="AA139" s="115"/>
      <c r="AB139" s="185">
        <v>45449</v>
      </c>
      <c r="AC139" s="186"/>
      <c r="AD139" s="187" t="str">
        <f t="shared" si="8"/>
        <v/>
      </c>
      <c r="AE139" s="188"/>
      <c r="AF139" s="189"/>
      <c r="AG139" s="189"/>
      <c r="AH139" s="190"/>
      <c r="AI139" s="190">
        <v>863.20705399999997</v>
      </c>
      <c r="AJ139" s="191">
        <f t="shared" si="9"/>
        <v>0</v>
      </c>
      <c r="AK139" s="192">
        <v>45365</v>
      </c>
      <c r="AL139" s="193"/>
      <c r="AM139" s="194"/>
      <c r="AN139" s="115"/>
      <c r="AO139" s="195"/>
      <c r="AP139" s="196" t="str">
        <f>IF(AO139="","",AO139-AO$6)</f>
        <v/>
      </c>
      <c r="AQ139" s="196"/>
      <c r="AR139" s="196" t="str">
        <f>IF(AQ139="","",AQ139-AQ$6)</f>
        <v/>
      </c>
      <c r="AS139" s="196"/>
      <c r="AT139" s="196" t="str">
        <f>IF(AS139="","",AS139-AS$6)</f>
        <v/>
      </c>
      <c r="AU139" s="196"/>
      <c r="AV139" s="196" t="str">
        <f>IF(AU139="","",AU139-AU$6)</f>
        <v/>
      </c>
      <c r="AW139" s="196"/>
      <c r="AX139" s="196" t="str">
        <f>IF(AW139="","",AW139-AW$6)</f>
        <v/>
      </c>
      <c r="AY139" s="196"/>
      <c r="AZ139" s="196" t="str">
        <f>IF(AY139="","",AY139-AY$6)</f>
        <v/>
      </c>
      <c r="BA139" s="196"/>
      <c r="BB139" s="196" t="str">
        <f>IF(BA139="","",BA139-BA$6)</f>
        <v/>
      </c>
      <c r="BC139" s="196"/>
      <c r="BD139" s="196" t="str">
        <f>IF(BC139="","",BC139-BC$6)</f>
        <v/>
      </c>
      <c r="BE139" s="196"/>
      <c r="BF139" s="196" t="str">
        <f>IF(BE139="","",BE139-BE$6)</f>
        <v/>
      </c>
      <c r="BG139" s="196"/>
      <c r="BH139" s="196" t="str">
        <f>IF(BG139="","",BG139-BG$6)</f>
        <v/>
      </c>
      <c r="BI139" s="196"/>
      <c r="BJ139" s="196" t="str">
        <f>IF(BI139="","",BI139-BI$6)</f>
        <v/>
      </c>
      <c r="BK139" s="197"/>
      <c r="BL139" s="115"/>
      <c r="BM139" s="198">
        <v>4.6123094307000002E-3</v>
      </c>
      <c r="BN139" s="191">
        <v>-0.22349451862</v>
      </c>
      <c r="BO139" s="191">
        <v>2.1292066807E-2</v>
      </c>
      <c r="BP139" s="191">
        <v>-0.21151170969999999</v>
      </c>
      <c r="BQ139" s="199"/>
      <c r="BR139" s="199"/>
      <c r="BS139" s="199"/>
      <c r="BT139" s="199"/>
      <c r="BU139" s="200"/>
      <c r="BV139" s="200"/>
      <c r="BW139" s="191"/>
      <c r="BX139" s="191"/>
      <c r="BY139" s="189"/>
      <c r="BZ139" s="191">
        <v>-2.3601170921000001E-3</v>
      </c>
      <c r="CA139" s="191">
        <v>-0.22349451862</v>
      </c>
      <c r="CB139" s="182">
        <v>45365</v>
      </c>
      <c r="CC139" s="182">
        <v>45366</v>
      </c>
      <c r="CD139" s="201"/>
      <c r="CE139" s="202"/>
      <c r="CF139" s="116"/>
    </row>
    <row r="140" spans="2:84" ht="15.6" x14ac:dyDescent="0.3">
      <c r="B140" s="110" t="s">
        <v>37</v>
      </c>
      <c r="C140" s="147" t="s">
        <v>295</v>
      </c>
      <c r="D140" s="148" t="s">
        <v>76</v>
      </c>
      <c r="E140" s="148" t="s">
        <v>230</v>
      </c>
      <c r="F140" s="149">
        <v>15578569000106</v>
      </c>
      <c r="G140" s="149" t="s">
        <v>352</v>
      </c>
      <c r="H140" s="149" t="s">
        <v>388</v>
      </c>
      <c r="I140" s="150">
        <v>1</v>
      </c>
      <c r="J140" s="151">
        <v>2</v>
      </c>
      <c r="K140" s="151" t="s">
        <v>126</v>
      </c>
      <c r="L140" s="151" t="s">
        <v>123</v>
      </c>
      <c r="M140" s="151" t="s">
        <v>106</v>
      </c>
      <c r="N140" s="151" t="s">
        <v>109</v>
      </c>
      <c r="O140" s="152">
        <v>75000</v>
      </c>
      <c r="P140" s="153">
        <v>75000000</v>
      </c>
      <c r="Q140" s="153">
        <v>1000</v>
      </c>
      <c r="R140" s="154">
        <v>41685</v>
      </c>
      <c r="S140" s="154">
        <v>45823</v>
      </c>
      <c r="T140" s="155" t="s">
        <v>142</v>
      </c>
      <c r="U140" s="155" t="s">
        <v>173</v>
      </c>
      <c r="V140" s="154" t="s">
        <v>194</v>
      </c>
      <c r="W140" s="154" t="s">
        <v>102</v>
      </c>
      <c r="X140" s="154" t="s">
        <v>1319</v>
      </c>
      <c r="Y140" s="154">
        <v>45792</v>
      </c>
      <c r="Z140" s="156">
        <f>IFERROR(INDEX(Base!G:G,MATCH('Debêntures IPCA-Spread'!Y140,Base!F:F,0)),"")</f>
        <v>5.73</v>
      </c>
      <c r="AA140" s="115"/>
      <c r="AB140" s="157">
        <v>45449</v>
      </c>
      <c r="AC140" s="158"/>
      <c r="AD140" s="159" t="str">
        <f t="shared" si="8"/>
        <v/>
      </c>
      <c r="AE140" s="160"/>
      <c r="AF140" s="161"/>
      <c r="AG140" s="161"/>
      <c r="AH140" s="162"/>
      <c r="AI140" s="162">
        <v>672.35739100000001</v>
      </c>
      <c r="AJ140" s="163">
        <f t="shared" si="9"/>
        <v>0</v>
      </c>
      <c r="AK140" s="164">
        <v>45449</v>
      </c>
      <c r="AL140" s="165"/>
      <c r="AM140" s="166"/>
      <c r="AN140" s="115"/>
      <c r="AO140" s="167"/>
      <c r="AP140" s="168" t="str">
        <f>IF(AO140="","",AO140-AO$6)</f>
        <v/>
      </c>
      <c r="AQ140" s="168"/>
      <c r="AR140" s="168" t="str">
        <f>IF(AQ140="","",AQ140-AQ$6)</f>
        <v/>
      </c>
      <c r="AS140" s="168"/>
      <c r="AT140" s="168" t="str">
        <f>IF(AS140="","",AS140-AS$6)</f>
        <v/>
      </c>
      <c r="AU140" s="168"/>
      <c r="AV140" s="168" t="str">
        <f>IF(AU140="","",AU140-AU$6)</f>
        <v/>
      </c>
      <c r="AW140" s="168"/>
      <c r="AX140" s="168" t="str">
        <f>IF(AW140="","",AW140-AW$6)</f>
        <v/>
      </c>
      <c r="AY140" s="168"/>
      <c r="AZ140" s="168" t="str">
        <f>IF(AY140="","",AY140-AY$6)</f>
        <v/>
      </c>
      <c r="BA140" s="168"/>
      <c r="BB140" s="168" t="str">
        <f>IF(BA140="","",BA140-BA$6)</f>
        <v/>
      </c>
      <c r="BC140" s="168"/>
      <c r="BD140" s="168" t="str">
        <f>IF(BC140="","",BC140-BC$6)</f>
        <v/>
      </c>
      <c r="BE140" s="168"/>
      <c r="BF140" s="168" t="str">
        <f>IF(BE140="","",BE140-BE$6)</f>
        <v/>
      </c>
      <c r="BG140" s="168"/>
      <c r="BH140" s="168" t="str">
        <f>IF(BG140="","",BG140-BG$6)</f>
        <v/>
      </c>
      <c r="BI140" s="168"/>
      <c r="BJ140" s="168" t="str">
        <f>IF(BI140="","",BI140-BI$6)</f>
        <v/>
      </c>
      <c r="BK140" s="169"/>
      <c r="BL140" s="115"/>
      <c r="BM140" s="170">
        <v>5.5493040854000001E-3</v>
      </c>
      <c r="BN140" s="163">
        <v>-2.2054252812999998E-3</v>
      </c>
      <c r="BO140" s="163">
        <v>2.2722342693999999E-2</v>
      </c>
      <c r="BP140" s="163">
        <v>3.3010331463E-3</v>
      </c>
      <c r="BQ140" s="171"/>
      <c r="BR140" s="171"/>
      <c r="BS140" s="171"/>
      <c r="BT140" s="171"/>
      <c r="BU140" s="172"/>
      <c r="BV140" s="172"/>
      <c r="BW140" s="163"/>
      <c r="BX140" s="163"/>
      <c r="BY140" s="161"/>
      <c r="BZ140" s="163">
        <v>-3.4811493983999998E-3</v>
      </c>
      <c r="CA140" s="163">
        <v>-3.4811493983999998E-3</v>
      </c>
      <c r="CB140" s="154">
        <v>45322</v>
      </c>
      <c r="CC140" s="154">
        <v>45329</v>
      </c>
      <c r="CD140" s="173">
        <v>11</v>
      </c>
      <c r="CE140" s="174">
        <v>45341</v>
      </c>
      <c r="CF140" s="116"/>
    </row>
    <row r="141" spans="2:84" ht="15.6" x14ac:dyDescent="0.3">
      <c r="B141" s="98" t="s">
        <v>38</v>
      </c>
      <c r="C141" s="175" t="s">
        <v>296</v>
      </c>
      <c r="D141" s="176" t="s">
        <v>76</v>
      </c>
      <c r="E141" s="176" t="s">
        <v>230</v>
      </c>
      <c r="F141" s="177">
        <v>15578569000106</v>
      </c>
      <c r="G141" s="177" t="s">
        <v>353</v>
      </c>
      <c r="H141" s="177" t="s">
        <v>388</v>
      </c>
      <c r="I141" s="178">
        <v>1</v>
      </c>
      <c r="J141" s="179">
        <v>3</v>
      </c>
      <c r="K141" s="179" t="s">
        <v>126</v>
      </c>
      <c r="L141" s="179" t="s">
        <v>123</v>
      </c>
      <c r="M141" s="179" t="s">
        <v>106</v>
      </c>
      <c r="N141" s="179" t="s">
        <v>109</v>
      </c>
      <c r="O141" s="180">
        <v>75000</v>
      </c>
      <c r="P141" s="181">
        <v>75000000</v>
      </c>
      <c r="Q141" s="181">
        <v>1000</v>
      </c>
      <c r="R141" s="182">
        <v>41685</v>
      </c>
      <c r="S141" s="182">
        <v>45915</v>
      </c>
      <c r="T141" s="183" t="s">
        <v>143</v>
      </c>
      <c r="U141" s="183" t="s">
        <v>174</v>
      </c>
      <c r="V141" s="182" t="s">
        <v>194</v>
      </c>
      <c r="W141" s="182" t="s">
        <v>102</v>
      </c>
      <c r="X141" s="182" t="s">
        <v>1319</v>
      </c>
      <c r="Y141" s="182">
        <v>45792</v>
      </c>
      <c r="Z141" s="184">
        <f>IFERROR(INDEX(Base!G:G,MATCH('Debêntures IPCA-Spread'!Y141,Base!F:F,0)),"")</f>
        <v>5.73</v>
      </c>
      <c r="AA141" s="115"/>
      <c r="AB141" s="185">
        <v>45449</v>
      </c>
      <c r="AC141" s="186"/>
      <c r="AD141" s="187" t="str">
        <f t="shared" si="8"/>
        <v/>
      </c>
      <c r="AE141" s="188"/>
      <c r="AF141" s="189"/>
      <c r="AG141" s="189"/>
      <c r="AH141" s="190"/>
      <c r="AI141" s="190">
        <v>638.605232</v>
      </c>
      <c r="AJ141" s="191">
        <f t="shared" si="9"/>
        <v>0</v>
      </c>
      <c r="AK141" s="192">
        <v>45449</v>
      </c>
      <c r="AL141" s="193"/>
      <c r="AM141" s="194"/>
      <c r="AN141" s="115"/>
      <c r="AO141" s="195"/>
      <c r="AP141" s="196" t="str">
        <f>IF(AO141="","",AO141-AO$6)</f>
        <v/>
      </c>
      <c r="AQ141" s="196"/>
      <c r="AR141" s="196" t="str">
        <f>IF(AQ141="","",AQ141-AQ$6)</f>
        <v/>
      </c>
      <c r="AS141" s="196"/>
      <c r="AT141" s="196" t="str">
        <f>IF(AS141="","",AS141-AS$6)</f>
        <v/>
      </c>
      <c r="AU141" s="196"/>
      <c r="AV141" s="196" t="str">
        <f>IF(AU141="","",AU141-AU$6)</f>
        <v/>
      </c>
      <c r="AW141" s="196"/>
      <c r="AX141" s="196" t="str">
        <f>IF(AW141="","",AW141-AW$6)</f>
        <v/>
      </c>
      <c r="AY141" s="196"/>
      <c r="AZ141" s="196" t="str">
        <f>IF(AY141="","",AY141-AY$6)</f>
        <v/>
      </c>
      <c r="BA141" s="196"/>
      <c r="BB141" s="196" t="str">
        <f>IF(BA141="","",BA141-BA$6)</f>
        <v/>
      </c>
      <c r="BC141" s="196"/>
      <c r="BD141" s="196" t="str">
        <f>IF(BC141="","",BC141-BC$6)</f>
        <v/>
      </c>
      <c r="BE141" s="196"/>
      <c r="BF141" s="196" t="str">
        <f>IF(BE141="","",BE141-BE$6)</f>
        <v/>
      </c>
      <c r="BG141" s="196"/>
      <c r="BH141" s="196" t="str">
        <f>IF(BG141="","",BG141-BG$6)</f>
        <v/>
      </c>
      <c r="BI141" s="196"/>
      <c r="BJ141" s="196" t="str">
        <f>IF(BI141="","",BI141-BI$6)</f>
        <v/>
      </c>
      <c r="BK141" s="197"/>
      <c r="BL141" s="115"/>
      <c r="BM141" s="198">
        <v>6.5182926409999998E-3</v>
      </c>
      <c r="BN141" s="191">
        <v>-2.7353542546000001E-3</v>
      </c>
      <c r="BO141" s="191">
        <v>2.4202223443E-2</v>
      </c>
      <c r="BP141" s="191">
        <v>3.2764683201000002E-3</v>
      </c>
      <c r="BQ141" s="199"/>
      <c r="BR141" s="199"/>
      <c r="BS141" s="199"/>
      <c r="BT141" s="199"/>
      <c r="BU141" s="200"/>
      <c r="BV141" s="200"/>
      <c r="BW141" s="191"/>
      <c r="BX141" s="191"/>
      <c r="BY141" s="189"/>
      <c r="BZ141" s="191">
        <v>-5.1673300735999997E-3</v>
      </c>
      <c r="CA141" s="191">
        <v>-5.1673300735999997E-3</v>
      </c>
      <c r="CB141" s="182">
        <v>45322</v>
      </c>
      <c r="CC141" s="182">
        <v>45330</v>
      </c>
      <c r="CD141" s="201">
        <v>13</v>
      </c>
      <c r="CE141" s="202">
        <v>45343</v>
      </c>
      <c r="CF141" s="116"/>
    </row>
    <row r="142" spans="2:84" ht="15.6" x14ac:dyDescent="0.3">
      <c r="B142" s="110" t="s">
        <v>39</v>
      </c>
      <c r="C142" s="147" t="s">
        <v>297</v>
      </c>
      <c r="D142" s="148" t="s">
        <v>76</v>
      </c>
      <c r="E142" s="148" t="s">
        <v>230</v>
      </c>
      <c r="F142" s="149">
        <v>15578569000106</v>
      </c>
      <c r="G142" s="149" t="s">
        <v>354</v>
      </c>
      <c r="H142" s="149" t="s">
        <v>388</v>
      </c>
      <c r="I142" s="150">
        <v>1</v>
      </c>
      <c r="J142" s="151">
        <v>4</v>
      </c>
      <c r="K142" s="151" t="s">
        <v>126</v>
      </c>
      <c r="L142" s="151" t="s">
        <v>123</v>
      </c>
      <c r="M142" s="151" t="s">
        <v>106</v>
      </c>
      <c r="N142" s="151" t="s">
        <v>109</v>
      </c>
      <c r="O142" s="152">
        <v>75000</v>
      </c>
      <c r="P142" s="153">
        <v>75000000</v>
      </c>
      <c r="Q142" s="153">
        <v>1000</v>
      </c>
      <c r="R142" s="154">
        <v>41685</v>
      </c>
      <c r="S142" s="154">
        <v>46006</v>
      </c>
      <c r="T142" s="155" t="s">
        <v>144</v>
      </c>
      <c r="U142" s="155" t="s">
        <v>175</v>
      </c>
      <c r="V142" s="154" t="s">
        <v>194</v>
      </c>
      <c r="W142" s="154" t="s">
        <v>102</v>
      </c>
      <c r="X142" s="154" t="s">
        <v>1319</v>
      </c>
      <c r="Y142" s="154">
        <v>45792</v>
      </c>
      <c r="Z142" s="156">
        <f>IFERROR(INDEX(Base!G:G,MATCH('Debêntures IPCA-Spread'!Y142,Base!F:F,0)),"")</f>
        <v>5.73</v>
      </c>
      <c r="AA142" s="115"/>
      <c r="AB142" s="157">
        <v>45449</v>
      </c>
      <c r="AC142" s="158"/>
      <c r="AD142" s="159" t="str">
        <f t="shared" si="8"/>
        <v/>
      </c>
      <c r="AE142" s="160"/>
      <c r="AF142" s="161"/>
      <c r="AG142" s="161"/>
      <c r="AH142" s="162"/>
      <c r="AI142" s="162">
        <v>804.99067600000001</v>
      </c>
      <c r="AJ142" s="163">
        <f t="shared" si="9"/>
        <v>0</v>
      </c>
      <c r="AK142" s="164">
        <v>45449</v>
      </c>
      <c r="AL142" s="165"/>
      <c r="AM142" s="166"/>
      <c r="AN142" s="115"/>
      <c r="AO142" s="167"/>
      <c r="AP142" s="168" t="str">
        <f>IF(AO142="","",AO142-AO$6)</f>
        <v/>
      </c>
      <c r="AQ142" s="168"/>
      <c r="AR142" s="168" t="str">
        <f>IF(AQ142="","",AQ142-AQ$6)</f>
        <v/>
      </c>
      <c r="AS142" s="168"/>
      <c r="AT142" s="168" t="str">
        <f>IF(AS142="","",AS142-AS$6)</f>
        <v/>
      </c>
      <c r="AU142" s="168"/>
      <c r="AV142" s="168" t="str">
        <f>IF(AU142="","",AU142-AU$6)</f>
        <v/>
      </c>
      <c r="AW142" s="168"/>
      <c r="AX142" s="168" t="str">
        <f>IF(AW142="","",AW142-AW$6)</f>
        <v/>
      </c>
      <c r="AY142" s="168"/>
      <c r="AZ142" s="168" t="str">
        <f>IF(AY142="","",AY142-AY$6)</f>
        <v/>
      </c>
      <c r="BA142" s="168"/>
      <c r="BB142" s="168" t="str">
        <f>IF(BA142="","",BA142-BA$6)</f>
        <v/>
      </c>
      <c r="BC142" s="168"/>
      <c r="BD142" s="168" t="str">
        <f>IF(BC142="","",BC142-BC$6)</f>
        <v/>
      </c>
      <c r="BE142" s="168"/>
      <c r="BF142" s="168" t="str">
        <f>IF(BE142="","",BE142-BE$6)</f>
        <v/>
      </c>
      <c r="BG142" s="168"/>
      <c r="BH142" s="168" t="str">
        <f>IF(BG142="","",BG142-BG$6)</f>
        <v/>
      </c>
      <c r="BI142" s="168"/>
      <c r="BJ142" s="168" t="str">
        <f>IF(BI142="","",BI142-BI$6)</f>
        <v/>
      </c>
      <c r="BK142" s="169"/>
      <c r="BL142" s="115"/>
      <c r="BM142" s="170">
        <v>5.9193255165000003E-3</v>
      </c>
      <c r="BN142" s="163">
        <v>-2.9085462474999998E-3</v>
      </c>
      <c r="BO142" s="163">
        <v>2.4678294940000001E-2</v>
      </c>
      <c r="BP142" s="163">
        <v>2.1066170975000001E-3</v>
      </c>
      <c r="BQ142" s="171"/>
      <c r="BR142" s="171"/>
      <c r="BS142" s="171"/>
      <c r="BT142" s="171"/>
      <c r="BU142" s="172"/>
      <c r="BV142" s="172"/>
      <c r="BW142" s="163"/>
      <c r="BX142" s="163"/>
      <c r="BY142" s="161"/>
      <c r="BZ142" s="163">
        <v>-6.9810558817000002E-3</v>
      </c>
      <c r="CA142" s="163">
        <v>-6.9810558817000002E-3</v>
      </c>
      <c r="CB142" s="154">
        <v>45322</v>
      </c>
      <c r="CC142" s="154">
        <v>45330</v>
      </c>
      <c r="CD142" s="173">
        <v>14</v>
      </c>
      <c r="CE142" s="174">
        <v>45344</v>
      </c>
      <c r="CF142" s="116"/>
    </row>
    <row r="143" spans="2:84" ht="15.6" x14ac:dyDescent="0.3">
      <c r="B143" s="98" t="s">
        <v>40</v>
      </c>
      <c r="C143" s="175" t="s">
        <v>298</v>
      </c>
      <c r="D143" s="176" t="s">
        <v>76</v>
      </c>
      <c r="E143" s="176" t="s">
        <v>230</v>
      </c>
      <c r="F143" s="177">
        <v>15578569000106</v>
      </c>
      <c r="G143" s="177" t="s">
        <v>355</v>
      </c>
      <c r="H143" s="177" t="s">
        <v>388</v>
      </c>
      <c r="I143" s="178">
        <v>2</v>
      </c>
      <c r="J143" s="179" t="s">
        <v>107</v>
      </c>
      <c r="K143" s="179" t="s">
        <v>126</v>
      </c>
      <c r="L143" s="179" t="s">
        <v>123</v>
      </c>
      <c r="M143" s="179" t="s">
        <v>106</v>
      </c>
      <c r="N143" s="179" t="s">
        <v>109</v>
      </c>
      <c r="O143" s="180">
        <v>300000</v>
      </c>
      <c r="P143" s="181">
        <v>300000000</v>
      </c>
      <c r="Q143" s="181">
        <v>1000</v>
      </c>
      <c r="R143" s="182">
        <v>41927</v>
      </c>
      <c r="S143" s="182">
        <v>46310</v>
      </c>
      <c r="T143" s="183" t="s">
        <v>140</v>
      </c>
      <c r="U143" s="183" t="s">
        <v>176</v>
      </c>
      <c r="V143" s="182" t="s">
        <v>194</v>
      </c>
      <c r="W143" s="182" t="s">
        <v>102</v>
      </c>
      <c r="X143" s="182" t="s">
        <v>1320</v>
      </c>
      <c r="Y143" s="182">
        <v>46249</v>
      </c>
      <c r="Z143" s="184">
        <f>IFERROR(INDEX(Base!G:G,MATCH('Debêntures IPCA-Spread'!Y143,Base!F:F,0)),"")</f>
        <v>6.5365000000000002</v>
      </c>
      <c r="AA143" s="115"/>
      <c r="AB143" s="185">
        <v>45454</v>
      </c>
      <c r="AC143" s="186"/>
      <c r="AD143" s="187" t="str">
        <f t="shared" si="8"/>
        <v/>
      </c>
      <c r="AE143" s="188"/>
      <c r="AF143" s="189"/>
      <c r="AG143" s="189"/>
      <c r="AH143" s="190"/>
      <c r="AI143" s="190">
        <v>856.68654800000002</v>
      </c>
      <c r="AJ143" s="191">
        <f t="shared" si="9"/>
        <v>0</v>
      </c>
      <c r="AK143" s="192">
        <v>45447</v>
      </c>
      <c r="AL143" s="193"/>
      <c r="AM143" s="194"/>
      <c r="AN143" s="115"/>
      <c r="AO143" s="195"/>
      <c r="AP143" s="196" t="str">
        <f>IF(AO143="","",AO143-AO$6)</f>
        <v/>
      </c>
      <c r="AQ143" s="196"/>
      <c r="AR143" s="196" t="str">
        <f>IF(AQ143="","",AQ143-AQ$6)</f>
        <v/>
      </c>
      <c r="AS143" s="196"/>
      <c r="AT143" s="196" t="str">
        <f>IF(AS143="","",AS143-AS$6)</f>
        <v/>
      </c>
      <c r="AU143" s="196"/>
      <c r="AV143" s="196" t="str">
        <f>IF(AU143="","",AU143-AU$6)</f>
        <v/>
      </c>
      <c r="AW143" s="196"/>
      <c r="AX143" s="196" t="str">
        <f>IF(AW143="","",AW143-AW$6)</f>
        <v/>
      </c>
      <c r="AY143" s="196"/>
      <c r="AZ143" s="196" t="str">
        <f>IF(AY143="","",AY143-AY$6)</f>
        <v/>
      </c>
      <c r="BA143" s="196"/>
      <c r="BB143" s="196" t="str">
        <f>IF(BA143="","",BA143-BA$6)</f>
        <v/>
      </c>
      <c r="BC143" s="196"/>
      <c r="BD143" s="196" t="str">
        <f>IF(BC143="","",BC143-BC$6)</f>
        <v/>
      </c>
      <c r="BE143" s="196"/>
      <c r="BF143" s="196" t="str">
        <f>IF(BE143="","",BE143-BE$6)</f>
        <v/>
      </c>
      <c r="BG143" s="196"/>
      <c r="BH143" s="196" t="str">
        <f>IF(BG143="","",BG143-BG$6)</f>
        <v/>
      </c>
      <c r="BI143" s="196"/>
      <c r="BJ143" s="196" t="str">
        <f>IF(BI143="","",BI143-BI$6)</f>
        <v/>
      </c>
      <c r="BK143" s="197"/>
      <c r="BL143" s="115"/>
      <c r="BM143" s="198">
        <v>6.1714947460000001E-3</v>
      </c>
      <c r="BN143" s="191">
        <v>-4.9078221373000004E-3</v>
      </c>
      <c r="BO143" s="191">
        <v>2.5245562095999999E-2</v>
      </c>
      <c r="BP143" s="191">
        <v>-4.3200042964999996E-3</v>
      </c>
      <c r="BQ143" s="199"/>
      <c r="BR143" s="199"/>
      <c r="BS143" s="199"/>
      <c r="BT143" s="199"/>
      <c r="BU143" s="200"/>
      <c r="BV143" s="200"/>
      <c r="BW143" s="191"/>
      <c r="BX143" s="191"/>
      <c r="BY143" s="189"/>
      <c r="BZ143" s="191">
        <v>-6.2244365058999997E-3</v>
      </c>
      <c r="CA143" s="191">
        <v>-6.2244365058999997E-3</v>
      </c>
      <c r="CB143" s="182">
        <v>45225</v>
      </c>
      <c r="CC143" s="182">
        <v>45229</v>
      </c>
      <c r="CD143" s="201">
        <v>7</v>
      </c>
      <c r="CE143" s="202">
        <v>45237</v>
      </c>
      <c r="CF143" s="116"/>
    </row>
    <row r="144" spans="2:84" ht="15.6" x14ac:dyDescent="0.3">
      <c r="B144" s="110" t="s">
        <v>2243</v>
      </c>
      <c r="C144" s="147" t="s">
        <v>2628</v>
      </c>
      <c r="D144" s="148" t="s">
        <v>2797</v>
      </c>
      <c r="E144" s="148" t="s">
        <v>232</v>
      </c>
      <c r="F144" s="149">
        <v>42288184000187</v>
      </c>
      <c r="G144" s="149" t="s">
        <v>2378</v>
      </c>
      <c r="H144" s="149" t="s">
        <v>388</v>
      </c>
      <c r="I144" s="150">
        <v>4</v>
      </c>
      <c r="J144" s="151" t="s">
        <v>107</v>
      </c>
      <c r="K144" s="151" t="s">
        <v>111</v>
      </c>
      <c r="L144" s="151" t="s">
        <v>122</v>
      </c>
      <c r="M144" s="151" t="s">
        <v>106</v>
      </c>
      <c r="N144" s="151" t="s">
        <v>109</v>
      </c>
      <c r="O144" s="152">
        <v>1250000</v>
      </c>
      <c r="P144" s="153">
        <v>1250000000</v>
      </c>
      <c r="Q144" s="153">
        <v>1000</v>
      </c>
      <c r="R144" s="154">
        <v>45306</v>
      </c>
      <c r="S144" s="154">
        <v>51881</v>
      </c>
      <c r="T144" s="155" t="s">
        <v>2008</v>
      </c>
      <c r="U144" s="155" t="s">
        <v>1655</v>
      </c>
      <c r="V144" s="154" t="s">
        <v>194</v>
      </c>
      <c r="W144" s="154" t="s">
        <v>102</v>
      </c>
      <c r="X144" s="154" t="s">
        <v>1364</v>
      </c>
      <c r="Y144" s="154">
        <v>48714</v>
      </c>
      <c r="Z144" s="156">
        <f>IFERROR(INDEX(Base!G:G,MATCH('Debêntures IPCA-Spread'!Y144,Base!F:F,0)),"")</f>
        <v>6.3373999999999997</v>
      </c>
      <c r="AA144" s="115"/>
      <c r="AB144" s="157">
        <v>45552</v>
      </c>
      <c r="AC144" s="158">
        <v>7.7127999999999997</v>
      </c>
      <c r="AD144" s="159">
        <f t="shared" si="8"/>
        <v>1.3754</v>
      </c>
      <c r="AE144" s="160">
        <v>0.08</v>
      </c>
      <c r="AF144" s="161">
        <v>7.9306999999999999</v>
      </c>
      <c r="AG144" s="161">
        <v>7.5444000000000004</v>
      </c>
      <c r="AH144" s="162">
        <v>998.83745499999998</v>
      </c>
      <c r="AI144" s="162"/>
      <c r="AJ144" s="163" t="str">
        <f t="shared" si="9"/>
        <v/>
      </c>
      <c r="AK144" s="164"/>
      <c r="AL144" s="165">
        <v>97.09</v>
      </c>
      <c r="AM144" s="166">
        <v>1719</v>
      </c>
      <c r="AN144" s="115"/>
      <c r="AO144" s="167">
        <v>1.4489273597999999E-3</v>
      </c>
      <c r="AP144" s="168">
        <f>IF(AO144="","",AO144-AO$6)</f>
        <v>9.6878247486999994E-4</v>
      </c>
      <c r="AQ144" s="168">
        <v>1.3085633763000001E-3</v>
      </c>
      <c r="AR144" s="168">
        <f>IF(AQ144="","",AQ144-AQ$6)</f>
        <v>1.5260701292600001E-3</v>
      </c>
      <c r="AS144" s="168"/>
      <c r="AT144" s="168" t="str">
        <f>IF(AS144="","",AS144-AS$6)</f>
        <v/>
      </c>
      <c r="AU144" s="168">
        <v>-9.9946411983E-3</v>
      </c>
      <c r="AV144" s="168">
        <f>IF(AU144="","",AU144-AU$6)</f>
        <v>3.0739413976999998E-3</v>
      </c>
      <c r="AW144" s="168">
        <v>3.6667492612000002E-2</v>
      </c>
      <c r="AX144" s="168">
        <f>IF(AW144="","",AW144-AW$6)</f>
        <v>1.2672424824000002E-2</v>
      </c>
      <c r="AY144" s="168"/>
      <c r="AZ144" s="168" t="str">
        <f>IF(AY144="","",AY144-AY$6)</f>
        <v/>
      </c>
      <c r="BA144" s="168"/>
      <c r="BB144" s="168" t="str">
        <f>IF(BA144="","",BA144-BA$6)</f>
        <v/>
      </c>
      <c r="BC144" s="168"/>
      <c r="BD144" s="168" t="str">
        <f>IF(BC144="","",BC144-BC$6)</f>
        <v/>
      </c>
      <c r="BE144" s="168"/>
      <c r="BF144" s="168" t="str">
        <f>IF(BE144="","",BE144-BE$6)</f>
        <v/>
      </c>
      <c r="BG144" s="168"/>
      <c r="BH144" s="168" t="str">
        <f>IF(BG144="","",BG144-BG$6)</f>
        <v/>
      </c>
      <c r="BI144" s="168"/>
      <c r="BJ144" s="168" t="str">
        <f>IF(BI144="","",BI144-BI$6)</f>
        <v/>
      </c>
      <c r="BK144" s="169"/>
      <c r="BL144" s="115"/>
      <c r="BM144" s="170">
        <v>1.6573025482999999E-2</v>
      </c>
      <c r="BN144" s="163">
        <v>-8.4940857123000004E-3</v>
      </c>
      <c r="BO144" s="163">
        <v>2.5106644123E-2</v>
      </c>
      <c r="BP144" s="163">
        <v>-8.7553693492999993E-3</v>
      </c>
      <c r="BQ144" s="171"/>
      <c r="BR144" s="171"/>
      <c r="BS144" s="171"/>
      <c r="BT144" s="171"/>
      <c r="BU144" s="172"/>
      <c r="BV144" s="172"/>
      <c r="BW144" s="163"/>
      <c r="BX144" s="163">
        <v>3.8262178887000001E-3</v>
      </c>
      <c r="BY144" s="161"/>
      <c r="BZ144" s="163">
        <v>-2.938797269E-2</v>
      </c>
      <c r="CA144" s="163">
        <v>-2.938797269E-2</v>
      </c>
      <c r="CB144" s="154">
        <v>45448</v>
      </c>
      <c r="CC144" s="154">
        <v>45474</v>
      </c>
      <c r="CD144" s="173">
        <v>29</v>
      </c>
      <c r="CE144" s="174">
        <v>45489</v>
      </c>
      <c r="CF144" s="116"/>
    </row>
    <row r="145" spans="2:84" ht="15.6" x14ac:dyDescent="0.3">
      <c r="B145" s="98" t="s">
        <v>2244</v>
      </c>
      <c r="C145" s="175" t="s">
        <v>2629</v>
      </c>
      <c r="D145" s="176" t="s">
        <v>2798</v>
      </c>
      <c r="E145" s="176" t="s">
        <v>228</v>
      </c>
      <c r="F145" s="177">
        <v>22163297000149</v>
      </c>
      <c r="G145" s="177" t="s">
        <v>2379</v>
      </c>
      <c r="H145" s="177" t="s">
        <v>388</v>
      </c>
      <c r="I145" s="178">
        <v>1</v>
      </c>
      <c r="J145" s="179" t="s">
        <v>107</v>
      </c>
      <c r="K145" s="179" t="s">
        <v>111</v>
      </c>
      <c r="L145" s="179" t="s">
        <v>118</v>
      </c>
      <c r="M145" s="179" t="s">
        <v>106</v>
      </c>
      <c r="N145" s="179" t="s">
        <v>109</v>
      </c>
      <c r="O145" s="180">
        <v>230000</v>
      </c>
      <c r="P145" s="181">
        <v>230000000</v>
      </c>
      <c r="Q145" s="181">
        <v>1000</v>
      </c>
      <c r="R145" s="182">
        <v>43753</v>
      </c>
      <c r="S145" s="182">
        <v>49232</v>
      </c>
      <c r="T145" s="183" t="s">
        <v>2830</v>
      </c>
      <c r="U145" s="183" t="s">
        <v>2739</v>
      </c>
      <c r="V145" s="182" t="s">
        <v>194</v>
      </c>
      <c r="W145" s="182" t="s">
        <v>102</v>
      </c>
      <c r="X145" s="182" t="s">
        <v>1293</v>
      </c>
      <c r="Y145" s="182">
        <v>47710</v>
      </c>
      <c r="Z145" s="184">
        <f>IFERROR(INDEX(Base!G:G,MATCH('Debêntures IPCA-Spread'!Y145,Base!F:F,0)),"")</f>
        <v>6.3273999999999999</v>
      </c>
      <c r="AA145" s="115"/>
      <c r="AB145" s="185">
        <v>45552</v>
      </c>
      <c r="AC145" s="186">
        <v>8.1288</v>
      </c>
      <c r="AD145" s="187">
        <f t="shared" si="8"/>
        <v>1.8014000000000001</v>
      </c>
      <c r="AE145" s="188">
        <v>0.08</v>
      </c>
      <c r="AF145" s="189"/>
      <c r="AG145" s="189"/>
      <c r="AH145" s="190">
        <v>1084.319244</v>
      </c>
      <c r="AI145" s="190"/>
      <c r="AJ145" s="191" t="str">
        <f t="shared" si="9"/>
        <v/>
      </c>
      <c r="AK145" s="192"/>
      <c r="AL145" s="193">
        <v>82.4</v>
      </c>
      <c r="AM145" s="194">
        <v>1345</v>
      </c>
      <c r="AN145" s="115"/>
      <c r="AO145" s="195">
        <v>9.7156584160999998E-4</v>
      </c>
      <c r="AP145" s="196">
        <f>IF(AO145="","",AO145-AO$6)</f>
        <v>4.9142095667999998E-4</v>
      </c>
      <c r="AQ145" s="196">
        <v>-1.1273196933E-3</v>
      </c>
      <c r="AR145" s="196">
        <f>IF(AQ145="","",AQ145-AQ$6)</f>
        <v>-9.0981294033999995E-4</v>
      </c>
      <c r="AS145" s="196">
        <v>2.6290332677000001E-2</v>
      </c>
      <c r="AT145" s="196">
        <f>IF(AS145="","",AS145-AS$6)</f>
        <v>1.1564497622E-2</v>
      </c>
      <c r="AU145" s="196">
        <v>-6.0451138634000003E-3</v>
      </c>
      <c r="AV145" s="196">
        <f>IF(AU145="","",AU145-AU$6)</f>
        <v>7.0234687325999995E-3</v>
      </c>
      <c r="AW145" s="196">
        <v>2.6624541186000002E-2</v>
      </c>
      <c r="AX145" s="196">
        <f>IF(AW145="","",AW145-AW$6)</f>
        <v>2.6294733980000012E-3</v>
      </c>
      <c r="AY145" s="196">
        <v>1.6739309976E-2</v>
      </c>
      <c r="AZ145" s="196">
        <f>IF(AY145="","",AY145-AY$6)</f>
        <v>2.4970551859999999E-3</v>
      </c>
      <c r="BA145" s="196"/>
      <c r="BB145" s="196" t="str">
        <f>IF(BA145="","",BA145-BA$6)</f>
        <v/>
      </c>
      <c r="BC145" s="196"/>
      <c r="BD145" s="196" t="str">
        <f>IF(BC145="","",BC145-BC$6)</f>
        <v/>
      </c>
      <c r="BE145" s="196"/>
      <c r="BF145" s="196" t="str">
        <f>IF(BE145="","",BE145-BE$6)</f>
        <v/>
      </c>
      <c r="BG145" s="196"/>
      <c r="BH145" s="196" t="str">
        <f>IF(BG145="","",BG145-BG$6)</f>
        <v/>
      </c>
      <c r="BI145" s="196"/>
      <c r="BJ145" s="196" t="str">
        <f>IF(BI145="","",BI145-BI$6)</f>
        <v/>
      </c>
      <c r="BK145" s="197"/>
      <c r="BL145" s="115"/>
      <c r="BM145" s="198">
        <v>1.0918261445999999E-2</v>
      </c>
      <c r="BN145" s="191">
        <v>-7.4919112157999998E-3</v>
      </c>
      <c r="BO145" s="191">
        <v>2.2053389124000001E-2</v>
      </c>
      <c r="BP145" s="191">
        <v>-2.3012712234000001E-2</v>
      </c>
      <c r="BQ145" s="199"/>
      <c r="BR145" s="199"/>
      <c r="BS145" s="199"/>
      <c r="BT145" s="199"/>
      <c r="BU145" s="200"/>
      <c r="BV145" s="200"/>
      <c r="BW145" s="191"/>
      <c r="BX145" s="191">
        <v>3.8531310282000002E-3</v>
      </c>
      <c r="BY145" s="189"/>
      <c r="BZ145" s="191">
        <v>-2.6990991996999999E-2</v>
      </c>
      <c r="CA145" s="191">
        <v>-2.6990991996999999E-2</v>
      </c>
      <c r="CB145" s="182">
        <v>45364</v>
      </c>
      <c r="CC145" s="182">
        <v>45412</v>
      </c>
      <c r="CD145" s="201">
        <v>83</v>
      </c>
      <c r="CE145" s="202">
        <v>45484</v>
      </c>
      <c r="CF145" s="116"/>
    </row>
    <row r="146" spans="2:84" ht="15.6" x14ac:dyDescent="0.3">
      <c r="B146" s="110" t="s">
        <v>2245</v>
      </c>
      <c r="C146" s="147" t="s">
        <v>2630</v>
      </c>
      <c r="D146" s="148" t="s">
        <v>2799</v>
      </c>
      <c r="E146" s="148" t="s">
        <v>1150</v>
      </c>
      <c r="F146" s="149">
        <v>9387725000159</v>
      </c>
      <c r="G146" s="149" t="s">
        <v>2380</v>
      </c>
      <c r="H146" s="149" t="s">
        <v>388</v>
      </c>
      <c r="I146" s="150">
        <v>8</v>
      </c>
      <c r="J146" s="151" t="s">
        <v>107</v>
      </c>
      <c r="K146" s="151" t="s">
        <v>126</v>
      </c>
      <c r="L146" s="151" t="s">
        <v>2466</v>
      </c>
      <c r="M146" s="151" t="s">
        <v>106</v>
      </c>
      <c r="N146" s="151" t="s">
        <v>109</v>
      </c>
      <c r="O146" s="152">
        <v>410000</v>
      </c>
      <c r="P146" s="153">
        <v>410000000</v>
      </c>
      <c r="Q146" s="153">
        <v>1000</v>
      </c>
      <c r="R146" s="154">
        <v>45397</v>
      </c>
      <c r="S146" s="154">
        <v>47953</v>
      </c>
      <c r="T146" s="155" t="s">
        <v>2816</v>
      </c>
      <c r="U146" s="155" t="s">
        <v>1668</v>
      </c>
      <c r="V146" s="154" t="s">
        <v>105</v>
      </c>
      <c r="W146" s="154" t="s">
        <v>102</v>
      </c>
      <c r="X146" s="154" t="s">
        <v>2509</v>
      </c>
      <c r="Y146" s="154">
        <v>47710</v>
      </c>
      <c r="Z146" s="156">
        <f>IFERROR(INDEX(Base!G:G,MATCH('Debêntures IPCA-Spread'!Y146,Base!F:F,0)),"")</f>
        <v>6.3273999999999999</v>
      </c>
      <c r="AA146" s="115"/>
      <c r="AB146" s="157">
        <v>45552</v>
      </c>
      <c r="AC146" s="158">
        <v>6.7743000000000002</v>
      </c>
      <c r="AD146" s="159">
        <f t="shared" si="8"/>
        <v>0.4469000000000003</v>
      </c>
      <c r="AE146" s="160">
        <v>0.16</v>
      </c>
      <c r="AF146" s="161">
        <v>6.9249999999999998</v>
      </c>
      <c r="AG146" s="161">
        <v>6.6996000000000002</v>
      </c>
      <c r="AH146" s="162">
        <v>1001.981149</v>
      </c>
      <c r="AI146" s="162"/>
      <c r="AJ146" s="163" t="str">
        <f t="shared" si="9"/>
        <v/>
      </c>
      <c r="AK146" s="164"/>
      <c r="AL146" s="165">
        <v>96.45</v>
      </c>
      <c r="AM146" s="166">
        <v>1172</v>
      </c>
      <c r="AN146" s="115"/>
      <c r="AO146" s="167">
        <v>6.8752920923999998E-4</v>
      </c>
      <c r="AP146" s="168">
        <f>IF(AO146="","",AO146-AO$6)</f>
        <v>2.0738432430999999E-4</v>
      </c>
      <c r="AQ146" s="168">
        <v>8.8453786339000003E-4</v>
      </c>
      <c r="AR146" s="168">
        <f>IF(AQ146="","",AQ146-AQ$6)</f>
        <v>1.1020446163500001E-3</v>
      </c>
      <c r="AS146" s="168"/>
      <c r="AT146" s="168" t="str">
        <f>IF(AS146="","",AS146-AS$6)</f>
        <v/>
      </c>
      <c r="AU146" s="168">
        <v>-9.1869812594999999E-3</v>
      </c>
      <c r="AV146" s="168">
        <f>IF(AU146="","",AU146-AU$6)</f>
        <v>3.8816013364999999E-3</v>
      </c>
      <c r="AW146" s="168"/>
      <c r="AX146" s="168" t="str">
        <f>IF(AW146="","",AW146-AW$6)</f>
        <v/>
      </c>
      <c r="AY146" s="168"/>
      <c r="AZ146" s="168" t="str">
        <f>IF(AY146="","",AY146-AY$6)</f>
        <v/>
      </c>
      <c r="BA146" s="168"/>
      <c r="BB146" s="168" t="str">
        <f>IF(BA146="","",BA146-BA$6)</f>
        <v/>
      </c>
      <c r="BC146" s="168"/>
      <c r="BD146" s="168" t="str">
        <f>IF(BC146="","",BC146-BC$6)</f>
        <v/>
      </c>
      <c r="BE146" s="168"/>
      <c r="BF146" s="168" t="str">
        <f>IF(BE146="","",BE146-BE$6)</f>
        <v/>
      </c>
      <c r="BG146" s="168"/>
      <c r="BH146" s="168" t="str">
        <f>IF(BG146="","",BG146-BG$6)</f>
        <v/>
      </c>
      <c r="BI146" s="168"/>
      <c r="BJ146" s="168" t="str">
        <f>IF(BI146="","",BI146-BI$6)</f>
        <v/>
      </c>
      <c r="BK146" s="169"/>
      <c r="BL146" s="115"/>
      <c r="BM146" s="170">
        <v>7.6446411786E-3</v>
      </c>
      <c r="BN146" s="163">
        <v>-5.7479558108999998E-3</v>
      </c>
      <c r="BO146" s="163">
        <v>1.7666107295E-2</v>
      </c>
      <c r="BP146" s="163">
        <v>8.8453786339000003E-4</v>
      </c>
      <c r="BQ146" s="171"/>
      <c r="BR146" s="171"/>
      <c r="BS146" s="171"/>
      <c r="BT146" s="171"/>
      <c r="BU146" s="172"/>
      <c r="BV146" s="172"/>
      <c r="BW146" s="163"/>
      <c r="BX146" s="163">
        <v>3.8130035012999999E-3</v>
      </c>
      <c r="BY146" s="161"/>
      <c r="BZ146" s="163">
        <v>-1.4869926665E-2</v>
      </c>
      <c r="CA146" s="163">
        <v>-1.527330916E-2</v>
      </c>
      <c r="CB146" s="154">
        <v>45518</v>
      </c>
      <c r="CC146" s="154">
        <v>45547</v>
      </c>
      <c r="CD146" s="173"/>
      <c r="CE146" s="174"/>
      <c r="CF146" s="116"/>
    </row>
    <row r="147" spans="2:84" ht="15.6" x14ac:dyDescent="0.3">
      <c r="B147" s="98" t="s">
        <v>41</v>
      </c>
      <c r="C147" s="175" t="s">
        <v>299</v>
      </c>
      <c r="D147" s="176" t="s">
        <v>77</v>
      </c>
      <c r="E147" s="176" t="s">
        <v>228</v>
      </c>
      <c r="F147" s="177">
        <v>10531501000158</v>
      </c>
      <c r="G147" s="177" t="s">
        <v>356</v>
      </c>
      <c r="H147" s="177" t="s">
        <v>388</v>
      </c>
      <c r="I147" s="178">
        <v>2</v>
      </c>
      <c r="J147" s="179">
        <v>1</v>
      </c>
      <c r="K147" s="179" t="s">
        <v>126</v>
      </c>
      <c r="L147" s="179" t="s">
        <v>119</v>
      </c>
      <c r="M147" s="179" t="s">
        <v>106</v>
      </c>
      <c r="N147" s="179" t="s">
        <v>109</v>
      </c>
      <c r="O147" s="180">
        <v>380000</v>
      </c>
      <c r="P147" s="181">
        <v>380000000</v>
      </c>
      <c r="Q147" s="181">
        <v>1000</v>
      </c>
      <c r="R147" s="182">
        <v>41258</v>
      </c>
      <c r="S147" s="182">
        <v>45641</v>
      </c>
      <c r="T147" s="183" t="s">
        <v>145</v>
      </c>
      <c r="U147" s="183" t="s">
        <v>177</v>
      </c>
      <c r="V147" s="182" t="s">
        <v>105</v>
      </c>
      <c r="W147" s="182" t="s">
        <v>102</v>
      </c>
      <c r="X147" s="182" t="s">
        <v>1292</v>
      </c>
      <c r="Y147" s="182">
        <v>45792</v>
      </c>
      <c r="Z147" s="184">
        <f>IFERROR(INDEX(Base!G:G,MATCH('Debêntures IPCA-Spread'!Y147,Base!F:F,0)),"")</f>
        <v>5.73</v>
      </c>
      <c r="AA147" s="115"/>
      <c r="AB147" s="185">
        <v>45552</v>
      </c>
      <c r="AC147" s="186">
        <v>6.2285000000000004</v>
      </c>
      <c r="AD147" s="187">
        <f t="shared" si="8"/>
        <v>0.49849999999999994</v>
      </c>
      <c r="AE147" s="188">
        <v>0.04</v>
      </c>
      <c r="AF147" s="189">
        <v>7.0301999999999998</v>
      </c>
      <c r="AG147" s="189"/>
      <c r="AH147" s="190">
        <v>609.67622600000004</v>
      </c>
      <c r="AI147" s="190">
        <v>609.67622600000004</v>
      </c>
      <c r="AJ147" s="191">
        <f t="shared" si="9"/>
        <v>1</v>
      </c>
      <c r="AK147" s="192">
        <v>45552</v>
      </c>
      <c r="AL147" s="193">
        <v>99.9</v>
      </c>
      <c r="AM147" s="194">
        <v>62</v>
      </c>
      <c r="AN147" s="115"/>
      <c r="AO147" s="195">
        <v>4.3563557665000002E-4</v>
      </c>
      <c r="AP147" s="196">
        <f>IF(AO147="","",AO147-AO$6)</f>
        <v>-4.4509308279999974E-5</v>
      </c>
      <c r="AQ147" s="196">
        <v>3.4137493202999998E-3</v>
      </c>
      <c r="AR147" s="196">
        <f>IF(AQ147="","",AQ147-AQ$6)</f>
        <v>3.6312560732599999E-3</v>
      </c>
      <c r="AS147" s="196">
        <v>8.5417052303999999E-2</v>
      </c>
      <c r="AT147" s="196">
        <f>IF(AS147="","",AS147-AS$6)</f>
        <v>7.0691217249000002E-2</v>
      </c>
      <c r="AU147" s="196">
        <v>7.0188598529000003E-3</v>
      </c>
      <c r="AV147" s="196">
        <f>IF(AU147="","",AU147-AU$6)</f>
        <v>2.0087442448900001E-2</v>
      </c>
      <c r="AW147" s="196">
        <v>2.6362981878E-2</v>
      </c>
      <c r="AX147" s="196">
        <f>IF(AW147="","",AW147-AW$6)</f>
        <v>2.3679140899999992E-3</v>
      </c>
      <c r="AY147" s="196">
        <v>5.0955963946999999E-2</v>
      </c>
      <c r="AZ147" s="196">
        <f>IF(AY147="","",AY147-AY$6)</f>
        <v>3.6713709157E-2</v>
      </c>
      <c r="BA147" s="196">
        <v>0.11203299294999999</v>
      </c>
      <c r="BB147" s="196">
        <f>IF(BA147="","",BA147-BA$6)</f>
        <v>5.8546028391999995E-2</v>
      </c>
      <c r="BC147" s="196">
        <v>0.25449141448000001</v>
      </c>
      <c r="BD147" s="196">
        <f>IF(BC147="","",BC147-BC$6)</f>
        <v>6.018284799000001E-2</v>
      </c>
      <c r="BE147" s="196">
        <v>0.39085805774999999</v>
      </c>
      <c r="BF147" s="196">
        <f>IF(BE147="","",BE147-BE$6)</f>
        <v>0.12913871821</v>
      </c>
      <c r="BG147" s="196">
        <v>0.56268485877999996</v>
      </c>
      <c r="BH147" s="196">
        <f>IF(BG147="","",BG147-BG$6)</f>
        <v>0.25376820996999994</v>
      </c>
      <c r="BI147" s="196">
        <v>0.84051950822999999</v>
      </c>
      <c r="BJ147" s="196">
        <f>IF(BI147="","",BI147-BI$6)</f>
        <v>0.46757649814999996</v>
      </c>
      <c r="BK147" s="197">
        <v>1.216241694</v>
      </c>
      <c r="BL147" s="115"/>
      <c r="BM147" s="198">
        <v>4.7891840750000003E-3</v>
      </c>
      <c r="BN147" s="191">
        <v>-2.8142434849000001E-3</v>
      </c>
      <c r="BO147" s="191">
        <v>1.5718445205000001E-2</v>
      </c>
      <c r="BP147" s="191">
        <v>3.4137493202999998E-3</v>
      </c>
      <c r="BQ147" s="199">
        <v>12</v>
      </c>
      <c r="BR147" s="199">
        <v>0</v>
      </c>
      <c r="BS147" s="199">
        <v>6</v>
      </c>
      <c r="BT147" s="199">
        <v>6</v>
      </c>
      <c r="BU147" s="200">
        <v>2.5009055499999999E-2</v>
      </c>
      <c r="BV147" s="200">
        <v>-4.3191389114999999E-2</v>
      </c>
      <c r="BW147" s="191">
        <v>1.2576131881999999E-3</v>
      </c>
      <c r="BX147" s="191">
        <v>2.3322030001999999E-4</v>
      </c>
      <c r="BY147" s="189">
        <v>-9.3364627510999998E-2</v>
      </c>
      <c r="BZ147" s="191">
        <v>-3.4543470927E-3</v>
      </c>
      <c r="CA147" s="191">
        <v>-3.4543470927E-3</v>
      </c>
      <c r="CB147" s="182">
        <v>45275</v>
      </c>
      <c r="CC147" s="182">
        <v>45293</v>
      </c>
      <c r="CD147" s="201">
        <v>11</v>
      </c>
      <c r="CE147" s="202">
        <v>45294</v>
      </c>
      <c r="CF147" s="116"/>
    </row>
    <row r="148" spans="2:84" ht="15.6" x14ac:dyDescent="0.3">
      <c r="B148" s="110" t="s">
        <v>42</v>
      </c>
      <c r="C148" s="147" t="s">
        <v>300</v>
      </c>
      <c r="D148" s="148" t="s">
        <v>77</v>
      </c>
      <c r="E148" s="148" t="s">
        <v>228</v>
      </c>
      <c r="F148" s="149">
        <v>10531501000158</v>
      </c>
      <c r="G148" s="149" t="s">
        <v>357</v>
      </c>
      <c r="H148" s="149" t="s">
        <v>388</v>
      </c>
      <c r="I148" s="150">
        <v>2</v>
      </c>
      <c r="J148" s="151">
        <v>2</v>
      </c>
      <c r="K148" s="151" t="s">
        <v>126</v>
      </c>
      <c r="L148" s="151" t="s">
        <v>119</v>
      </c>
      <c r="M148" s="151" t="s">
        <v>106</v>
      </c>
      <c r="N148" s="151" t="s">
        <v>117</v>
      </c>
      <c r="O148" s="152">
        <v>370000</v>
      </c>
      <c r="P148" s="153">
        <v>370000000</v>
      </c>
      <c r="Q148" s="153">
        <v>1000</v>
      </c>
      <c r="R148" s="154">
        <v>41258</v>
      </c>
      <c r="S148" s="154">
        <v>45641</v>
      </c>
      <c r="T148" s="155" t="s">
        <v>145</v>
      </c>
      <c r="U148" s="155" t="s">
        <v>177</v>
      </c>
      <c r="V148" s="154" t="s">
        <v>105</v>
      </c>
      <c r="W148" s="154" t="s">
        <v>102</v>
      </c>
      <c r="X148" s="154" t="s">
        <v>215</v>
      </c>
      <c r="Y148" s="154">
        <v>45792</v>
      </c>
      <c r="Z148" s="156">
        <f>IFERROR(INDEX(Base!G:G,MATCH('Debêntures IPCA-Spread'!Y148,Base!F:F,0)),"")</f>
        <v>5.73</v>
      </c>
      <c r="AA148" s="115"/>
      <c r="AB148" s="157">
        <v>45552</v>
      </c>
      <c r="AC148" s="158">
        <v>8.4845000000000006</v>
      </c>
      <c r="AD148" s="159">
        <f t="shared" si="8"/>
        <v>2.7545000000000002</v>
      </c>
      <c r="AE148" s="160">
        <v>0.66</v>
      </c>
      <c r="AF148" s="161"/>
      <c r="AG148" s="161"/>
      <c r="AH148" s="162">
        <v>607.96542899999997</v>
      </c>
      <c r="AI148" s="162">
        <v>607.96542899999997</v>
      </c>
      <c r="AJ148" s="163">
        <f t="shared" si="9"/>
        <v>1</v>
      </c>
      <c r="AK148" s="164">
        <v>45552</v>
      </c>
      <c r="AL148" s="165">
        <v>99.44</v>
      </c>
      <c r="AM148" s="166">
        <v>62</v>
      </c>
      <c r="AN148" s="115"/>
      <c r="AO148" s="167">
        <v>6.4227934671999998E-4</v>
      </c>
      <c r="AP148" s="168">
        <f>IF(AO148="","",AO148-AO$6)</f>
        <v>1.6213446178999999E-4</v>
      </c>
      <c r="AQ148" s="168">
        <v>5.0552724460000004E-3</v>
      </c>
      <c r="AR148" s="168">
        <f>IF(AQ148="","",AQ148-AQ$6)</f>
        <v>5.2727791989600004E-3</v>
      </c>
      <c r="AS148" s="168">
        <v>9.7579455782000002E-2</v>
      </c>
      <c r="AT148" s="168">
        <f>IF(AS148="","",AS148-AS$6)</f>
        <v>8.2853620727000005E-2</v>
      </c>
      <c r="AU148" s="168">
        <v>8.3561921837999997E-3</v>
      </c>
      <c r="AV148" s="168">
        <f>IF(AU148="","",AU148-AU$6)</f>
        <v>2.1424774779799999E-2</v>
      </c>
      <c r="AW148" s="168">
        <v>2.7493832151E-2</v>
      </c>
      <c r="AX148" s="168">
        <f>IF(AW148="","",AW148-AW$6)</f>
        <v>3.4987643629999995E-3</v>
      </c>
      <c r="AY148" s="168">
        <v>6.2346849209999999E-2</v>
      </c>
      <c r="AZ148" s="168">
        <f>IF(AY148="","",AY148-AY$6)</f>
        <v>4.8104594420000001E-2</v>
      </c>
      <c r="BA148" s="168">
        <v>0.13661699234999999</v>
      </c>
      <c r="BB148" s="168">
        <f>IF(BA148="","",BA148-BA$6)</f>
        <v>8.3130027791999989E-2</v>
      </c>
      <c r="BC148" s="168">
        <v>0.28995501933000001</v>
      </c>
      <c r="BD148" s="168">
        <f>IF(BC148="","",BC148-BC$6)</f>
        <v>9.5646452840000007E-2</v>
      </c>
      <c r="BE148" s="168">
        <v>0.44124246503999998</v>
      </c>
      <c r="BF148" s="168">
        <f>IF(BE148="","",BE148-BE$6)</f>
        <v>0.17952312549999999</v>
      </c>
      <c r="BG148" s="168">
        <v>0.57791108349999998</v>
      </c>
      <c r="BH148" s="168">
        <f>IF(BG148="","",BG148-BG$6)</f>
        <v>0.26899443468999995</v>
      </c>
      <c r="BI148" s="168">
        <v>0.88990804957000003</v>
      </c>
      <c r="BJ148" s="168">
        <f>IF(BI148="","",BI148-BI$6)</f>
        <v>0.51696503949000006</v>
      </c>
      <c r="BK148" s="169">
        <v>1.1143679067000001</v>
      </c>
      <c r="BL148" s="115"/>
      <c r="BM148" s="170">
        <v>4.4729096334999996E-3</v>
      </c>
      <c r="BN148" s="163">
        <v>-2.1534237984999999E-3</v>
      </c>
      <c r="BO148" s="163">
        <v>1.5495164725E-2</v>
      </c>
      <c r="BP148" s="163">
        <v>5.0552724460000004E-3</v>
      </c>
      <c r="BQ148" s="171">
        <v>12</v>
      </c>
      <c r="BR148" s="171">
        <v>0</v>
      </c>
      <c r="BS148" s="171">
        <v>8</v>
      </c>
      <c r="BT148" s="171">
        <v>4</v>
      </c>
      <c r="BU148" s="172">
        <v>2.3690570845000001</v>
      </c>
      <c r="BV148" s="172">
        <v>0.58530410975000002</v>
      </c>
      <c r="BW148" s="163">
        <v>1.1523416598000001E-3</v>
      </c>
      <c r="BX148" s="163">
        <v>7.2785080510999998E-4</v>
      </c>
      <c r="BY148" s="161">
        <v>2.9064211567</v>
      </c>
      <c r="BZ148" s="163">
        <v>-2.1534237984999999E-3</v>
      </c>
      <c r="CA148" s="163">
        <v>-2.1534237984999999E-3</v>
      </c>
      <c r="CB148" s="154">
        <v>45322</v>
      </c>
      <c r="CC148" s="154">
        <v>45323</v>
      </c>
      <c r="CD148" s="173">
        <v>6</v>
      </c>
      <c r="CE148" s="174">
        <v>45330</v>
      </c>
      <c r="CF148" s="116"/>
    </row>
    <row r="149" spans="2:84" ht="15.6" x14ac:dyDescent="0.3">
      <c r="B149" s="98" t="s">
        <v>1420</v>
      </c>
      <c r="C149" s="175" t="s">
        <v>2066</v>
      </c>
      <c r="D149" s="176" t="s">
        <v>77</v>
      </c>
      <c r="E149" s="176" t="s">
        <v>228</v>
      </c>
      <c r="F149" s="177">
        <v>10531501000158</v>
      </c>
      <c r="G149" s="177" t="s">
        <v>1779</v>
      </c>
      <c r="H149" s="177" t="s">
        <v>388</v>
      </c>
      <c r="I149" s="178">
        <v>3</v>
      </c>
      <c r="J149" s="179" t="s">
        <v>107</v>
      </c>
      <c r="K149" s="179" t="s">
        <v>126</v>
      </c>
      <c r="L149" s="179" t="s">
        <v>112</v>
      </c>
      <c r="M149" s="179" t="s">
        <v>114</v>
      </c>
      <c r="N149" s="179" t="s">
        <v>109</v>
      </c>
      <c r="O149" s="180">
        <v>105000</v>
      </c>
      <c r="P149" s="181">
        <v>1050000000</v>
      </c>
      <c r="Q149" s="181">
        <v>10000</v>
      </c>
      <c r="R149" s="182">
        <v>44484</v>
      </c>
      <c r="S149" s="182">
        <v>49658</v>
      </c>
      <c r="T149" s="183" t="s">
        <v>1674</v>
      </c>
      <c r="U149" s="183" t="s">
        <v>1674</v>
      </c>
      <c r="V149" s="182" t="s">
        <v>194</v>
      </c>
      <c r="W149" s="182" t="s">
        <v>102</v>
      </c>
      <c r="X149" s="182" t="s">
        <v>1557</v>
      </c>
      <c r="Y149" s="182">
        <v>47710</v>
      </c>
      <c r="Z149" s="184">
        <f>IFERROR(INDEX(Base!G:G,MATCH('Debêntures IPCA-Spread'!Y149,Base!F:F,0)),"")</f>
        <v>6.3273999999999999</v>
      </c>
      <c r="AA149" s="115"/>
      <c r="AB149" s="185">
        <v>45552</v>
      </c>
      <c r="AC149" s="186">
        <v>6.7525000000000004</v>
      </c>
      <c r="AD149" s="187">
        <f t="shared" si="8"/>
        <v>0.42510000000000048</v>
      </c>
      <c r="AE149" s="188">
        <v>0.12</v>
      </c>
      <c r="AF149" s="189">
        <v>6.9545000000000003</v>
      </c>
      <c r="AG149" s="189">
        <v>6.6727999999999996</v>
      </c>
      <c r="AH149" s="190">
        <v>11745.979527</v>
      </c>
      <c r="AI149" s="190">
        <v>11888.299078</v>
      </c>
      <c r="AJ149" s="191">
        <f t="shared" si="9"/>
        <v>0.98802860274070903</v>
      </c>
      <c r="AK149" s="192">
        <v>45518</v>
      </c>
      <c r="AL149" s="193">
        <v>100.29</v>
      </c>
      <c r="AM149" s="194">
        <v>1283</v>
      </c>
      <c r="AN149" s="115"/>
      <c r="AO149" s="195">
        <v>1.4900601945E-3</v>
      </c>
      <c r="AP149" s="196">
        <f>IF(AO149="","",AO149-AO$6)</f>
        <v>1.00991530957E-3</v>
      </c>
      <c r="AQ149" s="196">
        <v>-7.6466068913000004E-4</v>
      </c>
      <c r="AR149" s="196">
        <f>IF(AQ149="","",AQ149-AQ$6)</f>
        <v>-5.4715393617000001E-4</v>
      </c>
      <c r="AS149" s="196">
        <v>7.2030480157999996E-2</v>
      </c>
      <c r="AT149" s="196">
        <f>IF(AS149="","",AS149-AS$6)</f>
        <v>5.7304645102999999E-2</v>
      </c>
      <c r="AU149" s="196">
        <v>-8.0731094249000008E-3</v>
      </c>
      <c r="AV149" s="196">
        <f>IF(AU149="","",AU149-AU$6)</f>
        <v>4.995473171099999E-3</v>
      </c>
      <c r="AW149" s="196">
        <v>3.2874819489999998E-2</v>
      </c>
      <c r="AX149" s="196">
        <f>IF(AW149="","",AW149-AW$6)</f>
        <v>8.879751701999998E-3</v>
      </c>
      <c r="AY149" s="196">
        <v>2.8204925244E-2</v>
      </c>
      <c r="AZ149" s="196">
        <f>IF(AY149="","",AY149-AY$6)</f>
        <v>1.3962670453999999E-2</v>
      </c>
      <c r="BA149" s="196">
        <v>0.10375140079</v>
      </c>
      <c r="BB149" s="196">
        <f>IF(BA149="","",BA149-BA$6)</f>
        <v>5.0264436232000005E-2</v>
      </c>
      <c r="BC149" s="196">
        <v>0.27553361566000001</v>
      </c>
      <c r="BD149" s="196">
        <f>IF(BC149="","",BC149-BC$6)</f>
        <v>8.1225049170000008E-2</v>
      </c>
      <c r="BE149" s="196"/>
      <c r="BF149" s="196" t="str">
        <f>IF(BE149="","",BE149-BE$6)</f>
        <v/>
      </c>
      <c r="BG149" s="196"/>
      <c r="BH149" s="196" t="str">
        <f>IF(BG149="","",BG149-BG$6)</f>
        <v/>
      </c>
      <c r="BI149" s="196"/>
      <c r="BJ149" s="196" t="str">
        <f>IF(BI149="","",BI149-BI$6)</f>
        <v/>
      </c>
      <c r="BK149" s="197">
        <v>4.5093817467999999</v>
      </c>
      <c r="BL149" s="115"/>
      <c r="BM149" s="198">
        <v>1.1525893145E-2</v>
      </c>
      <c r="BN149" s="191">
        <v>-9.3759590863999997E-3</v>
      </c>
      <c r="BO149" s="191">
        <v>2.9357603598E-2</v>
      </c>
      <c r="BP149" s="191">
        <v>-1.5089482806999999E-2</v>
      </c>
      <c r="BQ149" s="199">
        <v>8</v>
      </c>
      <c r="BR149" s="199">
        <v>4</v>
      </c>
      <c r="BS149" s="199">
        <v>7</v>
      </c>
      <c r="BT149" s="199">
        <v>5</v>
      </c>
      <c r="BU149" s="200">
        <v>-0.13761475123</v>
      </c>
      <c r="BV149" s="200"/>
      <c r="BW149" s="191">
        <v>4.661361145E-3</v>
      </c>
      <c r="BX149" s="191">
        <v>3.8100232254999998E-3</v>
      </c>
      <c r="BY149" s="189">
        <v>-1.3283599103999999</v>
      </c>
      <c r="BZ149" s="191">
        <v>-2.3775553246E-2</v>
      </c>
      <c r="CA149" s="191">
        <v>-2.3775553246E-2</v>
      </c>
      <c r="CB149" s="182">
        <v>45187</v>
      </c>
      <c r="CC149" s="182">
        <v>45202</v>
      </c>
      <c r="CD149" s="201">
        <v>47</v>
      </c>
      <c r="CE149" s="202">
        <v>45257</v>
      </c>
      <c r="CF149" s="116"/>
    </row>
    <row r="150" spans="2:84" ht="15.6" x14ac:dyDescent="0.3">
      <c r="B150" s="110" t="s">
        <v>1105</v>
      </c>
      <c r="C150" s="147" t="s">
        <v>1269</v>
      </c>
      <c r="D150" s="148" t="s">
        <v>1139</v>
      </c>
      <c r="E150" s="148" t="s">
        <v>228</v>
      </c>
      <c r="F150" s="149">
        <v>8822767000108</v>
      </c>
      <c r="G150" s="149" t="s">
        <v>1166</v>
      </c>
      <c r="H150" s="149" t="s">
        <v>388</v>
      </c>
      <c r="I150" s="150">
        <v>5</v>
      </c>
      <c r="J150" s="151" t="s">
        <v>107</v>
      </c>
      <c r="K150" s="151" t="s">
        <v>128</v>
      </c>
      <c r="L150" s="151" t="s">
        <v>112</v>
      </c>
      <c r="M150" s="151" t="s">
        <v>106</v>
      </c>
      <c r="N150" s="151" t="s">
        <v>109</v>
      </c>
      <c r="O150" s="152">
        <v>400000</v>
      </c>
      <c r="P150" s="153">
        <v>400000000</v>
      </c>
      <c r="Q150" s="153">
        <v>1000</v>
      </c>
      <c r="R150" s="154">
        <v>44351</v>
      </c>
      <c r="S150" s="154">
        <v>47832</v>
      </c>
      <c r="T150" s="155" t="s">
        <v>1235</v>
      </c>
      <c r="U150" s="155" t="s">
        <v>1209</v>
      </c>
      <c r="V150" s="154" t="s">
        <v>105</v>
      </c>
      <c r="W150" s="154" t="s">
        <v>102</v>
      </c>
      <c r="X150" s="154" t="s">
        <v>1321</v>
      </c>
      <c r="Y150" s="154">
        <v>46980</v>
      </c>
      <c r="Z150" s="156">
        <f>IFERROR(INDEX(Base!G:G,MATCH('Debêntures IPCA-Spread'!Y150,Base!F:F,0)),"")</f>
        <v>6.4702000000000002</v>
      </c>
      <c r="AA150" s="115"/>
      <c r="AB150" s="157">
        <v>45552</v>
      </c>
      <c r="AC150" s="158">
        <v>7.4927999999999999</v>
      </c>
      <c r="AD150" s="159">
        <f t="shared" si="8"/>
        <v>1.0225999999999997</v>
      </c>
      <c r="AE150" s="160">
        <v>0.1</v>
      </c>
      <c r="AF150" s="161">
        <v>7.6830999999999996</v>
      </c>
      <c r="AG150" s="161">
        <v>7.2316000000000003</v>
      </c>
      <c r="AH150" s="162">
        <v>1021.003673</v>
      </c>
      <c r="AI150" s="162">
        <v>1024.676551</v>
      </c>
      <c r="AJ150" s="163">
        <f t="shared" si="9"/>
        <v>0.9964155732885509</v>
      </c>
      <c r="AK150" s="164">
        <v>45530</v>
      </c>
      <c r="AL150" s="165">
        <v>95.38</v>
      </c>
      <c r="AM150" s="166">
        <v>826</v>
      </c>
      <c r="AN150" s="115"/>
      <c r="AO150" s="167">
        <v>4.8866787255999998E-4</v>
      </c>
      <c r="AP150" s="168">
        <f>IF(AO150="","",AO150-AO$6)</f>
        <v>8.5229876299999828E-6</v>
      </c>
      <c r="AQ150" s="168">
        <v>4.6051762128999996E-3</v>
      </c>
      <c r="AR150" s="168">
        <f>IF(AQ150="","",AQ150-AQ$6)</f>
        <v>4.8226829658599996E-3</v>
      </c>
      <c r="AS150" s="168">
        <v>7.4474922535999993E-2</v>
      </c>
      <c r="AT150" s="168">
        <f>IF(AS150="","",AS150-AS$6)</f>
        <v>5.9749087480999996E-2</v>
      </c>
      <c r="AU150" s="168">
        <v>-1.2066896069E-3</v>
      </c>
      <c r="AV150" s="168">
        <f>IF(AU150="","",AU150-AU$6)</f>
        <v>1.18618929891E-2</v>
      </c>
      <c r="AW150" s="168">
        <v>2.3280826896000001E-2</v>
      </c>
      <c r="AX150" s="168">
        <f>IF(AW150="","",AW150-AW$6)</f>
        <v>-7.1424089199999957E-4</v>
      </c>
      <c r="AY150" s="168">
        <v>2.7832134325000001E-2</v>
      </c>
      <c r="AZ150" s="168">
        <f>IF(AY150="","",AY150-AY$6)</f>
        <v>1.3589879535E-2</v>
      </c>
      <c r="BA150" s="168">
        <v>0.11160217037</v>
      </c>
      <c r="BB150" s="168">
        <f>IF(BA150="","",BA150-BA$6)</f>
        <v>5.8115205812000005E-2</v>
      </c>
      <c r="BC150" s="168">
        <v>0.27800643858000001</v>
      </c>
      <c r="BD150" s="168">
        <f>IF(BC150="","",BC150-BC$6)</f>
        <v>8.3697872090000014E-2</v>
      </c>
      <c r="BE150" s="168"/>
      <c r="BF150" s="168" t="str">
        <f>IF(BE150="","",BE150-BE$6)</f>
        <v/>
      </c>
      <c r="BG150" s="168"/>
      <c r="BH150" s="168" t="str">
        <f>IF(BG150="","",BG150-BG$6)</f>
        <v/>
      </c>
      <c r="BI150" s="168"/>
      <c r="BJ150" s="168" t="str">
        <f>IF(BI150="","",BI150-BI$6)</f>
        <v/>
      </c>
      <c r="BK150" s="169">
        <v>4.3280047151999996</v>
      </c>
      <c r="BL150" s="115"/>
      <c r="BM150" s="170">
        <v>8.9249203974999993E-3</v>
      </c>
      <c r="BN150" s="163">
        <v>-1.1860807752E-2</v>
      </c>
      <c r="BO150" s="163">
        <v>3.5938688407E-2</v>
      </c>
      <c r="BP150" s="163">
        <v>-8.5020668793999998E-3</v>
      </c>
      <c r="BQ150" s="171">
        <v>8</v>
      </c>
      <c r="BR150" s="171">
        <v>4</v>
      </c>
      <c r="BS150" s="171">
        <v>6</v>
      </c>
      <c r="BT150" s="171">
        <v>6</v>
      </c>
      <c r="BU150" s="172">
        <v>1.8022235519999999E-2</v>
      </c>
      <c r="BV150" s="172">
        <v>5.4461938107000001E-2</v>
      </c>
      <c r="BW150" s="163">
        <v>4.4706787500000001E-3</v>
      </c>
      <c r="BX150" s="163">
        <v>3.5695015104000001E-3</v>
      </c>
      <c r="BY150" s="161">
        <v>-0.38418483687999999</v>
      </c>
      <c r="BZ150" s="163">
        <v>-1.7988612644E-2</v>
      </c>
      <c r="CA150" s="163">
        <v>-1.7988612644E-2</v>
      </c>
      <c r="CB150" s="154">
        <v>45364</v>
      </c>
      <c r="CC150" s="154">
        <v>45398</v>
      </c>
      <c r="CD150" s="173">
        <v>44</v>
      </c>
      <c r="CE150" s="174">
        <v>45428</v>
      </c>
      <c r="CF150" s="116"/>
    </row>
    <row r="151" spans="2:84" ht="15.6" x14ac:dyDescent="0.3">
      <c r="B151" s="98" t="s">
        <v>43</v>
      </c>
      <c r="C151" s="175" t="s">
        <v>301</v>
      </c>
      <c r="D151" s="176" t="s">
        <v>78</v>
      </c>
      <c r="E151" s="176" t="s">
        <v>228</v>
      </c>
      <c r="F151" s="177">
        <v>10678505000163</v>
      </c>
      <c r="G151" s="177" t="s">
        <v>358</v>
      </c>
      <c r="H151" s="177" t="s">
        <v>388</v>
      </c>
      <c r="I151" s="178">
        <v>1</v>
      </c>
      <c r="J151" s="179" t="s">
        <v>107</v>
      </c>
      <c r="K151" s="179" t="s">
        <v>126</v>
      </c>
      <c r="L151" s="179" t="s">
        <v>118</v>
      </c>
      <c r="M151" s="179" t="s">
        <v>114</v>
      </c>
      <c r="N151" s="179" t="s">
        <v>109</v>
      </c>
      <c r="O151" s="180">
        <v>1065000</v>
      </c>
      <c r="P151" s="181">
        <v>1065000000</v>
      </c>
      <c r="Q151" s="181">
        <v>1000</v>
      </c>
      <c r="R151" s="182">
        <v>41440</v>
      </c>
      <c r="S151" s="182">
        <v>46919</v>
      </c>
      <c r="T151" s="183" t="s">
        <v>146</v>
      </c>
      <c r="U151" s="183" t="s">
        <v>178</v>
      </c>
      <c r="V151" s="182" t="s">
        <v>194</v>
      </c>
      <c r="W151" s="182" t="s">
        <v>102</v>
      </c>
      <c r="X151" s="182" t="s">
        <v>201</v>
      </c>
      <c r="Y151" s="182">
        <v>44788</v>
      </c>
      <c r="Z151" s="184" t="str">
        <f>IFERROR(INDEX(Base!G:G,MATCH('Debêntures IPCA-Spread'!Y151,Base!F:F,0)),"")</f>
        <v/>
      </c>
      <c r="AA151" s="115"/>
      <c r="AB151" s="185">
        <v>43777</v>
      </c>
      <c r="AC151" s="186"/>
      <c r="AD151" s="187" t="str">
        <f t="shared" si="8"/>
        <v/>
      </c>
      <c r="AE151" s="188"/>
      <c r="AF151" s="189"/>
      <c r="AG151" s="189"/>
      <c r="AH151" s="190"/>
      <c r="AI151" s="190"/>
      <c r="AJ151" s="191" t="str">
        <f t="shared" si="9"/>
        <v/>
      </c>
      <c r="AK151" s="192"/>
      <c r="AL151" s="193"/>
      <c r="AM151" s="194"/>
      <c r="AN151" s="115"/>
      <c r="AO151" s="195"/>
      <c r="AP151" s="196" t="str">
        <f>IF(AO151="","",AO151-AO$6)</f>
        <v/>
      </c>
      <c r="AQ151" s="196"/>
      <c r="AR151" s="196" t="str">
        <f>IF(AQ151="","",AQ151-AQ$6)</f>
        <v/>
      </c>
      <c r="AS151" s="196"/>
      <c r="AT151" s="196" t="str">
        <f>IF(AS151="","",AS151-AS$6)</f>
        <v/>
      </c>
      <c r="AU151" s="196"/>
      <c r="AV151" s="196" t="str">
        <f>IF(AU151="","",AU151-AU$6)</f>
        <v/>
      </c>
      <c r="AW151" s="196"/>
      <c r="AX151" s="196" t="str">
        <f>IF(AW151="","",AW151-AW$6)</f>
        <v/>
      </c>
      <c r="AY151" s="196"/>
      <c r="AZ151" s="196" t="str">
        <f>IF(AY151="","",AY151-AY$6)</f>
        <v/>
      </c>
      <c r="BA151" s="196"/>
      <c r="BB151" s="196" t="str">
        <f>IF(BA151="","",BA151-BA$6)</f>
        <v/>
      </c>
      <c r="BC151" s="196"/>
      <c r="BD151" s="196" t="str">
        <f>IF(BC151="","",BC151-BC$6)</f>
        <v/>
      </c>
      <c r="BE151" s="196"/>
      <c r="BF151" s="196" t="str">
        <f>IF(BE151="","",BE151-BE$6)</f>
        <v/>
      </c>
      <c r="BG151" s="196"/>
      <c r="BH151" s="196" t="str">
        <f>IF(BG151="","",BG151-BG$6)</f>
        <v/>
      </c>
      <c r="BI151" s="196"/>
      <c r="BJ151" s="196" t="str">
        <f>IF(BI151="","",BI151-BI$6)</f>
        <v/>
      </c>
      <c r="BK151" s="197"/>
      <c r="BL151" s="115"/>
      <c r="BM151" s="198"/>
      <c r="BN151" s="191"/>
      <c r="BO151" s="191"/>
      <c r="BP151" s="191"/>
      <c r="BQ151" s="199"/>
      <c r="BR151" s="199"/>
      <c r="BS151" s="199"/>
      <c r="BT151" s="199"/>
      <c r="BU151" s="200"/>
      <c r="BV151" s="200"/>
      <c r="BW151" s="191"/>
      <c r="BX151" s="191"/>
      <c r="BY151" s="189"/>
      <c r="BZ151" s="191"/>
      <c r="CA151" s="191"/>
      <c r="CB151" s="182"/>
      <c r="CC151" s="182"/>
      <c r="CD151" s="201"/>
      <c r="CE151" s="202"/>
      <c r="CF151" s="116"/>
    </row>
    <row r="152" spans="2:84" ht="15.6" x14ac:dyDescent="0.3">
      <c r="B152" s="110" t="s">
        <v>507</v>
      </c>
      <c r="C152" s="147" t="s">
        <v>672</v>
      </c>
      <c r="D152" s="148" t="s">
        <v>79</v>
      </c>
      <c r="E152" s="148" t="s">
        <v>228</v>
      </c>
      <c r="F152" s="149">
        <v>10647979000148</v>
      </c>
      <c r="G152" s="149" t="s">
        <v>827</v>
      </c>
      <c r="H152" s="149" t="s">
        <v>388</v>
      </c>
      <c r="I152" s="150">
        <v>2</v>
      </c>
      <c r="J152" s="151">
        <v>1</v>
      </c>
      <c r="K152" s="151" t="s">
        <v>111</v>
      </c>
      <c r="L152" s="151" t="s">
        <v>118</v>
      </c>
      <c r="M152" s="151" t="s">
        <v>986</v>
      </c>
      <c r="N152" s="151" t="s">
        <v>109</v>
      </c>
      <c r="O152" s="152">
        <v>859479</v>
      </c>
      <c r="P152" s="153">
        <v>859479000</v>
      </c>
      <c r="Q152" s="153">
        <v>1000</v>
      </c>
      <c r="R152" s="154">
        <v>43784</v>
      </c>
      <c r="S152" s="154">
        <v>49140</v>
      </c>
      <c r="T152" s="155" t="s">
        <v>915</v>
      </c>
      <c r="U152" s="155" t="s">
        <v>915</v>
      </c>
      <c r="V152" s="154" t="s">
        <v>194</v>
      </c>
      <c r="W152" s="154" t="s">
        <v>102</v>
      </c>
      <c r="X152" s="154" t="s">
        <v>1322</v>
      </c>
      <c r="Y152" s="154">
        <v>47710</v>
      </c>
      <c r="Z152" s="156">
        <f>IFERROR(INDEX(Base!G:G,MATCH('Debêntures IPCA-Spread'!Y152,Base!F:F,0)),"")</f>
        <v>6.3273999999999999</v>
      </c>
      <c r="AA152" s="115"/>
      <c r="AB152" s="157">
        <v>45552</v>
      </c>
      <c r="AC152" s="158">
        <v>6.7557</v>
      </c>
      <c r="AD152" s="159">
        <f t="shared" si="8"/>
        <v>0.42830000000000013</v>
      </c>
      <c r="AE152" s="160">
        <v>7.0000000000000007E-2</v>
      </c>
      <c r="AF152" s="161">
        <v>7.0071000000000003</v>
      </c>
      <c r="AG152" s="161">
        <v>6.5159000000000002</v>
      </c>
      <c r="AH152" s="162">
        <v>1340.3627630000001</v>
      </c>
      <c r="AI152" s="162">
        <v>1353.7924619999999</v>
      </c>
      <c r="AJ152" s="163">
        <f t="shared" si="9"/>
        <v>0.9900799425488308</v>
      </c>
      <c r="AK152" s="164">
        <v>45530</v>
      </c>
      <c r="AL152" s="165">
        <v>91.14</v>
      </c>
      <c r="AM152" s="166">
        <v>1396</v>
      </c>
      <c r="AN152" s="115"/>
      <c r="AO152" s="167">
        <v>7.0216616768000004E-4</v>
      </c>
      <c r="AP152" s="168">
        <f>IF(AO152="","",AO152-AO$6)</f>
        <v>2.2202128275000004E-4</v>
      </c>
      <c r="AQ152" s="168">
        <v>7.3721253065999999E-3</v>
      </c>
      <c r="AR152" s="168">
        <f>IF(AQ152="","",AQ152-AQ$6)</f>
        <v>7.58963205956E-3</v>
      </c>
      <c r="AS152" s="168">
        <v>8.4930348877999995E-2</v>
      </c>
      <c r="AT152" s="168">
        <f>IF(AS152="","",AS152-AS$6)</f>
        <v>7.0204513822999998E-2</v>
      </c>
      <c r="AU152" s="168">
        <v>-2.8071772676E-3</v>
      </c>
      <c r="AV152" s="168">
        <f>IF(AU152="","",AU152-AU$6)</f>
        <v>1.0261405328399999E-2</v>
      </c>
      <c r="AW152" s="168">
        <v>3.5471824478E-2</v>
      </c>
      <c r="AX152" s="168">
        <f>IF(AW152="","",AW152-AW$6)</f>
        <v>1.1476756689999999E-2</v>
      </c>
      <c r="AY152" s="168">
        <v>3.5401737466999997E-2</v>
      </c>
      <c r="AZ152" s="168">
        <f>IF(AY152="","",AY152-AY$6)</f>
        <v>2.1159482676999998E-2</v>
      </c>
      <c r="BA152" s="168">
        <v>0.12221279566</v>
      </c>
      <c r="BB152" s="168">
        <f>IF(BA152="","",BA152-BA$6)</f>
        <v>6.8725831102000007E-2</v>
      </c>
      <c r="BC152" s="168">
        <v>0.25138733315</v>
      </c>
      <c r="BD152" s="168">
        <f>IF(BC152="","",BC152-BC$6)</f>
        <v>5.7078766660000002E-2</v>
      </c>
      <c r="BE152" s="168"/>
      <c r="BF152" s="168" t="str">
        <f>IF(BE152="","",BE152-BE$6)</f>
        <v/>
      </c>
      <c r="BG152" s="168"/>
      <c r="BH152" s="168" t="str">
        <f>IF(BG152="","",BG152-BG$6)</f>
        <v/>
      </c>
      <c r="BI152" s="168"/>
      <c r="BJ152" s="168" t="str">
        <f>IF(BI152="","",BI152-BI$6)</f>
        <v/>
      </c>
      <c r="BK152" s="169">
        <v>5.1021159345999996</v>
      </c>
      <c r="BL152" s="115"/>
      <c r="BM152" s="170">
        <v>1.1770977089E-2</v>
      </c>
      <c r="BN152" s="163">
        <v>-9.0430717037000008E-3</v>
      </c>
      <c r="BO152" s="163">
        <v>3.5234717839999999E-2</v>
      </c>
      <c r="BP152" s="163">
        <v>-1.7960857029000001E-2</v>
      </c>
      <c r="BQ152" s="171">
        <v>9</v>
      </c>
      <c r="BR152" s="171">
        <v>3</v>
      </c>
      <c r="BS152" s="171">
        <v>7</v>
      </c>
      <c r="BT152" s="171">
        <v>5</v>
      </c>
      <c r="BU152" s="172">
        <v>0.20971292</v>
      </c>
      <c r="BV152" s="172"/>
      <c r="BW152" s="163">
        <v>5.2730375646999998E-3</v>
      </c>
      <c r="BX152" s="163">
        <v>5.0984598712999997E-3</v>
      </c>
      <c r="BY152" s="161">
        <v>0.52103746268999995</v>
      </c>
      <c r="BZ152" s="163">
        <v>-2.1709116984999999E-2</v>
      </c>
      <c r="CA152" s="163">
        <v>-2.1709116984999999E-2</v>
      </c>
      <c r="CB152" s="154">
        <v>45187</v>
      </c>
      <c r="CC152" s="154">
        <v>45202</v>
      </c>
      <c r="CD152" s="173">
        <v>44</v>
      </c>
      <c r="CE152" s="174">
        <v>45252</v>
      </c>
      <c r="CF152" s="116"/>
    </row>
    <row r="153" spans="2:84" ht="15.6" x14ac:dyDescent="0.3">
      <c r="B153" s="98" t="s">
        <v>508</v>
      </c>
      <c r="C153" s="175" t="s">
        <v>673</v>
      </c>
      <c r="D153" s="176" t="s">
        <v>79</v>
      </c>
      <c r="E153" s="176" t="s">
        <v>228</v>
      </c>
      <c r="F153" s="177">
        <v>10647979000148</v>
      </c>
      <c r="G153" s="177" t="s">
        <v>828</v>
      </c>
      <c r="H153" s="177" t="s">
        <v>388</v>
      </c>
      <c r="I153" s="178">
        <v>2</v>
      </c>
      <c r="J153" s="179">
        <v>3</v>
      </c>
      <c r="K153" s="179" t="s">
        <v>111</v>
      </c>
      <c r="L153" s="179" t="s">
        <v>118</v>
      </c>
      <c r="M153" s="179" t="s">
        <v>986</v>
      </c>
      <c r="N153" s="179" t="s">
        <v>109</v>
      </c>
      <c r="O153" s="180">
        <v>240771</v>
      </c>
      <c r="P153" s="181">
        <v>240771000</v>
      </c>
      <c r="Q153" s="181">
        <v>1000</v>
      </c>
      <c r="R153" s="182">
        <v>43784</v>
      </c>
      <c r="S153" s="182">
        <v>49140</v>
      </c>
      <c r="T153" s="183" t="s">
        <v>762</v>
      </c>
      <c r="U153" s="183" t="s">
        <v>915</v>
      </c>
      <c r="V153" s="182" t="s">
        <v>194</v>
      </c>
      <c r="W153" s="182" t="s">
        <v>102</v>
      </c>
      <c r="X153" s="182" t="s">
        <v>1323</v>
      </c>
      <c r="Y153" s="182">
        <v>47710</v>
      </c>
      <c r="Z153" s="184">
        <f>IFERROR(INDEX(Base!G:G,MATCH('Debêntures IPCA-Spread'!Y153,Base!F:F,0)),"")</f>
        <v>6.3273999999999999</v>
      </c>
      <c r="AA153" s="115"/>
      <c r="AB153" s="185">
        <v>45552</v>
      </c>
      <c r="AC153" s="186">
        <v>6.7259000000000002</v>
      </c>
      <c r="AD153" s="187">
        <f t="shared" si="8"/>
        <v>0.3985000000000003</v>
      </c>
      <c r="AE153" s="188">
        <v>0.13</v>
      </c>
      <c r="AF153" s="189">
        <v>6.9819000000000004</v>
      </c>
      <c r="AG153" s="189">
        <v>6.5632000000000001</v>
      </c>
      <c r="AH153" s="190">
        <v>1363.2766509999999</v>
      </c>
      <c r="AI153" s="190">
        <v>1367.8378560000001</v>
      </c>
      <c r="AJ153" s="191">
        <f t="shared" si="9"/>
        <v>0.99666539057974413</v>
      </c>
      <c r="AK153" s="192">
        <v>45518</v>
      </c>
      <c r="AL153" s="193">
        <v>92.3</v>
      </c>
      <c r="AM153" s="194">
        <v>1391</v>
      </c>
      <c r="AN153" s="115"/>
      <c r="AO153" s="195">
        <v>-3.2405108741000001E-3</v>
      </c>
      <c r="AP153" s="196">
        <f>IF(AO153="","",AO153-AO$6)</f>
        <v>-3.7206557590300001E-3</v>
      </c>
      <c r="AQ153" s="196">
        <v>1.3023010202E-2</v>
      </c>
      <c r="AR153" s="196">
        <f>IF(AQ153="","",AQ153-AQ$6)</f>
        <v>1.3240516954959999E-2</v>
      </c>
      <c r="AS153" s="196">
        <v>8.6521347065999996E-2</v>
      </c>
      <c r="AT153" s="196">
        <f>IF(AS153="","",AS153-AS$6)</f>
        <v>7.1795512010999998E-2</v>
      </c>
      <c r="AU153" s="196">
        <v>2.1522626775999998E-3</v>
      </c>
      <c r="AV153" s="196">
        <f>IF(AU153="","",AU153-AU$6)</f>
        <v>1.5220845273600001E-2</v>
      </c>
      <c r="AW153" s="196">
        <v>3.8583480944E-2</v>
      </c>
      <c r="AX153" s="196">
        <f>IF(AW153="","",AW153-AW$6)</f>
        <v>1.4588413155999999E-2</v>
      </c>
      <c r="AY153" s="196">
        <v>3.2403645597E-2</v>
      </c>
      <c r="AZ153" s="196">
        <f>IF(AY153="","",AY153-AY$6)</f>
        <v>1.8161390807000001E-2</v>
      </c>
      <c r="BA153" s="196">
        <v>0.12566076092</v>
      </c>
      <c r="BB153" s="196">
        <f>IF(BA153="","",BA153-BA$6)</f>
        <v>7.2173796361999998E-2</v>
      </c>
      <c r="BC153" s="196">
        <v>0.25950999939000002</v>
      </c>
      <c r="BD153" s="196">
        <f>IF(BC153="","",BC153-BC$6)</f>
        <v>6.5201432900000023E-2</v>
      </c>
      <c r="BE153" s="196"/>
      <c r="BF153" s="196" t="str">
        <f>IF(BE153="","",BE153-BE$6)</f>
        <v/>
      </c>
      <c r="BG153" s="196"/>
      <c r="BH153" s="196" t="str">
        <f>IF(BG153="","",BG153-BG$6)</f>
        <v/>
      </c>
      <c r="BI153" s="196"/>
      <c r="BJ153" s="196" t="str">
        <f>IF(BI153="","",BI153-BI$6)</f>
        <v/>
      </c>
      <c r="BK153" s="197">
        <v>5.1722874219000001</v>
      </c>
      <c r="BL153" s="115"/>
      <c r="BM153" s="198">
        <v>1.6977816640000001E-2</v>
      </c>
      <c r="BN153" s="191">
        <v>-8.4754216596E-3</v>
      </c>
      <c r="BO153" s="191">
        <v>3.4121851809999999E-2</v>
      </c>
      <c r="BP153" s="191">
        <v>-1.6743153956000002E-2</v>
      </c>
      <c r="BQ153" s="199">
        <v>9</v>
      </c>
      <c r="BR153" s="199">
        <v>3</v>
      </c>
      <c r="BS153" s="199">
        <v>7</v>
      </c>
      <c r="BT153" s="199">
        <v>5</v>
      </c>
      <c r="BU153" s="200">
        <v>0.26738652878000002</v>
      </c>
      <c r="BV153" s="200"/>
      <c r="BW153" s="191">
        <v>5.3503520856000002E-3</v>
      </c>
      <c r="BX153" s="191">
        <v>6.4806409326999999E-3</v>
      </c>
      <c r="BY153" s="189">
        <v>0.91466756869999999</v>
      </c>
      <c r="BZ153" s="191">
        <v>-2.4729842852E-2</v>
      </c>
      <c r="CA153" s="191">
        <v>-2.4729842852E-2</v>
      </c>
      <c r="CB153" s="182">
        <v>45187</v>
      </c>
      <c r="CC153" s="182">
        <v>45230</v>
      </c>
      <c r="CD153" s="201">
        <v>47</v>
      </c>
      <c r="CE153" s="202">
        <v>45257</v>
      </c>
      <c r="CF153" s="116"/>
    </row>
    <row r="154" spans="2:84" ht="15.6" x14ac:dyDescent="0.3">
      <c r="B154" s="110" t="s">
        <v>509</v>
      </c>
      <c r="C154" s="147" t="s">
        <v>674</v>
      </c>
      <c r="D154" s="148" t="s">
        <v>79</v>
      </c>
      <c r="E154" s="148" t="s">
        <v>228</v>
      </c>
      <c r="F154" s="149">
        <v>10647979000148</v>
      </c>
      <c r="G154" s="149" t="s">
        <v>829</v>
      </c>
      <c r="H154" s="149" t="s">
        <v>388</v>
      </c>
      <c r="I154" s="150">
        <v>2</v>
      </c>
      <c r="J154" s="151">
        <v>5</v>
      </c>
      <c r="K154" s="151" t="s">
        <v>111</v>
      </c>
      <c r="L154" s="151" t="s">
        <v>118</v>
      </c>
      <c r="M154" s="151" t="s">
        <v>986</v>
      </c>
      <c r="N154" s="151" t="s">
        <v>109</v>
      </c>
      <c r="O154" s="152">
        <v>199750</v>
      </c>
      <c r="P154" s="153">
        <v>199750000</v>
      </c>
      <c r="Q154" s="153">
        <v>1000</v>
      </c>
      <c r="R154" s="154">
        <v>43784</v>
      </c>
      <c r="S154" s="154">
        <v>49140</v>
      </c>
      <c r="T154" s="155" t="s">
        <v>762</v>
      </c>
      <c r="U154" s="155" t="s">
        <v>915</v>
      </c>
      <c r="V154" s="154" t="s">
        <v>194</v>
      </c>
      <c r="W154" s="154" t="s">
        <v>102</v>
      </c>
      <c r="X154" s="154" t="s">
        <v>1323</v>
      </c>
      <c r="Y154" s="154">
        <v>47710</v>
      </c>
      <c r="Z154" s="156">
        <f>IFERROR(INDEX(Base!G:G,MATCH('Debêntures IPCA-Spread'!Y154,Base!F:F,0)),"")</f>
        <v>6.3273999999999999</v>
      </c>
      <c r="AA154" s="115"/>
      <c r="AB154" s="157">
        <v>45552</v>
      </c>
      <c r="AC154" s="158">
        <v>6.7152000000000003</v>
      </c>
      <c r="AD154" s="159">
        <f t="shared" si="8"/>
        <v>0.38780000000000037</v>
      </c>
      <c r="AE154" s="160">
        <v>0.11</v>
      </c>
      <c r="AF154" s="161">
        <v>6.96</v>
      </c>
      <c r="AG154" s="161">
        <v>6.5064000000000002</v>
      </c>
      <c r="AH154" s="162">
        <v>1364.0312349999999</v>
      </c>
      <c r="AI154" s="162">
        <v>1369.5148770000001</v>
      </c>
      <c r="AJ154" s="163">
        <f t="shared" si="9"/>
        <v>0.99599592374490131</v>
      </c>
      <c r="AK154" s="164">
        <v>45518</v>
      </c>
      <c r="AL154" s="165">
        <v>92.35</v>
      </c>
      <c r="AM154" s="166">
        <v>1391</v>
      </c>
      <c r="AN154" s="115"/>
      <c r="AO154" s="167">
        <v>3.5665548693999999E-3</v>
      </c>
      <c r="AP154" s="168">
        <f>IF(AO154="","",AO154-AO$6)</f>
        <v>3.0864099844699999E-3</v>
      </c>
      <c r="AQ154" s="168">
        <v>1.2304565209E-2</v>
      </c>
      <c r="AR154" s="168">
        <f>IF(AQ154="","",AQ154-AQ$6)</f>
        <v>1.2522071961959999E-2</v>
      </c>
      <c r="AS154" s="168">
        <v>8.8400969831000001E-2</v>
      </c>
      <c r="AT154" s="168">
        <f>IF(AS154="","",AS154-AS$6)</f>
        <v>7.3675134776000004E-2</v>
      </c>
      <c r="AU154" s="168">
        <v>-9.756596919E-4</v>
      </c>
      <c r="AV154" s="168">
        <f>IF(AU154="","",AU154-AU$6)</f>
        <v>1.20929229041E-2</v>
      </c>
      <c r="AW154" s="168">
        <v>4.1159658504000003E-2</v>
      </c>
      <c r="AX154" s="168">
        <f>IF(AW154="","",AW154-AW$6)</f>
        <v>1.7164590716000003E-2</v>
      </c>
      <c r="AY154" s="168">
        <v>3.4905828723E-2</v>
      </c>
      <c r="AZ154" s="168">
        <f>IF(AY154="","",AY154-AY$6)</f>
        <v>2.0663573933000001E-2</v>
      </c>
      <c r="BA154" s="168">
        <v>0.12773861410000001</v>
      </c>
      <c r="BB154" s="168">
        <f>IF(BA154="","",BA154-BA$6)</f>
        <v>7.4251649542000003E-2</v>
      </c>
      <c r="BC154" s="168">
        <v>0.25774605644999998</v>
      </c>
      <c r="BD154" s="168">
        <f>IF(BC154="","",BC154-BC$6)</f>
        <v>6.3437489959999982E-2</v>
      </c>
      <c r="BE154" s="168"/>
      <c r="BF154" s="168" t="str">
        <f>IF(BE154="","",BE154-BE$6)</f>
        <v/>
      </c>
      <c r="BG154" s="168"/>
      <c r="BH154" s="168" t="str">
        <f>IF(BG154="","",BG154-BG$6)</f>
        <v/>
      </c>
      <c r="BI154" s="168"/>
      <c r="BJ154" s="168" t="str">
        <f>IF(BI154="","",BI154-BI$6)</f>
        <v/>
      </c>
      <c r="BK154" s="169">
        <v>5.1192000065999999</v>
      </c>
      <c r="BL154" s="115"/>
      <c r="BM154" s="170">
        <v>1.1478509744E-2</v>
      </c>
      <c r="BN154" s="163">
        <v>-8.6378148735000004E-3</v>
      </c>
      <c r="BO154" s="163">
        <v>3.7687074642000003E-2</v>
      </c>
      <c r="BP154" s="163">
        <v>-1.9293800010000001E-2</v>
      </c>
      <c r="BQ154" s="171">
        <v>9</v>
      </c>
      <c r="BR154" s="171">
        <v>3</v>
      </c>
      <c r="BS154" s="171">
        <v>7</v>
      </c>
      <c r="BT154" s="171">
        <v>5</v>
      </c>
      <c r="BU154" s="172">
        <v>0.30629532785000002</v>
      </c>
      <c r="BV154" s="172"/>
      <c r="BW154" s="163">
        <v>5.2922732382999996E-3</v>
      </c>
      <c r="BX154" s="163">
        <v>4.4535892592999999E-3</v>
      </c>
      <c r="BY154" s="161">
        <v>1.0341388269</v>
      </c>
      <c r="BZ154" s="163">
        <v>-2.483647567E-2</v>
      </c>
      <c r="CA154" s="163">
        <v>-2.483647567E-2</v>
      </c>
      <c r="CB154" s="154">
        <v>45364</v>
      </c>
      <c r="CC154" s="154">
        <v>45412</v>
      </c>
      <c r="CD154" s="173">
        <v>82</v>
      </c>
      <c r="CE154" s="174">
        <v>45483</v>
      </c>
      <c r="CF154" s="116"/>
    </row>
    <row r="155" spans="2:84" ht="15.6" x14ac:dyDescent="0.3">
      <c r="B155" s="98" t="s">
        <v>510</v>
      </c>
      <c r="C155" s="175" t="s">
        <v>675</v>
      </c>
      <c r="D155" s="176" t="s">
        <v>79</v>
      </c>
      <c r="E155" s="176" t="s">
        <v>228</v>
      </c>
      <c r="F155" s="177">
        <v>10647979000148</v>
      </c>
      <c r="G155" s="177" t="s">
        <v>830</v>
      </c>
      <c r="H155" s="177" t="s">
        <v>388</v>
      </c>
      <c r="I155" s="178">
        <v>2</v>
      </c>
      <c r="J155" s="179">
        <v>7</v>
      </c>
      <c r="K155" s="179" t="s">
        <v>111</v>
      </c>
      <c r="L155" s="179" t="s">
        <v>118</v>
      </c>
      <c r="M155" s="179" t="s">
        <v>986</v>
      </c>
      <c r="N155" s="179" t="s">
        <v>109</v>
      </c>
      <c r="O155" s="180">
        <v>167482</v>
      </c>
      <c r="P155" s="181">
        <v>167482000</v>
      </c>
      <c r="Q155" s="181">
        <v>1000</v>
      </c>
      <c r="R155" s="182">
        <v>43784</v>
      </c>
      <c r="S155" s="182">
        <v>49140</v>
      </c>
      <c r="T155" s="183" t="s">
        <v>762</v>
      </c>
      <c r="U155" s="183" t="s">
        <v>915</v>
      </c>
      <c r="V155" s="182" t="s">
        <v>194</v>
      </c>
      <c r="W155" s="182" t="s">
        <v>102</v>
      </c>
      <c r="X155" s="182" t="s">
        <v>1323</v>
      </c>
      <c r="Y155" s="182">
        <v>47710</v>
      </c>
      <c r="Z155" s="184">
        <f>IFERROR(INDEX(Base!G:G,MATCH('Debêntures IPCA-Spread'!Y155,Base!F:F,0)),"")</f>
        <v>6.3273999999999999</v>
      </c>
      <c r="AA155" s="115"/>
      <c r="AB155" s="185">
        <v>45552</v>
      </c>
      <c r="AC155" s="186">
        <v>6.9180000000000001</v>
      </c>
      <c r="AD155" s="187">
        <f t="shared" si="8"/>
        <v>0.59060000000000024</v>
      </c>
      <c r="AE155" s="188">
        <v>0.22</v>
      </c>
      <c r="AF155" s="189">
        <v>7.1180000000000003</v>
      </c>
      <c r="AG155" s="189">
        <v>6.8409000000000004</v>
      </c>
      <c r="AH155" s="190">
        <v>1349.8281320000001</v>
      </c>
      <c r="AI155" s="190">
        <v>1362.3928060000001</v>
      </c>
      <c r="AJ155" s="191">
        <f t="shared" si="9"/>
        <v>0.99077749534153081</v>
      </c>
      <c r="AK155" s="192">
        <v>45518</v>
      </c>
      <c r="AL155" s="193">
        <v>91.39</v>
      </c>
      <c r="AM155" s="194">
        <v>1388</v>
      </c>
      <c r="AN155" s="115"/>
      <c r="AO155" s="195">
        <v>8.4145268720000003E-3</v>
      </c>
      <c r="AP155" s="196">
        <f>IF(AO155="","",AO155-AO$6)</f>
        <v>7.9343819870699994E-3</v>
      </c>
      <c r="AQ155" s="196">
        <v>8.3170559155000007E-3</v>
      </c>
      <c r="AR155" s="196">
        <f>IF(AQ155="","",AQ155-AQ$6)</f>
        <v>8.5345626684599999E-3</v>
      </c>
      <c r="AS155" s="196">
        <v>7.7284751341999997E-2</v>
      </c>
      <c r="AT155" s="196">
        <f>IF(AS155="","",AS155-AS$6)</f>
        <v>6.2558916286999999E-2</v>
      </c>
      <c r="AU155" s="196">
        <v>-5.3624678712000003E-3</v>
      </c>
      <c r="AV155" s="196">
        <f>IF(AU155="","",AU155-AU$6)</f>
        <v>7.7061147247999996E-3</v>
      </c>
      <c r="AW155" s="196">
        <v>3.7853556764999997E-2</v>
      </c>
      <c r="AX155" s="196">
        <f>IF(AW155="","",AW155-AW$6)</f>
        <v>1.3858488976999997E-2</v>
      </c>
      <c r="AY155" s="196">
        <v>2.6372165459000001E-2</v>
      </c>
      <c r="AZ155" s="196">
        <f>IF(AY155="","",AY155-AY$6)</f>
        <v>1.2129910669E-2</v>
      </c>
      <c r="BA155" s="196">
        <v>0.11598788132</v>
      </c>
      <c r="BB155" s="196">
        <f>IF(BA155="","",BA155-BA$6)</f>
        <v>6.2500916762000008E-2</v>
      </c>
      <c r="BC155" s="196">
        <v>0.2452882565</v>
      </c>
      <c r="BD155" s="196">
        <f>IF(BC155="","",BC155-BC$6)</f>
        <v>5.0979690009999995E-2</v>
      </c>
      <c r="BE155" s="196"/>
      <c r="BF155" s="196" t="str">
        <f>IF(BE155="","",BE155-BE$6)</f>
        <v/>
      </c>
      <c r="BG155" s="196"/>
      <c r="BH155" s="196" t="str">
        <f>IF(BG155="","",BG155-BG$6)</f>
        <v/>
      </c>
      <c r="BI155" s="196"/>
      <c r="BJ155" s="196" t="str">
        <f>IF(BI155="","",BI155-BI$6)</f>
        <v/>
      </c>
      <c r="BK155" s="197">
        <v>5.2727102850999996</v>
      </c>
      <c r="BL155" s="115"/>
      <c r="BM155" s="198">
        <v>1.6466202316E-2</v>
      </c>
      <c r="BN155" s="191">
        <v>-9.1014718563999994E-3</v>
      </c>
      <c r="BO155" s="191">
        <v>3.7868242934999997E-2</v>
      </c>
      <c r="BP155" s="191">
        <v>-1.5931477270000001E-2</v>
      </c>
      <c r="BQ155" s="199">
        <v>9</v>
      </c>
      <c r="BR155" s="199">
        <v>3</v>
      </c>
      <c r="BS155" s="199">
        <v>6</v>
      </c>
      <c r="BT155" s="199">
        <v>6</v>
      </c>
      <c r="BU155" s="200">
        <v>9.8271538386999993E-2</v>
      </c>
      <c r="BV155" s="200"/>
      <c r="BW155" s="191">
        <v>5.4519389781000002E-3</v>
      </c>
      <c r="BX155" s="191">
        <v>5.0321918901999997E-3</v>
      </c>
      <c r="BY155" s="189">
        <v>-6.0654555711000001E-2</v>
      </c>
      <c r="BZ155" s="191">
        <v>-2.3075992827E-2</v>
      </c>
      <c r="CA155" s="191">
        <v>-2.3075992827E-2</v>
      </c>
      <c r="CB155" s="182">
        <v>45189</v>
      </c>
      <c r="CC155" s="182">
        <v>45202</v>
      </c>
      <c r="CD155" s="201">
        <v>39</v>
      </c>
      <c r="CE155" s="202">
        <v>45247</v>
      </c>
      <c r="CF155" s="116"/>
    </row>
    <row r="156" spans="2:84" ht="15.6" x14ac:dyDescent="0.3">
      <c r="B156" s="110" t="s">
        <v>1106</v>
      </c>
      <c r="C156" s="147" t="s">
        <v>1270</v>
      </c>
      <c r="D156" s="148" t="s">
        <v>1140</v>
      </c>
      <c r="E156" s="148" t="s">
        <v>232</v>
      </c>
      <c r="F156" s="149">
        <v>10324624000118</v>
      </c>
      <c r="G156" s="149" t="s">
        <v>1167</v>
      </c>
      <c r="H156" s="149" t="s">
        <v>388</v>
      </c>
      <c r="I156" s="150">
        <v>9</v>
      </c>
      <c r="J156" s="151" t="s">
        <v>107</v>
      </c>
      <c r="K156" s="151" t="s">
        <v>130</v>
      </c>
      <c r="L156" s="151" t="s">
        <v>122</v>
      </c>
      <c r="M156" s="151" t="s">
        <v>106</v>
      </c>
      <c r="N156" s="151" t="s">
        <v>109</v>
      </c>
      <c r="O156" s="152">
        <v>1200000</v>
      </c>
      <c r="P156" s="153">
        <v>1200000000</v>
      </c>
      <c r="Q156" s="153">
        <v>1000</v>
      </c>
      <c r="R156" s="154">
        <v>44211</v>
      </c>
      <c r="S156" s="154">
        <v>48197</v>
      </c>
      <c r="T156" s="155" t="s">
        <v>2831</v>
      </c>
      <c r="U156" s="155" t="s">
        <v>1210</v>
      </c>
      <c r="V156" s="154" t="s">
        <v>194</v>
      </c>
      <c r="W156" s="154" t="s">
        <v>102</v>
      </c>
      <c r="X156" s="154" t="s">
        <v>1324</v>
      </c>
      <c r="Y156" s="154">
        <v>46980</v>
      </c>
      <c r="Z156" s="156">
        <f>IFERROR(INDEX(Base!G:G,MATCH('Debêntures IPCA-Spread'!Y156,Base!F:F,0)),"")</f>
        <v>6.4702000000000002</v>
      </c>
      <c r="AA156" s="115"/>
      <c r="AB156" s="157">
        <v>45552</v>
      </c>
      <c r="AC156" s="158">
        <v>7.3564999999999996</v>
      </c>
      <c r="AD156" s="159">
        <f t="shared" si="8"/>
        <v>0.88629999999999942</v>
      </c>
      <c r="AE156" s="160">
        <v>0.13</v>
      </c>
      <c r="AF156" s="161">
        <v>7.5285000000000002</v>
      </c>
      <c r="AG156" s="161">
        <v>7.3112000000000004</v>
      </c>
      <c r="AH156" s="162">
        <v>1302.3520490000001</v>
      </c>
      <c r="AI156" s="162">
        <v>1302.3520490000001</v>
      </c>
      <c r="AJ156" s="163">
        <f t="shared" si="9"/>
        <v>1</v>
      </c>
      <c r="AK156" s="164">
        <v>45552</v>
      </c>
      <c r="AL156" s="165">
        <v>99.11</v>
      </c>
      <c r="AM156" s="166">
        <v>889</v>
      </c>
      <c r="AN156" s="115"/>
      <c r="AO156" s="167">
        <v>1.9802849165000001E-3</v>
      </c>
      <c r="AP156" s="168">
        <f>IF(AO156="","",AO156-AO$6)</f>
        <v>1.5001400315700002E-3</v>
      </c>
      <c r="AQ156" s="168">
        <v>1.8005244829999999E-2</v>
      </c>
      <c r="AR156" s="168">
        <f>IF(AQ156="","",AQ156-AQ$6)</f>
        <v>1.8222751582959999E-2</v>
      </c>
      <c r="AS156" s="168">
        <v>0.11748787928</v>
      </c>
      <c r="AT156" s="168">
        <f>IF(AS156="","",AS156-AS$6)</f>
        <v>0.102762044225</v>
      </c>
      <c r="AU156" s="168">
        <v>1.3482739626000001E-2</v>
      </c>
      <c r="AV156" s="168">
        <f>IF(AU156="","",AU156-AU$6)</f>
        <v>2.6551322222E-2</v>
      </c>
      <c r="AW156" s="168">
        <v>5.284787355E-2</v>
      </c>
      <c r="AX156" s="168">
        <f>IF(AW156="","",AW156-AW$6)</f>
        <v>2.8852805762E-2</v>
      </c>
      <c r="AY156" s="168">
        <v>5.9609218231000002E-2</v>
      </c>
      <c r="AZ156" s="168">
        <f>IF(AY156="","",AY156-AY$6)</f>
        <v>4.5366963441000004E-2</v>
      </c>
      <c r="BA156" s="168">
        <v>0.17109643049000001</v>
      </c>
      <c r="BB156" s="168">
        <f>IF(BA156="","",BA156-BA$6)</f>
        <v>0.117609465932</v>
      </c>
      <c r="BC156" s="168">
        <v>0.30527051526999999</v>
      </c>
      <c r="BD156" s="168">
        <f>IF(BC156="","",BC156-BC$6)</f>
        <v>0.11096194877999999</v>
      </c>
      <c r="BE156" s="168"/>
      <c r="BF156" s="168" t="str">
        <f>IF(BE156="","",BE156-BE$6)</f>
        <v/>
      </c>
      <c r="BG156" s="168"/>
      <c r="BH156" s="168" t="str">
        <f>IF(BG156="","",BG156-BG$6)</f>
        <v/>
      </c>
      <c r="BI156" s="168"/>
      <c r="BJ156" s="168" t="str">
        <f>IF(BI156="","",BI156-BI$6)</f>
        <v/>
      </c>
      <c r="BK156" s="169">
        <v>3.8029828324000001</v>
      </c>
      <c r="BL156" s="115"/>
      <c r="BM156" s="170">
        <v>8.6969396743000003E-3</v>
      </c>
      <c r="BN156" s="163">
        <v>-1.0446405472E-2</v>
      </c>
      <c r="BO156" s="163">
        <v>2.8171083057000001E-2</v>
      </c>
      <c r="BP156" s="163">
        <v>-9.9609794261000008E-3</v>
      </c>
      <c r="BQ156" s="171">
        <v>10</v>
      </c>
      <c r="BR156" s="171">
        <v>2</v>
      </c>
      <c r="BS156" s="171">
        <v>8</v>
      </c>
      <c r="BT156" s="171">
        <v>4</v>
      </c>
      <c r="BU156" s="172">
        <v>1.4230682577</v>
      </c>
      <c r="BV156" s="172"/>
      <c r="BW156" s="163">
        <v>3.9311724275999998E-3</v>
      </c>
      <c r="BX156" s="163">
        <v>5.8019632295E-3</v>
      </c>
      <c r="BY156" s="161">
        <v>5.6513764681999996</v>
      </c>
      <c r="BZ156" s="163">
        <v>-1.3346423335E-2</v>
      </c>
      <c r="CA156" s="163">
        <v>-1.3346423335E-2</v>
      </c>
      <c r="CB156" s="154">
        <v>45387</v>
      </c>
      <c r="CC156" s="154">
        <v>45399</v>
      </c>
      <c r="CD156" s="173">
        <v>27</v>
      </c>
      <c r="CE156" s="174">
        <v>45427</v>
      </c>
      <c r="CF156" s="116"/>
    </row>
    <row r="157" spans="2:84" ht="15.6" x14ac:dyDescent="0.3">
      <c r="B157" s="98" t="s">
        <v>2246</v>
      </c>
      <c r="C157" s="175" t="s">
        <v>2631</v>
      </c>
      <c r="D157" s="176" t="s">
        <v>1903</v>
      </c>
      <c r="E157" s="176" t="s">
        <v>231</v>
      </c>
      <c r="F157" s="177">
        <v>2013199000118</v>
      </c>
      <c r="G157" s="177" t="s">
        <v>2381</v>
      </c>
      <c r="H157" s="177" t="s">
        <v>388</v>
      </c>
      <c r="I157" s="178">
        <v>1</v>
      </c>
      <c r="J157" s="179" t="s">
        <v>107</v>
      </c>
      <c r="K157" s="179" t="s">
        <v>126</v>
      </c>
      <c r="L157" s="179" t="s">
        <v>112</v>
      </c>
      <c r="M157" s="179" t="s">
        <v>114</v>
      </c>
      <c r="N157" s="179" t="s">
        <v>109</v>
      </c>
      <c r="O157" s="180">
        <v>117400</v>
      </c>
      <c r="P157" s="181">
        <v>117400000</v>
      </c>
      <c r="Q157" s="181">
        <v>1000</v>
      </c>
      <c r="R157" s="182">
        <v>44150</v>
      </c>
      <c r="S157" s="182">
        <v>51455</v>
      </c>
      <c r="T157" s="183" t="s">
        <v>1995</v>
      </c>
      <c r="U157" s="183" t="s">
        <v>1970</v>
      </c>
      <c r="V157" s="182" t="s">
        <v>105</v>
      </c>
      <c r="W157" s="182" t="s">
        <v>102</v>
      </c>
      <c r="X157" s="182" t="s">
        <v>2510</v>
      </c>
      <c r="Y157" s="182">
        <v>48714</v>
      </c>
      <c r="Z157" s="184">
        <f>IFERROR(INDEX(Base!G:G,MATCH('Debêntures IPCA-Spread'!Y157,Base!F:F,0)),"")</f>
        <v>6.3373999999999997</v>
      </c>
      <c r="AA157" s="115"/>
      <c r="AB157" s="185">
        <v>45552</v>
      </c>
      <c r="AC157" s="186">
        <v>6.7499000000000002</v>
      </c>
      <c r="AD157" s="187">
        <f t="shared" si="8"/>
        <v>0.41250000000000053</v>
      </c>
      <c r="AE157" s="188">
        <v>0.3</v>
      </c>
      <c r="AF157" s="189">
        <v>7.0244</v>
      </c>
      <c r="AG157" s="189">
        <v>6.5843999999999996</v>
      </c>
      <c r="AH157" s="190">
        <v>1118.7535290000001</v>
      </c>
      <c r="AI157" s="190"/>
      <c r="AJ157" s="191" t="str">
        <f t="shared" si="9"/>
        <v/>
      </c>
      <c r="AK157" s="192"/>
      <c r="AL157" s="193">
        <v>91.59</v>
      </c>
      <c r="AM157" s="194">
        <v>1704</v>
      </c>
      <c r="AN157" s="115"/>
      <c r="AO157" s="195">
        <v>2.8729073965E-3</v>
      </c>
      <c r="AP157" s="196">
        <f>IF(AO157="","",AO157-AO$6)</f>
        <v>2.39276251157E-3</v>
      </c>
      <c r="AQ157" s="196">
        <v>1.2370213744E-2</v>
      </c>
      <c r="AR157" s="196">
        <f>IF(AQ157="","",AQ157-AQ$6)</f>
        <v>1.2587720496959999E-2</v>
      </c>
      <c r="AS157" s="196"/>
      <c r="AT157" s="196" t="str">
        <f>IF(AS157="","",AS157-AS$6)</f>
        <v/>
      </c>
      <c r="AU157" s="196">
        <v>-7.5926168220000001E-3</v>
      </c>
      <c r="AV157" s="196">
        <f>IF(AU157="","",AU157-AU$6)</f>
        <v>5.4759657739999997E-3</v>
      </c>
      <c r="AW157" s="196">
        <v>4.6187070726E-2</v>
      </c>
      <c r="AX157" s="196">
        <f>IF(AW157="","",AW157-AW$6)</f>
        <v>2.2192002937999999E-2</v>
      </c>
      <c r="AY157" s="196">
        <v>1.6147739561000001E-2</v>
      </c>
      <c r="AZ157" s="196">
        <f>IF(AY157="","",AY157-AY$6)</f>
        <v>1.9054847710000006E-3</v>
      </c>
      <c r="BA157" s="196"/>
      <c r="BB157" s="196" t="str">
        <f>IF(BA157="","",BA157-BA$6)</f>
        <v/>
      </c>
      <c r="BC157" s="196"/>
      <c r="BD157" s="196" t="str">
        <f>IF(BC157="","",BC157-BC$6)</f>
        <v/>
      </c>
      <c r="BE157" s="196"/>
      <c r="BF157" s="196" t="str">
        <f>IF(BE157="","",BE157-BE$6)</f>
        <v/>
      </c>
      <c r="BG157" s="196"/>
      <c r="BH157" s="196" t="str">
        <f>IF(BG157="","",BG157-BG$6)</f>
        <v/>
      </c>
      <c r="BI157" s="196"/>
      <c r="BJ157" s="196" t="str">
        <f>IF(BI157="","",BI157-BI$6)</f>
        <v/>
      </c>
      <c r="BK157" s="197"/>
      <c r="BL157" s="115"/>
      <c r="BM157" s="198">
        <v>1.8935343196000001E-2</v>
      </c>
      <c r="BN157" s="191">
        <v>-1.7774946938999999E-2</v>
      </c>
      <c r="BO157" s="191">
        <v>3.4989559785999998E-2</v>
      </c>
      <c r="BP157" s="191">
        <v>-3.1766806889E-2</v>
      </c>
      <c r="BQ157" s="199"/>
      <c r="BR157" s="199"/>
      <c r="BS157" s="199"/>
      <c r="BT157" s="199"/>
      <c r="BU157" s="200"/>
      <c r="BV157" s="200"/>
      <c r="BW157" s="191"/>
      <c r="BX157" s="191">
        <v>7.4777830111000003E-3</v>
      </c>
      <c r="BY157" s="189"/>
      <c r="BZ157" s="191">
        <v>-4.3057142038999997E-2</v>
      </c>
      <c r="CA157" s="191">
        <v>-4.3057142038999997E-2</v>
      </c>
      <c r="CB157" s="182">
        <v>45378</v>
      </c>
      <c r="CC157" s="182">
        <v>45455</v>
      </c>
      <c r="CD157" s="201">
        <v>89</v>
      </c>
      <c r="CE157" s="202">
        <v>45506</v>
      </c>
      <c r="CF157" s="116"/>
    </row>
    <row r="158" spans="2:84" ht="15.6" x14ac:dyDescent="0.3">
      <c r="B158" s="110" t="s">
        <v>1421</v>
      </c>
      <c r="C158" s="147" t="s">
        <v>2067</v>
      </c>
      <c r="D158" s="148" t="s">
        <v>1903</v>
      </c>
      <c r="E158" s="148" t="s">
        <v>231</v>
      </c>
      <c r="F158" s="149">
        <v>2013199000118</v>
      </c>
      <c r="G158" s="149" t="s">
        <v>1780</v>
      </c>
      <c r="H158" s="149" t="s">
        <v>388</v>
      </c>
      <c r="I158" s="150">
        <v>2</v>
      </c>
      <c r="J158" s="151" t="s">
        <v>107</v>
      </c>
      <c r="K158" s="151" t="s">
        <v>126</v>
      </c>
      <c r="L158" s="151" t="s">
        <v>119</v>
      </c>
      <c r="M158" s="151" t="s">
        <v>114</v>
      </c>
      <c r="N158" s="151" t="s">
        <v>109</v>
      </c>
      <c r="O158" s="152">
        <v>155091</v>
      </c>
      <c r="P158" s="153">
        <v>155091000</v>
      </c>
      <c r="Q158" s="153">
        <v>1000</v>
      </c>
      <c r="R158" s="154">
        <v>44819</v>
      </c>
      <c r="S158" s="154">
        <v>50298</v>
      </c>
      <c r="T158" s="155" t="s">
        <v>1978</v>
      </c>
      <c r="U158" s="155" t="s">
        <v>1675</v>
      </c>
      <c r="V158" s="154" t="s">
        <v>105</v>
      </c>
      <c r="W158" s="154" t="s">
        <v>102</v>
      </c>
      <c r="X158" s="154" t="s">
        <v>1558</v>
      </c>
      <c r="Y158" s="154">
        <v>47710</v>
      </c>
      <c r="Z158" s="156">
        <f>IFERROR(INDEX(Base!G:G,MATCH('Debêntures IPCA-Spread'!Y158,Base!F:F,0)),"")</f>
        <v>6.3273999999999999</v>
      </c>
      <c r="AA158" s="115"/>
      <c r="AB158" s="157">
        <v>45552</v>
      </c>
      <c r="AC158" s="158">
        <v>6.6058000000000003</v>
      </c>
      <c r="AD158" s="159">
        <f t="shared" si="8"/>
        <v>0.27840000000000042</v>
      </c>
      <c r="AE158" s="160">
        <v>0.21</v>
      </c>
      <c r="AF158" s="161">
        <v>6.8769</v>
      </c>
      <c r="AG158" s="161">
        <v>6.4455</v>
      </c>
      <c r="AH158" s="162">
        <v>1064.6532649999999</v>
      </c>
      <c r="AI158" s="162">
        <v>1072.1606142999999</v>
      </c>
      <c r="AJ158" s="163">
        <f t="shared" si="9"/>
        <v>0.99299792475131965</v>
      </c>
      <c r="AK158" s="164">
        <v>45517</v>
      </c>
      <c r="AL158" s="165">
        <v>101.2</v>
      </c>
      <c r="AM158" s="166">
        <v>1317</v>
      </c>
      <c r="AN158" s="115"/>
      <c r="AO158" s="167">
        <v>-4.4404973777999998E-5</v>
      </c>
      <c r="AP158" s="168">
        <f>IF(AO158="","",AO158-AO$6)</f>
        <v>-5.2454985870800002E-4</v>
      </c>
      <c r="AQ158" s="168">
        <v>1.0251253763E-2</v>
      </c>
      <c r="AR158" s="168">
        <f>IF(AQ158="","",AQ158-AQ$6)</f>
        <v>1.0468760515959999E-2</v>
      </c>
      <c r="AS158" s="168">
        <v>5.7830703615999998E-2</v>
      </c>
      <c r="AT158" s="168">
        <f>IF(AS158="","",AS158-AS$6)</f>
        <v>4.3104868561000001E-2</v>
      </c>
      <c r="AU158" s="168">
        <v>-1.7740212078999999E-3</v>
      </c>
      <c r="AV158" s="168">
        <f>IF(AU158="","",AU158-AU$6)</f>
        <v>1.12945613881E-2</v>
      </c>
      <c r="AW158" s="168">
        <v>4.0733132078000001E-2</v>
      </c>
      <c r="AX158" s="168">
        <f>IF(AW158="","",AW158-AW$6)</f>
        <v>1.673806429E-2</v>
      </c>
      <c r="AY158" s="168">
        <v>1.4146325202E-2</v>
      </c>
      <c r="AZ158" s="168">
        <f>IF(AY158="","",AY158-AY$6)</f>
        <v>-9.5929588000000926E-5</v>
      </c>
      <c r="BA158" s="168">
        <v>8.1390958146999995E-2</v>
      </c>
      <c r="BB158" s="168">
        <f>IF(BA158="","",BA158-BA$6)</f>
        <v>2.7903993588999997E-2</v>
      </c>
      <c r="BC158" s="168"/>
      <c r="BD158" s="168" t="str">
        <f>IF(BC158="","",BC158-BC$6)</f>
        <v/>
      </c>
      <c r="BE158" s="168"/>
      <c r="BF158" s="168" t="str">
        <f>IF(BE158="","",BE158-BE$6)</f>
        <v/>
      </c>
      <c r="BG158" s="168"/>
      <c r="BH158" s="168" t="str">
        <f>IF(BG158="","",BG158-BG$6)</f>
        <v/>
      </c>
      <c r="BI158" s="168"/>
      <c r="BJ158" s="168" t="str">
        <f>IF(BI158="","",BI158-BI$6)</f>
        <v/>
      </c>
      <c r="BK158" s="169">
        <v>6.0407172972999996</v>
      </c>
      <c r="BL158" s="115"/>
      <c r="BM158" s="170">
        <v>1.4315826654E-2</v>
      </c>
      <c r="BN158" s="163">
        <v>-1.0309141997999999E-2</v>
      </c>
      <c r="BO158" s="163">
        <v>3.5968701233E-2</v>
      </c>
      <c r="BP158" s="163">
        <v>-2.4748923087E-2</v>
      </c>
      <c r="BQ158" s="171">
        <v>9</v>
      </c>
      <c r="BR158" s="171">
        <v>3</v>
      </c>
      <c r="BS158" s="171">
        <v>6</v>
      </c>
      <c r="BT158" s="171">
        <v>6</v>
      </c>
      <c r="BU158" s="172">
        <v>-0.42299853370000001</v>
      </c>
      <c r="BV158" s="172"/>
      <c r="BW158" s="163">
        <v>6.2429157748000001E-3</v>
      </c>
      <c r="BX158" s="163">
        <v>5.6241013159E-3</v>
      </c>
      <c r="BY158" s="161">
        <v>-3.5207273463000002</v>
      </c>
      <c r="BZ158" s="163">
        <v>-3.2020529793999997E-2</v>
      </c>
      <c r="CA158" s="163">
        <v>-3.2020529793999997E-2</v>
      </c>
      <c r="CB158" s="154">
        <v>45187</v>
      </c>
      <c r="CC158" s="154">
        <v>45222</v>
      </c>
      <c r="CD158" s="173">
        <v>59</v>
      </c>
      <c r="CE158" s="174">
        <v>45273</v>
      </c>
      <c r="CF158" s="116"/>
    </row>
    <row r="159" spans="2:84" ht="15.6" x14ac:dyDescent="0.3">
      <c r="B159" s="98" t="s">
        <v>511</v>
      </c>
      <c r="C159" s="175" t="s">
        <v>676</v>
      </c>
      <c r="D159" s="176" t="s">
        <v>621</v>
      </c>
      <c r="E159" s="176" t="s">
        <v>228</v>
      </c>
      <c r="F159" s="177">
        <v>36128741000108</v>
      </c>
      <c r="G159" s="177" t="s">
        <v>831</v>
      </c>
      <c r="H159" s="177" t="s">
        <v>388</v>
      </c>
      <c r="I159" s="178">
        <v>1</v>
      </c>
      <c r="J159" s="179" t="s">
        <v>107</v>
      </c>
      <c r="K159" s="179" t="s">
        <v>128</v>
      </c>
      <c r="L159" s="179" t="s">
        <v>118</v>
      </c>
      <c r="M159" s="179" t="s">
        <v>128</v>
      </c>
      <c r="N159" s="179" t="s">
        <v>109</v>
      </c>
      <c r="O159" s="180">
        <v>315000</v>
      </c>
      <c r="P159" s="181">
        <v>315000000</v>
      </c>
      <c r="Q159" s="181">
        <v>1000</v>
      </c>
      <c r="R159" s="182">
        <v>44180</v>
      </c>
      <c r="S159" s="182">
        <v>49658</v>
      </c>
      <c r="T159" s="183" t="s">
        <v>754</v>
      </c>
      <c r="U159" s="183" t="s">
        <v>916</v>
      </c>
      <c r="V159" s="182" t="s">
        <v>105</v>
      </c>
      <c r="W159" s="182" t="s">
        <v>102</v>
      </c>
      <c r="X159" s="182" t="s">
        <v>1303</v>
      </c>
      <c r="Y159" s="182">
        <v>48441</v>
      </c>
      <c r="Z159" s="184">
        <f>IFERROR(INDEX(Base!G:G,MATCH('Debêntures IPCA-Spread'!Y159,Base!F:F,0)),"")</f>
        <v>6.3467000000000002</v>
      </c>
      <c r="AA159" s="115"/>
      <c r="AB159" s="185">
        <v>45552</v>
      </c>
      <c r="AC159" s="186">
        <v>7.6502999999999997</v>
      </c>
      <c r="AD159" s="187">
        <f t="shared" si="8"/>
        <v>1.3035999999999994</v>
      </c>
      <c r="AE159" s="188">
        <v>0.05</v>
      </c>
      <c r="AF159" s="189">
        <v>7.8639999999999999</v>
      </c>
      <c r="AG159" s="189">
        <v>7.4394999999999998</v>
      </c>
      <c r="AH159" s="190">
        <v>1161.3867849999999</v>
      </c>
      <c r="AI159" s="190">
        <v>1176.6803460000001</v>
      </c>
      <c r="AJ159" s="191">
        <f t="shared" si="9"/>
        <v>0.98700279047577444</v>
      </c>
      <c r="AK159" s="192">
        <v>45519</v>
      </c>
      <c r="AL159" s="193">
        <v>91.49</v>
      </c>
      <c r="AM159" s="194">
        <v>1430</v>
      </c>
      <c r="AN159" s="115"/>
      <c r="AO159" s="195">
        <v>-1.2884651895999999E-3</v>
      </c>
      <c r="AP159" s="196">
        <f>IF(AO159="","",AO159-AO$6)</f>
        <v>-1.7686100745299999E-3</v>
      </c>
      <c r="AQ159" s="196">
        <v>-2.6267721205000002E-4</v>
      </c>
      <c r="AR159" s="196">
        <f>IF(AQ159="","",AQ159-AQ$6)</f>
        <v>-4.5170459090000014E-5</v>
      </c>
      <c r="AS159" s="196">
        <v>0.13976754851000001</v>
      </c>
      <c r="AT159" s="196">
        <f>IF(AS159="","",AS159-AS$6)</f>
        <v>0.12504171345500001</v>
      </c>
      <c r="AU159" s="196">
        <v>-1.2689221646999999E-2</v>
      </c>
      <c r="AV159" s="196">
        <f>IF(AU159="","",AU159-AU$6)</f>
        <v>3.7936094900000057E-4</v>
      </c>
      <c r="AW159" s="196">
        <v>3.8170583275000003E-2</v>
      </c>
      <c r="AX159" s="196">
        <f>IF(AW159="","",AW159-AW$6)</f>
        <v>1.4175515487000002E-2</v>
      </c>
      <c r="AY159" s="196">
        <v>4.3688760000999999E-2</v>
      </c>
      <c r="AZ159" s="196">
        <f>IF(AY159="","",AY159-AY$6)</f>
        <v>2.9446505211E-2</v>
      </c>
      <c r="BA159" s="196">
        <v>0.17466511086</v>
      </c>
      <c r="BB159" s="196">
        <f>IF(BA159="","",BA159-BA$6)</f>
        <v>0.12117814630199999</v>
      </c>
      <c r="BC159" s="196">
        <v>0.31337157392999998</v>
      </c>
      <c r="BD159" s="196">
        <f>IF(BC159="","",BC159-BC$6)</f>
        <v>0.11906300743999998</v>
      </c>
      <c r="BE159" s="196">
        <v>0.34063488792000002</v>
      </c>
      <c r="BF159" s="196">
        <f>IF(BE159="","",BE159-BE$6)</f>
        <v>7.8915548380000033E-2</v>
      </c>
      <c r="BG159" s="196"/>
      <c r="BH159" s="196" t="str">
        <f>IF(BG159="","",BG159-BG$6)</f>
        <v/>
      </c>
      <c r="BI159" s="196"/>
      <c r="BJ159" s="196" t="str">
        <f>IF(BI159="","",BI159-BI$6)</f>
        <v/>
      </c>
      <c r="BK159" s="197">
        <v>6.6457405676999999</v>
      </c>
      <c r="BL159" s="115"/>
      <c r="BM159" s="198">
        <v>1.3671999541999999E-2</v>
      </c>
      <c r="BN159" s="191">
        <v>-1.1601429231E-2</v>
      </c>
      <c r="BO159" s="191">
        <v>5.5186072178999998E-2</v>
      </c>
      <c r="BP159" s="191">
        <v>-2.0446335776E-2</v>
      </c>
      <c r="BQ159" s="199">
        <v>8</v>
      </c>
      <c r="BR159" s="199">
        <v>4</v>
      </c>
      <c r="BS159" s="199">
        <v>7</v>
      </c>
      <c r="BT159" s="199">
        <v>5</v>
      </c>
      <c r="BU159" s="200">
        <v>0.88596546589000003</v>
      </c>
      <c r="BV159" s="200">
        <v>-0.16927118192999999</v>
      </c>
      <c r="BW159" s="191">
        <v>6.8703316184999998E-3</v>
      </c>
      <c r="BX159" s="191">
        <v>4.8111313044999996E-3</v>
      </c>
      <c r="BY159" s="189">
        <v>5.8522254404999998</v>
      </c>
      <c r="BZ159" s="191">
        <v>-2.6762918403000002E-2</v>
      </c>
      <c r="CA159" s="191">
        <v>-2.6762918403000002E-2</v>
      </c>
      <c r="CB159" s="182">
        <v>45391</v>
      </c>
      <c r="CC159" s="182">
        <v>45398</v>
      </c>
      <c r="CD159" s="201">
        <v>61</v>
      </c>
      <c r="CE159" s="202">
        <v>45478</v>
      </c>
      <c r="CF159" s="116"/>
    </row>
    <row r="160" spans="2:84" ht="15.6" x14ac:dyDescent="0.3">
      <c r="B160" s="110" t="s">
        <v>1422</v>
      </c>
      <c r="C160" s="147" t="s">
        <v>2068</v>
      </c>
      <c r="D160" s="148" t="s">
        <v>1904</v>
      </c>
      <c r="E160" s="148" t="s">
        <v>228</v>
      </c>
      <c r="F160" s="149">
        <v>35593905000105</v>
      </c>
      <c r="G160" s="149" t="s">
        <v>1781</v>
      </c>
      <c r="H160" s="149" t="s">
        <v>388</v>
      </c>
      <c r="I160" s="150">
        <v>2</v>
      </c>
      <c r="J160" s="151" t="s">
        <v>107</v>
      </c>
      <c r="K160" s="151" t="s">
        <v>126</v>
      </c>
      <c r="L160" s="151" t="s">
        <v>118</v>
      </c>
      <c r="M160" s="151" t="s">
        <v>114</v>
      </c>
      <c r="N160" s="151" t="s">
        <v>109</v>
      </c>
      <c r="O160" s="152">
        <v>640000</v>
      </c>
      <c r="P160" s="153">
        <v>640000000</v>
      </c>
      <c r="Q160" s="153">
        <v>1000</v>
      </c>
      <c r="R160" s="154">
        <v>45153</v>
      </c>
      <c r="S160" s="154">
        <v>46645</v>
      </c>
      <c r="T160" s="155" t="s">
        <v>161</v>
      </c>
      <c r="U160" s="155" t="s">
        <v>161</v>
      </c>
      <c r="V160" s="154" t="s">
        <v>105</v>
      </c>
      <c r="W160" s="154" t="s">
        <v>102</v>
      </c>
      <c r="X160" s="154" t="s">
        <v>1559</v>
      </c>
      <c r="Y160" s="154">
        <v>46980</v>
      </c>
      <c r="Z160" s="156">
        <f>IFERROR(INDEX(Base!G:G,MATCH('Debêntures IPCA-Spread'!Y160,Base!F:F,0)),"")</f>
        <v>6.4702000000000002</v>
      </c>
      <c r="AA160" s="115"/>
      <c r="AB160" s="157">
        <v>45552</v>
      </c>
      <c r="AC160" s="158">
        <v>6.4957000000000003</v>
      </c>
      <c r="AD160" s="159">
        <f t="shared" si="8"/>
        <v>2.5500000000000078E-2</v>
      </c>
      <c r="AE160" s="160">
        <v>0.2</v>
      </c>
      <c r="AF160" s="161">
        <v>6.6717000000000004</v>
      </c>
      <c r="AG160" s="161">
        <v>6.4432999999999998</v>
      </c>
      <c r="AH160" s="162">
        <v>1106.6674579999999</v>
      </c>
      <c r="AI160" s="162"/>
      <c r="AJ160" s="163" t="str">
        <f t="shared" si="9"/>
        <v/>
      </c>
      <c r="AK160" s="164"/>
      <c r="AL160" s="165">
        <v>99.59</v>
      </c>
      <c r="AM160" s="166">
        <v>750</v>
      </c>
      <c r="AN160" s="115"/>
      <c r="AO160" s="167">
        <v>7.8179027878000004E-4</v>
      </c>
      <c r="AP160" s="168">
        <f>IF(AO160="","",AO160-AO$6)</f>
        <v>3.0164539385000005E-4</v>
      </c>
      <c r="AQ160" s="168">
        <v>7.2987003349999999E-3</v>
      </c>
      <c r="AR160" s="168">
        <f>IF(AQ160="","",AQ160-AQ$6)</f>
        <v>7.51620708796E-3</v>
      </c>
      <c r="AS160" s="168">
        <v>7.2597783775999999E-2</v>
      </c>
      <c r="AT160" s="168">
        <f>IF(AS160="","",AS160-AS$6)</f>
        <v>5.7871948721000002E-2</v>
      </c>
      <c r="AU160" s="168">
        <v>4.1705380589999999E-3</v>
      </c>
      <c r="AV160" s="168">
        <f>IF(AU160="","",AU160-AU$6)</f>
        <v>1.7239120654999999E-2</v>
      </c>
      <c r="AW160" s="168">
        <v>3.5084694728999999E-2</v>
      </c>
      <c r="AX160" s="168">
        <f>IF(AW160="","",AW160-AW$6)</f>
        <v>1.1089626940999998E-2</v>
      </c>
      <c r="AY160" s="168">
        <v>3.6143118516000002E-2</v>
      </c>
      <c r="AZ160" s="168">
        <f>IF(AY160="","",AY160-AY$6)</f>
        <v>2.1900863726000003E-2</v>
      </c>
      <c r="BA160" s="168"/>
      <c r="BB160" s="168" t="str">
        <f>IF(BA160="","",BA160-BA$6)</f>
        <v/>
      </c>
      <c r="BC160" s="168"/>
      <c r="BD160" s="168" t="str">
        <f>IF(BC160="","",BC160-BC$6)</f>
        <v/>
      </c>
      <c r="BE160" s="168"/>
      <c r="BF160" s="168" t="str">
        <f>IF(BE160="","",BE160-BE$6)</f>
        <v/>
      </c>
      <c r="BG160" s="168"/>
      <c r="BH160" s="168" t="str">
        <f>IF(BG160="","",BG160-BG$6)</f>
        <v/>
      </c>
      <c r="BI160" s="168"/>
      <c r="BJ160" s="168" t="str">
        <f>IF(BI160="","",BI160-BI$6)</f>
        <v/>
      </c>
      <c r="BK160" s="169">
        <v>3.3343351036</v>
      </c>
      <c r="BL160" s="115"/>
      <c r="BM160" s="170">
        <v>6.1043097084999996E-3</v>
      </c>
      <c r="BN160" s="163">
        <v>-5.2118561898000003E-3</v>
      </c>
      <c r="BO160" s="163">
        <v>2.2374866548E-2</v>
      </c>
      <c r="BP160" s="163">
        <v>-1.1252501405E-2</v>
      </c>
      <c r="BQ160" s="171">
        <v>9</v>
      </c>
      <c r="BR160" s="171">
        <v>3</v>
      </c>
      <c r="BS160" s="171">
        <v>8</v>
      </c>
      <c r="BT160" s="171">
        <v>4</v>
      </c>
      <c r="BU160" s="172">
        <v>-9.0840565853000002E-2</v>
      </c>
      <c r="BV160" s="172"/>
      <c r="BW160" s="163">
        <v>3.4454102880999999E-3</v>
      </c>
      <c r="BX160" s="163">
        <v>2.9844945730000002E-3</v>
      </c>
      <c r="BY160" s="161">
        <v>-1.2224661210000001</v>
      </c>
      <c r="BZ160" s="163">
        <v>-1.3453807809999999E-2</v>
      </c>
      <c r="CA160" s="163">
        <v>-1.3453807809999999E-2</v>
      </c>
      <c r="CB160" s="154">
        <v>45209</v>
      </c>
      <c r="CC160" s="154">
        <v>45230</v>
      </c>
      <c r="CD160" s="173">
        <v>23</v>
      </c>
      <c r="CE160" s="174">
        <v>45244</v>
      </c>
      <c r="CF160" s="116"/>
    </row>
    <row r="161" spans="2:84" ht="15.6" x14ac:dyDescent="0.3">
      <c r="B161" s="98" t="s">
        <v>2247</v>
      </c>
      <c r="C161" s="175" t="s">
        <v>2632</v>
      </c>
      <c r="D161" s="176" t="s">
        <v>80</v>
      </c>
      <c r="E161" s="176" t="s">
        <v>228</v>
      </c>
      <c r="F161" s="177">
        <v>2509491000126</v>
      </c>
      <c r="G161" s="177" t="s">
        <v>2382</v>
      </c>
      <c r="H161" s="177" t="s">
        <v>388</v>
      </c>
      <c r="I161" s="178">
        <v>6</v>
      </c>
      <c r="J161" s="179" t="s">
        <v>107</v>
      </c>
      <c r="K161" s="179" t="s">
        <v>126</v>
      </c>
      <c r="L161" s="179" t="s">
        <v>112</v>
      </c>
      <c r="M161" s="179" t="s">
        <v>114</v>
      </c>
      <c r="N161" s="179" t="s">
        <v>109</v>
      </c>
      <c r="O161" s="180">
        <v>1630000</v>
      </c>
      <c r="P161" s="181">
        <v>1630000000</v>
      </c>
      <c r="Q161" s="181">
        <v>1000</v>
      </c>
      <c r="R161" s="182">
        <v>45337</v>
      </c>
      <c r="S161" s="182">
        <v>48625</v>
      </c>
      <c r="T161" s="183" t="s">
        <v>2829</v>
      </c>
      <c r="U161" s="183" t="s">
        <v>2740</v>
      </c>
      <c r="V161" s="182" t="s">
        <v>105</v>
      </c>
      <c r="W161" s="182" t="s">
        <v>102</v>
      </c>
      <c r="X161" s="182" t="s">
        <v>2511</v>
      </c>
      <c r="Y161" s="182">
        <v>48441</v>
      </c>
      <c r="Z161" s="184">
        <f>IFERROR(INDEX(Base!G:G,MATCH('Debêntures IPCA-Spread'!Y161,Base!F:F,0)),"")</f>
        <v>6.3467000000000002</v>
      </c>
      <c r="AA161" s="115"/>
      <c r="AB161" s="185">
        <v>45552</v>
      </c>
      <c r="AC161" s="186">
        <v>6.4504999999999999</v>
      </c>
      <c r="AD161" s="187">
        <f t="shared" si="8"/>
        <v>0.10379999999999967</v>
      </c>
      <c r="AE161" s="188">
        <v>0.06</v>
      </c>
      <c r="AF161" s="189">
        <v>6.5666000000000002</v>
      </c>
      <c r="AG161" s="189">
        <v>6.1962000000000002</v>
      </c>
      <c r="AH161" s="190">
        <v>1005.084731</v>
      </c>
      <c r="AI161" s="190"/>
      <c r="AJ161" s="191" t="str">
        <f t="shared" si="9"/>
        <v/>
      </c>
      <c r="AK161" s="192"/>
      <c r="AL161" s="193">
        <v>98.12</v>
      </c>
      <c r="AM161" s="194">
        <v>1431</v>
      </c>
      <c r="AN161" s="115"/>
      <c r="AO161" s="195">
        <v>1.5638539844E-4</v>
      </c>
      <c r="AP161" s="196">
        <f>IF(AO161="","",AO161-AO$6)</f>
        <v>-3.2375948648999999E-4</v>
      </c>
      <c r="AQ161" s="196">
        <v>-1.8869945216000001E-3</v>
      </c>
      <c r="AR161" s="196">
        <f>IF(AQ161="","",AQ161-AQ$6)</f>
        <v>-1.6694877686400001E-3</v>
      </c>
      <c r="AS161" s="196"/>
      <c r="AT161" s="196" t="str">
        <f>IF(AS161="","",AS161-AS$6)</f>
        <v/>
      </c>
      <c r="AU161" s="196">
        <v>-9.4620615309000001E-3</v>
      </c>
      <c r="AV161" s="196">
        <f>IF(AU161="","",AU161-AU$6)</f>
        <v>3.6065210650999997E-3</v>
      </c>
      <c r="AW161" s="196">
        <v>3.5121051100000002E-2</v>
      </c>
      <c r="AX161" s="196">
        <f>IF(AW161="","",AW161-AW$6)</f>
        <v>1.1125983312000001E-2</v>
      </c>
      <c r="AY161" s="196"/>
      <c r="AZ161" s="196" t="str">
        <f>IF(AY161="","",AY161-AY$6)</f>
        <v/>
      </c>
      <c r="BA161" s="196"/>
      <c r="BB161" s="196" t="str">
        <f>IF(BA161="","",BA161-BA$6)</f>
        <v/>
      </c>
      <c r="BC161" s="196"/>
      <c r="BD161" s="196" t="str">
        <f>IF(BC161="","",BC161-BC$6)</f>
        <v/>
      </c>
      <c r="BE161" s="196"/>
      <c r="BF161" s="196" t="str">
        <f>IF(BE161="","",BE161-BE$6)</f>
        <v/>
      </c>
      <c r="BG161" s="196"/>
      <c r="BH161" s="196" t="str">
        <f>IF(BG161="","",BG161-BG$6)</f>
        <v/>
      </c>
      <c r="BI161" s="196"/>
      <c r="BJ161" s="196" t="str">
        <f>IF(BI161="","",BI161-BI$6)</f>
        <v/>
      </c>
      <c r="BK161" s="197"/>
      <c r="BL161" s="115"/>
      <c r="BM161" s="198">
        <v>9.8348566261999993E-3</v>
      </c>
      <c r="BN161" s="191">
        <v>-6.9479205349E-3</v>
      </c>
      <c r="BO161" s="191">
        <v>2.5473805153999999E-2</v>
      </c>
      <c r="BP161" s="191">
        <v>-5.9791778630999999E-3</v>
      </c>
      <c r="BQ161" s="199"/>
      <c r="BR161" s="199"/>
      <c r="BS161" s="199"/>
      <c r="BT161" s="199"/>
      <c r="BU161" s="200"/>
      <c r="BV161" s="200"/>
      <c r="BW161" s="191"/>
      <c r="BX161" s="191">
        <v>4.5532590712000004E-3</v>
      </c>
      <c r="BY161" s="189"/>
      <c r="BZ161" s="191">
        <v>-1.5690958509E-2</v>
      </c>
      <c r="CA161" s="191">
        <v>-1.5690958509E-2</v>
      </c>
      <c r="CB161" s="182">
        <v>45467</v>
      </c>
      <c r="CC161" s="182">
        <v>45475</v>
      </c>
      <c r="CD161" s="201">
        <v>12</v>
      </c>
      <c r="CE161" s="202">
        <v>45483</v>
      </c>
      <c r="CF161" s="116"/>
    </row>
    <row r="162" spans="2:84" ht="15.6" x14ac:dyDescent="0.3">
      <c r="B162" s="110" t="s">
        <v>1423</v>
      </c>
      <c r="C162" s="147" t="s">
        <v>2069</v>
      </c>
      <c r="D162" s="148" t="s">
        <v>1905</v>
      </c>
      <c r="E162" s="148" t="s">
        <v>228</v>
      </c>
      <c r="F162" s="149">
        <v>21581284000127</v>
      </c>
      <c r="G162" s="149" t="s">
        <v>1782</v>
      </c>
      <c r="H162" s="149" t="s">
        <v>388</v>
      </c>
      <c r="I162" s="150">
        <v>2</v>
      </c>
      <c r="J162" s="151" t="s">
        <v>107</v>
      </c>
      <c r="K162" s="151" t="s">
        <v>130</v>
      </c>
      <c r="L162" s="151" t="s">
        <v>1742</v>
      </c>
      <c r="M162" s="151" t="s">
        <v>128</v>
      </c>
      <c r="N162" s="151" t="s">
        <v>109</v>
      </c>
      <c r="O162" s="152">
        <v>100000</v>
      </c>
      <c r="P162" s="153">
        <v>100000000</v>
      </c>
      <c r="Q162" s="153">
        <v>1000</v>
      </c>
      <c r="R162" s="154">
        <v>44676</v>
      </c>
      <c r="S162" s="154">
        <v>48349</v>
      </c>
      <c r="T162" s="155" t="s">
        <v>1970</v>
      </c>
      <c r="U162" s="155" t="s">
        <v>1676</v>
      </c>
      <c r="V162" s="154" t="s">
        <v>105</v>
      </c>
      <c r="W162" s="154" t="s">
        <v>102</v>
      </c>
      <c r="X162" s="154" t="s">
        <v>1560</v>
      </c>
      <c r="Y162" s="154">
        <v>46980</v>
      </c>
      <c r="Z162" s="156">
        <f>IFERROR(INDEX(Base!G:G,MATCH('Debêntures IPCA-Spread'!Y162,Base!F:F,0)),"")</f>
        <v>6.4702000000000002</v>
      </c>
      <c r="AA162" s="115"/>
      <c r="AB162" s="157">
        <v>45075</v>
      </c>
      <c r="AC162" s="158"/>
      <c r="AD162" s="159" t="str">
        <f t="shared" si="8"/>
        <v/>
      </c>
      <c r="AE162" s="160"/>
      <c r="AF162" s="161"/>
      <c r="AG162" s="161"/>
      <c r="AH162" s="162"/>
      <c r="AI162" s="162"/>
      <c r="AJ162" s="163" t="str">
        <f t="shared" si="9"/>
        <v/>
      </c>
      <c r="AK162" s="164"/>
      <c r="AL162" s="165"/>
      <c r="AM162" s="166"/>
      <c r="AN162" s="115"/>
      <c r="AO162" s="167"/>
      <c r="AP162" s="168" t="str">
        <f>IF(AO162="","",AO162-AO$6)</f>
        <v/>
      </c>
      <c r="AQ162" s="168"/>
      <c r="AR162" s="168" t="str">
        <f>IF(AQ162="","",AQ162-AQ$6)</f>
        <v/>
      </c>
      <c r="AS162" s="168"/>
      <c r="AT162" s="168" t="str">
        <f>IF(AS162="","",AS162-AS$6)</f>
        <v/>
      </c>
      <c r="AU162" s="168"/>
      <c r="AV162" s="168" t="str">
        <f>IF(AU162="","",AU162-AU$6)</f>
        <v/>
      </c>
      <c r="AW162" s="168"/>
      <c r="AX162" s="168" t="str">
        <f>IF(AW162="","",AW162-AW$6)</f>
        <v/>
      </c>
      <c r="AY162" s="168"/>
      <c r="AZ162" s="168" t="str">
        <f>IF(AY162="","",AY162-AY$6)</f>
        <v/>
      </c>
      <c r="BA162" s="168"/>
      <c r="BB162" s="168" t="str">
        <f>IF(BA162="","",BA162-BA$6)</f>
        <v/>
      </c>
      <c r="BC162" s="168"/>
      <c r="BD162" s="168" t="str">
        <f>IF(BC162="","",BC162-BC$6)</f>
        <v/>
      </c>
      <c r="BE162" s="168"/>
      <c r="BF162" s="168" t="str">
        <f>IF(BE162="","",BE162-BE$6)</f>
        <v/>
      </c>
      <c r="BG162" s="168"/>
      <c r="BH162" s="168" t="str">
        <f>IF(BG162="","",BG162-BG$6)</f>
        <v/>
      </c>
      <c r="BI162" s="168"/>
      <c r="BJ162" s="168" t="str">
        <f>IF(BI162="","",BI162-BI$6)</f>
        <v/>
      </c>
      <c r="BK162" s="169"/>
      <c r="BL162" s="115"/>
      <c r="BM162" s="170"/>
      <c r="BN162" s="163"/>
      <c r="BO162" s="163"/>
      <c r="BP162" s="163"/>
      <c r="BQ162" s="171"/>
      <c r="BR162" s="171"/>
      <c r="BS162" s="171"/>
      <c r="BT162" s="171"/>
      <c r="BU162" s="172"/>
      <c r="BV162" s="172"/>
      <c r="BW162" s="163"/>
      <c r="BX162" s="163"/>
      <c r="BY162" s="161"/>
      <c r="BZ162" s="163"/>
      <c r="CA162" s="163"/>
      <c r="CB162" s="154"/>
      <c r="CC162" s="154"/>
      <c r="CD162" s="173"/>
      <c r="CE162" s="174"/>
      <c r="CF162" s="116"/>
    </row>
    <row r="163" spans="2:84" ht="15.6" x14ac:dyDescent="0.3">
      <c r="B163" s="98" t="s">
        <v>2248</v>
      </c>
      <c r="C163" s="175" t="s">
        <v>2633</v>
      </c>
      <c r="D163" s="176" t="s">
        <v>2800</v>
      </c>
      <c r="E163" s="176" t="s">
        <v>228</v>
      </c>
      <c r="F163" s="177">
        <v>13799190000109</v>
      </c>
      <c r="G163" s="177" t="s">
        <v>2383</v>
      </c>
      <c r="H163" s="177" t="s">
        <v>388</v>
      </c>
      <c r="I163" s="178">
        <v>1</v>
      </c>
      <c r="J163" s="179" t="s">
        <v>107</v>
      </c>
      <c r="K163" s="179" t="s">
        <v>111</v>
      </c>
      <c r="L163" s="179" t="s">
        <v>125</v>
      </c>
      <c r="M163" s="179" t="s">
        <v>986</v>
      </c>
      <c r="N163" s="179" t="s">
        <v>109</v>
      </c>
      <c r="O163" s="180">
        <v>160000</v>
      </c>
      <c r="P163" s="181">
        <v>160000000</v>
      </c>
      <c r="Q163" s="181">
        <v>1000</v>
      </c>
      <c r="R163" s="182">
        <v>44545</v>
      </c>
      <c r="S163" s="182">
        <v>50024</v>
      </c>
      <c r="T163" s="183" t="s">
        <v>2832</v>
      </c>
      <c r="U163" s="183" t="s">
        <v>2741</v>
      </c>
      <c r="V163" s="182" t="s">
        <v>194</v>
      </c>
      <c r="W163" s="182" t="s">
        <v>102</v>
      </c>
      <c r="X163" s="182" t="s">
        <v>2512</v>
      </c>
      <c r="Y163" s="182">
        <v>48441</v>
      </c>
      <c r="Z163" s="184">
        <f>IFERROR(INDEX(Base!G:G,MATCH('Debêntures IPCA-Spread'!Y163,Base!F:F,0)),"")</f>
        <v>6.3467000000000002</v>
      </c>
      <c r="AA163" s="115"/>
      <c r="AB163" s="185">
        <v>45552</v>
      </c>
      <c r="AC163" s="186">
        <v>7.4855</v>
      </c>
      <c r="AD163" s="187">
        <f t="shared" si="8"/>
        <v>1.1387999999999998</v>
      </c>
      <c r="AE163" s="188">
        <v>0.26</v>
      </c>
      <c r="AF163" s="189">
        <v>7.7313000000000001</v>
      </c>
      <c r="AG163" s="189">
        <v>7.1550000000000002</v>
      </c>
      <c r="AH163" s="190">
        <v>1132.0089949999999</v>
      </c>
      <c r="AI163" s="190"/>
      <c r="AJ163" s="191" t="str">
        <f t="shared" si="9"/>
        <v/>
      </c>
      <c r="AK163" s="192"/>
      <c r="AL163" s="193">
        <v>98.21</v>
      </c>
      <c r="AM163" s="194">
        <v>1548</v>
      </c>
      <c r="AN163" s="115"/>
      <c r="AO163" s="195">
        <v>4.4012726994000001E-3</v>
      </c>
      <c r="AP163" s="196">
        <f>IF(AO163="","",AO163-AO$6)</f>
        <v>3.9211278144700001E-3</v>
      </c>
      <c r="AQ163" s="196">
        <v>1.4034365969E-2</v>
      </c>
      <c r="AR163" s="196">
        <f>IF(AQ163="","",AQ163-AQ$6)</f>
        <v>1.4251872721959999E-2</v>
      </c>
      <c r="AS163" s="196"/>
      <c r="AT163" s="196" t="str">
        <f>IF(AS163="","",AS163-AS$6)</f>
        <v/>
      </c>
      <c r="AU163" s="196">
        <v>-1.029825184E-2</v>
      </c>
      <c r="AV163" s="196">
        <f>IF(AU163="","",AU163-AU$6)</f>
        <v>2.7703307560000001E-3</v>
      </c>
      <c r="AW163" s="196"/>
      <c r="AX163" s="196" t="str">
        <f>IF(AW163="","",AW163-AW$6)</f>
        <v/>
      </c>
      <c r="AY163" s="196"/>
      <c r="AZ163" s="196" t="str">
        <f>IF(AY163="","",AY163-AY$6)</f>
        <v/>
      </c>
      <c r="BA163" s="196"/>
      <c r="BB163" s="196" t="str">
        <f>IF(BA163="","",BA163-BA$6)</f>
        <v/>
      </c>
      <c r="BC163" s="196"/>
      <c r="BD163" s="196" t="str">
        <f>IF(BC163="","",BC163-BC$6)</f>
        <v/>
      </c>
      <c r="BE163" s="196"/>
      <c r="BF163" s="196" t="str">
        <f>IF(BE163="","",BE163-BE$6)</f>
        <v/>
      </c>
      <c r="BG163" s="196"/>
      <c r="BH163" s="196" t="str">
        <f>IF(BG163="","",BG163-BG$6)</f>
        <v/>
      </c>
      <c r="BI163" s="196"/>
      <c r="BJ163" s="196" t="str">
        <f>IF(BI163="","",BI163-BI$6)</f>
        <v/>
      </c>
      <c r="BK163" s="197"/>
      <c r="BL163" s="115"/>
      <c r="BM163" s="198">
        <v>2.4111873196E-2</v>
      </c>
      <c r="BN163" s="191">
        <v>-9.6267326899000007E-3</v>
      </c>
      <c r="BO163" s="191">
        <v>3.5318741404000001E-2</v>
      </c>
      <c r="BP163" s="191">
        <v>1.4034365969E-2</v>
      </c>
      <c r="BQ163" s="199"/>
      <c r="BR163" s="199"/>
      <c r="BS163" s="199"/>
      <c r="BT163" s="199"/>
      <c r="BU163" s="200"/>
      <c r="BV163" s="200"/>
      <c r="BW163" s="191"/>
      <c r="BX163" s="191">
        <v>5.9639415559999999E-3</v>
      </c>
      <c r="BY163" s="189"/>
      <c r="BZ163" s="191">
        <v>-2.2631357606999998E-3</v>
      </c>
      <c r="CA163" s="191">
        <v>-3.2001702197999998E-2</v>
      </c>
      <c r="CB163" s="182">
        <v>45519</v>
      </c>
      <c r="CC163" s="182">
        <v>45538</v>
      </c>
      <c r="CD163" s="201"/>
      <c r="CE163" s="202"/>
      <c r="CF163" s="116"/>
    </row>
    <row r="164" spans="2:84" ht="15.6" x14ac:dyDescent="0.3">
      <c r="B164" s="110" t="s">
        <v>1424</v>
      </c>
      <c r="C164" s="147" t="s">
        <v>2070</v>
      </c>
      <c r="D164" s="148" t="s">
        <v>1906</v>
      </c>
      <c r="E164" s="148" t="s">
        <v>226</v>
      </c>
      <c r="F164" s="149">
        <v>5104205000130</v>
      </c>
      <c r="G164" s="149" t="s">
        <v>1783</v>
      </c>
      <c r="H164" s="149" t="s">
        <v>388</v>
      </c>
      <c r="I164" s="150">
        <v>1</v>
      </c>
      <c r="J164" s="151" t="s">
        <v>107</v>
      </c>
      <c r="K164" s="151" t="s">
        <v>111</v>
      </c>
      <c r="L164" s="151" t="s">
        <v>112</v>
      </c>
      <c r="M164" s="151" t="s">
        <v>986</v>
      </c>
      <c r="N164" s="151" t="s">
        <v>109</v>
      </c>
      <c r="O164" s="152">
        <v>215000</v>
      </c>
      <c r="P164" s="153">
        <v>215000000</v>
      </c>
      <c r="Q164" s="153">
        <v>1000</v>
      </c>
      <c r="R164" s="154">
        <v>44515</v>
      </c>
      <c r="S164" s="154">
        <v>51820</v>
      </c>
      <c r="T164" s="155" t="s">
        <v>1987</v>
      </c>
      <c r="U164" s="155" t="s">
        <v>1677</v>
      </c>
      <c r="V164" s="154" t="s">
        <v>105</v>
      </c>
      <c r="W164" s="154" t="s">
        <v>102</v>
      </c>
      <c r="X164" s="154" t="s">
        <v>1561</v>
      </c>
      <c r="Y164" s="154">
        <v>48714</v>
      </c>
      <c r="Z164" s="156">
        <f>IFERROR(INDEX(Base!G:G,MATCH('Debêntures IPCA-Spread'!Y164,Base!F:F,0)),"")</f>
        <v>6.3373999999999997</v>
      </c>
      <c r="AA164" s="115"/>
      <c r="AB164" s="157">
        <v>45552</v>
      </c>
      <c r="AC164" s="158">
        <v>6.9127000000000001</v>
      </c>
      <c r="AD164" s="159">
        <f t="shared" si="8"/>
        <v>0.57530000000000037</v>
      </c>
      <c r="AE164" s="160">
        <v>0.05</v>
      </c>
      <c r="AF164" s="161">
        <v>7.0770999999999997</v>
      </c>
      <c r="AG164" s="161">
        <v>6.7337999999999996</v>
      </c>
      <c r="AH164" s="162">
        <v>1191.0513189999999</v>
      </c>
      <c r="AI164" s="162"/>
      <c r="AJ164" s="163" t="str">
        <f t="shared" si="9"/>
        <v/>
      </c>
      <c r="AK164" s="164"/>
      <c r="AL164" s="165">
        <v>97.99</v>
      </c>
      <c r="AM164" s="166">
        <v>1752</v>
      </c>
      <c r="AN164" s="115"/>
      <c r="AO164" s="167">
        <v>-1.5839376947000001E-3</v>
      </c>
      <c r="AP164" s="168">
        <f>IF(AO164="","",AO164-AO$6)</f>
        <v>-2.0640825796300003E-3</v>
      </c>
      <c r="AQ164" s="168">
        <v>2.6396107422999998E-3</v>
      </c>
      <c r="AR164" s="168">
        <f>IF(AQ164="","",AQ164-AQ$6)</f>
        <v>2.8571174952599998E-3</v>
      </c>
      <c r="AS164" s="168">
        <v>7.9356786151000003E-2</v>
      </c>
      <c r="AT164" s="168">
        <f>IF(AS164="","",AS164-AS$6)</f>
        <v>6.4630951096000006E-2</v>
      </c>
      <c r="AU164" s="168">
        <v>-1.7074373444E-2</v>
      </c>
      <c r="AV164" s="168">
        <f>IF(AU164="","",AU164-AU$6)</f>
        <v>-4.0057908480000005E-3</v>
      </c>
      <c r="AW164" s="168">
        <v>4.4281310004999998E-2</v>
      </c>
      <c r="AX164" s="168">
        <f>IF(AW164="","",AW164-AW$6)</f>
        <v>2.0286242216999997E-2</v>
      </c>
      <c r="AY164" s="168">
        <v>3.0859028358000001E-2</v>
      </c>
      <c r="AZ164" s="168">
        <f>IF(AY164="","",AY164-AY$6)</f>
        <v>1.6616773568000003E-2</v>
      </c>
      <c r="BA164" s="168"/>
      <c r="BB164" s="168" t="str">
        <f>IF(BA164="","",BA164-BA$6)</f>
        <v/>
      </c>
      <c r="BC164" s="168"/>
      <c r="BD164" s="168" t="str">
        <f>IF(BC164="","",BC164-BC$6)</f>
        <v/>
      </c>
      <c r="BE164" s="168"/>
      <c r="BF164" s="168" t="str">
        <f>IF(BE164="","",BE164-BE$6)</f>
        <v/>
      </c>
      <c r="BG164" s="168"/>
      <c r="BH164" s="168" t="str">
        <f>IF(BG164="","",BG164-BG$6)</f>
        <v/>
      </c>
      <c r="BI164" s="168"/>
      <c r="BJ164" s="168" t="str">
        <f>IF(BI164="","",BI164-BI$6)</f>
        <v/>
      </c>
      <c r="BK164" s="169">
        <v>6.5355636757999997</v>
      </c>
      <c r="BL164" s="115"/>
      <c r="BM164" s="170">
        <v>2.3426249823000001E-2</v>
      </c>
      <c r="BN164" s="163">
        <v>-1.2036979425E-2</v>
      </c>
      <c r="BO164" s="163">
        <v>4.0199620185E-2</v>
      </c>
      <c r="BP164" s="163">
        <v>-1.7380483235999999E-2</v>
      </c>
      <c r="BQ164" s="171">
        <v>8</v>
      </c>
      <c r="BR164" s="171">
        <v>4</v>
      </c>
      <c r="BS164" s="171">
        <v>7</v>
      </c>
      <c r="BT164" s="171">
        <v>5</v>
      </c>
      <c r="BU164" s="172">
        <v>0.56439393950000005</v>
      </c>
      <c r="BV164" s="172"/>
      <c r="BW164" s="163">
        <v>6.7659594479000003E-3</v>
      </c>
      <c r="BX164" s="163">
        <v>5.2711280332999998E-3</v>
      </c>
      <c r="BY164" s="161">
        <v>2.6642896359999999</v>
      </c>
      <c r="BZ164" s="163">
        <v>-2.8577653115999999E-2</v>
      </c>
      <c r="CA164" s="163">
        <v>-2.8577653115999999E-2</v>
      </c>
      <c r="CB164" s="154">
        <v>45364</v>
      </c>
      <c r="CC164" s="154">
        <v>45398</v>
      </c>
      <c r="CD164" s="173">
        <v>83</v>
      </c>
      <c r="CE164" s="174">
        <v>45484</v>
      </c>
      <c r="CF164" s="116"/>
    </row>
    <row r="165" spans="2:84" ht="15.6" x14ac:dyDescent="0.3">
      <c r="B165" s="98" t="s">
        <v>512</v>
      </c>
      <c r="C165" s="175" t="s">
        <v>677</v>
      </c>
      <c r="D165" s="176" t="s">
        <v>17</v>
      </c>
      <c r="E165" s="176" t="s">
        <v>231</v>
      </c>
      <c r="F165" s="177">
        <v>17281106000103</v>
      </c>
      <c r="G165" s="177" t="s">
        <v>832</v>
      </c>
      <c r="H165" s="177" t="s">
        <v>388</v>
      </c>
      <c r="I165" s="178">
        <v>12</v>
      </c>
      <c r="J165" s="179">
        <v>2</v>
      </c>
      <c r="K165" s="179" t="s">
        <v>128</v>
      </c>
      <c r="L165" s="179" t="s">
        <v>123</v>
      </c>
      <c r="M165" s="179" t="s">
        <v>114</v>
      </c>
      <c r="N165" s="179" t="s">
        <v>109</v>
      </c>
      <c r="O165" s="180">
        <v>80615</v>
      </c>
      <c r="P165" s="181">
        <v>80615000</v>
      </c>
      <c r="Q165" s="181">
        <v>1000</v>
      </c>
      <c r="R165" s="182">
        <v>43115</v>
      </c>
      <c r="S165" s="182">
        <v>46037</v>
      </c>
      <c r="T165" s="183" t="s">
        <v>763</v>
      </c>
      <c r="U165" s="183" t="s">
        <v>917</v>
      </c>
      <c r="V165" s="182" t="s">
        <v>105</v>
      </c>
      <c r="W165" s="182" t="s">
        <v>102</v>
      </c>
      <c r="X165" s="182" t="s">
        <v>964</v>
      </c>
      <c r="Y165" s="182">
        <v>45792</v>
      </c>
      <c r="Z165" s="184">
        <f>IFERROR(INDEX(Base!G:G,MATCH('Debêntures IPCA-Spread'!Y165,Base!F:F,0)),"")</f>
        <v>5.73</v>
      </c>
      <c r="AA165" s="115"/>
      <c r="AB165" s="185">
        <v>45552</v>
      </c>
      <c r="AC165" s="186">
        <v>5.6814999999999998</v>
      </c>
      <c r="AD165" s="187">
        <f t="shared" si="8"/>
        <v>-4.8500000000000654E-2</v>
      </c>
      <c r="AE165" s="188">
        <v>0.17</v>
      </c>
      <c r="AF165" s="189">
        <v>5.9584000000000001</v>
      </c>
      <c r="AG165" s="189">
        <v>5.4968000000000004</v>
      </c>
      <c r="AH165" s="190">
        <v>533.524901</v>
      </c>
      <c r="AI165" s="190">
        <v>533.524901</v>
      </c>
      <c r="AJ165" s="191">
        <f t="shared" si="9"/>
        <v>1</v>
      </c>
      <c r="AK165" s="192">
        <v>45552</v>
      </c>
      <c r="AL165" s="193">
        <v>99.69</v>
      </c>
      <c r="AM165" s="194">
        <v>203</v>
      </c>
      <c r="AN165" s="115"/>
      <c r="AO165" s="195">
        <v>9.6325318191000004E-4</v>
      </c>
      <c r="AP165" s="196">
        <f>IF(AO165="","",AO165-AO$6)</f>
        <v>4.8310829698000005E-4</v>
      </c>
      <c r="AQ165" s="196">
        <v>6.0113927046999997E-3</v>
      </c>
      <c r="AR165" s="196">
        <f>IF(AQ165="","",AQ165-AQ$6)</f>
        <v>6.2288994576599997E-3</v>
      </c>
      <c r="AS165" s="196">
        <v>8.2353609162999997E-2</v>
      </c>
      <c r="AT165" s="196">
        <f>IF(AS165="","",AS165-AS$6)</f>
        <v>6.7627774107999999E-2</v>
      </c>
      <c r="AU165" s="196">
        <v>9.6022621455999994E-3</v>
      </c>
      <c r="AV165" s="196">
        <f>IF(AU165="","",AU165-AU$6)</f>
        <v>2.2670844741599999E-2</v>
      </c>
      <c r="AW165" s="196">
        <v>2.7551441786000001E-2</v>
      </c>
      <c r="AX165" s="196">
        <f>IF(AW165="","",AW165-AW$6)</f>
        <v>3.5563739980000002E-3</v>
      </c>
      <c r="AY165" s="196">
        <v>5.2530651935999997E-2</v>
      </c>
      <c r="AZ165" s="196">
        <f>IF(AY165="","",AY165-AY$6)</f>
        <v>3.8288397145999999E-2</v>
      </c>
      <c r="BA165" s="196">
        <v>0.11521696350000001</v>
      </c>
      <c r="BB165" s="196">
        <f>IF(BA165="","",BA165-BA$6)</f>
        <v>6.1729998942000007E-2</v>
      </c>
      <c r="BC165" s="196">
        <v>0.25221815416999999</v>
      </c>
      <c r="BD165" s="196">
        <f>IF(BC165="","",BC165-BC$6)</f>
        <v>5.7909587679999985E-2</v>
      </c>
      <c r="BE165" s="196">
        <v>0.39222330824000001</v>
      </c>
      <c r="BF165" s="196">
        <f>IF(BE165="","",BE165-BE$6)</f>
        <v>0.13050396870000003</v>
      </c>
      <c r="BG165" s="196">
        <v>0.52575040995</v>
      </c>
      <c r="BH165" s="196">
        <f>IF(BG165="","",BG165-BG$6)</f>
        <v>0.21683376113999997</v>
      </c>
      <c r="BI165" s="196">
        <v>0.60910643504999995</v>
      </c>
      <c r="BJ165" s="196">
        <f>IF(BI165="","",BI165-BI$6)</f>
        <v>0.23616342496999992</v>
      </c>
      <c r="BK165" s="197">
        <v>1.076976943</v>
      </c>
      <c r="BL165" s="115"/>
      <c r="BM165" s="198">
        <v>3.4751758703000001E-3</v>
      </c>
      <c r="BN165" s="191">
        <v>-2.0251749483999998E-3</v>
      </c>
      <c r="BO165" s="191">
        <v>1.2436662968000001E-2</v>
      </c>
      <c r="BP165" s="191">
        <v>2.0287638798999999E-3</v>
      </c>
      <c r="BQ165" s="199">
        <v>12</v>
      </c>
      <c r="BR165" s="199">
        <v>0</v>
      </c>
      <c r="BS165" s="199">
        <v>9</v>
      </c>
      <c r="BT165" s="199">
        <v>3</v>
      </c>
      <c r="BU165" s="200">
        <v>0.29231325288999999</v>
      </c>
      <c r="BV165" s="200">
        <v>-0.13774150625000001</v>
      </c>
      <c r="BW165" s="191">
        <v>1.1130356564E-3</v>
      </c>
      <c r="BX165" s="191">
        <v>9.2339749234E-4</v>
      </c>
      <c r="BY165" s="189">
        <v>0.19658809831999999</v>
      </c>
      <c r="BZ165" s="191">
        <v>-3.5060721002999999E-3</v>
      </c>
      <c r="CA165" s="191">
        <v>-3.5060721002999999E-3</v>
      </c>
      <c r="CB165" s="182">
        <v>45198</v>
      </c>
      <c r="CC165" s="182">
        <v>45212</v>
      </c>
      <c r="CD165" s="201">
        <v>14</v>
      </c>
      <c r="CE165" s="202">
        <v>45219</v>
      </c>
      <c r="CF165" s="116"/>
    </row>
    <row r="166" spans="2:84" ht="15.6" x14ac:dyDescent="0.3">
      <c r="B166" s="110" t="s">
        <v>513</v>
      </c>
      <c r="C166" s="147" t="s">
        <v>678</v>
      </c>
      <c r="D166" s="148" t="s">
        <v>17</v>
      </c>
      <c r="E166" s="148" t="s">
        <v>231</v>
      </c>
      <c r="F166" s="149">
        <v>17281106000103</v>
      </c>
      <c r="G166" s="149" t="s">
        <v>833</v>
      </c>
      <c r="H166" s="149" t="s">
        <v>388</v>
      </c>
      <c r="I166" s="150">
        <v>13</v>
      </c>
      <c r="J166" s="151">
        <v>3</v>
      </c>
      <c r="K166" s="151" t="s">
        <v>126</v>
      </c>
      <c r="L166" s="151" t="s">
        <v>125</v>
      </c>
      <c r="M166" s="151" t="s">
        <v>106</v>
      </c>
      <c r="N166" s="151" t="s">
        <v>117</v>
      </c>
      <c r="O166" s="152">
        <v>67400</v>
      </c>
      <c r="P166" s="153">
        <v>67400000</v>
      </c>
      <c r="Q166" s="153">
        <v>1000</v>
      </c>
      <c r="R166" s="154">
        <v>43296</v>
      </c>
      <c r="S166" s="154">
        <v>45853</v>
      </c>
      <c r="T166" s="155" t="s">
        <v>764</v>
      </c>
      <c r="U166" s="155" t="s">
        <v>918</v>
      </c>
      <c r="V166" s="154" t="s">
        <v>105</v>
      </c>
      <c r="W166" s="154" t="s">
        <v>102</v>
      </c>
      <c r="X166" s="154" t="s">
        <v>965</v>
      </c>
      <c r="Y166" s="154">
        <v>45792</v>
      </c>
      <c r="Z166" s="156">
        <f>IFERROR(INDEX(Base!G:G,MATCH('Debêntures IPCA-Spread'!Y166,Base!F:F,0)),"")</f>
        <v>5.73</v>
      </c>
      <c r="AA166" s="115"/>
      <c r="AB166" s="157">
        <v>45552</v>
      </c>
      <c r="AC166" s="158">
        <v>6.9542000000000002</v>
      </c>
      <c r="AD166" s="159">
        <f t="shared" si="8"/>
        <v>1.2241999999999997</v>
      </c>
      <c r="AE166" s="160">
        <v>0.1</v>
      </c>
      <c r="AF166" s="161">
        <v>7.0693999999999999</v>
      </c>
      <c r="AG166" s="161"/>
      <c r="AH166" s="162">
        <v>463.93489499999998</v>
      </c>
      <c r="AI166" s="162">
        <v>463.93489499999998</v>
      </c>
      <c r="AJ166" s="163">
        <f t="shared" si="9"/>
        <v>1</v>
      </c>
      <c r="AK166" s="164">
        <v>45552</v>
      </c>
      <c r="AL166" s="165">
        <v>99.76</v>
      </c>
      <c r="AM166" s="166">
        <v>141</v>
      </c>
      <c r="AN166" s="115"/>
      <c r="AO166" s="167">
        <v>4.6250065498E-4</v>
      </c>
      <c r="AP166" s="168">
        <f>IF(AO166="","",AO166-AO$6)</f>
        <v>-1.7644229949999996E-5</v>
      </c>
      <c r="AQ166" s="168">
        <v>6.8154608889000002E-3</v>
      </c>
      <c r="AR166" s="168">
        <f>IF(AQ166="","",AQ166-AQ$6)</f>
        <v>7.0329676418600003E-3</v>
      </c>
      <c r="AS166" s="168">
        <v>9.3181557706000007E-2</v>
      </c>
      <c r="AT166" s="168">
        <f>IF(AS166="","",AS166-AS$6)</f>
        <v>7.8455722651000009E-2</v>
      </c>
      <c r="AU166" s="168">
        <v>1.2025931726E-2</v>
      </c>
      <c r="AV166" s="168">
        <f>IF(AU166="","",AU166-AU$6)</f>
        <v>2.5094514322000001E-2</v>
      </c>
      <c r="AW166" s="168">
        <v>3.1595075558999999E-2</v>
      </c>
      <c r="AX166" s="168">
        <f>IF(AW166="","",AW166-AW$6)</f>
        <v>7.6000077709999989E-3</v>
      </c>
      <c r="AY166" s="168">
        <v>5.8422350249999998E-2</v>
      </c>
      <c r="AZ166" s="168">
        <f>IF(AY166="","",AY166-AY$6)</f>
        <v>4.4180095459999999E-2</v>
      </c>
      <c r="BA166" s="168">
        <v>0.13032461080999999</v>
      </c>
      <c r="BB166" s="168">
        <f>IF(BA166="","",BA166-BA$6)</f>
        <v>7.6837646251999986E-2</v>
      </c>
      <c r="BC166" s="168">
        <v>0.28835141915000001</v>
      </c>
      <c r="BD166" s="168">
        <f>IF(BC166="","",BC166-BC$6)</f>
        <v>9.4042852660000009E-2</v>
      </c>
      <c r="BE166" s="168">
        <v>0.43694293434999998</v>
      </c>
      <c r="BF166" s="168">
        <f>IF(BE166="","",BE166-BE$6)</f>
        <v>0.17522359480999999</v>
      </c>
      <c r="BG166" s="168">
        <v>0.55419372739999995</v>
      </c>
      <c r="BH166" s="168">
        <f>IF(BG166="","",BG166-BG$6)</f>
        <v>0.24527707858999992</v>
      </c>
      <c r="BI166" s="168"/>
      <c r="BJ166" s="168" t="str">
        <f>IF(BI166="","",BI166-BI$6)</f>
        <v/>
      </c>
      <c r="BK166" s="169">
        <v>1.5294481105</v>
      </c>
      <c r="BL166" s="115"/>
      <c r="BM166" s="170">
        <v>8.1387007631000003E-3</v>
      </c>
      <c r="BN166" s="163">
        <v>-1.5927536323E-3</v>
      </c>
      <c r="BO166" s="163">
        <v>1.7377484911999998E-2</v>
      </c>
      <c r="BP166" s="163">
        <v>4.9363739217000002E-3</v>
      </c>
      <c r="BQ166" s="171">
        <v>12</v>
      </c>
      <c r="BR166" s="171">
        <v>0</v>
      </c>
      <c r="BS166" s="171">
        <v>9</v>
      </c>
      <c r="BT166" s="171">
        <v>3</v>
      </c>
      <c r="BU166" s="172">
        <v>1.0971991839999999</v>
      </c>
      <c r="BV166" s="172">
        <v>0.21209190853000001</v>
      </c>
      <c r="BW166" s="163">
        <v>1.5826886485999999E-3</v>
      </c>
      <c r="BX166" s="163">
        <v>1.6970394476E-3</v>
      </c>
      <c r="BY166" s="161">
        <v>1.7588370392999999</v>
      </c>
      <c r="BZ166" s="163">
        <v>-2.3585550024999998E-3</v>
      </c>
      <c r="CA166" s="163">
        <v>-2.3585550024999998E-3</v>
      </c>
      <c r="CB166" s="154">
        <v>45392</v>
      </c>
      <c r="CC166" s="154">
        <v>45399</v>
      </c>
      <c r="CD166" s="173">
        <v>9</v>
      </c>
      <c r="CE166" s="174">
        <v>45405</v>
      </c>
      <c r="CF166" s="116"/>
    </row>
    <row r="167" spans="2:84" ht="15.6" x14ac:dyDescent="0.3">
      <c r="B167" s="98" t="s">
        <v>514</v>
      </c>
      <c r="C167" s="175" t="s">
        <v>679</v>
      </c>
      <c r="D167" s="176" t="s">
        <v>17</v>
      </c>
      <c r="E167" s="176" t="s">
        <v>231</v>
      </c>
      <c r="F167" s="177">
        <v>17281106000103</v>
      </c>
      <c r="G167" s="177" t="s">
        <v>834</v>
      </c>
      <c r="H167" s="177" t="s">
        <v>388</v>
      </c>
      <c r="I167" s="178">
        <v>14</v>
      </c>
      <c r="J167" s="179">
        <v>2</v>
      </c>
      <c r="K167" s="179" t="s">
        <v>130</v>
      </c>
      <c r="L167" s="179" t="s">
        <v>123</v>
      </c>
      <c r="M167" s="179" t="s">
        <v>106</v>
      </c>
      <c r="N167" s="179" t="s">
        <v>117</v>
      </c>
      <c r="O167" s="180">
        <v>142500</v>
      </c>
      <c r="P167" s="181">
        <v>142500000</v>
      </c>
      <c r="Q167" s="181">
        <v>1000</v>
      </c>
      <c r="R167" s="182">
        <v>43631</v>
      </c>
      <c r="S167" s="182">
        <v>46188</v>
      </c>
      <c r="T167" s="183" t="s">
        <v>756</v>
      </c>
      <c r="U167" s="183" t="s">
        <v>919</v>
      </c>
      <c r="V167" s="182" t="s">
        <v>105</v>
      </c>
      <c r="W167" s="182" t="s">
        <v>102</v>
      </c>
      <c r="X167" s="182" t="s">
        <v>1309</v>
      </c>
      <c r="Y167" s="182">
        <v>45792</v>
      </c>
      <c r="Z167" s="184">
        <f>IFERROR(INDEX(Base!G:G,MATCH('Debêntures IPCA-Spread'!Y167,Base!F:F,0)),"")</f>
        <v>5.73</v>
      </c>
      <c r="AA167" s="115"/>
      <c r="AB167" s="185">
        <v>45552</v>
      </c>
      <c r="AC167" s="186">
        <v>6.5727000000000002</v>
      </c>
      <c r="AD167" s="187">
        <f t="shared" si="8"/>
        <v>0.84269999999999978</v>
      </c>
      <c r="AE167" s="188">
        <v>0.16</v>
      </c>
      <c r="AF167" s="189">
        <v>6.8879000000000001</v>
      </c>
      <c r="AG167" s="189">
        <v>6.3714000000000004</v>
      </c>
      <c r="AH167" s="190">
        <v>661.84203300000001</v>
      </c>
      <c r="AI167" s="190">
        <v>661.84203300000001</v>
      </c>
      <c r="AJ167" s="191">
        <f t="shared" si="9"/>
        <v>1</v>
      </c>
      <c r="AK167" s="192">
        <v>45552</v>
      </c>
      <c r="AL167" s="193">
        <v>97.96</v>
      </c>
      <c r="AM167" s="194">
        <v>241</v>
      </c>
      <c r="AN167" s="115"/>
      <c r="AO167" s="195">
        <v>1.2198267339999999E-3</v>
      </c>
      <c r="AP167" s="196">
        <f>IF(AO167="","",AO167-AO$6)</f>
        <v>7.3968184906999992E-4</v>
      </c>
      <c r="AQ167" s="196">
        <v>6.9178270604999996E-3</v>
      </c>
      <c r="AR167" s="196">
        <f>IF(AQ167="","",AQ167-AQ$6)</f>
        <v>7.1353338134599997E-3</v>
      </c>
      <c r="AS167" s="196">
        <v>8.6153471745999993E-2</v>
      </c>
      <c r="AT167" s="196">
        <f>IF(AS167="","",AS167-AS$6)</f>
        <v>7.1427636690999996E-2</v>
      </c>
      <c r="AU167" s="196">
        <v>1.1618312899E-2</v>
      </c>
      <c r="AV167" s="196">
        <f>IF(AU167="","",AU167-AU$6)</f>
        <v>2.4686895495E-2</v>
      </c>
      <c r="AW167" s="196">
        <v>3.0693345893999999E-2</v>
      </c>
      <c r="AX167" s="196">
        <f>IF(AW167="","",AW167-AW$6)</f>
        <v>6.6982781059999989E-3</v>
      </c>
      <c r="AY167" s="196">
        <v>5.7168263374000002E-2</v>
      </c>
      <c r="AZ167" s="196">
        <f>IF(AY167="","",AY167-AY$6)</f>
        <v>4.2926008584000003E-2</v>
      </c>
      <c r="BA167" s="196">
        <v>0.11725526151</v>
      </c>
      <c r="BB167" s="196">
        <f>IF(BA167="","",BA167-BA$6)</f>
        <v>6.3768296952000009E-2</v>
      </c>
      <c r="BC167" s="196">
        <v>0.28349727992000001</v>
      </c>
      <c r="BD167" s="196">
        <f>IF(BC167="","",BC167-BC$6)</f>
        <v>8.9188713430000011E-2</v>
      </c>
      <c r="BE167" s="196">
        <v>0.42150955934000001</v>
      </c>
      <c r="BF167" s="196">
        <f>IF(BE167="","",BE167-BE$6)</f>
        <v>0.15979021980000002</v>
      </c>
      <c r="BG167" s="196">
        <v>0.54716002548999998</v>
      </c>
      <c r="BH167" s="196">
        <f>IF(BG167="","",BG167-BG$6)</f>
        <v>0.23824337667999995</v>
      </c>
      <c r="BI167" s="196"/>
      <c r="BJ167" s="196" t="str">
        <f>IF(BI167="","",BI167-BI$6)</f>
        <v/>
      </c>
      <c r="BK167" s="197">
        <v>1.4474259729000001</v>
      </c>
      <c r="BL167" s="115"/>
      <c r="BM167" s="198">
        <v>2.9919079934000001E-3</v>
      </c>
      <c r="BN167" s="191">
        <v>-3.2454150513999999E-3</v>
      </c>
      <c r="BO167" s="191">
        <v>1.4013940011E-2</v>
      </c>
      <c r="BP167" s="191">
        <v>3.3752814233999999E-3</v>
      </c>
      <c r="BQ167" s="199">
        <v>12</v>
      </c>
      <c r="BR167" s="199">
        <v>0</v>
      </c>
      <c r="BS167" s="199">
        <v>7</v>
      </c>
      <c r="BT167" s="199">
        <v>5</v>
      </c>
      <c r="BU167" s="200">
        <v>0.34720354592000002</v>
      </c>
      <c r="BV167" s="200">
        <v>3.6424643348000003E-2</v>
      </c>
      <c r="BW167" s="191">
        <v>1.4957655661E-3</v>
      </c>
      <c r="BX167" s="191">
        <v>1.6444324761000001E-3</v>
      </c>
      <c r="BY167" s="189">
        <v>0.41735453411000001</v>
      </c>
      <c r="BZ167" s="191">
        <v>-4.3247550442999999E-3</v>
      </c>
      <c r="CA167" s="191">
        <v>-4.3247550442999999E-3</v>
      </c>
      <c r="CB167" s="182">
        <v>45194</v>
      </c>
      <c r="CC167" s="182">
        <v>45202</v>
      </c>
      <c r="CD167" s="201">
        <v>18</v>
      </c>
      <c r="CE167" s="202">
        <v>45219</v>
      </c>
      <c r="CF167" s="116"/>
    </row>
    <row r="168" spans="2:84" ht="15.6" x14ac:dyDescent="0.3">
      <c r="B168" s="110" t="s">
        <v>1425</v>
      </c>
      <c r="C168" s="147" t="s">
        <v>2071</v>
      </c>
      <c r="D168" s="148" t="s">
        <v>17</v>
      </c>
      <c r="E168" s="148" t="s">
        <v>231</v>
      </c>
      <c r="F168" s="149">
        <v>17281106000103</v>
      </c>
      <c r="G168" s="149" t="s">
        <v>1784</v>
      </c>
      <c r="H168" s="149" t="s">
        <v>388</v>
      </c>
      <c r="I168" s="150">
        <v>16</v>
      </c>
      <c r="J168" s="151">
        <v>1</v>
      </c>
      <c r="K168" s="151" t="s">
        <v>128</v>
      </c>
      <c r="L168" s="151" t="s">
        <v>122</v>
      </c>
      <c r="M168" s="151" t="s">
        <v>128</v>
      </c>
      <c r="N168" s="151" t="s">
        <v>109</v>
      </c>
      <c r="O168" s="152">
        <v>243807</v>
      </c>
      <c r="P168" s="153">
        <v>243807000</v>
      </c>
      <c r="Q168" s="153">
        <v>1000</v>
      </c>
      <c r="R168" s="154">
        <v>44454</v>
      </c>
      <c r="S168" s="154">
        <v>48106</v>
      </c>
      <c r="T168" s="155" t="s">
        <v>1988</v>
      </c>
      <c r="U168" s="155" t="s">
        <v>1678</v>
      </c>
      <c r="V168" s="154" t="s">
        <v>105</v>
      </c>
      <c r="W168" s="154" t="s">
        <v>102</v>
      </c>
      <c r="X168" s="154" t="s">
        <v>1562</v>
      </c>
      <c r="Y168" s="154">
        <v>46980</v>
      </c>
      <c r="Z168" s="156">
        <f>IFERROR(INDEX(Base!G:G,MATCH('Debêntures IPCA-Spread'!Y168,Base!F:F,0)),"")</f>
        <v>6.4702000000000002</v>
      </c>
      <c r="AA168" s="115"/>
      <c r="AB168" s="157">
        <v>45552</v>
      </c>
      <c r="AC168" s="158">
        <v>6.4223999999999997</v>
      </c>
      <c r="AD168" s="159">
        <f t="shared" si="8"/>
        <v>-4.7800000000000509E-2</v>
      </c>
      <c r="AE168" s="160">
        <v>0.15</v>
      </c>
      <c r="AF168" s="161">
        <v>6.6304999999999996</v>
      </c>
      <c r="AG168" s="161">
        <v>6.2638999999999996</v>
      </c>
      <c r="AH168" s="162">
        <v>991.40660100000002</v>
      </c>
      <c r="AI168" s="162">
        <v>994.51531799999998</v>
      </c>
      <c r="AJ168" s="163">
        <f t="shared" si="9"/>
        <v>0.99687413864448893</v>
      </c>
      <c r="AK168" s="164">
        <v>45548</v>
      </c>
      <c r="AL168" s="165">
        <v>96.05</v>
      </c>
      <c r="AM168" s="166">
        <v>896</v>
      </c>
      <c r="AN168" s="115"/>
      <c r="AO168" s="167">
        <v>-2.7358378974999997E-4</v>
      </c>
      <c r="AP168" s="168">
        <f>IF(AO168="","",AO168-AO$6)</f>
        <v>-7.5372867467999997E-4</v>
      </c>
      <c r="AQ168" s="168">
        <v>3.6686576696000001E-3</v>
      </c>
      <c r="AR168" s="168">
        <f>IF(AQ168="","",AQ168-AQ$6)</f>
        <v>3.8861644225600001E-3</v>
      </c>
      <c r="AS168" s="168">
        <v>5.7371555948000003E-2</v>
      </c>
      <c r="AT168" s="168">
        <f>IF(AS168="","",AS168-AS$6)</f>
        <v>4.2645720893000005E-2</v>
      </c>
      <c r="AU168" s="168">
        <v>4.3131558813999998E-3</v>
      </c>
      <c r="AV168" s="168">
        <f>IF(AU168="","",AU168-AU$6)</f>
        <v>1.7381738477399999E-2</v>
      </c>
      <c r="AW168" s="168">
        <v>2.8812867972999999E-2</v>
      </c>
      <c r="AX168" s="168">
        <f>IF(AW168="","",AW168-AW$6)</f>
        <v>4.8178001849999985E-3</v>
      </c>
      <c r="AY168" s="168">
        <v>2.4868616698000001E-2</v>
      </c>
      <c r="AZ168" s="168">
        <f>IF(AY168="","",AY168-AY$6)</f>
        <v>1.0626361908000001E-2</v>
      </c>
      <c r="BA168" s="168">
        <v>9.0569276808000004E-2</v>
      </c>
      <c r="BB168" s="168">
        <f>IF(BA168="","",BA168-BA$6)</f>
        <v>3.7082312250000006E-2</v>
      </c>
      <c r="BC168" s="168">
        <v>0.22990444125000001</v>
      </c>
      <c r="BD168" s="168">
        <f>IF(BC168="","",BC168-BC$6)</f>
        <v>3.5595874760000007E-2</v>
      </c>
      <c r="BE168" s="168"/>
      <c r="BF168" s="168" t="str">
        <f>IF(BE168="","",BE168-BE$6)</f>
        <v/>
      </c>
      <c r="BG168" s="168"/>
      <c r="BH168" s="168" t="str">
        <f>IF(BG168="","",BG168-BG$6)</f>
        <v/>
      </c>
      <c r="BI168" s="168"/>
      <c r="BJ168" s="168" t="str">
        <f>IF(BI168="","",BI168-BI$6)</f>
        <v/>
      </c>
      <c r="BK168" s="169">
        <v>3.2254394174000001</v>
      </c>
      <c r="BL168" s="115"/>
      <c r="BM168" s="170">
        <v>6.0826142652999999E-3</v>
      </c>
      <c r="BN168" s="163">
        <v>-6.6509680291000003E-3</v>
      </c>
      <c r="BO168" s="163">
        <v>2.5853299574E-2</v>
      </c>
      <c r="BP168" s="163">
        <v>-1.05695589E-2</v>
      </c>
      <c r="BQ168" s="171">
        <v>9</v>
      </c>
      <c r="BR168" s="171">
        <v>3</v>
      </c>
      <c r="BS168" s="171">
        <v>6</v>
      </c>
      <c r="BT168" s="171">
        <v>6</v>
      </c>
      <c r="BU168" s="172">
        <v>-0.57570038189999995</v>
      </c>
      <c r="BV168" s="172"/>
      <c r="BW168" s="163">
        <v>3.3324322340000001E-3</v>
      </c>
      <c r="BX168" s="163">
        <v>2.7415434157E-3</v>
      </c>
      <c r="BY168" s="161">
        <v>-2.5409489029999999</v>
      </c>
      <c r="BZ168" s="163">
        <v>-1.6667800704999999E-2</v>
      </c>
      <c r="CA168" s="163">
        <v>-1.6667800704999999E-2</v>
      </c>
      <c r="CB168" s="154">
        <v>45187</v>
      </c>
      <c r="CC168" s="154">
        <v>45202</v>
      </c>
      <c r="CD168" s="173">
        <v>41</v>
      </c>
      <c r="CE168" s="174">
        <v>45247</v>
      </c>
      <c r="CF168" s="116"/>
    </row>
    <row r="169" spans="2:84" ht="15.6" x14ac:dyDescent="0.3">
      <c r="B169" s="98" t="s">
        <v>2249</v>
      </c>
      <c r="C169" s="175" t="s">
        <v>2634</v>
      </c>
      <c r="D169" s="176" t="s">
        <v>17</v>
      </c>
      <c r="E169" s="176" t="s">
        <v>231</v>
      </c>
      <c r="F169" s="177">
        <v>17281106000103</v>
      </c>
      <c r="G169" s="177" t="s">
        <v>2384</v>
      </c>
      <c r="H169" s="177" t="s">
        <v>388</v>
      </c>
      <c r="I169" s="178">
        <v>18</v>
      </c>
      <c r="J169" s="179">
        <v>2</v>
      </c>
      <c r="K169" s="179" t="s">
        <v>126</v>
      </c>
      <c r="L169" s="179" t="s">
        <v>118</v>
      </c>
      <c r="M169" s="179" t="s">
        <v>114</v>
      </c>
      <c r="N169" s="179" t="s">
        <v>117</v>
      </c>
      <c r="O169" s="180">
        <v>786374</v>
      </c>
      <c r="P169" s="181">
        <v>786374000</v>
      </c>
      <c r="Q169" s="181">
        <v>1000</v>
      </c>
      <c r="R169" s="182">
        <v>45184</v>
      </c>
      <c r="S169" s="182">
        <v>47741</v>
      </c>
      <c r="T169" s="183" t="s">
        <v>2833</v>
      </c>
      <c r="U169" s="183" t="s">
        <v>2742</v>
      </c>
      <c r="V169" s="182" t="s">
        <v>105</v>
      </c>
      <c r="W169" s="182" t="s">
        <v>102</v>
      </c>
      <c r="X169" s="182" t="s">
        <v>1550</v>
      </c>
      <c r="Y169" s="182">
        <v>46980</v>
      </c>
      <c r="Z169" s="184">
        <f>IFERROR(INDEX(Base!G:G,MATCH('Debêntures IPCA-Spread'!Y169,Base!F:F,0)),"")</f>
        <v>6.4702000000000002</v>
      </c>
      <c r="AA169" s="115"/>
      <c r="AB169" s="185">
        <v>45552</v>
      </c>
      <c r="AC169" s="186">
        <v>6.9763000000000002</v>
      </c>
      <c r="AD169" s="187">
        <f t="shared" ref="AD169:AD232" si="10">IF(AND(Z169&lt;&gt;"",AC169&lt;&gt;""),AC169-Z169,"")</f>
        <v>0.50609999999999999</v>
      </c>
      <c r="AE169" s="188">
        <v>0.1</v>
      </c>
      <c r="AF169" s="189">
        <v>7.2141000000000002</v>
      </c>
      <c r="AG169" s="189">
        <v>6.7689000000000004</v>
      </c>
      <c r="AH169" s="190">
        <v>1045.897639</v>
      </c>
      <c r="AI169" s="190"/>
      <c r="AJ169" s="191" t="str">
        <f t="shared" ref="AJ169:AJ190" si="11">IFERROR(AH169/AI169,"")</f>
        <v/>
      </c>
      <c r="AK169" s="192"/>
      <c r="AL169" s="193">
        <v>100.4</v>
      </c>
      <c r="AM169" s="194">
        <v>873</v>
      </c>
      <c r="AN169" s="115"/>
      <c r="AO169" s="195">
        <v>1.9971959737000002E-3</v>
      </c>
      <c r="AP169" s="196">
        <f>IF(AO169="","",AO169-AO$6)</f>
        <v>1.5170510887700002E-3</v>
      </c>
      <c r="AQ169" s="196">
        <v>6.6072717854999997E-3</v>
      </c>
      <c r="AR169" s="196">
        <f>IF(AQ169="","",AQ169-AQ$6)</f>
        <v>6.8247785384599998E-3</v>
      </c>
      <c r="AS169" s="196">
        <v>7.4165845563999994E-2</v>
      </c>
      <c r="AT169" s="196">
        <f>IF(AS169="","",AS169-AS$6)</f>
        <v>5.9440010508999996E-2</v>
      </c>
      <c r="AU169" s="196">
        <v>3.5335445972999998E-3</v>
      </c>
      <c r="AV169" s="196">
        <f>IF(AU169="","",AU169-AU$6)</f>
        <v>1.6602127193299999E-2</v>
      </c>
      <c r="AW169" s="196">
        <v>3.6750762498000002E-2</v>
      </c>
      <c r="AX169" s="196">
        <f>IF(AW169="","",AW169-AW$6)</f>
        <v>1.2755694710000001E-2</v>
      </c>
      <c r="AY169" s="196">
        <v>4.1201784425999997E-2</v>
      </c>
      <c r="AZ169" s="196">
        <f>IF(AY169="","",AY169-AY$6)</f>
        <v>2.6959529635999999E-2</v>
      </c>
      <c r="BA169" s="196"/>
      <c r="BB169" s="196" t="str">
        <f>IF(BA169="","",BA169-BA$6)</f>
        <v/>
      </c>
      <c r="BC169" s="196"/>
      <c r="BD169" s="196" t="str">
        <f>IF(BC169="","",BC169-BC$6)</f>
        <v/>
      </c>
      <c r="BE169" s="196"/>
      <c r="BF169" s="196" t="str">
        <f>IF(BE169="","",BE169-BE$6)</f>
        <v/>
      </c>
      <c r="BG169" s="196"/>
      <c r="BH169" s="196" t="str">
        <f>IF(BG169="","",BG169-BG$6)</f>
        <v/>
      </c>
      <c r="BI169" s="196"/>
      <c r="BJ169" s="196" t="str">
        <f>IF(BI169="","",BI169-BI$6)</f>
        <v/>
      </c>
      <c r="BK169" s="197"/>
      <c r="BL169" s="115"/>
      <c r="BM169" s="198">
        <v>7.7443245245000002E-3</v>
      </c>
      <c r="BN169" s="191">
        <v>-7.7086895217000004E-3</v>
      </c>
      <c r="BO169" s="191">
        <v>2.4268061232E-2</v>
      </c>
      <c r="BP169" s="191">
        <v>-1.2884047207E-2</v>
      </c>
      <c r="BQ169" s="199"/>
      <c r="BR169" s="199"/>
      <c r="BS169" s="199"/>
      <c r="BT169" s="199"/>
      <c r="BU169" s="200"/>
      <c r="BV169" s="200"/>
      <c r="BW169" s="191"/>
      <c r="BX169" s="191">
        <v>2.5879810469999999E-3</v>
      </c>
      <c r="BY169" s="189"/>
      <c r="BZ169" s="191">
        <v>-1.4471611468E-2</v>
      </c>
      <c r="CA169" s="191">
        <v>-1.4471611468E-2</v>
      </c>
      <c r="CB169" s="182">
        <v>45391</v>
      </c>
      <c r="CC169" s="182">
        <v>45399</v>
      </c>
      <c r="CD169" s="201">
        <v>26</v>
      </c>
      <c r="CE169" s="202">
        <v>45428</v>
      </c>
      <c r="CF169" s="116"/>
    </row>
    <row r="170" spans="2:84" ht="15.6" x14ac:dyDescent="0.3">
      <c r="B170" s="110" t="s">
        <v>2250</v>
      </c>
      <c r="C170" s="147" t="s">
        <v>2635</v>
      </c>
      <c r="D170" s="148" t="s">
        <v>17</v>
      </c>
      <c r="E170" s="148" t="s">
        <v>231</v>
      </c>
      <c r="F170" s="149">
        <v>17281106000103</v>
      </c>
      <c r="G170" s="149" t="s">
        <v>2385</v>
      </c>
      <c r="H170" s="149" t="s">
        <v>388</v>
      </c>
      <c r="I170" s="150">
        <v>19</v>
      </c>
      <c r="J170" s="151">
        <v>2</v>
      </c>
      <c r="K170" s="151" t="s">
        <v>126</v>
      </c>
      <c r="L170" s="151" t="s">
        <v>1743</v>
      </c>
      <c r="M170" s="151" t="s">
        <v>114</v>
      </c>
      <c r="N170" s="151" t="s">
        <v>117</v>
      </c>
      <c r="O170" s="152">
        <v>818000</v>
      </c>
      <c r="P170" s="153">
        <v>818000000</v>
      </c>
      <c r="Q170" s="153">
        <v>1000</v>
      </c>
      <c r="R170" s="154">
        <v>45488</v>
      </c>
      <c r="S170" s="154">
        <v>49140</v>
      </c>
      <c r="T170" s="155" t="s">
        <v>2834</v>
      </c>
      <c r="U170" s="155" t="s">
        <v>2743</v>
      </c>
      <c r="V170" s="154" t="s">
        <v>105</v>
      </c>
      <c r="W170" s="154" t="s">
        <v>102</v>
      </c>
      <c r="X170" s="154" t="s">
        <v>2513</v>
      </c>
      <c r="Y170" s="154">
        <v>47710</v>
      </c>
      <c r="Z170" s="156">
        <f>IFERROR(INDEX(Base!G:G,MATCH('Debêntures IPCA-Spread'!Y170,Base!F:F,0)),"")</f>
        <v>6.3273999999999999</v>
      </c>
      <c r="AA170" s="115"/>
      <c r="AB170" s="157">
        <v>45552</v>
      </c>
      <c r="AC170" s="158">
        <v>7.2655000000000003</v>
      </c>
      <c r="AD170" s="159">
        <f t="shared" si="10"/>
        <v>0.93810000000000038</v>
      </c>
      <c r="AE170" s="160">
        <v>0.04</v>
      </c>
      <c r="AF170" s="161"/>
      <c r="AG170" s="161"/>
      <c r="AH170" s="162">
        <v>1016.290518</v>
      </c>
      <c r="AI170" s="162"/>
      <c r="AJ170" s="163" t="str">
        <f t="shared" si="11"/>
        <v/>
      </c>
      <c r="AK170" s="164"/>
      <c r="AL170" s="165">
        <v>100.04</v>
      </c>
      <c r="AM170" s="166">
        <v>1252</v>
      </c>
      <c r="AN170" s="115"/>
      <c r="AO170" s="167">
        <v>1.1102636071000001E-3</v>
      </c>
      <c r="AP170" s="168">
        <f>IF(AO170="","",AO170-AO$6)</f>
        <v>6.3011872217000006E-4</v>
      </c>
      <c r="AQ170" s="168">
        <v>1.8190435549000001E-3</v>
      </c>
      <c r="AR170" s="168">
        <f>IF(AQ170="","",AQ170-AQ$6)</f>
        <v>2.0365503078599999E-3</v>
      </c>
      <c r="AS170" s="168"/>
      <c r="AT170" s="168" t="str">
        <f>IF(AS170="","",AS170-AS$6)</f>
        <v/>
      </c>
      <c r="AU170" s="168"/>
      <c r="AV170" s="168" t="str">
        <f>IF(AU170="","",AU170-AU$6)</f>
        <v/>
      </c>
      <c r="AW170" s="168"/>
      <c r="AX170" s="168" t="str">
        <f>IF(AW170="","",AW170-AW$6)</f>
        <v/>
      </c>
      <c r="AY170" s="168"/>
      <c r="AZ170" s="168" t="str">
        <f>IF(AY170="","",AY170-AY$6)</f>
        <v/>
      </c>
      <c r="BA170" s="168"/>
      <c r="BB170" s="168" t="str">
        <f>IF(BA170="","",BA170-BA$6)</f>
        <v/>
      </c>
      <c r="BC170" s="168"/>
      <c r="BD170" s="168" t="str">
        <f>IF(BC170="","",BC170-BC$6)</f>
        <v/>
      </c>
      <c r="BE170" s="168"/>
      <c r="BF170" s="168" t="str">
        <f>IF(BE170="","",BE170-BE$6)</f>
        <v/>
      </c>
      <c r="BG170" s="168"/>
      <c r="BH170" s="168" t="str">
        <f>IF(BG170="","",BG170-BG$6)</f>
        <v/>
      </c>
      <c r="BI170" s="168"/>
      <c r="BJ170" s="168" t="str">
        <f>IF(BI170="","",BI170-BI$6)</f>
        <v/>
      </c>
      <c r="BK170" s="169"/>
      <c r="BL170" s="115"/>
      <c r="BM170" s="170">
        <v>3.2558662751000001E-3</v>
      </c>
      <c r="BN170" s="163">
        <v>-3.4091430762000002E-3</v>
      </c>
      <c r="BO170" s="163">
        <v>1.8190435549000001E-3</v>
      </c>
      <c r="BP170" s="163">
        <v>1.8190435549000001E-3</v>
      </c>
      <c r="BQ170" s="171"/>
      <c r="BR170" s="171"/>
      <c r="BS170" s="171"/>
      <c r="BT170" s="171"/>
      <c r="BU170" s="172"/>
      <c r="BV170" s="172"/>
      <c r="BW170" s="163"/>
      <c r="BX170" s="163"/>
      <c r="BY170" s="161"/>
      <c r="BZ170" s="163">
        <v>0</v>
      </c>
      <c r="CA170" s="163">
        <v>-7.2757879411999996E-3</v>
      </c>
      <c r="CB170" s="154">
        <v>45531</v>
      </c>
      <c r="CC170" s="154">
        <v>45537</v>
      </c>
      <c r="CD170" s="173"/>
      <c r="CE170" s="174"/>
      <c r="CF170" s="116"/>
    </row>
    <row r="171" spans="2:84" ht="15.6" x14ac:dyDescent="0.3">
      <c r="B171" s="98" t="s">
        <v>1107</v>
      </c>
      <c r="C171" s="175" t="s">
        <v>1271</v>
      </c>
      <c r="D171" s="176" t="s">
        <v>1189</v>
      </c>
      <c r="E171" s="176" t="s">
        <v>226</v>
      </c>
      <c r="F171" s="177">
        <v>4368898000106</v>
      </c>
      <c r="G171" s="177" t="s">
        <v>1168</v>
      </c>
      <c r="H171" s="177" t="s">
        <v>388</v>
      </c>
      <c r="I171" s="178">
        <v>6</v>
      </c>
      <c r="J171" s="179">
        <v>2</v>
      </c>
      <c r="K171" s="179" t="s">
        <v>126</v>
      </c>
      <c r="L171" s="179" t="s">
        <v>124</v>
      </c>
      <c r="M171" s="179" t="s">
        <v>114</v>
      </c>
      <c r="N171" s="179" t="s">
        <v>109</v>
      </c>
      <c r="O171" s="180">
        <v>500000</v>
      </c>
      <c r="P171" s="181">
        <v>500000000</v>
      </c>
      <c r="Q171" s="181">
        <v>1000</v>
      </c>
      <c r="R171" s="182">
        <v>44363</v>
      </c>
      <c r="S171" s="182">
        <v>48014</v>
      </c>
      <c r="T171" s="183" t="s">
        <v>1236</v>
      </c>
      <c r="U171" s="183" t="s">
        <v>1211</v>
      </c>
      <c r="V171" s="182" t="s">
        <v>105</v>
      </c>
      <c r="W171" s="182" t="s">
        <v>102</v>
      </c>
      <c r="X171" s="182" t="s">
        <v>1325</v>
      </c>
      <c r="Y171" s="182">
        <v>47710</v>
      </c>
      <c r="Z171" s="184">
        <f>IFERROR(INDEX(Base!G:G,MATCH('Debêntures IPCA-Spread'!Y171,Base!F:F,0)),"")</f>
        <v>6.3273999999999999</v>
      </c>
      <c r="AA171" s="115"/>
      <c r="AB171" s="185">
        <v>45552</v>
      </c>
      <c r="AC171" s="186">
        <v>6.3124000000000002</v>
      </c>
      <c r="AD171" s="187">
        <f t="shared" si="10"/>
        <v>-1.499999999999968E-2</v>
      </c>
      <c r="AE171" s="188">
        <v>0.14000000000000001</v>
      </c>
      <c r="AF171" s="189">
        <v>6.5578000000000003</v>
      </c>
      <c r="AG171" s="189">
        <v>6.1824000000000003</v>
      </c>
      <c r="AH171" s="190">
        <v>1137.11546</v>
      </c>
      <c r="AI171" s="190">
        <v>1149.417637</v>
      </c>
      <c r="AJ171" s="191">
        <f t="shared" si="11"/>
        <v>0.98929703477309694</v>
      </c>
      <c r="AK171" s="192">
        <v>45519</v>
      </c>
      <c r="AL171" s="193">
        <v>93.01</v>
      </c>
      <c r="AM171" s="194">
        <v>1247</v>
      </c>
      <c r="AN171" s="115"/>
      <c r="AO171" s="195">
        <v>6.5813211403999996E-4</v>
      </c>
      <c r="AP171" s="196">
        <f>IF(AO171="","",AO171-AO$6)</f>
        <v>1.7798722910999996E-4</v>
      </c>
      <c r="AQ171" s="196">
        <v>-1.935528865E-3</v>
      </c>
      <c r="AR171" s="196">
        <f>IF(AQ171="","",AQ171-AQ$6)</f>
        <v>-1.7180221120399999E-3</v>
      </c>
      <c r="AS171" s="196">
        <v>6.0779030044000003E-2</v>
      </c>
      <c r="AT171" s="196">
        <f>IF(AS171="","",AS171-AS$6)</f>
        <v>4.6053194988999999E-2</v>
      </c>
      <c r="AU171" s="196">
        <v>-6.6802878009E-3</v>
      </c>
      <c r="AV171" s="196">
        <f>IF(AU171="","",AU171-AU$6)</f>
        <v>6.3882947950999998E-3</v>
      </c>
      <c r="AW171" s="196">
        <v>3.5431513905000003E-2</v>
      </c>
      <c r="AX171" s="196">
        <f>IF(AW171="","",AW171-AW$6)</f>
        <v>1.1436446117000003E-2</v>
      </c>
      <c r="AY171" s="196">
        <v>3.0247922403000001E-2</v>
      </c>
      <c r="AZ171" s="196">
        <f>IF(AY171="","",AY171-AY$6)</f>
        <v>1.6005667612999999E-2</v>
      </c>
      <c r="BA171" s="196">
        <v>9.6756933037000004E-2</v>
      </c>
      <c r="BB171" s="196">
        <f>IF(BA171="","",BA171-BA$6)</f>
        <v>4.3269968479000005E-2</v>
      </c>
      <c r="BC171" s="196">
        <v>0.25715197254</v>
      </c>
      <c r="BD171" s="196">
        <f>IF(BC171="","",BC171-BC$6)</f>
        <v>6.2843406049999995E-2</v>
      </c>
      <c r="BE171" s="196"/>
      <c r="BF171" s="196" t="str">
        <f>IF(BE171="","",BE171-BE$6)</f>
        <v/>
      </c>
      <c r="BG171" s="196"/>
      <c r="BH171" s="196" t="str">
        <f>IF(BG171="","",BG171-BG$6)</f>
        <v/>
      </c>
      <c r="BI171" s="196"/>
      <c r="BJ171" s="196" t="str">
        <f>IF(BI171="","",BI171-BI$6)</f>
        <v/>
      </c>
      <c r="BK171" s="197">
        <v>4.5103090686999998</v>
      </c>
      <c r="BL171" s="115"/>
      <c r="BM171" s="198">
        <v>8.8385549971E-3</v>
      </c>
      <c r="BN171" s="191">
        <v>-9.0797733073000007E-3</v>
      </c>
      <c r="BO171" s="191">
        <v>2.8237782789999999E-2</v>
      </c>
      <c r="BP171" s="191">
        <v>-1.5573618932999999E-2</v>
      </c>
      <c r="BQ171" s="199">
        <v>7</v>
      </c>
      <c r="BR171" s="199">
        <v>5</v>
      </c>
      <c r="BS171" s="199">
        <v>6</v>
      </c>
      <c r="BT171" s="199">
        <v>6</v>
      </c>
      <c r="BU171" s="200">
        <v>-0.27736458626999999</v>
      </c>
      <c r="BV171" s="200">
        <v>-0.10904969345</v>
      </c>
      <c r="BW171" s="191">
        <v>4.6588964965E-3</v>
      </c>
      <c r="BX171" s="191">
        <v>3.1323024450999998E-3</v>
      </c>
      <c r="BY171" s="189">
        <v>-2.0101552774</v>
      </c>
      <c r="BZ171" s="191">
        <v>-2.1721809022999999E-2</v>
      </c>
      <c r="CA171" s="191">
        <v>-2.1721809022999999E-2</v>
      </c>
      <c r="CB171" s="182">
        <v>45187</v>
      </c>
      <c r="CC171" s="182">
        <v>45202</v>
      </c>
      <c r="CD171" s="201">
        <v>41</v>
      </c>
      <c r="CE171" s="202">
        <v>45247</v>
      </c>
      <c r="CF171" s="116"/>
    </row>
    <row r="172" spans="2:84" ht="15.6" x14ac:dyDescent="0.3">
      <c r="B172" s="110" t="s">
        <v>1426</v>
      </c>
      <c r="C172" s="147" t="s">
        <v>2072</v>
      </c>
      <c r="D172" s="148" t="s">
        <v>1189</v>
      </c>
      <c r="E172" s="148" t="s">
        <v>226</v>
      </c>
      <c r="F172" s="149">
        <v>4368898000106</v>
      </c>
      <c r="G172" s="149" t="s">
        <v>1785</v>
      </c>
      <c r="H172" s="149" t="s">
        <v>388</v>
      </c>
      <c r="I172" s="150">
        <v>7</v>
      </c>
      <c r="J172" s="151">
        <v>3</v>
      </c>
      <c r="K172" s="151" t="s">
        <v>126</v>
      </c>
      <c r="L172" s="151" t="s">
        <v>125</v>
      </c>
      <c r="M172" s="151" t="s">
        <v>114</v>
      </c>
      <c r="N172" s="151" t="s">
        <v>109</v>
      </c>
      <c r="O172" s="152">
        <v>298550</v>
      </c>
      <c r="P172" s="153">
        <v>298550000</v>
      </c>
      <c r="Q172" s="153">
        <v>1000</v>
      </c>
      <c r="R172" s="154">
        <v>44696</v>
      </c>
      <c r="S172" s="154">
        <v>48349</v>
      </c>
      <c r="T172" s="155" t="s">
        <v>1970</v>
      </c>
      <c r="U172" s="155" t="s">
        <v>1653</v>
      </c>
      <c r="V172" s="154" t="s">
        <v>105</v>
      </c>
      <c r="W172" s="154" t="s">
        <v>102</v>
      </c>
      <c r="X172" s="154" t="s">
        <v>1563</v>
      </c>
      <c r="Y172" s="154">
        <v>47710</v>
      </c>
      <c r="Z172" s="156">
        <f>IFERROR(INDEX(Base!G:G,MATCH('Debêntures IPCA-Spread'!Y172,Base!F:F,0)),"")</f>
        <v>6.3273999999999999</v>
      </c>
      <c r="AA172" s="115"/>
      <c r="AB172" s="157">
        <v>45552</v>
      </c>
      <c r="AC172" s="158">
        <v>6.3666999999999998</v>
      </c>
      <c r="AD172" s="159">
        <f t="shared" si="10"/>
        <v>3.9299999999999891E-2</v>
      </c>
      <c r="AE172" s="160">
        <v>0.03</v>
      </c>
      <c r="AF172" s="161">
        <v>6.5678999999999998</v>
      </c>
      <c r="AG172" s="161">
        <v>6.1504000000000003</v>
      </c>
      <c r="AH172" s="162">
        <v>1098.7157669999999</v>
      </c>
      <c r="AI172" s="162">
        <v>1110.2866289999999</v>
      </c>
      <c r="AJ172" s="163">
        <f t="shared" si="11"/>
        <v>0.98957849108709739</v>
      </c>
      <c r="AK172" s="164">
        <v>45519</v>
      </c>
      <c r="AL172" s="165">
        <v>99.02</v>
      </c>
      <c r="AM172" s="166">
        <v>1362</v>
      </c>
      <c r="AN172" s="115"/>
      <c r="AO172" s="167">
        <v>-5.7203081269E-4</v>
      </c>
      <c r="AP172" s="168">
        <f>IF(AO172="","",AO172-AO$6)</f>
        <v>-1.05217569762E-3</v>
      </c>
      <c r="AQ172" s="168">
        <v>1.2390472074E-3</v>
      </c>
      <c r="AR172" s="168">
        <f>IF(AQ172="","",AQ172-AQ$6)</f>
        <v>1.45655396036E-3</v>
      </c>
      <c r="AS172" s="168">
        <v>5.7904710200000001E-2</v>
      </c>
      <c r="AT172" s="168">
        <f>IF(AS172="","",AS172-AS$6)</f>
        <v>4.3178875145000004E-2</v>
      </c>
      <c r="AU172" s="168">
        <v>-9.2897906743000004E-3</v>
      </c>
      <c r="AV172" s="168">
        <f>IF(AU172="","",AU172-AU$6)</f>
        <v>3.7787919216999994E-3</v>
      </c>
      <c r="AW172" s="168">
        <v>3.6699262248999998E-2</v>
      </c>
      <c r="AX172" s="168">
        <f>IF(AW172="","",AW172-AW$6)</f>
        <v>1.2704194460999997E-2</v>
      </c>
      <c r="AY172" s="168">
        <v>3.0578959275000001E-2</v>
      </c>
      <c r="AZ172" s="168">
        <f>IF(AY172="","",AY172-AY$6)</f>
        <v>1.6336704484999999E-2</v>
      </c>
      <c r="BA172" s="168">
        <v>9.3580141556000002E-2</v>
      </c>
      <c r="BB172" s="168">
        <f>IF(BA172="","",BA172-BA$6)</f>
        <v>4.0093176998000003E-2</v>
      </c>
      <c r="BC172" s="168"/>
      <c r="BD172" s="168" t="str">
        <f>IF(BC172="","",BC172-BC$6)</f>
        <v/>
      </c>
      <c r="BE172" s="168"/>
      <c r="BF172" s="168" t="str">
        <f>IF(BE172="","",BE172-BE$6)</f>
        <v/>
      </c>
      <c r="BG172" s="168"/>
      <c r="BH172" s="168" t="str">
        <f>IF(BG172="","",BG172-BG$6)</f>
        <v/>
      </c>
      <c r="BI172" s="168"/>
      <c r="BJ172" s="168" t="str">
        <f>IF(BI172="","",BI172-BI$6)</f>
        <v/>
      </c>
      <c r="BK172" s="169">
        <v>5.1494131513000001</v>
      </c>
      <c r="BL172" s="115"/>
      <c r="BM172" s="170">
        <v>1.0409455579999999E-2</v>
      </c>
      <c r="BN172" s="163">
        <v>-1.2993663172E-2</v>
      </c>
      <c r="BO172" s="163">
        <v>3.0977807432000001E-2</v>
      </c>
      <c r="BP172" s="163">
        <v>-1.2165257545E-2</v>
      </c>
      <c r="BQ172" s="171">
        <v>7</v>
      </c>
      <c r="BR172" s="171">
        <v>5</v>
      </c>
      <c r="BS172" s="171">
        <v>6</v>
      </c>
      <c r="BT172" s="171">
        <v>6</v>
      </c>
      <c r="BU172" s="172">
        <v>-0.29262487523000003</v>
      </c>
      <c r="BV172" s="172"/>
      <c r="BW172" s="163">
        <v>5.3188349023999999E-3</v>
      </c>
      <c r="BX172" s="163">
        <v>3.7016450804E-3</v>
      </c>
      <c r="BY172" s="161">
        <v>-2.3331477880999998</v>
      </c>
      <c r="BZ172" s="163">
        <v>-2.6043773297E-2</v>
      </c>
      <c r="CA172" s="163">
        <v>-2.6043773297E-2</v>
      </c>
      <c r="CB172" s="154">
        <v>45187</v>
      </c>
      <c r="CC172" s="154">
        <v>45236</v>
      </c>
      <c r="CD172" s="173">
        <v>48</v>
      </c>
      <c r="CE172" s="174">
        <v>45258</v>
      </c>
      <c r="CF172" s="116"/>
    </row>
    <row r="173" spans="2:84" ht="15.6" x14ac:dyDescent="0.3">
      <c r="B173" s="98" t="s">
        <v>2251</v>
      </c>
      <c r="C173" s="175" t="s">
        <v>2636</v>
      </c>
      <c r="D173" s="176" t="s">
        <v>1189</v>
      </c>
      <c r="E173" s="176" t="s">
        <v>226</v>
      </c>
      <c r="F173" s="177">
        <v>4368898000106</v>
      </c>
      <c r="G173" s="177" t="s">
        <v>2386</v>
      </c>
      <c r="H173" s="177" t="s">
        <v>388</v>
      </c>
      <c r="I173" s="178">
        <v>9</v>
      </c>
      <c r="J173" s="179">
        <v>2</v>
      </c>
      <c r="K173" s="179" t="s">
        <v>126</v>
      </c>
      <c r="L173" s="179" t="s">
        <v>112</v>
      </c>
      <c r="M173" s="179" t="s">
        <v>114</v>
      </c>
      <c r="N173" s="179" t="s">
        <v>109</v>
      </c>
      <c r="O173" s="180">
        <v>1500000</v>
      </c>
      <c r="P173" s="181">
        <v>1500000000</v>
      </c>
      <c r="Q173" s="181">
        <v>1000</v>
      </c>
      <c r="R173" s="182">
        <v>45427</v>
      </c>
      <c r="S173" s="182">
        <v>49810</v>
      </c>
      <c r="T173" s="183" t="s">
        <v>2718</v>
      </c>
      <c r="U173" s="183" t="s">
        <v>2744</v>
      </c>
      <c r="V173" s="182" t="s">
        <v>105</v>
      </c>
      <c r="W173" s="182" t="s">
        <v>102</v>
      </c>
      <c r="X173" s="182" t="s">
        <v>2514</v>
      </c>
      <c r="Y173" s="182">
        <v>48714</v>
      </c>
      <c r="Z173" s="184">
        <f>IFERROR(INDEX(Base!G:G,MATCH('Debêntures IPCA-Spread'!Y173,Base!F:F,0)),"")</f>
        <v>6.3373999999999997</v>
      </c>
      <c r="AA173" s="115"/>
      <c r="AB173" s="185">
        <v>45552</v>
      </c>
      <c r="AC173" s="186">
        <v>6.4226999999999999</v>
      </c>
      <c r="AD173" s="187">
        <f t="shared" si="10"/>
        <v>8.5300000000000153E-2</v>
      </c>
      <c r="AE173" s="188">
        <v>0.05</v>
      </c>
      <c r="AF173" s="189">
        <v>6.6106999999999996</v>
      </c>
      <c r="AG173" s="189">
        <v>6.2868000000000004</v>
      </c>
      <c r="AH173" s="190">
        <v>1016.077723</v>
      </c>
      <c r="AI173" s="190"/>
      <c r="AJ173" s="191" t="str">
        <f t="shared" si="11"/>
        <v/>
      </c>
      <c r="AK173" s="192"/>
      <c r="AL173" s="193">
        <v>99.09</v>
      </c>
      <c r="AM173" s="194">
        <v>1749</v>
      </c>
      <c r="AN173" s="115"/>
      <c r="AO173" s="195">
        <v>-9.5531354964000002E-4</v>
      </c>
      <c r="AP173" s="196">
        <f>IF(AO173="","",AO173-AO$6)</f>
        <v>-1.4354584345699999E-3</v>
      </c>
      <c r="AQ173" s="196">
        <v>5.5558341190999998E-3</v>
      </c>
      <c r="AR173" s="196">
        <f>IF(AQ173="","",AQ173-AQ$6)</f>
        <v>5.7733408720599998E-3</v>
      </c>
      <c r="AS173" s="196"/>
      <c r="AT173" s="196" t="str">
        <f>IF(AS173="","",AS173-AS$6)</f>
        <v/>
      </c>
      <c r="AU173" s="196">
        <v>-1.6184057363E-2</v>
      </c>
      <c r="AV173" s="196">
        <f>IF(AU173="","",AU173-AU$6)</f>
        <v>-3.115474767E-3</v>
      </c>
      <c r="AW173" s="196"/>
      <c r="AX173" s="196" t="str">
        <f>IF(AW173="","",AW173-AW$6)</f>
        <v/>
      </c>
      <c r="AY173" s="196"/>
      <c r="AZ173" s="196" t="str">
        <f>IF(AY173="","",AY173-AY$6)</f>
        <v/>
      </c>
      <c r="BA173" s="196"/>
      <c r="BB173" s="196" t="str">
        <f>IF(BA173="","",BA173-BA$6)</f>
        <v/>
      </c>
      <c r="BC173" s="196"/>
      <c r="BD173" s="196" t="str">
        <f>IF(BC173="","",BC173-BC$6)</f>
        <v/>
      </c>
      <c r="BE173" s="196"/>
      <c r="BF173" s="196" t="str">
        <f>IF(BE173="","",BE173-BE$6)</f>
        <v/>
      </c>
      <c r="BG173" s="196"/>
      <c r="BH173" s="196" t="str">
        <f>IF(BG173="","",BG173-BG$6)</f>
        <v/>
      </c>
      <c r="BI173" s="196"/>
      <c r="BJ173" s="196" t="str">
        <f>IF(BI173="","",BI173-BI$6)</f>
        <v/>
      </c>
      <c r="BK173" s="197"/>
      <c r="BL173" s="115"/>
      <c r="BM173" s="198">
        <v>1.1867840548000001E-2</v>
      </c>
      <c r="BN173" s="191">
        <v>-1.0015581443E-2</v>
      </c>
      <c r="BO173" s="191">
        <v>1.3407171822E-2</v>
      </c>
      <c r="BP173" s="191">
        <v>5.5558341190999998E-3</v>
      </c>
      <c r="BQ173" s="199"/>
      <c r="BR173" s="199"/>
      <c r="BS173" s="199"/>
      <c r="BT173" s="199"/>
      <c r="BU173" s="200"/>
      <c r="BV173" s="200"/>
      <c r="BW173" s="191"/>
      <c r="BX173" s="191">
        <v>6.8158255052999999E-3</v>
      </c>
      <c r="BY173" s="189"/>
      <c r="BZ173" s="191">
        <v>-2.7335792667999999E-3</v>
      </c>
      <c r="CA173" s="191">
        <v>-2.7788641743000001E-2</v>
      </c>
      <c r="CB173" s="182">
        <v>45519</v>
      </c>
      <c r="CC173" s="182">
        <v>45534</v>
      </c>
      <c r="CD173" s="201"/>
      <c r="CE173" s="202"/>
      <c r="CF173" s="116"/>
    </row>
    <row r="174" spans="2:84" ht="15.6" x14ac:dyDescent="0.3">
      <c r="B174" s="110" t="s">
        <v>515</v>
      </c>
      <c r="C174" s="147" t="s">
        <v>680</v>
      </c>
      <c r="D174" s="148" t="s">
        <v>622</v>
      </c>
      <c r="E174" s="148" t="s">
        <v>226</v>
      </c>
      <c r="F174" s="149">
        <v>4370282000170</v>
      </c>
      <c r="G174" s="149" t="s">
        <v>835</v>
      </c>
      <c r="H174" s="149" t="s">
        <v>388</v>
      </c>
      <c r="I174" s="150">
        <v>5</v>
      </c>
      <c r="J174" s="151" t="s">
        <v>107</v>
      </c>
      <c r="K174" s="151" t="s">
        <v>126</v>
      </c>
      <c r="L174" s="151" t="s">
        <v>114</v>
      </c>
      <c r="M174" s="151" t="s">
        <v>114</v>
      </c>
      <c r="N174" s="151" t="s">
        <v>109</v>
      </c>
      <c r="O174" s="152">
        <v>290000</v>
      </c>
      <c r="P174" s="153">
        <v>290000000</v>
      </c>
      <c r="Q174" s="153">
        <v>1000</v>
      </c>
      <c r="R174" s="154">
        <v>43368</v>
      </c>
      <c r="S174" s="154">
        <v>45915</v>
      </c>
      <c r="T174" s="155" t="s">
        <v>765</v>
      </c>
      <c r="U174" s="155" t="s">
        <v>920</v>
      </c>
      <c r="V174" s="154" t="s">
        <v>194</v>
      </c>
      <c r="W174" s="154" t="s">
        <v>102</v>
      </c>
      <c r="X174" s="154" t="s">
        <v>966</v>
      </c>
      <c r="Y174" s="154">
        <v>45792</v>
      </c>
      <c r="Z174" s="156">
        <f>IFERROR(INDEX(Base!G:G,MATCH('Debêntures IPCA-Spread'!Y174,Base!F:F,0)),"")</f>
        <v>5.73</v>
      </c>
      <c r="AA174" s="115"/>
      <c r="AB174" s="157">
        <v>45552</v>
      </c>
      <c r="AC174" s="158">
        <v>5.6737000000000002</v>
      </c>
      <c r="AD174" s="159">
        <f t="shared" si="10"/>
        <v>-5.6300000000000239E-2</v>
      </c>
      <c r="AE174" s="160">
        <v>0.08</v>
      </c>
      <c r="AF174" s="161">
        <v>6.0395000000000003</v>
      </c>
      <c r="AG174" s="161"/>
      <c r="AH174" s="162">
        <v>279.42221999999998</v>
      </c>
      <c r="AI174" s="162">
        <v>279.42221999999998</v>
      </c>
      <c r="AJ174" s="163">
        <f t="shared" si="11"/>
        <v>1</v>
      </c>
      <c r="AK174" s="164">
        <v>45552</v>
      </c>
      <c r="AL174" s="165">
        <v>101.81</v>
      </c>
      <c r="AM174" s="166">
        <v>245</v>
      </c>
      <c r="AN174" s="115"/>
      <c r="AO174" s="167">
        <v>1.0173346254E-3</v>
      </c>
      <c r="AP174" s="168">
        <f>IF(AO174="","",AO174-AO$6)</f>
        <v>5.3718974046999997E-4</v>
      </c>
      <c r="AQ174" s="168">
        <v>5.5263852008999997E-3</v>
      </c>
      <c r="AR174" s="168">
        <f>IF(AQ174="","",AQ174-AQ$6)</f>
        <v>5.7438919538599998E-3</v>
      </c>
      <c r="AS174" s="168">
        <v>7.9227602368E-2</v>
      </c>
      <c r="AT174" s="168">
        <f>IF(AS174="","",AS174-AS$6)</f>
        <v>6.4501767313000002E-2</v>
      </c>
      <c r="AU174" s="168">
        <v>8.4533046884000002E-3</v>
      </c>
      <c r="AV174" s="168">
        <f>IF(AU174="","",AU174-AU$6)</f>
        <v>2.15218872844E-2</v>
      </c>
      <c r="AW174" s="168">
        <v>2.6633084594999999E-2</v>
      </c>
      <c r="AX174" s="168">
        <f>IF(AW174="","",AW174-AW$6)</f>
        <v>2.638016806999998E-3</v>
      </c>
      <c r="AY174" s="168">
        <v>4.9726176463000003E-2</v>
      </c>
      <c r="AZ174" s="168">
        <f>IF(AY174="","",AY174-AY$6)</f>
        <v>3.5483921673000005E-2</v>
      </c>
      <c r="BA174" s="168">
        <v>0.10467202663</v>
      </c>
      <c r="BB174" s="168">
        <f>IF(BA174="","",BA174-BA$6)</f>
        <v>5.1185062072E-2</v>
      </c>
      <c r="BC174" s="168">
        <v>0.24644608966000001</v>
      </c>
      <c r="BD174" s="168">
        <f>IF(BC174="","",BC174-BC$6)</f>
        <v>5.2137523170000005E-2</v>
      </c>
      <c r="BE174" s="168">
        <v>0.3811084938</v>
      </c>
      <c r="BF174" s="168">
        <f>IF(BE174="","",BE174-BE$6)</f>
        <v>0.11938915426000002</v>
      </c>
      <c r="BG174" s="168"/>
      <c r="BH174" s="168" t="str">
        <f>IF(BG174="","",BG174-BG$6)</f>
        <v/>
      </c>
      <c r="BI174" s="168"/>
      <c r="BJ174" s="168" t="str">
        <f>IF(BI174="","",BI174-BI$6)</f>
        <v/>
      </c>
      <c r="BK174" s="169">
        <v>1.0790513205000001</v>
      </c>
      <c r="BL174" s="115"/>
      <c r="BM174" s="170">
        <v>2.1479844944999999E-3</v>
      </c>
      <c r="BN174" s="163">
        <v>-3.1946460722000001E-3</v>
      </c>
      <c r="BO174" s="163">
        <v>1.3027338403000001E-2</v>
      </c>
      <c r="BP174" s="163">
        <v>1.5629691369999999E-4</v>
      </c>
      <c r="BQ174" s="171">
        <v>12</v>
      </c>
      <c r="BR174" s="171">
        <v>0</v>
      </c>
      <c r="BS174" s="171">
        <v>7</v>
      </c>
      <c r="BT174" s="171">
        <v>5</v>
      </c>
      <c r="BU174" s="172">
        <v>-0.58467612623999998</v>
      </c>
      <c r="BV174" s="172">
        <v>-0.18113712406999999</v>
      </c>
      <c r="BW174" s="163">
        <v>1.1147703583000001E-3</v>
      </c>
      <c r="BX174" s="163">
        <v>6.5951561848000002E-4</v>
      </c>
      <c r="BY174" s="161">
        <v>-0.86601884150999997</v>
      </c>
      <c r="BZ174" s="163">
        <v>-5.8800414536000004E-3</v>
      </c>
      <c r="CA174" s="163">
        <v>-5.8800414536000004E-3</v>
      </c>
      <c r="CB174" s="154">
        <v>45201</v>
      </c>
      <c r="CC174" s="154">
        <v>45217</v>
      </c>
      <c r="CD174" s="173">
        <v>17</v>
      </c>
      <c r="CE174" s="174">
        <v>45225</v>
      </c>
      <c r="CF174" s="116"/>
    </row>
    <row r="175" spans="2:84" ht="15.6" x14ac:dyDescent="0.3">
      <c r="B175" s="98" t="s">
        <v>516</v>
      </c>
      <c r="C175" s="175" t="s">
        <v>681</v>
      </c>
      <c r="D175" s="176" t="s">
        <v>622</v>
      </c>
      <c r="E175" s="176" t="s">
        <v>226</v>
      </c>
      <c r="F175" s="177">
        <v>4370282000170</v>
      </c>
      <c r="G175" s="177" t="s">
        <v>836</v>
      </c>
      <c r="H175" s="177" t="s">
        <v>388</v>
      </c>
      <c r="I175" s="178">
        <v>6</v>
      </c>
      <c r="J175" s="179">
        <v>2</v>
      </c>
      <c r="K175" s="179" t="s">
        <v>126</v>
      </c>
      <c r="L175" s="179" t="s">
        <v>118</v>
      </c>
      <c r="M175" s="179" t="s">
        <v>114</v>
      </c>
      <c r="N175" s="179" t="s">
        <v>109</v>
      </c>
      <c r="O175" s="180">
        <v>200000</v>
      </c>
      <c r="P175" s="181">
        <v>200000000</v>
      </c>
      <c r="Q175" s="181">
        <v>1000</v>
      </c>
      <c r="R175" s="182">
        <v>43661</v>
      </c>
      <c r="S175" s="182">
        <v>45853</v>
      </c>
      <c r="T175" s="183" t="s">
        <v>766</v>
      </c>
      <c r="U175" s="183" t="s">
        <v>161</v>
      </c>
      <c r="V175" s="182" t="s">
        <v>105</v>
      </c>
      <c r="W175" s="182" t="s">
        <v>102</v>
      </c>
      <c r="X175" s="182" t="s">
        <v>1326</v>
      </c>
      <c r="Y175" s="182">
        <v>45792</v>
      </c>
      <c r="Z175" s="184">
        <f>IFERROR(INDEX(Base!G:G,MATCH('Debêntures IPCA-Spread'!Y175,Base!F:F,0)),"")</f>
        <v>5.73</v>
      </c>
      <c r="AA175" s="115"/>
      <c r="AB175" s="185">
        <v>45552</v>
      </c>
      <c r="AC175" s="186">
        <v>5.5815000000000001</v>
      </c>
      <c r="AD175" s="187">
        <f t="shared" si="10"/>
        <v>-0.1485000000000003</v>
      </c>
      <c r="AE175" s="188">
        <v>0.03</v>
      </c>
      <c r="AF175" s="189">
        <v>5.8650000000000002</v>
      </c>
      <c r="AG175" s="189">
        <v>5.3441999999999998</v>
      </c>
      <c r="AH175" s="190">
        <v>1326.6422749999999</v>
      </c>
      <c r="AI175" s="190">
        <v>1326.6422749999999</v>
      </c>
      <c r="AJ175" s="191">
        <f t="shared" si="11"/>
        <v>1</v>
      </c>
      <c r="AK175" s="192">
        <v>45552</v>
      </c>
      <c r="AL175" s="193">
        <v>98.72</v>
      </c>
      <c r="AM175" s="194">
        <v>203</v>
      </c>
      <c r="AN175" s="115"/>
      <c r="AO175" s="195">
        <v>7.6636753146999996E-4</v>
      </c>
      <c r="AP175" s="196">
        <f>IF(AO175="","",AO175-AO$6)</f>
        <v>2.8622264653999996E-4</v>
      </c>
      <c r="AQ175" s="196">
        <v>6.8672999878000001E-3</v>
      </c>
      <c r="AR175" s="196">
        <f>IF(AQ175="","",AQ175-AQ$6)</f>
        <v>7.0848067407600001E-3</v>
      </c>
      <c r="AS175" s="196">
        <v>7.7634730220000003E-2</v>
      </c>
      <c r="AT175" s="196">
        <f>IF(AS175="","",AS175-AS$6)</f>
        <v>6.2908895165000006E-2</v>
      </c>
      <c r="AU175" s="196">
        <v>9.8679082875999993E-3</v>
      </c>
      <c r="AV175" s="196">
        <f>IF(AU175="","",AU175-AU$6)</f>
        <v>2.2936490883599999E-2</v>
      </c>
      <c r="AW175" s="196">
        <v>2.7142761732E-2</v>
      </c>
      <c r="AX175" s="196">
        <f>IF(AW175="","",AW175-AW$6)</f>
        <v>3.1476939439999997E-3</v>
      </c>
      <c r="AY175" s="196">
        <v>4.8068453568999997E-2</v>
      </c>
      <c r="AZ175" s="196">
        <f>IF(AY175="","",AY175-AY$6)</f>
        <v>3.3826198778999998E-2</v>
      </c>
      <c r="BA175" s="196">
        <v>0.10781186162</v>
      </c>
      <c r="BB175" s="196">
        <f>IF(BA175="","",BA175-BA$6)</f>
        <v>5.4324897062000006E-2</v>
      </c>
      <c r="BC175" s="196"/>
      <c r="BD175" s="196" t="str">
        <f>IF(BC175="","",BC175-BC$6)</f>
        <v/>
      </c>
      <c r="BE175" s="196"/>
      <c r="BF175" s="196" t="str">
        <f>IF(BE175="","",BE175-BE$6)</f>
        <v/>
      </c>
      <c r="BG175" s="196"/>
      <c r="BH175" s="196" t="str">
        <f>IF(BG175="","",BG175-BG$6)</f>
        <v/>
      </c>
      <c r="BI175" s="196"/>
      <c r="BJ175" s="196" t="str">
        <f>IF(BI175="","",BI175-BI$6)</f>
        <v/>
      </c>
      <c r="BK175" s="197">
        <v>1.3445349408</v>
      </c>
      <c r="BL175" s="115"/>
      <c r="BM175" s="198">
        <v>3.5099796023000001E-3</v>
      </c>
      <c r="BN175" s="191">
        <v>-2.4870574506999999E-3</v>
      </c>
      <c r="BO175" s="191">
        <v>1.5200193236E-2</v>
      </c>
      <c r="BP175" s="191">
        <v>-5.2320381746999997E-4</v>
      </c>
      <c r="BQ175" s="199">
        <v>11</v>
      </c>
      <c r="BR175" s="199">
        <v>1</v>
      </c>
      <c r="BS175" s="199">
        <v>7</v>
      </c>
      <c r="BT175" s="199">
        <v>5</v>
      </c>
      <c r="BU175" s="200">
        <v>-0.25820752809000003</v>
      </c>
      <c r="BV175" s="200"/>
      <c r="BW175" s="191">
        <v>1.3895495152E-3</v>
      </c>
      <c r="BX175" s="191">
        <v>9.767166770400001E-4</v>
      </c>
      <c r="BY175" s="189">
        <v>-0.58223710832999997</v>
      </c>
      <c r="BZ175" s="191">
        <v>-5.6820884021999999E-3</v>
      </c>
      <c r="CA175" s="191">
        <v>-5.6820884021999999E-3</v>
      </c>
      <c r="CB175" s="182">
        <v>45198</v>
      </c>
      <c r="CC175" s="182">
        <v>45217</v>
      </c>
      <c r="CD175" s="201">
        <v>18</v>
      </c>
      <c r="CE175" s="202">
        <v>45225</v>
      </c>
      <c r="CF175" s="116"/>
    </row>
    <row r="176" spans="2:84" ht="15.6" x14ac:dyDescent="0.3">
      <c r="B176" s="110" t="s">
        <v>1427</v>
      </c>
      <c r="C176" s="147" t="s">
        <v>2073</v>
      </c>
      <c r="D176" s="148" t="s">
        <v>622</v>
      </c>
      <c r="E176" s="148" t="s">
        <v>226</v>
      </c>
      <c r="F176" s="149">
        <v>4370282000170</v>
      </c>
      <c r="G176" s="149" t="s">
        <v>1786</v>
      </c>
      <c r="H176" s="149" t="s">
        <v>388</v>
      </c>
      <c r="I176" s="150">
        <v>7</v>
      </c>
      <c r="J176" s="151">
        <v>2</v>
      </c>
      <c r="K176" s="151" t="s">
        <v>126</v>
      </c>
      <c r="L176" s="151" t="s">
        <v>112</v>
      </c>
      <c r="M176" s="151" t="s">
        <v>114</v>
      </c>
      <c r="N176" s="151" t="s">
        <v>109</v>
      </c>
      <c r="O176" s="152">
        <v>366637</v>
      </c>
      <c r="P176" s="153">
        <v>366637000</v>
      </c>
      <c r="Q176" s="153">
        <v>1000</v>
      </c>
      <c r="R176" s="154">
        <v>44484</v>
      </c>
      <c r="S176" s="154">
        <v>48136</v>
      </c>
      <c r="T176" s="155" t="s">
        <v>1989</v>
      </c>
      <c r="U176" s="155" t="s">
        <v>1679</v>
      </c>
      <c r="V176" s="154" t="s">
        <v>105</v>
      </c>
      <c r="W176" s="154" t="s">
        <v>102</v>
      </c>
      <c r="X176" s="154" t="s">
        <v>1564</v>
      </c>
      <c r="Y176" s="154">
        <v>47710</v>
      </c>
      <c r="Z176" s="156">
        <f>IFERROR(INDEX(Base!G:G,MATCH('Debêntures IPCA-Spread'!Y176,Base!F:F,0)),"")</f>
        <v>6.3273999999999999</v>
      </c>
      <c r="AA176" s="115"/>
      <c r="AB176" s="157">
        <v>45552</v>
      </c>
      <c r="AC176" s="158">
        <v>6.6464999999999996</v>
      </c>
      <c r="AD176" s="159">
        <f t="shared" si="10"/>
        <v>0.31909999999999972</v>
      </c>
      <c r="AE176" s="160">
        <v>0.19</v>
      </c>
      <c r="AF176" s="161">
        <v>6.7961</v>
      </c>
      <c r="AG176" s="161">
        <v>6.4676999999999998</v>
      </c>
      <c r="AH176" s="162">
        <v>1135.9589450000001</v>
      </c>
      <c r="AI176" s="162">
        <v>1151.9746259999999</v>
      </c>
      <c r="AJ176" s="163">
        <f t="shared" si="11"/>
        <v>0.98609719290813624</v>
      </c>
      <c r="AK176" s="164">
        <v>45518</v>
      </c>
      <c r="AL176" s="165">
        <v>95.66</v>
      </c>
      <c r="AM176" s="166">
        <v>1268</v>
      </c>
      <c r="AN176" s="115"/>
      <c r="AO176" s="167">
        <v>-3.4285431228999998E-4</v>
      </c>
      <c r="AP176" s="168">
        <f>IF(AO176="","",AO176-AO$6)</f>
        <v>-8.2299919721999992E-4</v>
      </c>
      <c r="AQ176" s="168">
        <v>5.6037898503E-4</v>
      </c>
      <c r="AR176" s="168">
        <f>IF(AQ176="","",AQ176-AQ$6)</f>
        <v>7.7788573799000003E-4</v>
      </c>
      <c r="AS176" s="168">
        <v>4.5468122062000002E-2</v>
      </c>
      <c r="AT176" s="168">
        <f>IF(AS176="","",AS176-AS$6)</f>
        <v>3.0742287007000001E-2</v>
      </c>
      <c r="AU176" s="168">
        <v>-1.0860999426999999E-2</v>
      </c>
      <c r="AV176" s="168">
        <f>IF(AU176="","",AU176-AU$6)</f>
        <v>2.2075831690000006E-3</v>
      </c>
      <c r="AW176" s="168">
        <v>2.3520318928000002E-2</v>
      </c>
      <c r="AX176" s="168">
        <f>IF(AW176="","",AW176-AW$6)</f>
        <v>-4.7474885999999883E-4</v>
      </c>
      <c r="AY176" s="168">
        <v>1.9511805262000002E-2</v>
      </c>
      <c r="AZ176" s="168">
        <f>IF(AY176="","",AY176-AY$6)</f>
        <v>5.2695504720000012E-3</v>
      </c>
      <c r="BA176" s="168">
        <v>7.9308677403000002E-2</v>
      </c>
      <c r="BB176" s="168">
        <f>IF(BA176="","",BA176-BA$6)</f>
        <v>2.5821712845000004E-2</v>
      </c>
      <c r="BC176" s="168">
        <v>0.23657405476000001</v>
      </c>
      <c r="BD176" s="168">
        <f>IF(BC176="","",BC176-BC$6)</f>
        <v>4.2265488270000012E-2</v>
      </c>
      <c r="BE176" s="168"/>
      <c r="BF176" s="168" t="str">
        <f>IF(BE176="","",BE176-BE$6)</f>
        <v/>
      </c>
      <c r="BG176" s="168"/>
      <c r="BH176" s="168" t="str">
        <f>IF(BG176="","",BG176-BG$6)</f>
        <v/>
      </c>
      <c r="BI176" s="168"/>
      <c r="BJ176" s="168" t="str">
        <f>IF(BI176="","",BI176-BI$6)</f>
        <v/>
      </c>
      <c r="BK176" s="169">
        <v>4.6770341944</v>
      </c>
      <c r="BL176" s="115"/>
      <c r="BM176" s="170">
        <v>9.5741871118999993E-3</v>
      </c>
      <c r="BN176" s="163">
        <v>-1.0603129019000001E-2</v>
      </c>
      <c r="BO176" s="163">
        <v>2.7466064870000001E-2</v>
      </c>
      <c r="BP176" s="163">
        <v>-2.0724696479E-2</v>
      </c>
      <c r="BQ176" s="171">
        <v>9</v>
      </c>
      <c r="BR176" s="171">
        <v>3</v>
      </c>
      <c r="BS176" s="171">
        <v>5</v>
      </c>
      <c r="BT176" s="171">
        <v>7</v>
      </c>
      <c r="BU176" s="172">
        <v>-0.60205218014999995</v>
      </c>
      <c r="BV176" s="172"/>
      <c r="BW176" s="163">
        <v>4.8308584933000002E-3</v>
      </c>
      <c r="BX176" s="163">
        <v>4.8747771205E-3</v>
      </c>
      <c r="BY176" s="161">
        <v>-3.7818887242999999</v>
      </c>
      <c r="BZ176" s="163">
        <v>-2.4678191886000001E-2</v>
      </c>
      <c r="CA176" s="163">
        <v>-2.4678191886000001E-2</v>
      </c>
      <c r="CB176" s="154">
        <v>45187</v>
      </c>
      <c r="CC176" s="154">
        <v>45202</v>
      </c>
      <c r="CD176" s="173">
        <v>41</v>
      </c>
      <c r="CE176" s="174">
        <v>45247</v>
      </c>
      <c r="CF176" s="116"/>
    </row>
    <row r="177" spans="2:84" ht="15.6" x14ac:dyDescent="0.3">
      <c r="B177" s="98" t="s">
        <v>1428</v>
      </c>
      <c r="C177" s="175" t="s">
        <v>2074</v>
      </c>
      <c r="D177" s="176" t="s">
        <v>622</v>
      </c>
      <c r="E177" s="176" t="s">
        <v>226</v>
      </c>
      <c r="F177" s="177">
        <v>4370282000170</v>
      </c>
      <c r="G177" s="177" t="s">
        <v>1787</v>
      </c>
      <c r="H177" s="177" t="s">
        <v>388</v>
      </c>
      <c r="I177" s="178">
        <v>8</v>
      </c>
      <c r="J177" s="179">
        <v>2</v>
      </c>
      <c r="K177" s="179" t="s">
        <v>126</v>
      </c>
      <c r="L177" s="179" t="s">
        <v>1252</v>
      </c>
      <c r="M177" s="179" t="s">
        <v>114</v>
      </c>
      <c r="N177" s="179" t="s">
        <v>109</v>
      </c>
      <c r="O177" s="180">
        <v>200000</v>
      </c>
      <c r="P177" s="181">
        <v>200000000</v>
      </c>
      <c r="Q177" s="181">
        <v>1000</v>
      </c>
      <c r="R177" s="182">
        <v>44941</v>
      </c>
      <c r="S177" s="182">
        <v>49324</v>
      </c>
      <c r="T177" s="183" t="s">
        <v>1990</v>
      </c>
      <c r="U177" s="183" t="s">
        <v>1680</v>
      </c>
      <c r="V177" s="182" t="s">
        <v>105</v>
      </c>
      <c r="W177" s="182" t="s">
        <v>102</v>
      </c>
      <c r="X177" s="182" t="s">
        <v>1565</v>
      </c>
      <c r="Y177" s="182">
        <v>48714</v>
      </c>
      <c r="Z177" s="184">
        <f>IFERROR(INDEX(Base!G:G,MATCH('Debêntures IPCA-Spread'!Y177,Base!F:F,0)),"")</f>
        <v>6.3373999999999997</v>
      </c>
      <c r="AA177" s="115"/>
      <c r="AB177" s="185">
        <v>45552</v>
      </c>
      <c r="AC177" s="186">
        <v>6.6654999999999998</v>
      </c>
      <c r="AD177" s="187">
        <f t="shared" si="10"/>
        <v>0.32810000000000006</v>
      </c>
      <c r="AE177" s="188">
        <v>0.04</v>
      </c>
      <c r="AF177" s="189">
        <v>6.8781999999999996</v>
      </c>
      <c r="AG177" s="189">
        <v>6.4409999999999998</v>
      </c>
      <c r="AH177" s="190">
        <v>1098.2375099999999</v>
      </c>
      <c r="AI177" s="190">
        <v>1137.14797</v>
      </c>
      <c r="AJ177" s="191">
        <f t="shared" si="11"/>
        <v>0.9657824126441521</v>
      </c>
      <c r="AK177" s="192">
        <v>45520</v>
      </c>
      <c r="AL177" s="193">
        <v>101.03</v>
      </c>
      <c r="AM177" s="194">
        <v>1757</v>
      </c>
      <c r="AN177" s="115"/>
      <c r="AO177" s="195">
        <v>2.6692971732999998E-4</v>
      </c>
      <c r="AP177" s="196">
        <f>IF(AO177="","",AO177-AO$6)</f>
        <v>-2.1321516760000001E-4</v>
      </c>
      <c r="AQ177" s="196">
        <v>-3.7824766296000001E-3</v>
      </c>
      <c r="AR177" s="196">
        <f>IF(AQ177="","",AQ177-AQ$6)</f>
        <v>-3.56496987664E-3</v>
      </c>
      <c r="AS177" s="196">
        <v>3.6040965259000003E-2</v>
      </c>
      <c r="AT177" s="196">
        <f>IF(AS177="","",AS177-AS$6)</f>
        <v>2.1315130204000002E-2</v>
      </c>
      <c r="AU177" s="196">
        <v>-3.4217587357E-2</v>
      </c>
      <c r="AV177" s="196">
        <f>IF(AU177="","",AU177-AU$6)</f>
        <v>-2.1149004760999998E-2</v>
      </c>
      <c r="AW177" s="196">
        <v>2.8348563746000002E-2</v>
      </c>
      <c r="AX177" s="196">
        <f>IF(AW177="","",AW177-AW$6)</f>
        <v>4.3534959580000011E-3</v>
      </c>
      <c r="AY177" s="196">
        <v>6.6812560981000003E-3</v>
      </c>
      <c r="AZ177" s="196">
        <f>IF(AY177="","",AY177-AY$6)</f>
        <v>-7.5609986919000002E-3</v>
      </c>
      <c r="BA177" s="196">
        <v>7.0041375156999999E-2</v>
      </c>
      <c r="BB177" s="196">
        <f>IF(BA177="","",BA177-BA$6)</f>
        <v>1.6554410599000001E-2</v>
      </c>
      <c r="BC177" s="196"/>
      <c r="BD177" s="196" t="str">
        <f>IF(BC177="","",BC177-BC$6)</f>
        <v/>
      </c>
      <c r="BE177" s="196"/>
      <c r="BF177" s="196" t="str">
        <f>IF(BE177="","",BE177-BE$6)</f>
        <v/>
      </c>
      <c r="BG177" s="196"/>
      <c r="BH177" s="196" t="str">
        <f>IF(BG177="","",BG177-BG$6)</f>
        <v/>
      </c>
      <c r="BI177" s="196"/>
      <c r="BJ177" s="196" t="str">
        <f>IF(BI177="","",BI177-BI$6)</f>
        <v/>
      </c>
      <c r="BK177" s="197">
        <v>6.5192502809999997</v>
      </c>
      <c r="BL177" s="115"/>
      <c r="BM177" s="198">
        <v>1.4109008476000001E-2</v>
      </c>
      <c r="BN177" s="191">
        <v>-1.2937763402000001E-2</v>
      </c>
      <c r="BO177" s="191">
        <v>3.3209764663999997E-2</v>
      </c>
      <c r="BP177" s="191">
        <v>-2.1994955981999999E-2</v>
      </c>
      <c r="BQ177" s="199">
        <v>6</v>
      </c>
      <c r="BR177" s="199">
        <v>6</v>
      </c>
      <c r="BS177" s="199">
        <v>6</v>
      </c>
      <c r="BT177" s="199">
        <v>6</v>
      </c>
      <c r="BU177" s="200">
        <v>-0.54436204499999996</v>
      </c>
      <c r="BV177" s="200"/>
      <c r="BW177" s="191">
        <v>6.7384250442999996E-3</v>
      </c>
      <c r="BX177" s="191">
        <v>5.7769375530000002E-3</v>
      </c>
      <c r="BY177" s="189">
        <v>-4.6881960966999996</v>
      </c>
      <c r="BZ177" s="191">
        <v>-3.9699361416999999E-2</v>
      </c>
      <c r="CA177" s="191">
        <v>-3.9699361416999999E-2</v>
      </c>
      <c r="CB177" s="182">
        <v>45364</v>
      </c>
      <c r="CC177" s="182">
        <v>45455</v>
      </c>
      <c r="CD177" s="201">
        <v>86</v>
      </c>
      <c r="CE177" s="202">
        <v>45489</v>
      </c>
      <c r="CF177" s="116"/>
    </row>
    <row r="178" spans="2:84" ht="15.6" x14ac:dyDescent="0.3">
      <c r="B178" s="110" t="s">
        <v>1108</v>
      </c>
      <c r="C178" s="147" t="s">
        <v>1272</v>
      </c>
      <c r="D178" s="148" t="s">
        <v>1190</v>
      </c>
      <c r="E178" s="148" t="s">
        <v>1249</v>
      </c>
      <c r="F178" s="149">
        <v>50746577000115</v>
      </c>
      <c r="G178" s="149" t="s">
        <v>1169</v>
      </c>
      <c r="H178" s="149" t="s">
        <v>388</v>
      </c>
      <c r="I178" s="150">
        <v>3</v>
      </c>
      <c r="J178" s="151">
        <v>3</v>
      </c>
      <c r="K178" s="151" t="s">
        <v>126</v>
      </c>
      <c r="L178" s="151" t="s">
        <v>112</v>
      </c>
      <c r="M178" s="151" t="s">
        <v>114</v>
      </c>
      <c r="N178" s="151" t="s">
        <v>117</v>
      </c>
      <c r="O178" s="152">
        <v>350000</v>
      </c>
      <c r="P178" s="153">
        <v>350000000</v>
      </c>
      <c r="Q178" s="153">
        <v>1000</v>
      </c>
      <c r="R178" s="154">
        <v>44392</v>
      </c>
      <c r="S178" s="154">
        <v>48075</v>
      </c>
      <c r="T178" s="155" t="s">
        <v>1237</v>
      </c>
      <c r="U178" s="155" t="s">
        <v>1212</v>
      </c>
      <c r="V178" s="154" t="s">
        <v>105</v>
      </c>
      <c r="W178" s="154" t="s">
        <v>102</v>
      </c>
      <c r="X178" s="154" t="s">
        <v>1327</v>
      </c>
      <c r="Y178" s="154">
        <v>47710</v>
      </c>
      <c r="Z178" s="156">
        <f>IFERROR(INDEX(Base!G:G,MATCH('Debêntures IPCA-Spread'!Y178,Base!F:F,0)),"")</f>
        <v>6.3273999999999999</v>
      </c>
      <c r="AA178" s="115"/>
      <c r="AB178" s="157">
        <v>45552</v>
      </c>
      <c r="AC178" s="158">
        <v>7.8076999999999996</v>
      </c>
      <c r="AD178" s="159">
        <f t="shared" si="10"/>
        <v>1.4802999999999997</v>
      </c>
      <c r="AE178" s="160">
        <v>0.03</v>
      </c>
      <c r="AF178" s="161">
        <v>8.1262000000000008</v>
      </c>
      <c r="AG178" s="161"/>
      <c r="AH178" s="162">
        <v>1093.370606</v>
      </c>
      <c r="AI178" s="162">
        <v>1102.4471699999999</v>
      </c>
      <c r="AJ178" s="163">
        <f t="shared" si="11"/>
        <v>0.99176689437190901</v>
      </c>
      <c r="AK178" s="164">
        <v>45518</v>
      </c>
      <c r="AL178" s="165">
        <v>90.82</v>
      </c>
      <c r="AM178" s="166">
        <v>1254</v>
      </c>
      <c r="AN178" s="115"/>
      <c r="AO178" s="167">
        <v>8.8792515088999995E-4</v>
      </c>
      <c r="AP178" s="168">
        <f>IF(AO178="","",AO178-AO$6)</f>
        <v>4.0778026595999996E-4</v>
      </c>
      <c r="AQ178" s="168">
        <v>2.0818624762000001E-5</v>
      </c>
      <c r="AR178" s="168">
        <f>IF(AQ178="","",AQ178-AQ$6)</f>
        <v>2.3832537772200001E-4</v>
      </c>
      <c r="AS178" s="168">
        <v>5.4480284842000001E-2</v>
      </c>
      <c r="AT178" s="168">
        <f>IF(AS178="","",AS178-AS$6)</f>
        <v>3.9754449787000004E-2</v>
      </c>
      <c r="AU178" s="168">
        <v>-4.2037955591000004E-3</v>
      </c>
      <c r="AV178" s="168">
        <f>IF(AU178="","",AU178-AU$6)</f>
        <v>8.8647870368999994E-3</v>
      </c>
      <c r="AW178" s="168">
        <v>2.9625688474E-2</v>
      </c>
      <c r="AX178" s="168">
        <f>IF(AW178="","",AW178-AW$6)</f>
        <v>5.6306206859999992E-3</v>
      </c>
      <c r="AY178" s="168">
        <v>2.6439193991000001E-2</v>
      </c>
      <c r="AZ178" s="168">
        <f>IF(AY178="","",AY178-AY$6)</f>
        <v>1.2196939201E-2</v>
      </c>
      <c r="BA178" s="168">
        <v>0.10738468697</v>
      </c>
      <c r="BB178" s="168">
        <f>IF(BA178="","",BA178-BA$6)</f>
        <v>5.3897722412000006E-2</v>
      </c>
      <c r="BC178" s="168">
        <v>0.22700946364999999</v>
      </c>
      <c r="BD178" s="168">
        <f>IF(BC178="","",BC178-BC$6)</f>
        <v>3.2700897159999992E-2</v>
      </c>
      <c r="BE178" s="168"/>
      <c r="BF178" s="168" t="str">
        <f>IF(BE178="","",BE178-BE$6)</f>
        <v/>
      </c>
      <c r="BG178" s="168"/>
      <c r="BH178" s="168" t="str">
        <f>IF(BG178="","",BG178-BG$6)</f>
        <v/>
      </c>
      <c r="BI178" s="168"/>
      <c r="BJ178" s="168" t="str">
        <f>IF(BI178="","",BI178-BI$6)</f>
        <v/>
      </c>
      <c r="BK178" s="169">
        <v>4.2147342793</v>
      </c>
      <c r="BL178" s="115"/>
      <c r="BM178" s="170">
        <v>7.8332950615999999E-3</v>
      </c>
      <c r="BN178" s="163">
        <v>-6.9167917563000003E-3</v>
      </c>
      <c r="BO178" s="163">
        <v>2.6986572643999999E-2</v>
      </c>
      <c r="BP178" s="163">
        <v>-1.1605513947000001E-2</v>
      </c>
      <c r="BQ178" s="171">
        <v>8</v>
      </c>
      <c r="BR178" s="171">
        <v>4</v>
      </c>
      <c r="BS178" s="171">
        <v>5</v>
      </c>
      <c r="BT178" s="171">
        <v>7</v>
      </c>
      <c r="BU178" s="172">
        <v>-7.2771726048999993E-2</v>
      </c>
      <c r="BV178" s="172">
        <v>-0.23058266835999999</v>
      </c>
      <c r="BW178" s="163">
        <v>4.3552234183999996E-3</v>
      </c>
      <c r="BX178" s="163">
        <v>2.6371479529000001E-3</v>
      </c>
      <c r="BY178" s="161">
        <v>-0.78763077204999998</v>
      </c>
      <c r="BZ178" s="163">
        <v>-1.8618801308000001E-2</v>
      </c>
      <c r="CA178" s="163">
        <v>-1.8618801308000001E-2</v>
      </c>
      <c r="CB178" s="154">
        <v>45364</v>
      </c>
      <c r="CC178" s="154">
        <v>45412</v>
      </c>
      <c r="CD178" s="173">
        <v>69</v>
      </c>
      <c r="CE178" s="174">
        <v>45464</v>
      </c>
      <c r="CF178" s="116"/>
    </row>
    <row r="179" spans="2:84" ht="15.6" x14ac:dyDescent="0.3">
      <c r="B179" s="98" t="s">
        <v>44</v>
      </c>
      <c r="C179" s="175" t="s">
        <v>302</v>
      </c>
      <c r="D179" s="176" t="s">
        <v>81</v>
      </c>
      <c r="E179" s="176" t="s">
        <v>226</v>
      </c>
      <c r="F179" s="177">
        <v>8324196000181</v>
      </c>
      <c r="G179" s="177" t="s">
        <v>359</v>
      </c>
      <c r="H179" s="177" t="s">
        <v>388</v>
      </c>
      <c r="I179" s="178">
        <v>7</v>
      </c>
      <c r="J179" s="179">
        <v>2</v>
      </c>
      <c r="K179" s="179" t="s">
        <v>130</v>
      </c>
      <c r="L179" s="179" t="s">
        <v>123</v>
      </c>
      <c r="M179" s="179" t="s">
        <v>106</v>
      </c>
      <c r="N179" s="179" t="s">
        <v>109</v>
      </c>
      <c r="O179" s="180">
        <v>98562</v>
      </c>
      <c r="P179" s="181">
        <v>98562000</v>
      </c>
      <c r="Q179" s="181">
        <v>1000</v>
      </c>
      <c r="R179" s="182">
        <v>43023</v>
      </c>
      <c r="S179" s="182">
        <v>45580</v>
      </c>
      <c r="T179" s="183" t="s">
        <v>147</v>
      </c>
      <c r="U179" s="183" t="s">
        <v>166</v>
      </c>
      <c r="V179" s="182" t="s">
        <v>105</v>
      </c>
      <c r="W179" s="182" t="s">
        <v>102</v>
      </c>
      <c r="X179" s="182" t="s">
        <v>202</v>
      </c>
      <c r="Y179" s="182">
        <v>45792</v>
      </c>
      <c r="Z179" s="184">
        <f>IFERROR(INDEX(Base!G:G,MATCH('Debêntures IPCA-Spread'!Y179,Base!F:F,0)),"")</f>
        <v>5.73</v>
      </c>
      <c r="AA179" s="115"/>
      <c r="AB179" s="185">
        <v>45552</v>
      </c>
      <c r="AC179" s="186">
        <v>6.0963000000000003</v>
      </c>
      <c r="AD179" s="187">
        <f t="shared" si="10"/>
        <v>0.36629999999999985</v>
      </c>
      <c r="AE179" s="188">
        <v>0.4</v>
      </c>
      <c r="AF179" s="189">
        <v>6.6287000000000003</v>
      </c>
      <c r="AG179" s="189">
        <v>5.8761999999999999</v>
      </c>
      <c r="AH179" s="190">
        <v>1495.124517</v>
      </c>
      <c r="AI179" s="190">
        <v>1495.124517</v>
      </c>
      <c r="AJ179" s="191">
        <f t="shared" si="11"/>
        <v>1</v>
      </c>
      <c r="AK179" s="192">
        <v>45552</v>
      </c>
      <c r="AL179" s="193">
        <v>99.91</v>
      </c>
      <c r="AM179" s="194">
        <v>20</v>
      </c>
      <c r="AN179" s="115"/>
      <c r="AO179" s="195">
        <v>4.7045162136999998E-4</v>
      </c>
      <c r="AP179" s="196">
        <f>IF(AO179="","",AO179-AO$6)</f>
        <v>-9.6932635600000135E-6</v>
      </c>
      <c r="AQ179" s="196">
        <v>3.2922288938000001E-3</v>
      </c>
      <c r="AR179" s="196">
        <f>IF(AQ179="","",AQ179-AQ$6)</f>
        <v>3.5097356467600001E-3</v>
      </c>
      <c r="AS179" s="196">
        <v>8.5287445926999994E-2</v>
      </c>
      <c r="AT179" s="196">
        <f>IF(AS179="","",AS179-AS$6)</f>
        <v>7.0561610871999997E-2</v>
      </c>
      <c r="AU179" s="196">
        <v>6.1944266289999999E-3</v>
      </c>
      <c r="AV179" s="196">
        <f>IF(AU179="","",AU179-AU$6)</f>
        <v>1.9263009224999999E-2</v>
      </c>
      <c r="AW179" s="196">
        <v>2.5209501975E-2</v>
      </c>
      <c r="AX179" s="196">
        <f>IF(AW179="","",AW179-AW$6)</f>
        <v>1.2144341869999992E-3</v>
      </c>
      <c r="AY179" s="196">
        <v>5.1587575971999998E-2</v>
      </c>
      <c r="AZ179" s="196">
        <f>IF(AY179="","",AY179-AY$6)</f>
        <v>3.7345321181999999E-2</v>
      </c>
      <c r="BA179" s="196">
        <v>0.11712834264999999</v>
      </c>
      <c r="BB179" s="196">
        <f>IF(BA179="","",BA179-BA$6)</f>
        <v>6.3641378091999989E-2</v>
      </c>
      <c r="BC179" s="196">
        <v>0.24053543133999999</v>
      </c>
      <c r="BD179" s="196">
        <f>IF(BC179="","",BC179-BC$6)</f>
        <v>4.6226864849999993E-2</v>
      </c>
      <c r="BE179" s="196">
        <v>0.35628350271999998</v>
      </c>
      <c r="BF179" s="196">
        <f>IF(BE179="","",BE179-BE$6)</f>
        <v>9.4564163179999994E-2</v>
      </c>
      <c r="BG179" s="196">
        <v>0.46598901385000002</v>
      </c>
      <c r="BH179" s="196">
        <f>IF(BG179="","",BG179-BG$6)</f>
        <v>0.15707236503999999</v>
      </c>
      <c r="BI179" s="196">
        <v>0.56841673763</v>
      </c>
      <c r="BJ179" s="196">
        <f>IF(BI179="","",BI179-BI$6)</f>
        <v>0.19547372754999998</v>
      </c>
      <c r="BK179" s="197">
        <v>0.88198631806000005</v>
      </c>
      <c r="BL179" s="115"/>
      <c r="BM179" s="198">
        <v>4.2786348639999999E-3</v>
      </c>
      <c r="BN179" s="191">
        <v>-1.3876118018000001E-3</v>
      </c>
      <c r="BO179" s="191">
        <v>1.3952932462E-2</v>
      </c>
      <c r="BP179" s="191">
        <v>3.2922288938000001E-3</v>
      </c>
      <c r="BQ179" s="199">
        <v>12</v>
      </c>
      <c r="BR179" s="199">
        <v>0</v>
      </c>
      <c r="BS179" s="199">
        <v>8</v>
      </c>
      <c r="BT179" s="199">
        <v>4</v>
      </c>
      <c r="BU179" s="200">
        <v>0.54992032951000003</v>
      </c>
      <c r="BV179" s="200">
        <v>-0.37567919747</v>
      </c>
      <c r="BW179" s="191">
        <v>9.1195948131000005E-4</v>
      </c>
      <c r="BX179" s="191">
        <v>1.5377056034E-4</v>
      </c>
      <c r="BY179" s="189">
        <v>0.42187588746999999</v>
      </c>
      <c r="BZ179" s="191">
        <v>-2.0297227001E-3</v>
      </c>
      <c r="CA179" s="191">
        <v>-2.0297227001E-3</v>
      </c>
      <c r="CB179" s="182">
        <v>45198</v>
      </c>
      <c r="CC179" s="182">
        <v>45204</v>
      </c>
      <c r="CD179" s="201">
        <v>10</v>
      </c>
      <c r="CE179" s="202">
        <v>45215</v>
      </c>
      <c r="CF179" s="116"/>
    </row>
    <row r="180" spans="2:84" ht="15.6" x14ac:dyDescent="0.3">
      <c r="B180" s="110" t="s">
        <v>517</v>
      </c>
      <c r="C180" s="147" t="s">
        <v>682</v>
      </c>
      <c r="D180" s="148" t="s">
        <v>81</v>
      </c>
      <c r="E180" s="148" t="s">
        <v>226</v>
      </c>
      <c r="F180" s="149">
        <v>8324196000181</v>
      </c>
      <c r="G180" s="149" t="s">
        <v>837</v>
      </c>
      <c r="H180" s="149" t="s">
        <v>388</v>
      </c>
      <c r="I180" s="150">
        <v>9</v>
      </c>
      <c r="J180" s="151">
        <v>1</v>
      </c>
      <c r="K180" s="151" t="s">
        <v>130</v>
      </c>
      <c r="L180" s="151" t="s">
        <v>121</v>
      </c>
      <c r="M180" s="151" t="s">
        <v>106</v>
      </c>
      <c r="N180" s="151" t="s">
        <v>109</v>
      </c>
      <c r="O180" s="152">
        <v>179500</v>
      </c>
      <c r="P180" s="153">
        <v>179500000</v>
      </c>
      <c r="Q180" s="153">
        <v>1000</v>
      </c>
      <c r="R180" s="154">
        <v>43572</v>
      </c>
      <c r="S180" s="154">
        <v>46127</v>
      </c>
      <c r="T180" s="155" t="s">
        <v>767</v>
      </c>
      <c r="U180" s="155" t="s">
        <v>161</v>
      </c>
      <c r="V180" s="154" t="s">
        <v>105</v>
      </c>
      <c r="W180" s="154" t="s">
        <v>102</v>
      </c>
      <c r="X180" s="154" t="s">
        <v>967</v>
      </c>
      <c r="Y180" s="154">
        <v>46249</v>
      </c>
      <c r="Z180" s="156">
        <f>IFERROR(INDEX(Base!G:G,MATCH('Debêntures IPCA-Spread'!Y180,Base!F:F,0)),"")</f>
        <v>6.5365000000000002</v>
      </c>
      <c r="AA180" s="115"/>
      <c r="AB180" s="157">
        <v>45552</v>
      </c>
      <c r="AC180" s="158">
        <v>6.6043000000000003</v>
      </c>
      <c r="AD180" s="159">
        <f t="shared" si="10"/>
        <v>6.7800000000000082E-2</v>
      </c>
      <c r="AE180" s="160">
        <v>0.14000000000000001</v>
      </c>
      <c r="AF180" s="161">
        <v>6.7702</v>
      </c>
      <c r="AG180" s="161">
        <v>6.3992000000000004</v>
      </c>
      <c r="AH180" s="162">
        <v>1317.257145</v>
      </c>
      <c r="AI180" s="162">
        <v>1317.257145</v>
      </c>
      <c r="AJ180" s="163">
        <f t="shared" si="11"/>
        <v>1</v>
      </c>
      <c r="AK180" s="164">
        <v>45552</v>
      </c>
      <c r="AL180" s="165">
        <v>96.7</v>
      </c>
      <c r="AM180" s="166">
        <v>379</v>
      </c>
      <c r="AN180" s="115"/>
      <c r="AO180" s="167">
        <v>4.1645579039999999E-4</v>
      </c>
      <c r="AP180" s="168">
        <f>IF(AO180="","",AO180-AO$6)</f>
        <v>-6.3689094530000004E-5</v>
      </c>
      <c r="AQ180" s="168">
        <v>7.1610778922999996E-3</v>
      </c>
      <c r="AR180" s="168">
        <f>IF(AQ180="","",AQ180-AQ$6)</f>
        <v>7.3785846452599996E-3</v>
      </c>
      <c r="AS180" s="168">
        <v>6.5124231822E-2</v>
      </c>
      <c r="AT180" s="168">
        <f>IF(AS180="","",AS180-AS$6)</f>
        <v>5.0398396767000003E-2</v>
      </c>
      <c r="AU180" s="168">
        <v>8.2201354852999998E-3</v>
      </c>
      <c r="AV180" s="168">
        <f>IF(AU180="","",AU180-AU$6)</f>
        <v>2.12887180813E-2</v>
      </c>
      <c r="AW180" s="168">
        <v>2.6672980696999998E-2</v>
      </c>
      <c r="AX180" s="168">
        <f>IF(AW180="","",AW180-AW$6)</f>
        <v>2.6779129089999978E-3</v>
      </c>
      <c r="AY180" s="168">
        <v>3.9617699238000001E-2</v>
      </c>
      <c r="AZ180" s="168">
        <f>IF(AY180="","",AY180-AY$6)</f>
        <v>2.5375444448000002E-2</v>
      </c>
      <c r="BA180" s="168">
        <v>9.2745834405000005E-2</v>
      </c>
      <c r="BB180" s="168">
        <f>IF(BA180="","",BA180-BA$6)</f>
        <v>3.9258869847000007E-2</v>
      </c>
      <c r="BC180" s="168">
        <v>0.21916390953000001</v>
      </c>
      <c r="BD180" s="168">
        <f>IF(BC180="","",BC180-BC$6)</f>
        <v>2.4855343040000005E-2</v>
      </c>
      <c r="BE180" s="168">
        <v>0.35217230681</v>
      </c>
      <c r="BF180" s="168">
        <f>IF(BE180="","",BE180-BE$6)</f>
        <v>9.0452967270000018E-2</v>
      </c>
      <c r="BG180" s="168">
        <v>0.47600321333000001</v>
      </c>
      <c r="BH180" s="168">
        <f>IF(BG180="","",BG180-BG$6)</f>
        <v>0.16708656451999998</v>
      </c>
      <c r="BI180" s="168"/>
      <c r="BJ180" s="168" t="str">
        <f>IF(BI180="","",BI180-BI$6)</f>
        <v/>
      </c>
      <c r="BK180" s="169">
        <v>2.2711132606</v>
      </c>
      <c r="BL180" s="115"/>
      <c r="BM180" s="170">
        <v>4.6413803792999999E-3</v>
      </c>
      <c r="BN180" s="163">
        <v>-5.6135729345999997E-3</v>
      </c>
      <c r="BO180" s="163">
        <v>2.2844958065E-2</v>
      </c>
      <c r="BP180" s="163">
        <v>-4.2424844787000001E-3</v>
      </c>
      <c r="BQ180" s="171">
        <v>10</v>
      </c>
      <c r="BR180" s="171">
        <v>2</v>
      </c>
      <c r="BS180" s="171">
        <v>6</v>
      </c>
      <c r="BT180" s="171">
        <v>6</v>
      </c>
      <c r="BU180" s="172">
        <v>-0.74260027353000002</v>
      </c>
      <c r="BV180" s="172">
        <v>-0.28604572348000001</v>
      </c>
      <c r="BW180" s="163">
        <v>2.3457606414000001E-3</v>
      </c>
      <c r="BX180" s="163">
        <v>1.4147778936000001E-3</v>
      </c>
      <c r="BY180" s="161">
        <v>-2.2169523688999999</v>
      </c>
      <c r="BZ180" s="163">
        <v>-1.1291093799E-2</v>
      </c>
      <c r="CA180" s="163">
        <v>-1.1291093799E-2</v>
      </c>
      <c r="CB180" s="154">
        <v>45189</v>
      </c>
      <c r="CC180" s="154">
        <v>45218</v>
      </c>
      <c r="CD180" s="173">
        <v>37</v>
      </c>
      <c r="CE180" s="174">
        <v>45244</v>
      </c>
      <c r="CF180" s="116"/>
    </row>
    <row r="181" spans="2:84" ht="15.6" x14ac:dyDescent="0.3">
      <c r="B181" s="98" t="s">
        <v>518</v>
      </c>
      <c r="C181" s="175" t="s">
        <v>683</v>
      </c>
      <c r="D181" s="176" t="s">
        <v>81</v>
      </c>
      <c r="E181" s="176" t="s">
        <v>226</v>
      </c>
      <c r="F181" s="177">
        <v>8324196000181</v>
      </c>
      <c r="G181" s="177" t="s">
        <v>838</v>
      </c>
      <c r="H181" s="177" t="s">
        <v>388</v>
      </c>
      <c r="I181" s="178">
        <v>9</v>
      </c>
      <c r="J181" s="179">
        <v>2</v>
      </c>
      <c r="K181" s="179" t="s">
        <v>130</v>
      </c>
      <c r="L181" s="179" t="s">
        <v>121</v>
      </c>
      <c r="M181" s="179" t="s">
        <v>106</v>
      </c>
      <c r="N181" s="179" t="s">
        <v>109</v>
      </c>
      <c r="O181" s="180">
        <v>38500</v>
      </c>
      <c r="P181" s="181">
        <v>38500000</v>
      </c>
      <c r="Q181" s="181">
        <v>1000</v>
      </c>
      <c r="R181" s="182">
        <v>43572</v>
      </c>
      <c r="S181" s="182">
        <v>47223</v>
      </c>
      <c r="T181" s="183" t="s">
        <v>768</v>
      </c>
      <c r="U181" s="183" t="s">
        <v>921</v>
      </c>
      <c r="V181" s="182" t="s">
        <v>105</v>
      </c>
      <c r="W181" s="182" t="s">
        <v>102</v>
      </c>
      <c r="X181" s="182" t="s">
        <v>1328</v>
      </c>
      <c r="Y181" s="182">
        <v>46980</v>
      </c>
      <c r="Z181" s="184">
        <f>IFERROR(INDEX(Base!G:G,MATCH('Debêntures IPCA-Spread'!Y181,Base!F:F,0)),"")</f>
        <v>6.4702000000000002</v>
      </c>
      <c r="AA181" s="115"/>
      <c r="AB181" s="185">
        <v>45552</v>
      </c>
      <c r="AC181" s="186">
        <v>6.4882</v>
      </c>
      <c r="AD181" s="187">
        <f t="shared" si="10"/>
        <v>1.7999999999999794E-2</v>
      </c>
      <c r="AE181" s="188">
        <v>0.25</v>
      </c>
      <c r="AF181" s="189">
        <v>6.6341999999999999</v>
      </c>
      <c r="AG181" s="189">
        <v>6.3989000000000003</v>
      </c>
      <c r="AH181" s="190">
        <v>1282.804032</v>
      </c>
      <c r="AI181" s="190">
        <v>1286.6503700000001</v>
      </c>
      <c r="AJ181" s="191">
        <f t="shared" si="11"/>
        <v>0.99701058027131328</v>
      </c>
      <c r="AK181" s="192">
        <v>45544</v>
      </c>
      <c r="AL181" s="193">
        <v>94.07</v>
      </c>
      <c r="AM181" s="194">
        <v>813</v>
      </c>
      <c r="AN181" s="115"/>
      <c r="AO181" s="195">
        <v>3.9104576534999998E-4</v>
      </c>
      <c r="AP181" s="196">
        <f>IF(AO181="","",AO181-AO$6)</f>
        <v>-8.9099119580000018E-5</v>
      </c>
      <c r="AQ181" s="196">
        <v>6.0245166915000002E-3</v>
      </c>
      <c r="AR181" s="196">
        <f>IF(AQ181="","",AQ181-AQ$6)</f>
        <v>6.2420234444600002E-3</v>
      </c>
      <c r="AS181" s="196">
        <v>5.8200832022999999E-2</v>
      </c>
      <c r="AT181" s="196">
        <f>IF(AS181="","",AS181-AS$6)</f>
        <v>4.3474996968000001E-2</v>
      </c>
      <c r="AU181" s="196">
        <v>-8.9941512214999995E-4</v>
      </c>
      <c r="AV181" s="196">
        <f>IF(AU181="","",AU181-AU$6)</f>
        <v>1.2169167473849999E-2</v>
      </c>
      <c r="AW181" s="196">
        <v>3.2586235151000002E-2</v>
      </c>
      <c r="AX181" s="196">
        <f>IF(AW181="","",AW181-AW$6)</f>
        <v>8.5911673630000018E-3</v>
      </c>
      <c r="AY181" s="196">
        <v>2.2972997072000002E-2</v>
      </c>
      <c r="AZ181" s="196">
        <f>IF(AY181="","",AY181-AY$6)</f>
        <v>8.7307422820000011E-3</v>
      </c>
      <c r="BA181" s="196">
        <v>9.0944637166E-2</v>
      </c>
      <c r="BB181" s="196">
        <f>IF(BA181="","",BA181-BA$6)</f>
        <v>3.7457672608000002E-2</v>
      </c>
      <c r="BC181" s="196">
        <v>0.21470974716999999</v>
      </c>
      <c r="BD181" s="196">
        <f>IF(BC181="","",BC181-BC$6)</f>
        <v>2.0401180679999992E-2</v>
      </c>
      <c r="BE181" s="196">
        <v>0.32164781130999998</v>
      </c>
      <c r="BF181" s="196">
        <f>IF(BE181="","",BE181-BE$6)</f>
        <v>5.9928471769999991E-2</v>
      </c>
      <c r="BG181" s="196">
        <v>0.45436979790999998</v>
      </c>
      <c r="BH181" s="196">
        <f>IF(BG181="","",BG181-BG$6)</f>
        <v>0.14545314909999996</v>
      </c>
      <c r="BI181" s="196"/>
      <c r="BJ181" s="196" t="str">
        <f>IF(BI181="","",BI181-BI$6)</f>
        <v/>
      </c>
      <c r="BK181" s="197">
        <v>3.9334907311</v>
      </c>
      <c r="BL181" s="115"/>
      <c r="BM181" s="198">
        <v>1.1188955011E-2</v>
      </c>
      <c r="BN181" s="191">
        <v>-7.5756937130999997E-3</v>
      </c>
      <c r="BO181" s="191">
        <v>2.4954415806999999E-2</v>
      </c>
      <c r="BP181" s="191">
        <v>-1.3949075514999999E-2</v>
      </c>
      <c r="BQ181" s="199">
        <v>9</v>
      </c>
      <c r="BR181" s="199">
        <v>3</v>
      </c>
      <c r="BS181" s="199">
        <v>6</v>
      </c>
      <c r="BT181" s="199">
        <v>6</v>
      </c>
      <c r="BU181" s="200">
        <v>-0.45701326171000001</v>
      </c>
      <c r="BV181" s="200">
        <v>-0.3721516319</v>
      </c>
      <c r="BW181" s="191">
        <v>4.0653620669999996E-3</v>
      </c>
      <c r="BX181" s="191">
        <v>3.5891593436000002E-3</v>
      </c>
      <c r="BY181" s="189">
        <v>-2.4698028123000002</v>
      </c>
      <c r="BZ181" s="191">
        <v>-1.6325303009000001E-2</v>
      </c>
      <c r="CA181" s="191">
        <v>-1.6325303009000001E-2</v>
      </c>
      <c r="CB181" s="182">
        <v>45189</v>
      </c>
      <c r="CC181" s="182">
        <v>45202</v>
      </c>
      <c r="CD181" s="201">
        <v>38</v>
      </c>
      <c r="CE181" s="202">
        <v>45246</v>
      </c>
      <c r="CF181" s="116"/>
    </row>
    <row r="182" spans="2:84" ht="15.6" x14ac:dyDescent="0.3">
      <c r="B182" s="110" t="s">
        <v>1429</v>
      </c>
      <c r="C182" s="147" t="s">
        <v>2075</v>
      </c>
      <c r="D182" s="148" t="s">
        <v>81</v>
      </c>
      <c r="E182" s="148" t="s">
        <v>226</v>
      </c>
      <c r="F182" s="149">
        <v>8324196000181</v>
      </c>
      <c r="G182" s="149" t="s">
        <v>1788</v>
      </c>
      <c r="H182" s="149" t="s">
        <v>388</v>
      </c>
      <c r="I182" s="150">
        <v>10</v>
      </c>
      <c r="J182" s="151">
        <v>3</v>
      </c>
      <c r="K182" s="151" t="s">
        <v>126</v>
      </c>
      <c r="L182" s="151" t="s">
        <v>112</v>
      </c>
      <c r="M182" s="151" t="s">
        <v>106</v>
      </c>
      <c r="N182" s="151" t="s">
        <v>109</v>
      </c>
      <c r="O182" s="152">
        <v>220000</v>
      </c>
      <c r="P182" s="153">
        <v>220000000</v>
      </c>
      <c r="Q182" s="153">
        <v>1000</v>
      </c>
      <c r="R182" s="154">
        <v>44757</v>
      </c>
      <c r="S182" s="154">
        <v>47314</v>
      </c>
      <c r="T182" s="155" t="s">
        <v>1991</v>
      </c>
      <c r="U182" s="155" t="s">
        <v>1681</v>
      </c>
      <c r="V182" s="154" t="s">
        <v>105</v>
      </c>
      <c r="W182" s="154" t="s">
        <v>102</v>
      </c>
      <c r="X182" s="154" t="s">
        <v>1566</v>
      </c>
      <c r="Y182" s="154">
        <v>47253</v>
      </c>
      <c r="Z182" s="156">
        <f>IFERROR(INDEX(Base!G:G,MATCH('Debêntures IPCA-Spread'!Y182,Base!F:F,0)),"")</f>
        <v>6.41</v>
      </c>
      <c r="AA182" s="115"/>
      <c r="AB182" s="157">
        <v>45552</v>
      </c>
      <c r="AC182" s="158">
        <v>6.3522999999999996</v>
      </c>
      <c r="AD182" s="159">
        <f t="shared" si="10"/>
        <v>-5.7700000000000529E-2</v>
      </c>
      <c r="AE182" s="160">
        <v>0.17</v>
      </c>
      <c r="AF182" s="161">
        <v>6.5605000000000002</v>
      </c>
      <c r="AG182" s="161">
        <v>6.1868999999999996</v>
      </c>
      <c r="AH182" s="162">
        <v>1104.04548</v>
      </c>
      <c r="AI182" s="162">
        <v>1105.4099900000001</v>
      </c>
      <c r="AJ182" s="163">
        <f t="shared" si="11"/>
        <v>0.99876560732004949</v>
      </c>
      <c r="AK182" s="164">
        <v>45517</v>
      </c>
      <c r="AL182" s="165">
        <v>100.96</v>
      </c>
      <c r="AM182" s="166">
        <v>950</v>
      </c>
      <c r="AN182" s="115"/>
      <c r="AO182" s="167">
        <v>1.658131363E-3</v>
      </c>
      <c r="AP182" s="168">
        <f>IF(AO182="","",AO182-AO$6)</f>
        <v>1.17798647807E-3</v>
      </c>
      <c r="AQ182" s="168">
        <v>8.7594853957999996E-3</v>
      </c>
      <c r="AR182" s="168">
        <f>IF(AQ182="","",AQ182-AQ$6)</f>
        <v>8.9769921487599987E-3</v>
      </c>
      <c r="AS182" s="168">
        <v>6.9376373264999999E-2</v>
      </c>
      <c r="AT182" s="168">
        <f>IF(AS182="","",AS182-AS$6)</f>
        <v>5.4650538210000002E-2</v>
      </c>
      <c r="AU182" s="168">
        <v>1.5390953467E-3</v>
      </c>
      <c r="AV182" s="168">
        <f>IF(AU182="","",AU182-AU$6)</f>
        <v>1.4607677942699999E-2</v>
      </c>
      <c r="AW182" s="168">
        <v>3.878552063E-2</v>
      </c>
      <c r="AX182" s="168">
        <f>IF(AW182="","",AW182-AW$6)</f>
        <v>1.4790452842E-2</v>
      </c>
      <c r="AY182" s="168">
        <v>2.3950163284000001E-2</v>
      </c>
      <c r="AZ182" s="168">
        <f>IF(AY182="","",AY182-AY$6)</f>
        <v>9.7079084940000001E-3</v>
      </c>
      <c r="BA182" s="168">
        <v>9.3209769169000006E-2</v>
      </c>
      <c r="BB182" s="168">
        <f>IF(BA182="","",BA182-BA$6)</f>
        <v>3.9722804611000008E-2</v>
      </c>
      <c r="BC182" s="168"/>
      <c r="BD182" s="168" t="str">
        <f>IF(BC182="","",BC182-BC$6)</f>
        <v/>
      </c>
      <c r="BE182" s="168"/>
      <c r="BF182" s="168" t="str">
        <f>IF(BE182="","",BE182-BE$6)</f>
        <v/>
      </c>
      <c r="BG182" s="168"/>
      <c r="BH182" s="168" t="str">
        <f>IF(BG182="","",BG182-BG$6)</f>
        <v/>
      </c>
      <c r="BI182" s="168"/>
      <c r="BJ182" s="168" t="str">
        <f>IF(BI182="","",BI182-BI$6)</f>
        <v/>
      </c>
      <c r="BK182" s="169">
        <v>4.7967082539000003</v>
      </c>
      <c r="BL182" s="115"/>
      <c r="BM182" s="170">
        <v>1.024289322E-2</v>
      </c>
      <c r="BN182" s="163">
        <v>-8.5579285333000008E-3</v>
      </c>
      <c r="BO182" s="163">
        <v>2.9428843802000001E-2</v>
      </c>
      <c r="BP182" s="163">
        <v>-1.9119141775000001E-2</v>
      </c>
      <c r="BQ182" s="171">
        <v>9</v>
      </c>
      <c r="BR182" s="171">
        <v>3</v>
      </c>
      <c r="BS182" s="171">
        <v>7</v>
      </c>
      <c r="BT182" s="171">
        <v>5</v>
      </c>
      <c r="BU182" s="172">
        <v>-0.32457114187000002</v>
      </c>
      <c r="BV182" s="172"/>
      <c r="BW182" s="163">
        <v>4.9568241258999999E-3</v>
      </c>
      <c r="BX182" s="163">
        <v>3.5876223529E-3</v>
      </c>
      <c r="BY182" s="161">
        <v>-2.2959087465999999</v>
      </c>
      <c r="BZ182" s="163">
        <v>-2.2867654768000002E-2</v>
      </c>
      <c r="CA182" s="163">
        <v>-2.2867654768000002E-2</v>
      </c>
      <c r="CB182" s="154">
        <v>45189</v>
      </c>
      <c r="CC182" s="154">
        <v>45222</v>
      </c>
      <c r="CD182" s="173">
        <v>47</v>
      </c>
      <c r="CE182" s="174">
        <v>45259</v>
      </c>
      <c r="CF182" s="116"/>
    </row>
    <row r="183" spans="2:84" ht="15.6" x14ac:dyDescent="0.3">
      <c r="B183" s="98" t="s">
        <v>2252</v>
      </c>
      <c r="C183" s="175" t="s">
        <v>2637</v>
      </c>
      <c r="D183" s="176" t="s">
        <v>81</v>
      </c>
      <c r="E183" s="176" t="s">
        <v>226</v>
      </c>
      <c r="F183" s="177">
        <v>8324196000181</v>
      </c>
      <c r="G183" s="177" t="s">
        <v>2387</v>
      </c>
      <c r="H183" s="177" t="s">
        <v>388</v>
      </c>
      <c r="I183" s="178">
        <v>11</v>
      </c>
      <c r="J183" s="179" t="s">
        <v>107</v>
      </c>
      <c r="K183" s="179" t="s">
        <v>126</v>
      </c>
      <c r="L183" s="179" t="s">
        <v>2469</v>
      </c>
      <c r="M183" s="179" t="s">
        <v>106</v>
      </c>
      <c r="N183" s="179" t="s">
        <v>109</v>
      </c>
      <c r="O183" s="180">
        <v>500000</v>
      </c>
      <c r="P183" s="181">
        <v>500000000</v>
      </c>
      <c r="Q183" s="181">
        <v>1000</v>
      </c>
      <c r="R183" s="182">
        <v>45092</v>
      </c>
      <c r="S183" s="182">
        <v>46919</v>
      </c>
      <c r="T183" s="183" t="s">
        <v>1969</v>
      </c>
      <c r="U183" s="183" t="s">
        <v>113</v>
      </c>
      <c r="V183" s="182" t="s">
        <v>105</v>
      </c>
      <c r="W183" s="182" t="s">
        <v>102</v>
      </c>
      <c r="X183" s="182" t="s">
        <v>2515</v>
      </c>
      <c r="Y183" s="182">
        <v>46980</v>
      </c>
      <c r="Z183" s="184">
        <f>IFERROR(INDEX(Base!G:G,MATCH('Debêntures IPCA-Spread'!Y183,Base!F:F,0)),"")</f>
        <v>6.4702000000000002</v>
      </c>
      <c r="AA183" s="115"/>
      <c r="AB183" s="185">
        <v>45552</v>
      </c>
      <c r="AC183" s="186">
        <v>6.5781000000000001</v>
      </c>
      <c r="AD183" s="187">
        <f t="shared" si="10"/>
        <v>0.10789999999999988</v>
      </c>
      <c r="AE183" s="188">
        <v>0.05</v>
      </c>
      <c r="AF183" s="189">
        <v>6.7851999999999997</v>
      </c>
      <c r="AG183" s="189">
        <v>6.4619999999999997</v>
      </c>
      <c r="AH183" s="190">
        <v>1059.0326170000001</v>
      </c>
      <c r="AI183" s="190"/>
      <c r="AJ183" s="191" t="str">
        <f t="shared" si="11"/>
        <v/>
      </c>
      <c r="AK183" s="192"/>
      <c r="AL183" s="193">
        <v>99.6</v>
      </c>
      <c r="AM183" s="194">
        <v>836</v>
      </c>
      <c r="AN183" s="115"/>
      <c r="AO183" s="195">
        <v>2.2252424060000001E-4</v>
      </c>
      <c r="AP183" s="196">
        <f>IF(AO183="","",AO183-AO$6)</f>
        <v>-2.5762064433000002E-4</v>
      </c>
      <c r="AQ183" s="196">
        <v>1.0066358467E-2</v>
      </c>
      <c r="AR183" s="196">
        <f>IF(AQ183="","",AQ183-AQ$6)</f>
        <v>1.028386521996E-2</v>
      </c>
      <c r="AS183" s="196">
        <v>6.5526332103999996E-2</v>
      </c>
      <c r="AT183" s="196">
        <f>IF(AS183="","",AS183-AS$6)</f>
        <v>5.0800497048999999E-2</v>
      </c>
      <c r="AU183" s="196">
        <v>5.5577888525000004E-3</v>
      </c>
      <c r="AV183" s="196">
        <f>IF(AU183="","",AU183-AU$6)</f>
        <v>1.86263714485E-2</v>
      </c>
      <c r="AW183" s="196">
        <v>3.9128269822000003E-2</v>
      </c>
      <c r="AX183" s="196">
        <f>IF(AW183="","",AW183-AW$6)</f>
        <v>1.5133202034000003E-2</v>
      </c>
      <c r="AY183" s="196">
        <v>3.1032568762000001E-2</v>
      </c>
      <c r="AZ183" s="196">
        <f>IF(AY183="","",AY183-AY$6)</f>
        <v>1.6790313972000002E-2</v>
      </c>
      <c r="BA183" s="196"/>
      <c r="BB183" s="196" t="str">
        <f>IF(BA183="","",BA183-BA$6)</f>
        <v/>
      </c>
      <c r="BC183" s="196"/>
      <c r="BD183" s="196" t="str">
        <f>IF(BC183="","",BC183-BC$6)</f>
        <v/>
      </c>
      <c r="BE183" s="196"/>
      <c r="BF183" s="196" t="str">
        <f>IF(BE183="","",BE183-BE$6)</f>
        <v/>
      </c>
      <c r="BG183" s="196"/>
      <c r="BH183" s="196" t="str">
        <f>IF(BG183="","",BG183-BG$6)</f>
        <v/>
      </c>
      <c r="BI183" s="196"/>
      <c r="BJ183" s="196" t="str">
        <f>IF(BI183="","",BI183-BI$6)</f>
        <v/>
      </c>
      <c r="BK183" s="197"/>
      <c r="BL183" s="115"/>
      <c r="BM183" s="198">
        <v>1.2489891018E-2</v>
      </c>
      <c r="BN183" s="191">
        <v>-1.0366739406000001E-2</v>
      </c>
      <c r="BO183" s="191">
        <v>2.6224364858000001E-2</v>
      </c>
      <c r="BP183" s="191">
        <v>-1.7107989431E-2</v>
      </c>
      <c r="BQ183" s="199"/>
      <c r="BR183" s="199"/>
      <c r="BS183" s="199"/>
      <c r="BT183" s="199"/>
      <c r="BU183" s="200"/>
      <c r="BV183" s="200"/>
      <c r="BW183" s="191"/>
      <c r="BX183" s="191">
        <v>3.6298486231000002E-3</v>
      </c>
      <c r="BY183" s="189"/>
      <c r="BZ183" s="191">
        <v>-1.8959489826999999E-2</v>
      </c>
      <c r="CA183" s="191">
        <v>-1.8959489826999999E-2</v>
      </c>
      <c r="CB183" s="182">
        <v>45379</v>
      </c>
      <c r="CC183" s="182">
        <v>45398</v>
      </c>
      <c r="CD183" s="201">
        <v>71</v>
      </c>
      <c r="CE183" s="202">
        <v>45483</v>
      </c>
      <c r="CF183" s="116"/>
    </row>
    <row r="184" spans="2:84" ht="15.6" x14ac:dyDescent="0.3">
      <c r="B184" s="110" t="s">
        <v>2253</v>
      </c>
      <c r="C184" s="147" t="s">
        <v>2638</v>
      </c>
      <c r="D184" s="148" t="s">
        <v>81</v>
      </c>
      <c r="E184" s="148" t="s">
        <v>226</v>
      </c>
      <c r="F184" s="149">
        <v>8324196000181</v>
      </c>
      <c r="G184" s="149" t="s">
        <v>2388</v>
      </c>
      <c r="H184" s="149" t="s">
        <v>388</v>
      </c>
      <c r="I184" s="150">
        <v>12</v>
      </c>
      <c r="J184" s="151">
        <v>2</v>
      </c>
      <c r="K184" s="151" t="s">
        <v>126</v>
      </c>
      <c r="L184" s="151" t="s">
        <v>112</v>
      </c>
      <c r="M184" s="151" t="s">
        <v>106</v>
      </c>
      <c r="N184" s="151" t="s">
        <v>109</v>
      </c>
      <c r="O184" s="152">
        <v>200000</v>
      </c>
      <c r="P184" s="153">
        <v>200000000</v>
      </c>
      <c r="Q184" s="153">
        <v>1000</v>
      </c>
      <c r="R184" s="154">
        <v>45366</v>
      </c>
      <c r="S184" s="154">
        <v>49018</v>
      </c>
      <c r="T184" s="155" t="s">
        <v>2818</v>
      </c>
      <c r="U184" s="155" t="s">
        <v>2745</v>
      </c>
      <c r="V184" s="154" t="s">
        <v>105</v>
      </c>
      <c r="W184" s="154" t="s">
        <v>102</v>
      </c>
      <c r="X184" s="154" t="s">
        <v>2516</v>
      </c>
      <c r="Y184" s="154">
        <v>48714</v>
      </c>
      <c r="Z184" s="156">
        <f>IFERROR(INDEX(Base!G:G,MATCH('Debêntures IPCA-Spread'!Y184,Base!F:F,0)),"")</f>
        <v>6.3373999999999997</v>
      </c>
      <c r="AA184" s="115"/>
      <c r="AB184" s="157">
        <v>45552</v>
      </c>
      <c r="AC184" s="158">
        <v>6.6062000000000003</v>
      </c>
      <c r="AD184" s="159">
        <f t="shared" si="10"/>
        <v>0.26880000000000059</v>
      </c>
      <c r="AE184" s="160">
        <v>7.0000000000000007E-2</v>
      </c>
      <c r="AF184" s="161">
        <v>6.7754000000000003</v>
      </c>
      <c r="AG184" s="161">
        <v>6.4348999999999998</v>
      </c>
      <c r="AH184" s="162">
        <v>980.91405799999995</v>
      </c>
      <c r="AI184" s="162"/>
      <c r="AJ184" s="163" t="str">
        <f t="shared" si="11"/>
        <v/>
      </c>
      <c r="AK184" s="164"/>
      <c r="AL184" s="165">
        <v>96.66</v>
      </c>
      <c r="AM184" s="166">
        <v>1688</v>
      </c>
      <c r="AN184" s="115"/>
      <c r="AO184" s="167">
        <v>-1.3413646956999999E-4</v>
      </c>
      <c r="AP184" s="168">
        <f>IF(AO184="","",AO184-AO$6)</f>
        <v>-6.1428135450000004E-4</v>
      </c>
      <c r="AQ184" s="168">
        <v>6.3872783339000002E-3</v>
      </c>
      <c r="AR184" s="168">
        <f>IF(AQ184="","",AQ184-AQ$6)</f>
        <v>6.6047850868600003E-3</v>
      </c>
      <c r="AS184" s="168"/>
      <c r="AT184" s="168" t="str">
        <f>IF(AS184="","",AS184-AS$6)</f>
        <v/>
      </c>
      <c r="AU184" s="168">
        <v>-1.1041677565E-2</v>
      </c>
      <c r="AV184" s="168">
        <f>IF(AU184="","",AU184-AU$6)</f>
        <v>2.0269050310000002E-3</v>
      </c>
      <c r="AW184" s="168">
        <v>3.7875610091000003E-2</v>
      </c>
      <c r="AX184" s="168">
        <f>IF(AW184="","",AW184-AW$6)</f>
        <v>1.3880542303000003E-2</v>
      </c>
      <c r="AY184" s="168"/>
      <c r="AZ184" s="168" t="str">
        <f>IF(AY184="","",AY184-AY$6)</f>
        <v/>
      </c>
      <c r="BA184" s="168"/>
      <c r="BB184" s="168" t="str">
        <f>IF(BA184="","",BA184-BA$6)</f>
        <v/>
      </c>
      <c r="BC184" s="168"/>
      <c r="BD184" s="168" t="str">
        <f>IF(BC184="","",BC184-BC$6)</f>
        <v/>
      </c>
      <c r="BE184" s="168"/>
      <c r="BF184" s="168" t="str">
        <f>IF(BE184="","",BE184-BE$6)</f>
        <v/>
      </c>
      <c r="BG184" s="168"/>
      <c r="BH184" s="168" t="str">
        <f>IF(BG184="","",BG184-BG$6)</f>
        <v/>
      </c>
      <c r="BI184" s="168"/>
      <c r="BJ184" s="168" t="str">
        <f>IF(BI184="","",BI184-BI$6)</f>
        <v/>
      </c>
      <c r="BK184" s="169"/>
      <c r="BL184" s="115"/>
      <c r="BM184" s="170">
        <v>1.0589656084999999E-2</v>
      </c>
      <c r="BN184" s="163">
        <v>-7.7863345004999997E-3</v>
      </c>
      <c r="BO184" s="163">
        <v>2.7187304268999998E-2</v>
      </c>
      <c r="BP184" s="163">
        <v>-1.6823528987E-2</v>
      </c>
      <c r="BQ184" s="171"/>
      <c r="BR184" s="171"/>
      <c r="BS184" s="171"/>
      <c r="BT184" s="171"/>
      <c r="BU184" s="172"/>
      <c r="BV184" s="172"/>
      <c r="BW184" s="163"/>
      <c r="BX184" s="163">
        <v>5.3516500659000002E-3</v>
      </c>
      <c r="BY184" s="161"/>
      <c r="BZ184" s="163">
        <v>-2.2775370706000001E-2</v>
      </c>
      <c r="CA184" s="163">
        <v>-2.2775370706000001E-2</v>
      </c>
      <c r="CB184" s="154">
        <v>45439</v>
      </c>
      <c r="CC184" s="154">
        <v>45475</v>
      </c>
      <c r="CD184" s="173">
        <v>32</v>
      </c>
      <c r="CE184" s="174">
        <v>45484</v>
      </c>
      <c r="CF184" s="116"/>
    </row>
    <row r="185" spans="2:84" ht="15.6" x14ac:dyDescent="0.3">
      <c r="B185" s="98" t="s">
        <v>1430</v>
      </c>
      <c r="C185" s="175" t="s">
        <v>2076</v>
      </c>
      <c r="D185" s="176" t="s">
        <v>1907</v>
      </c>
      <c r="E185" s="176" t="s">
        <v>226</v>
      </c>
      <c r="F185" s="177">
        <v>3953509000147</v>
      </c>
      <c r="G185" s="177" t="s">
        <v>1789</v>
      </c>
      <c r="H185" s="177" t="s">
        <v>388</v>
      </c>
      <c r="I185" s="178">
        <v>12</v>
      </c>
      <c r="J185" s="179" t="s">
        <v>107</v>
      </c>
      <c r="K185" s="179" t="s">
        <v>126</v>
      </c>
      <c r="L185" s="179" t="s">
        <v>112</v>
      </c>
      <c r="M185" s="179" t="s">
        <v>106</v>
      </c>
      <c r="N185" s="179" t="s">
        <v>109</v>
      </c>
      <c r="O185" s="180">
        <v>489000</v>
      </c>
      <c r="P185" s="181">
        <v>489000000</v>
      </c>
      <c r="Q185" s="181">
        <v>1000</v>
      </c>
      <c r="R185" s="182">
        <v>44700</v>
      </c>
      <c r="S185" s="182">
        <v>47983</v>
      </c>
      <c r="T185" s="183" t="s">
        <v>1970</v>
      </c>
      <c r="U185" s="183" t="s">
        <v>1682</v>
      </c>
      <c r="V185" s="182" t="s">
        <v>105</v>
      </c>
      <c r="W185" s="182" t="s">
        <v>102</v>
      </c>
      <c r="X185" s="182" t="s">
        <v>1567</v>
      </c>
      <c r="Y185" s="182">
        <v>47710</v>
      </c>
      <c r="Z185" s="184">
        <f>IFERROR(INDEX(Base!G:G,MATCH('Debêntures IPCA-Spread'!Y185,Base!F:F,0)),"")</f>
        <v>6.3273999999999999</v>
      </c>
      <c r="AA185" s="115"/>
      <c r="AB185" s="185">
        <v>45552</v>
      </c>
      <c r="AC185" s="186">
        <v>6.5972</v>
      </c>
      <c r="AD185" s="187">
        <f t="shared" si="10"/>
        <v>0.26980000000000004</v>
      </c>
      <c r="AE185" s="188">
        <v>0.17</v>
      </c>
      <c r="AF185" s="189">
        <v>6.7222</v>
      </c>
      <c r="AG185" s="189">
        <v>6.3937999999999997</v>
      </c>
      <c r="AH185" s="190">
        <v>1083.9953869999999</v>
      </c>
      <c r="AI185" s="190">
        <v>1099.046828</v>
      </c>
      <c r="AJ185" s="191">
        <f t="shared" si="11"/>
        <v>0.98630500483096784</v>
      </c>
      <c r="AK185" s="192">
        <v>45518</v>
      </c>
      <c r="AL185" s="193">
        <v>97.49</v>
      </c>
      <c r="AM185" s="194">
        <v>1191</v>
      </c>
      <c r="AN185" s="115"/>
      <c r="AO185" s="195">
        <v>-3.5016573202E-4</v>
      </c>
      <c r="AP185" s="196">
        <f>IF(AO185="","",AO185-AO$6)</f>
        <v>-8.3031061695E-4</v>
      </c>
      <c r="AQ185" s="196">
        <v>-2.8331759312999997E-4</v>
      </c>
      <c r="AR185" s="196">
        <f>IF(AQ185="","",AQ185-AQ$6)</f>
        <v>-6.5810840169999973E-5</v>
      </c>
      <c r="AS185" s="196">
        <v>4.4704776311999997E-2</v>
      </c>
      <c r="AT185" s="196">
        <f>IF(AS185="","",AS185-AS$6)</f>
        <v>2.9978941256999996E-2</v>
      </c>
      <c r="AU185" s="196">
        <v>-9.8153991730000004E-3</v>
      </c>
      <c r="AV185" s="196">
        <f>IF(AU185="","",AU185-AU$6)</f>
        <v>3.2531834229999994E-3</v>
      </c>
      <c r="AW185" s="196">
        <v>2.4017094967E-2</v>
      </c>
      <c r="AX185" s="196">
        <f>IF(AW185="","",AW185-AW$6)</f>
        <v>2.2027178999999703E-5</v>
      </c>
      <c r="AY185" s="196">
        <v>2.0988542286E-2</v>
      </c>
      <c r="AZ185" s="196">
        <f>IF(AY185="","",AY185-AY$6)</f>
        <v>6.7462874959999999E-3</v>
      </c>
      <c r="BA185" s="196">
        <v>7.8376417948999993E-2</v>
      </c>
      <c r="BB185" s="196">
        <f>IF(BA185="","",BA185-BA$6)</f>
        <v>2.4889453390999995E-2</v>
      </c>
      <c r="BC185" s="196"/>
      <c r="BD185" s="196" t="str">
        <f>IF(BC185="","",BC185-BC$6)</f>
        <v/>
      </c>
      <c r="BE185" s="196"/>
      <c r="BF185" s="196" t="str">
        <f>IF(BE185="","",BE185-BE$6)</f>
        <v/>
      </c>
      <c r="BG185" s="196"/>
      <c r="BH185" s="196" t="str">
        <f>IF(BG185="","",BG185-BG$6)</f>
        <v/>
      </c>
      <c r="BI185" s="196"/>
      <c r="BJ185" s="196" t="str">
        <f>IF(BI185="","",BI185-BI$6)</f>
        <v/>
      </c>
      <c r="BK185" s="197">
        <v>4.4618090116999998</v>
      </c>
      <c r="BL185" s="115"/>
      <c r="BM185" s="198">
        <v>8.5031425241999994E-3</v>
      </c>
      <c r="BN185" s="191">
        <v>-1.0222707399000001E-2</v>
      </c>
      <c r="BO185" s="191">
        <v>2.6052223550999998E-2</v>
      </c>
      <c r="BP185" s="191">
        <v>-2.1673522232999998E-2</v>
      </c>
      <c r="BQ185" s="199">
        <v>8</v>
      </c>
      <c r="BR185" s="199">
        <v>4</v>
      </c>
      <c r="BS185" s="199">
        <v>6</v>
      </c>
      <c r="BT185" s="199">
        <v>6</v>
      </c>
      <c r="BU185" s="200">
        <v>-0.65190910403000002</v>
      </c>
      <c r="BV185" s="200"/>
      <c r="BW185" s="191">
        <v>4.6094922346999996E-3</v>
      </c>
      <c r="BX185" s="191">
        <v>4.7924957834000002E-3</v>
      </c>
      <c r="BY185" s="189">
        <v>-3.9052901978999999</v>
      </c>
      <c r="BZ185" s="191">
        <v>-2.3324019123E-2</v>
      </c>
      <c r="CA185" s="191">
        <v>-2.3324019123E-2</v>
      </c>
      <c r="CB185" s="182">
        <v>45187</v>
      </c>
      <c r="CC185" s="182">
        <v>45202</v>
      </c>
      <c r="CD185" s="201">
        <v>41</v>
      </c>
      <c r="CE185" s="202">
        <v>45247</v>
      </c>
      <c r="CF185" s="116"/>
    </row>
    <row r="186" spans="2:84" ht="15.6" x14ac:dyDescent="0.3">
      <c r="B186" s="110" t="s">
        <v>519</v>
      </c>
      <c r="C186" s="147" t="s">
        <v>684</v>
      </c>
      <c r="D186" s="148" t="s">
        <v>82</v>
      </c>
      <c r="E186" s="148" t="s">
        <v>226</v>
      </c>
      <c r="F186" s="149">
        <v>4172213000151</v>
      </c>
      <c r="G186" s="149" t="s">
        <v>839</v>
      </c>
      <c r="H186" s="149" t="s">
        <v>388</v>
      </c>
      <c r="I186" s="150">
        <v>10</v>
      </c>
      <c r="J186" s="151" t="s">
        <v>107</v>
      </c>
      <c r="K186" s="151" t="s">
        <v>126</v>
      </c>
      <c r="L186" s="151" t="s">
        <v>112</v>
      </c>
      <c r="M186" s="151" t="s">
        <v>106</v>
      </c>
      <c r="N186" s="151" t="s">
        <v>109</v>
      </c>
      <c r="O186" s="152">
        <v>197000</v>
      </c>
      <c r="P186" s="153">
        <v>197000000</v>
      </c>
      <c r="Q186" s="153">
        <v>1000</v>
      </c>
      <c r="R186" s="154">
        <v>43347</v>
      </c>
      <c r="S186" s="154">
        <v>45884</v>
      </c>
      <c r="T186" s="155" t="s">
        <v>758</v>
      </c>
      <c r="U186" s="155" t="s">
        <v>922</v>
      </c>
      <c r="V186" s="154" t="s">
        <v>105</v>
      </c>
      <c r="W186" s="154" t="s">
        <v>102</v>
      </c>
      <c r="X186" s="154" t="s">
        <v>1292</v>
      </c>
      <c r="Y186" s="154">
        <v>45792</v>
      </c>
      <c r="Z186" s="156">
        <f>IFERROR(INDEX(Base!G:G,MATCH('Debêntures IPCA-Spread'!Y186,Base!F:F,0)),"")</f>
        <v>5.73</v>
      </c>
      <c r="AA186" s="115"/>
      <c r="AB186" s="157">
        <v>45552</v>
      </c>
      <c r="AC186" s="158">
        <v>5.9466000000000001</v>
      </c>
      <c r="AD186" s="159">
        <f t="shared" si="10"/>
        <v>0.21659999999999968</v>
      </c>
      <c r="AE186" s="160">
        <v>0.34</v>
      </c>
      <c r="AF186" s="161">
        <v>6.3742999999999999</v>
      </c>
      <c r="AG186" s="161">
        <v>5.7190000000000003</v>
      </c>
      <c r="AH186" s="162">
        <v>691.572047</v>
      </c>
      <c r="AI186" s="162">
        <v>691.83869000000004</v>
      </c>
      <c r="AJ186" s="163">
        <f t="shared" si="11"/>
        <v>0.99961458790343161</v>
      </c>
      <c r="AK186" s="164">
        <v>45551</v>
      </c>
      <c r="AL186" s="165">
        <v>99.88</v>
      </c>
      <c r="AM186" s="166">
        <v>225</v>
      </c>
      <c r="AN186" s="115"/>
      <c r="AO186" s="167">
        <v>-3.8541209596999997E-4</v>
      </c>
      <c r="AP186" s="168">
        <f>IF(AO186="","",AO186-AO$6)</f>
        <v>-8.6555698089999997E-4</v>
      </c>
      <c r="AQ186" s="168">
        <v>5.2776988376999996E-3</v>
      </c>
      <c r="AR186" s="168">
        <f>IF(AQ186="","",AQ186-AQ$6)</f>
        <v>5.4952055906599996E-3</v>
      </c>
      <c r="AS186" s="168">
        <v>7.9442580451E-2</v>
      </c>
      <c r="AT186" s="168">
        <f>IF(AS186="","",AS186-AS$6)</f>
        <v>6.4716745396000003E-2</v>
      </c>
      <c r="AU186" s="168">
        <v>8.2510415759000002E-3</v>
      </c>
      <c r="AV186" s="168">
        <f>IF(AU186="","",AU186-AU$6)</f>
        <v>2.13196241719E-2</v>
      </c>
      <c r="AW186" s="168">
        <v>2.6579479659999999E-2</v>
      </c>
      <c r="AX186" s="168">
        <f>IF(AW186="","",AW186-AW$6)</f>
        <v>2.5844118719999983E-3</v>
      </c>
      <c r="AY186" s="168">
        <v>4.9053576537000002E-2</v>
      </c>
      <c r="AZ186" s="168">
        <f>IF(AY186="","",AY186-AY$6)</f>
        <v>3.4811321747000003E-2</v>
      </c>
      <c r="BA186" s="168">
        <v>0.10947623334000001</v>
      </c>
      <c r="BB186" s="168">
        <f>IF(BA186="","",BA186-BA$6)</f>
        <v>5.5989268782000008E-2</v>
      </c>
      <c r="BC186" s="168">
        <v>0.24313094362000001</v>
      </c>
      <c r="BD186" s="168">
        <f>IF(BC186="","",BC186-BC$6)</f>
        <v>4.8822377130000011E-2</v>
      </c>
      <c r="BE186" s="168">
        <v>0.38741900384</v>
      </c>
      <c r="BF186" s="168">
        <f>IF(BE186="","",BE186-BE$6)</f>
        <v>0.12569966430000001</v>
      </c>
      <c r="BG186" s="168">
        <v>0.50862009557999999</v>
      </c>
      <c r="BH186" s="168">
        <f>IF(BG186="","",BG186-BG$6)</f>
        <v>0.19970344676999996</v>
      </c>
      <c r="BI186" s="168"/>
      <c r="BJ186" s="168" t="str">
        <f>IF(BI186="","",BI186-BI$6)</f>
        <v/>
      </c>
      <c r="BK186" s="169">
        <v>1.1999008363000001</v>
      </c>
      <c r="BL186" s="115"/>
      <c r="BM186" s="170">
        <v>2.7975030589000001E-3</v>
      </c>
      <c r="BN186" s="163">
        <v>-3.6610032402999999E-3</v>
      </c>
      <c r="BO186" s="163">
        <v>1.2778715745E-2</v>
      </c>
      <c r="BP186" s="163">
        <v>2.7522656801E-3</v>
      </c>
      <c r="BQ186" s="171">
        <v>12</v>
      </c>
      <c r="BR186" s="171">
        <v>0</v>
      </c>
      <c r="BS186" s="171">
        <v>8</v>
      </c>
      <c r="BT186" s="171">
        <v>4</v>
      </c>
      <c r="BU186" s="172">
        <v>-0.16632745371999999</v>
      </c>
      <c r="BV186" s="172">
        <v>-5.8886178038000003E-2</v>
      </c>
      <c r="BW186" s="163">
        <v>1.2398718778999999E-3</v>
      </c>
      <c r="BX186" s="163">
        <v>1.5027704114999999E-3</v>
      </c>
      <c r="BY186" s="161">
        <v>-0.38383952212</v>
      </c>
      <c r="BZ186" s="163">
        <v>-4.9146580622999999E-3</v>
      </c>
      <c r="CA186" s="163">
        <v>-4.9146580622999999E-3</v>
      </c>
      <c r="CB186" s="154">
        <v>45209</v>
      </c>
      <c r="CC186" s="154">
        <v>45217</v>
      </c>
      <c r="CD186" s="173">
        <v>11</v>
      </c>
      <c r="CE186" s="174">
        <v>45225</v>
      </c>
      <c r="CF186" s="116"/>
    </row>
    <row r="187" spans="2:84" ht="15.6" x14ac:dyDescent="0.3">
      <c r="B187" s="98" t="s">
        <v>2254</v>
      </c>
      <c r="C187" s="175" t="s">
        <v>2639</v>
      </c>
      <c r="D187" s="176" t="s">
        <v>82</v>
      </c>
      <c r="E187" s="176" t="s">
        <v>226</v>
      </c>
      <c r="F187" s="177">
        <v>4172213000151</v>
      </c>
      <c r="G187" s="177" t="s">
        <v>2389</v>
      </c>
      <c r="H187" s="177" t="s">
        <v>388</v>
      </c>
      <c r="I187" s="178">
        <v>15</v>
      </c>
      <c r="J187" s="179" t="s">
        <v>107</v>
      </c>
      <c r="K187" s="179" t="s">
        <v>126</v>
      </c>
      <c r="L187" s="179" t="s">
        <v>112</v>
      </c>
      <c r="M187" s="179" t="s">
        <v>114</v>
      </c>
      <c r="N187" s="179" t="s">
        <v>109</v>
      </c>
      <c r="O187" s="180">
        <v>300000</v>
      </c>
      <c r="P187" s="181">
        <v>300000000</v>
      </c>
      <c r="Q187" s="181">
        <v>1000</v>
      </c>
      <c r="R187" s="182">
        <v>45214</v>
      </c>
      <c r="S187" s="182">
        <v>48867</v>
      </c>
      <c r="T187" s="183" t="s">
        <v>2771</v>
      </c>
      <c r="U187" s="183" t="s">
        <v>2711</v>
      </c>
      <c r="V187" s="182" t="s">
        <v>105</v>
      </c>
      <c r="W187" s="182" t="s">
        <v>102</v>
      </c>
      <c r="X187" s="182" t="s">
        <v>2471</v>
      </c>
      <c r="Y187" s="182">
        <v>48441</v>
      </c>
      <c r="Z187" s="184">
        <f>IFERROR(INDEX(Base!G:G,MATCH('Debêntures IPCA-Spread'!Y187,Base!F:F,0)),"")</f>
        <v>6.3467000000000002</v>
      </c>
      <c r="AA187" s="115"/>
      <c r="AB187" s="185">
        <v>45552</v>
      </c>
      <c r="AC187" s="186">
        <v>6.4267000000000003</v>
      </c>
      <c r="AD187" s="187">
        <f t="shared" si="10"/>
        <v>8.0000000000000071E-2</v>
      </c>
      <c r="AE187" s="188">
        <v>0.08</v>
      </c>
      <c r="AF187" s="189">
        <v>6.6363000000000003</v>
      </c>
      <c r="AG187" s="189">
        <v>6.3114999999999997</v>
      </c>
      <c r="AH187" s="190">
        <v>1049.6115299999999</v>
      </c>
      <c r="AI187" s="190"/>
      <c r="AJ187" s="191" t="str">
        <f t="shared" si="11"/>
        <v/>
      </c>
      <c r="AK187" s="192"/>
      <c r="AL187" s="193">
        <v>98.54</v>
      </c>
      <c r="AM187" s="194">
        <v>1582</v>
      </c>
      <c r="AN187" s="115"/>
      <c r="AO187" s="195">
        <v>-1.2428768241000001E-4</v>
      </c>
      <c r="AP187" s="196">
        <f>IF(AO187="","",AO187-AO$6)</f>
        <v>-6.0443256733999997E-4</v>
      </c>
      <c r="AQ187" s="196">
        <v>4.6505803984000001E-3</v>
      </c>
      <c r="AR187" s="196">
        <f>IF(AQ187="","",AQ187-AQ$6)</f>
        <v>4.8680871513600002E-3</v>
      </c>
      <c r="AS187" s="196">
        <v>5.3868775325E-2</v>
      </c>
      <c r="AT187" s="196">
        <f>IF(AS187="","",AS187-AS$6)</f>
        <v>3.9142940269999996E-2</v>
      </c>
      <c r="AU187" s="196">
        <v>-1.009479451E-2</v>
      </c>
      <c r="AV187" s="196">
        <f>IF(AU187="","",AU187-AU$6)</f>
        <v>2.9737880860000003E-3</v>
      </c>
      <c r="AW187" s="196">
        <v>3.9602260230999997E-2</v>
      </c>
      <c r="AX187" s="196">
        <f>IF(AW187="","",AW187-AW$6)</f>
        <v>1.5607192442999997E-2</v>
      </c>
      <c r="AY187" s="196">
        <v>2.1950546966999999E-2</v>
      </c>
      <c r="AZ187" s="196">
        <f>IF(AY187="","",AY187-AY$6)</f>
        <v>7.7082921769999983E-3</v>
      </c>
      <c r="BA187" s="196"/>
      <c r="BB187" s="196" t="str">
        <f>IF(BA187="","",BA187-BA$6)</f>
        <v/>
      </c>
      <c r="BC187" s="196"/>
      <c r="BD187" s="196" t="str">
        <f>IF(BC187="","",BC187-BC$6)</f>
        <v/>
      </c>
      <c r="BE187" s="196"/>
      <c r="BF187" s="196" t="str">
        <f>IF(BE187="","",BE187-BE$6)</f>
        <v/>
      </c>
      <c r="BG187" s="196"/>
      <c r="BH187" s="196" t="str">
        <f>IF(BG187="","",BG187-BG$6)</f>
        <v/>
      </c>
      <c r="BI187" s="196"/>
      <c r="BJ187" s="196" t="str">
        <f>IF(BI187="","",BI187-BI$6)</f>
        <v/>
      </c>
      <c r="BK187" s="197"/>
      <c r="BL187" s="115"/>
      <c r="BM187" s="198">
        <v>1.2199388449000001E-2</v>
      </c>
      <c r="BN187" s="191">
        <v>-6.2994308530000001E-2</v>
      </c>
      <c r="BO187" s="191">
        <v>3.1888892209999999E-2</v>
      </c>
      <c r="BP187" s="191">
        <v>-2.6078245964000001E-2</v>
      </c>
      <c r="BQ187" s="199"/>
      <c r="BR187" s="199"/>
      <c r="BS187" s="199"/>
      <c r="BT187" s="199"/>
      <c r="BU187" s="200"/>
      <c r="BV187" s="200"/>
      <c r="BW187" s="191"/>
      <c r="BX187" s="191">
        <v>5.5203168950000003E-3</v>
      </c>
      <c r="BY187" s="189"/>
      <c r="BZ187" s="191">
        <v>-6.5044477281999996E-2</v>
      </c>
      <c r="CA187" s="191">
        <v>-6.5044477281999996E-2</v>
      </c>
      <c r="CB187" s="182">
        <v>45258</v>
      </c>
      <c r="CC187" s="182">
        <v>45271</v>
      </c>
      <c r="CD187" s="201">
        <v>170</v>
      </c>
      <c r="CE187" s="202">
        <v>45505</v>
      </c>
      <c r="CF187" s="116"/>
    </row>
    <row r="188" spans="2:84" ht="15.6" x14ac:dyDescent="0.3">
      <c r="B188" s="110" t="s">
        <v>2255</v>
      </c>
      <c r="C188" s="147" t="s">
        <v>2640</v>
      </c>
      <c r="D188" s="148" t="s">
        <v>82</v>
      </c>
      <c r="E188" s="148" t="s">
        <v>226</v>
      </c>
      <c r="F188" s="149">
        <v>4172213000151</v>
      </c>
      <c r="G188" s="149" t="s">
        <v>2390</v>
      </c>
      <c r="H188" s="149" t="s">
        <v>388</v>
      </c>
      <c r="I188" s="150">
        <v>17</v>
      </c>
      <c r="J188" s="151">
        <v>1</v>
      </c>
      <c r="K188" s="151" t="s">
        <v>126</v>
      </c>
      <c r="L188" s="151" t="s">
        <v>112</v>
      </c>
      <c r="M188" s="151" t="s">
        <v>114</v>
      </c>
      <c r="N188" s="151" t="s">
        <v>109</v>
      </c>
      <c r="O188" s="152">
        <v>293000</v>
      </c>
      <c r="P188" s="153">
        <v>293000000</v>
      </c>
      <c r="Q188" s="153">
        <v>1000</v>
      </c>
      <c r="R188" s="154">
        <v>45397</v>
      </c>
      <c r="S188" s="154">
        <v>49049</v>
      </c>
      <c r="T188" s="155" t="s">
        <v>2816</v>
      </c>
      <c r="U188" s="155" t="s">
        <v>2712</v>
      </c>
      <c r="V188" s="154" t="s">
        <v>105</v>
      </c>
      <c r="W188" s="154" t="s">
        <v>102</v>
      </c>
      <c r="X188" s="154" t="s">
        <v>2517</v>
      </c>
      <c r="Y188" s="154">
        <v>48714</v>
      </c>
      <c r="Z188" s="156">
        <f>IFERROR(INDEX(Base!G:G,MATCH('Debêntures IPCA-Spread'!Y188,Base!F:F,0)),"")</f>
        <v>6.3373999999999997</v>
      </c>
      <c r="AA188" s="115"/>
      <c r="AB188" s="157">
        <v>45552</v>
      </c>
      <c r="AC188" s="158">
        <v>6.4542999999999999</v>
      </c>
      <c r="AD188" s="159">
        <f t="shared" si="10"/>
        <v>0.11690000000000023</v>
      </c>
      <c r="AE188" s="160">
        <v>0.13</v>
      </c>
      <c r="AF188" s="161">
        <v>6.6055000000000001</v>
      </c>
      <c r="AG188" s="161">
        <v>6.2746000000000004</v>
      </c>
      <c r="AH188" s="162">
        <v>1019.944208</v>
      </c>
      <c r="AI188" s="162"/>
      <c r="AJ188" s="163" t="str">
        <f t="shared" si="11"/>
        <v/>
      </c>
      <c r="AK188" s="164"/>
      <c r="AL188" s="165">
        <v>98.65</v>
      </c>
      <c r="AM188" s="166">
        <v>1660</v>
      </c>
      <c r="AN188" s="115"/>
      <c r="AO188" s="167">
        <v>-1.2999712306999999E-3</v>
      </c>
      <c r="AP188" s="168">
        <f>IF(AO188="","",AO188-AO$6)</f>
        <v>-1.7801161156299999E-3</v>
      </c>
      <c r="AQ188" s="168">
        <v>5.7589495790999999E-3</v>
      </c>
      <c r="AR188" s="168">
        <f>IF(AQ188="","",AQ188-AQ$6)</f>
        <v>5.9764563320599999E-3</v>
      </c>
      <c r="AS188" s="168"/>
      <c r="AT188" s="168" t="str">
        <f>IF(AS188="","",AS188-AS$6)</f>
        <v/>
      </c>
      <c r="AU188" s="168">
        <v>-8.6937550841000005E-3</v>
      </c>
      <c r="AV188" s="168">
        <f>IF(AU188="","",AU188-AU$6)</f>
        <v>4.3748275118999994E-3</v>
      </c>
      <c r="AW188" s="168"/>
      <c r="AX188" s="168" t="str">
        <f>IF(AW188="","",AW188-AW$6)</f>
        <v/>
      </c>
      <c r="AY188" s="168"/>
      <c r="AZ188" s="168" t="str">
        <f>IF(AY188="","",AY188-AY$6)</f>
        <v/>
      </c>
      <c r="BA188" s="168"/>
      <c r="BB188" s="168" t="str">
        <f>IF(BA188="","",BA188-BA$6)</f>
        <v/>
      </c>
      <c r="BC188" s="168"/>
      <c r="BD188" s="168" t="str">
        <f>IF(BC188="","",BC188-BC$6)</f>
        <v/>
      </c>
      <c r="BE188" s="168"/>
      <c r="BF188" s="168" t="str">
        <f>IF(BE188="","",BE188-BE$6)</f>
        <v/>
      </c>
      <c r="BG188" s="168"/>
      <c r="BH188" s="168" t="str">
        <f>IF(BG188="","",BG188-BG$6)</f>
        <v/>
      </c>
      <c r="BI188" s="168"/>
      <c r="BJ188" s="168" t="str">
        <f>IF(BI188="","",BI188-BI$6)</f>
        <v/>
      </c>
      <c r="BK188" s="169"/>
      <c r="BL188" s="115"/>
      <c r="BM188" s="170">
        <v>1.1544986304000001E-2</v>
      </c>
      <c r="BN188" s="163">
        <v>-7.9196390907000005E-3</v>
      </c>
      <c r="BO188" s="163">
        <v>2.9308078963E-2</v>
      </c>
      <c r="BP188" s="163">
        <v>5.7589495790999999E-3</v>
      </c>
      <c r="BQ188" s="171"/>
      <c r="BR188" s="171"/>
      <c r="BS188" s="171"/>
      <c r="BT188" s="171"/>
      <c r="BU188" s="172"/>
      <c r="BV188" s="172"/>
      <c r="BW188" s="163"/>
      <c r="BX188" s="163">
        <v>5.4297240493000002E-3</v>
      </c>
      <c r="BY188" s="161"/>
      <c r="BZ188" s="163">
        <v>-1.6476170463000001E-2</v>
      </c>
      <c r="CA188" s="163">
        <v>-1.9332874680999999E-2</v>
      </c>
      <c r="CB188" s="154">
        <v>45518</v>
      </c>
      <c r="CC188" s="154">
        <v>45534</v>
      </c>
      <c r="CD188" s="173"/>
      <c r="CE188" s="174"/>
      <c r="CF188" s="116"/>
    </row>
    <row r="189" spans="2:84" ht="15.6" x14ac:dyDescent="0.3">
      <c r="B189" s="98" t="s">
        <v>2256</v>
      </c>
      <c r="C189" s="175" t="s">
        <v>2641</v>
      </c>
      <c r="D189" s="176" t="s">
        <v>82</v>
      </c>
      <c r="E189" s="176" t="s">
        <v>226</v>
      </c>
      <c r="F189" s="177">
        <v>4172213000151</v>
      </c>
      <c r="G189" s="177" t="s">
        <v>2391</v>
      </c>
      <c r="H189" s="177" t="s">
        <v>388</v>
      </c>
      <c r="I189" s="178">
        <v>17</v>
      </c>
      <c r="J189" s="179">
        <v>2</v>
      </c>
      <c r="K189" s="179" t="s">
        <v>126</v>
      </c>
      <c r="L189" s="179" t="s">
        <v>112</v>
      </c>
      <c r="M189" s="179" t="s">
        <v>114</v>
      </c>
      <c r="N189" s="179" t="s">
        <v>109</v>
      </c>
      <c r="O189" s="180">
        <v>87900</v>
      </c>
      <c r="P189" s="181">
        <v>87900000</v>
      </c>
      <c r="Q189" s="181">
        <v>1000</v>
      </c>
      <c r="R189" s="182">
        <v>45397</v>
      </c>
      <c r="S189" s="182">
        <v>50875</v>
      </c>
      <c r="T189" s="183" t="s">
        <v>2816</v>
      </c>
      <c r="U189" s="183" t="s">
        <v>2713</v>
      </c>
      <c r="V189" s="182" t="s">
        <v>105</v>
      </c>
      <c r="W189" s="182" t="s">
        <v>102</v>
      </c>
      <c r="X189" s="182" t="s">
        <v>2518</v>
      </c>
      <c r="Y189" s="182">
        <v>49444</v>
      </c>
      <c r="Z189" s="184">
        <f>IFERROR(INDEX(Base!G:G,MATCH('Debêntures IPCA-Spread'!Y189,Base!F:F,0)),"")</f>
        <v>6.3137999999999996</v>
      </c>
      <c r="AA189" s="115"/>
      <c r="AB189" s="185">
        <v>45552</v>
      </c>
      <c r="AC189" s="186">
        <v>6.5183</v>
      </c>
      <c r="AD189" s="187">
        <f t="shared" si="10"/>
        <v>0.20450000000000035</v>
      </c>
      <c r="AE189" s="188">
        <v>0.06</v>
      </c>
      <c r="AF189" s="189">
        <v>6.6460999999999997</v>
      </c>
      <c r="AG189" s="189">
        <v>6.3723000000000001</v>
      </c>
      <c r="AH189" s="190">
        <v>1014.765786</v>
      </c>
      <c r="AI189" s="190"/>
      <c r="AJ189" s="191" t="str">
        <f t="shared" si="11"/>
        <v/>
      </c>
      <c r="AK189" s="192"/>
      <c r="AL189" s="193">
        <v>98.17</v>
      </c>
      <c r="AM189" s="194">
        <v>2285</v>
      </c>
      <c r="AN189" s="115"/>
      <c r="AO189" s="195">
        <v>-1.7571741746000001E-3</v>
      </c>
      <c r="AP189" s="196">
        <f>IF(AO189="","",AO189-AO$6)</f>
        <v>-2.2373190595300001E-3</v>
      </c>
      <c r="AQ189" s="196">
        <v>2.5734333303E-3</v>
      </c>
      <c r="AR189" s="196">
        <f>IF(AQ189="","",AQ189-AQ$6)</f>
        <v>2.79094008326E-3</v>
      </c>
      <c r="AS189" s="196"/>
      <c r="AT189" s="196" t="str">
        <f>IF(AS189="","",AS189-AS$6)</f>
        <v/>
      </c>
      <c r="AU189" s="196">
        <v>-1.8180164334E-2</v>
      </c>
      <c r="AV189" s="196">
        <f>IF(AU189="","",AU189-AU$6)</f>
        <v>-5.1115817380000001E-3</v>
      </c>
      <c r="AW189" s="196"/>
      <c r="AX189" s="196" t="str">
        <f>IF(AW189="","",AW189-AW$6)</f>
        <v/>
      </c>
      <c r="AY189" s="196"/>
      <c r="AZ189" s="196" t="str">
        <f>IF(AY189="","",AY189-AY$6)</f>
        <v/>
      </c>
      <c r="BA189" s="196"/>
      <c r="BB189" s="196" t="str">
        <f>IF(BA189="","",BA189-BA$6)</f>
        <v/>
      </c>
      <c r="BC189" s="196"/>
      <c r="BD189" s="196" t="str">
        <f>IF(BC189="","",BC189-BC$6)</f>
        <v/>
      </c>
      <c r="BE189" s="196"/>
      <c r="BF189" s="196" t="str">
        <f>IF(BE189="","",BE189-BE$6)</f>
        <v/>
      </c>
      <c r="BG189" s="196"/>
      <c r="BH189" s="196" t="str">
        <f>IF(BG189="","",BG189-BG$6)</f>
        <v/>
      </c>
      <c r="BI189" s="196"/>
      <c r="BJ189" s="196" t="str">
        <f>IF(BI189="","",BI189-BI$6)</f>
        <v/>
      </c>
      <c r="BK189" s="197"/>
      <c r="BL189" s="115"/>
      <c r="BM189" s="198">
        <v>1.1751924166000001E-2</v>
      </c>
      <c r="BN189" s="191">
        <v>-9.2472347615000002E-3</v>
      </c>
      <c r="BO189" s="191">
        <v>3.5066924765E-2</v>
      </c>
      <c r="BP189" s="191">
        <v>2.5734333303E-3</v>
      </c>
      <c r="BQ189" s="199"/>
      <c r="BR189" s="199"/>
      <c r="BS189" s="199"/>
      <c r="BT189" s="199"/>
      <c r="BU189" s="200"/>
      <c r="BV189" s="200"/>
      <c r="BW189" s="191"/>
      <c r="BX189" s="191">
        <v>7.9001585847999992E-3</v>
      </c>
      <c r="BY189" s="189"/>
      <c r="BZ189" s="191">
        <v>-1.6860146395000001E-2</v>
      </c>
      <c r="CA189" s="191">
        <v>-2.6742052156999999E-2</v>
      </c>
      <c r="CB189" s="182">
        <v>45518</v>
      </c>
      <c r="CC189" s="182">
        <v>45538</v>
      </c>
      <c r="CD189" s="201"/>
      <c r="CE189" s="202"/>
      <c r="CF189" s="116"/>
    </row>
    <row r="190" spans="2:84" ht="15.6" x14ac:dyDescent="0.3">
      <c r="B190" s="110" t="s">
        <v>1109</v>
      </c>
      <c r="C190" s="147" t="s">
        <v>1273</v>
      </c>
      <c r="D190" s="148" t="s">
        <v>1141</v>
      </c>
      <c r="E190" s="148" t="s">
        <v>234</v>
      </c>
      <c r="F190" s="149">
        <v>8902291000115</v>
      </c>
      <c r="G190" s="149" t="s">
        <v>1170</v>
      </c>
      <c r="H190" s="149" t="s">
        <v>388</v>
      </c>
      <c r="I190" s="150">
        <v>1</v>
      </c>
      <c r="J190" s="151">
        <v>1</v>
      </c>
      <c r="K190" s="151" t="s">
        <v>111</v>
      </c>
      <c r="L190" s="151" t="s">
        <v>118</v>
      </c>
      <c r="M190" s="151" t="s">
        <v>986</v>
      </c>
      <c r="N190" s="151" t="s">
        <v>109</v>
      </c>
      <c r="O190" s="152">
        <v>576448</v>
      </c>
      <c r="P190" s="153">
        <v>576448000</v>
      </c>
      <c r="Q190" s="153">
        <v>1000</v>
      </c>
      <c r="R190" s="154">
        <v>44392</v>
      </c>
      <c r="S190" s="154">
        <v>48044</v>
      </c>
      <c r="T190" s="155" t="s">
        <v>1238</v>
      </c>
      <c r="U190" s="155" t="s">
        <v>161</v>
      </c>
      <c r="V190" s="154" t="s">
        <v>105</v>
      </c>
      <c r="W190" s="154" t="s">
        <v>102</v>
      </c>
      <c r="X190" s="154" t="s">
        <v>1329</v>
      </c>
      <c r="Y190" s="154">
        <v>48441</v>
      </c>
      <c r="Z190" s="156">
        <f>IFERROR(INDEX(Base!G:G,MATCH('Debêntures IPCA-Spread'!Y190,Base!F:F,0)),"")</f>
        <v>6.3467000000000002</v>
      </c>
      <c r="AA190" s="115"/>
      <c r="AB190" s="157">
        <v>45552</v>
      </c>
      <c r="AC190" s="158">
        <v>6.9</v>
      </c>
      <c r="AD190" s="159">
        <f t="shared" si="10"/>
        <v>0.55330000000000013</v>
      </c>
      <c r="AE190" s="160">
        <v>0.1</v>
      </c>
      <c r="AF190" s="161">
        <v>7.1772999999999998</v>
      </c>
      <c r="AG190" s="161">
        <v>6.6977000000000002</v>
      </c>
      <c r="AH190" s="162">
        <v>1084.5401879999999</v>
      </c>
      <c r="AI190" s="162">
        <v>1096.239564</v>
      </c>
      <c r="AJ190" s="163">
        <f t="shared" si="11"/>
        <v>0.98932771961147714</v>
      </c>
      <c r="AK190" s="164">
        <v>45527</v>
      </c>
      <c r="AL190" s="165">
        <v>89.57</v>
      </c>
      <c r="AM190" s="166">
        <v>1446</v>
      </c>
      <c r="AN190" s="115"/>
      <c r="AO190" s="167">
        <v>3.5351708902E-4</v>
      </c>
      <c r="AP190" s="168">
        <f>IF(AO190="","",AO190-AO$6)</f>
        <v>-1.2662779590999999E-4</v>
      </c>
      <c r="AQ190" s="168">
        <v>2.1609492796E-4</v>
      </c>
      <c r="AR190" s="168">
        <f>IF(AQ190="","",AQ190-AQ$6)</f>
        <v>4.3360168092E-4</v>
      </c>
      <c r="AS190" s="168">
        <v>6.6213638874999994E-2</v>
      </c>
      <c r="AT190" s="168">
        <f>IF(AS190="","",AS190-AS$6)</f>
        <v>5.1487803819999997E-2</v>
      </c>
      <c r="AU190" s="168">
        <v>2.3362061638E-3</v>
      </c>
      <c r="AV190" s="168">
        <f>IF(AU190="","",AU190-AU$6)</f>
        <v>1.54047887598E-2</v>
      </c>
      <c r="AW190" s="168">
        <v>4.2941296956999997E-2</v>
      </c>
      <c r="AX190" s="168">
        <f>IF(AW190="","",AW190-AW$6)</f>
        <v>1.8946229168999996E-2</v>
      </c>
      <c r="AY190" s="168">
        <v>2.8740958422000001E-2</v>
      </c>
      <c r="AZ190" s="168">
        <f>IF(AY190="","",AY190-AY$6)</f>
        <v>1.4498703632000001E-2</v>
      </c>
      <c r="BA190" s="168">
        <v>9.7599157702000006E-2</v>
      </c>
      <c r="BB190" s="168">
        <f>IF(BA190="","",BA190-BA$6)</f>
        <v>4.4112193144000007E-2</v>
      </c>
      <c r="BC190" s="168">
        <v>0.22132054132000001</v>
      </c>
      <c r="BD190" s="168">
        <f>IF(BC190="","",BC190-BC$6)</f>
        <v>2.7011974830000007E-2</v>
      </c>
      <c r="BE190" s="168"/>
      <c r="BF190" s="168" t="str">
        <f>IF(BE190="","",BE190-BE$6)</f>
        <v/>
      </c>
      <c r="BG190" s="168"/>
      <c r="BH190" s="168" t="str">
        <f>IF(BG190="","",BG190-BG$6)</f>
        <v/>
      </c>
      <c r="BI190" s="168"/>
      <c r="BJ190" s="168" t="str">
        <f>IF(BI190="","",BI190-BI$6)</f>
        <v/>
      </c>
      <c r="BK190" s="169">
        <v>6.0369949295999996</v>
      </c>
      <c r="BL190" s="115"/>
      <c r="BM190" s="170">
        <v>1.4011519433E-2</v>
      </c>
      <c r="BN190" s="163">
        <v>-1.2990382684999999E-2</v>
      </c>
      <c r="BO190" s="163">
        <v>2.891419709E-2</v>
      </c>
      <c r="BP190" s="163">
        <v>-2.4614771454000001E-2</v>
      </c>
      <c r="BQ190" s="171">
        <v>10</v>
      </c>
      <c r="BR190" s="171">
        <v>2</v>
      </c>
      <c r="BS190" s="171">
        <v>6</v>
      </c>
      <c r="BT190" s="171">
        <v>6</v>
      </c>
      <c r="BU190" s="172">
        <v>-0.18130460676999999</v>
      </c>
      <c r="BV190" s="172">
        <v>-0.34001878354999998</v>
      </c>
      <c r="BW190" s="163">
        <v>6.2424633851999997E-3</v>
      </c>
      <c r="BX190" s="163">
        <v>5.4011994342000004E-3</v>
      </c>
      <c r="BY190" s="161">
        <v>-1.9896122252999999</v>
      </c>
      <c r="BZ190" s="163">
        <v>-2.9454024610000001E-2</v>
      </c>
      <c r="CA190" s="163">
        <v>-2.9454024610000001E-2</v>
      </c>
      <c r="CB190" s="154">
        <v>45377</v>
      </c>
      <c r="CC190" s="154">
        <v>45455</v>
      </c>
      <c r="CD190" s="173">
        <v>74</v>
      </c>
      <c r="CE190" s="174">
        <v>45484</v>
      </c>
      <c r="CF190" s="116"/>
    </row>
    <row r="191" spans="2:84" ht="15.6" x14ac:dyDescent="0.3">
      <c r="B191" s="98" t="s">
        <v>1110</v>
      </c>
      <c r="C191" s="175" t="s">
        <v>1274</v>
      </c>
      <c r="D191" s="176" t="s">
        <v>1141</v>
      </c>
      <c r="E191" s="176" t="s">
        <v>234</v>
      </c>
      <c r="F191" s="177">
        <v>8902291000115</v>
      </c>
      <c r="G191" s="177" t="s">
        <v>1171</v>
      </c>
      <c r="H191" s="177" t="s">
        <v>388</v>
      </c>
      <c r="I191" s="178">
        <v>1</v>
      </c>
      <c r="J191" s="179">
        <v>2</v>
      </c>
      <c r="K191" s="179" t="s">
        <v>111</v>
      </c>
      <c r="L191" s="179" t="s">
        <v>118</v>
      </c>
      <c r="M191" s="179" t="s">
        <v>986</v>
      </c>
      <c r="N191" s="179" t="s">
        <v>109</v>
      </c>
      <c r="O191" s="180">
        <v>423552</v>
      </c>
      <c r="P191" s="181">
        <v>423552000</v>
      </c>
      <c r="Q191" s="181">
        <v>1000</v>
      </c>
      <c r="R191" s="182">
        <v>44392</v>
      </c>
      <c r="S191" s="182">
        <v>49871</v>
      </c>
      <c r="T191" s="183" t="s">
        <v>1226</v>
      </c>
      <c r="U191" s="183" t="s">
        <v>1213</v>
      </c>
      <c r="V191" s="182" t="s">
        <v>105</v>
      </c>
      <c r="W191" s="182" t="s">
        <v>102</v>
      </c>
      <c r="X191" s="182" t="s">
        <v>1330</v>
      </c>
      <c r="Y191" s="182">
        <v>49444</v>
      </c>
      <c r="Z191" s="184">
        <f>IFERROR(INDEX(Base!G:G,MATCH('Debêntures IPCA-Spread'!Y191,Base!F:F,0)),"")</f>
        <v>6.3137999999999996</v>
      </c>
      <c r="AA191" s="115"/>
      <c r="AB191" s="185">
        <v>45552</v>
      </c>
      <c r="AC191" s="186">
        <v>7.1378000000000004</v>
      </c>
      <c r="AD191" s="187">
        <f t="shared" si="10"/>
        <v>0.82400000000000073</v>
      </c>
      <c r="AE191" s="188">
        <v>0.21</v>
      </c>
      <c r="AF191" s="189"/>
      <c r="AG191" s="189"/>
      <c r="AH191" s="190">
        <v>1033.2623369999999</v>
      </c>
      <c r="AI191" s="190">
        <v>1050.3835999999999</v>
      </c>
      <c r="AJ191" s="191">
        <f t="shared" ref="AJ191:AJ254" si="12">IFERROR(AH191/AI191,"")</f>
        <v>0.98369999017501797</v>
      </c>
      <c r="AK191" s="192">
        <v>45525</v>
      </c>
      <c r="AL191" s="193">
        <v>85.31</v>
      </c>
      <c r="AM191" s="194">
        <v>1976</v>
      </c>
      <c r="AN191" s="115"/>
      <c r="AO191" s="195">
        <v>-6.2159844465000001E-3</v>
      </c>
      <c r="AP191" s="196">
        <f>IF(AO191="","",AO191-AO$6)</f>
        <v>-6.6961293314300001E-3</v>
      </c>
      <c r="AQ191" s="196">
        <v>1.8795656797E-3</v>
      </c>
      <c r="AR191" s="196">
        <f>IF(AQ191="","",AQ191-AQ$6)</f>
        <v>2.09707243266E-3</v>
      </c>
      <c r="AS191" s="196">
        <v>8.6828259497999993E-2</v>
      </c>
      <c r="AT191" s="196">
        <f>IF(AS191="","",AS191-AS$6)</f>
        <v>7.2102424442999996E-2</v>
      </c>
      <c r="AU191" s="196">
        <v>-6.7838625428000001E-3</v>
      </c>
      <c r="AV191" s="196">
        <f>IF(AU191="","",AU191-AU$6)</f>
        <v>6.2847200531999997E-3</v>
      </c>
      <c r="AW191" s="196">
        <v>4.6289381912999999E-2</v>
      </c>
      <c r="AX191" s="196">
        <f>IF(AW191="","",AW191-AW$6)</f>
        <v>2.2294314124999999E-2</v>
      </c>
      <c r="AY191" s="196">
        <v>4.6964196373999997E-2</v>
      </c>
      <c r="AZ191" s="196">
        <f>IF(AY191="","",AY191-AY$6)</f>
        <v>3.2721941583999999E-2</v>
      </c>
      <c r="BA191" s="196">
        <v>0.15266250141000001</v>
      </c>
      <c r="BB191" s="196">
        <f>IF(BA191="","",BA191-BA$6)</f>
        <v>9.9175536852000007E-2</v>
      </c>
      <c r="BC191" s="196">
        <v>0.20426020858999999</v>
      </c>
      <c r="BD191" s="196">
        <f>IF(BC191="","",BC191-BC$6)</f>
        <v>9.9516420999999911E-3</v>
      </c>
      <c r="BE191" s="196"/>
      <c r="BF191" s="196" t="str">
        <f>IF(BE191="","",BE191-BE$6)</f>
        <v/>
      </c>
      <c r="BG191" s="196"/>
      <c r="BH191" s="196" t="str">
        <f>IF(BG191="","",BG191-BG$6)</f>
        <v/>
      </c>
      <c r="BI191" s="196"/>
      <c r="BJ191" s="196" t="str">
        <f>IF(BI191="","",BI191-BI$6)</f>
        <v/>
      </c>
      <c r="BK191" s="197">
        <v>9.0366149520000008</v>
      </c>
      <c r="BL191" s="115"/>
      <c r="BM191" s="198">
        <v>1.8352304994999999E-2</v>
      </c>
      <c r="BN191" s="191">
        <v>-1.6861854405000001E-2</v>
      </c>
      <c r="BO191" s="191">
        <v>3.2916154782000002E-2</v>
      </c>
      <c r="BP191" s="191">
        <v>-2.2610971975000001E-2</v>
      </c>
      <c r="BQ191" s="199">
        <v>10</v>
      </c>
      <c r="BR191" s="199">
        <v>2</v>
      </c>
      <c r="BS191" s="199">
        <v>7</v>
      </c>
      <c r="BT191" s="199">
        <v>5</v>
      </c>
      <c r="BU191" s="200">
        <v>0.45401659214000001</v>
      </c>
      <c r="BV191" s="200">
        <v>-0.23713119821</v>
      </c>
      <c r="BW191" s="191">
        <v>9.3381224212999991E-3</v>
      </c>
      <c r="BX191" s="191">
        <v>9.0805049950000005E-3</v>
      </c>
      <c r="BY191" s="189">
        <v>3.7544607801000001</v>
      </c>
      <c r="BZ191" s="191">
        <v>-3.4717411103000001E-2</v>
      </c>
      <c r="CA191" s="191">
        <v>-3.4717411103000001E-2</v>
      </c>
      <c r="CB191" s="182">
        <v>45280</v>
      </c>
      <c r="CC191" s="182">
        <v>45300</v>
      </c>
      <c r="CD191" s="201">
        <v>29</v>
      </c>
      <c r="CE191" s="202">
        <v>45323</v>
      </c>
      <c r="CF191" s="116"/>
    </row>
    <row r="192" spans="2:84" ht="15.6" x14ac:dyDescent="0.3">
      <c r="B192" s="110" t="s">
        <v>1431</v>
      </c>
      <c r="C192" s="147" t="s">
        <v>2077</v>
      </c>
      <c r="D192" s="148" t="s">
        <v>1141</v>
      </c>
      <c r="E192" s="148" t="s">
        <v>234</v>
      </c>
      <c r="F192" s="149">
        <v>8902291000115</v>
      </c>
      <c r="G192" s="149" t="s">
        <v>1790</v>
      </c>
      <c r="H192" s="149" t="s">
        <v>388</v>
      </c>
      <c r="I192" s="150">
        <v>2</v>
      </c>
      <c r="J192" s="151">
        <v>1</v>
      </c>
      <c r="K192" s="151" t="s">
        <v>111</v>
      </c>
      <c r="L192" s="151" t="s">
        <v>125</v>
      </c>
      <c r="M192" s="151" t="s">
        <v>986</v>
      </c>
      <c r="N192" s="151" t="s">
        <v>109</v>
      </c>
      <c r="O192" s="152">
        <v>745000</v>
      </c>
      <c r="P192" s="153">
        <v>745000000</v>
      </c>
      <c r="Q192" s="153">
        <v>1000</v>
      </c>
      <c r="R192" s="154">
        <v>44754</v>
      </c>
      <c r="S192" s="154">
        <v>48410</v>
      </c>
      <c r="T192" s="155" t="s">
        <v>1992</v>
      </c>
      <c r="U192" s="155" t="s">
        <v>113</v>
      </c>
      <c r="V192" s="154" t="s">
        <v>105</v>
      </c>
      <c r="W192" s="154" t="s">
        <v>102</v>
      </c>
      <c r="X192" s="154" t="s">
        <v>1568</v>
      </c>
      <c r="Y192" s="154">
        <v>48441</v>
      </c>
      <c r="Z192" s="156">
        <f>IFERROR(INDEX(Base!G:G,MATCH('Debêntures IPCA-Spread'!Y192,Base!F:F,0)),"")</f>
        <v>6.3467000000000002</v>
      </c>
      <c r="AA192" s="115"/>
      <c r="AB192" s="157">
        <v>45552</v>
      </c>
      <c r="AC192" s="158">
        <v>6.8914</v>
      </c>
      <c r="AD192" s="159">
        <f t="shared" si="10"/>
        <v>0.54469999999999974</v>
      </c>
      <c r="AE192" s="160">
        <v>7.0000000000000007E-2</v>
      </c>
      <c r="AF192" s="161">
        <v>7.1954000000000002</v>
      </c>
      <c r="AG192" s="161">
        <v>6.7363</v>
      </c>
      <c r="AH192" s="162">
        <v>1098.9702050000001</v>
      </c>
      <c r="AI192" s="162">
        <v>1110.6996409999999</v>
      </c>
      <c r="AJ192" s="163">
        <f t="shared" si="12"/>
        <v>0.98943959683876426</v>
      </c>
      <c r="AK192" s="164">
        <v>45527</v>
      </c>
      <c r="AL192" s="165">
        <v>99.93</v>
      </c>
      <c r="AM192" s="166">
        <v>1537</v>
      </c>
      <c r="AN192" s="115"/>
      <c r="AO192" s="167">
        <v>1.5477868873E-3</v>
      </c>
      <c r="AP192" s="168">
        <f>IF(AO192="","",AO192-AO$6)</f>
        <v>1.06764200237E-3</v>
      </c>
      <c r="AQ192" s="168">
        <v>1.9796356537E-4</v>
      </c>
      <c r="AR192" s="168">
        <f>IF(AQ192="","",AQ192-AQ$6)</f>
        <v>4.1547031832999998E-4</v>
      </c>
      <c r="AS192" s="168">
        <v>7.1615754699E-2</v>
      </c>
      <c r="AT192" s="168">
        <f>IF(AS192="","",AS192-AS$6)</f>
        <v>5.6889919644000003E-2</v>
      </c>
      <c r="AU192" s="168">
        <v>-7.2302858179999997E-3</v>
      </c>
      <c r="AV192" s="168">
        <f>IF(AU192="","",AU192-AU$6)</f>
        <v>5.8382967780000001E-3</v>
      </c>
      <c r="AW192" s="168">
        <v>4.4023856721000003E-2</v>
      </c>
      <c r="AX192" s="168">
        <f>IF(AW192="","",AW192-AW$6)</f>
        <v>2.0028788933000002E-2</v>
      </c>
      <c r="AY192" s="168">
        <v>2.9716271358E-2</v>
      </c>
      <c r="AZ192" s="168">
        <f>IF(AY192="","",AY192-AY$6)</f>
        <v>1.5474016568E-2</v>
      </c>
      <c r="BA192" s="168">
        <v>0.10214443964</v>
      </c>
      <c r="BB192" s="168">
        <f>IF(BA192="","",BA192-BA$6)</f>
        <v>4.8657475082000003E-2</v>
      </c>
      <c r="BC192" s="168">
        <v>0.22056540837999999</v>
      </c>
      <c r="BD192" s="168">
        <f>IF(BC192="","",BC192-BC$6)</f>
        <v>2.6256841889999993E-2</v>
      </c>
      <c r="BE192" s="168"/>
      <c r="BF192" s="168" t="str">
        <f>IF(BE192="","",BE192-BE$6)</f>
        <v/>
      </c>
      <c r="BG192" s="168"/>
      <c r="BH192" s="168" t="str">
        <f>IF(BG192="","",BG192-BG$6)</f>
        <v/>
      </c>
      <c r="BI192" s="168"/>
      <c r="BJ192" s="168" t="str">
        <f>IF(BI192="","",BI192-BI$6)</f>
        <v/>
      </c>
      <c r="BK192" s="169">
        <v>6.1269556257</v>
      </c>
      <c r="BL192" s="115"/>
      <c r="BM192" s="170">
        <v>1.1503186746E-2</v>
      </c>
      <c r="BN192" s="163">
        <v>-1.1752290311E-2</v>
      </c>
      <c r="BO192" s="163">
        <v>3.5573740953999997E-2</v>
      </c>
      <c r="BP192" s="163">
        <v>-2.1179764324999999E-2</v>
      </c>
      <c r="BQ192" s="171">
        <v>9</v>
      </c>
      <c r="BR192" s="171">
        <v>3</v>
      </c>
      <c r="BS192" s="171">
        <v>7</v>
      </c>
      <c r="BT192" s="171">
        <v>5</v>
      </c>
      <c r="BU192" s="172">
        <v>-0.11099920805999999</v>
      </c>
      <c r="BV192" s="172"/>
      <c r="BW192" s="163">
        <v>6.3326379389999996E-3</v>
      </c>
      <c r="BX192" s="163">
        <v>4.4969240686999999E-3</v>
      </c>
      <c r="BY192" s="161">
        <v>-1.5388882091</v>
      </c>
      <c r="BZ192" s="163">
        <v>-3.3394287363999998E-2</v>
      </c>
      <c r="CA192" s="163">
        <v>-3.3394287363999998E-2</v>
      </c>
      <c r="CB192" s="154">
        <v>45357</v>
      </c>
      <c r="CC192" s="154">
        <v>45475</v>
      </c>
      <c r="CD192" s="173">
        <v>91</v>
      </c>
      <c r="CE192" s="174">
        <v>45489</v>
      </c>
      <c r="CF192" s="116"/>
    </row>
    <row r="193" spans="2:84" ht="15.6" x14ac:dyDescent="0.3">
      <c r="B193" s="98" t="s">
        <v>1432</v>
      </c>
      <c r="C193" s="175" t="s">
        <v>2078</v>
      </c>
      <c r="D193" s="176" t="s">
        <v>1141</v>
      </c>
      <c r="E193" s="176" t="s">
        <v>234</v>
      </c>
      <c r="F193" s="177">
        <v>8902291000115</v>
      </c>
      <c r="G193" s="177" t="s">
        <v>1791</v>
      </c>
      <c r="H193" s="177" t="s">
        <v>388</v>
      </c>
      <c r="I193" s="178">
        <v>2</v>
      </c>
      <c r="J193" s="179">
        <v>2</v>
      </c>
      <c r="K193" s="179" t="s">
        <v>111</v>
      </c>
      <c r="L193" s="179" t="s">
        <v>125</v>
      </c>
      <c r="M193" s="179" t="s">
        <v>986</v>
      </c>
      <c r="N193" s="179" t="s">
        <v>109</v>
      </c>
      <c r="O193" s="180">
        <v>665000</v>
      </c>
      <c r="P193" s="181">
        <v>665000000</v>
      </c>
      <c r="Q193" s="181">
        <v>1000</v>
      </c>
      <c r="R193" s="182">
        <v>44754</v>
      </c>
      <c r="S193" s="182">
        <v>50236</v>
      </c>
      <c r="T193" s="183" t="s">
        <v>1992</v>
      </c>
      <c r="U193" s="183" t="s">
        <v>1683</v>
      </c>
      <c r="V193" s="182" t="s">
        <v>105</v>
      </c>
      <c r="W193" s="182" t="s">
        <v>102</v>
      </c>
      <c r="X193" s="182" t="s">
        <v>1569</v>
      </c>
      <c r="Y193" s="182">
        <v>49444</v>
      </c>
      <c r="Z193" s="184">
        <f>IFERROR(INDEX(Base!G:G,MATCH('Debêntures IPCA-Spread'!Y193,Base!F:F,0)),"")</f>
        <v>6.3137999999999996</v>
      </c>
      <c r="AA193" s="115"/>
      <c r="AB193" s="185">
        <v>45552</v>
      </c>
      <c r="AC193" s="186">
        <v>7.1402000000000001</v>
      </c>
      <c r="AD193" s="187">
        <f t="shared" si="10"/>
        <v>0.82640000000000047</v>
      </c>
      <c r="AE193" s="188">
        <v>0.12</v>
      </c>
      <c r="AF193" s="189">
        <v>7.4981</v>
      </c>
      <c r="AG193" s="189"/>
      <c r="AH193" s="190">
        <v>1094.0011790000001</v>
      </c>
      <c r="AI193" s="190">
        <v>1121.4362739999999</v>
      </c>
      <c r="AJ193" s="191">
        <f t="shared" si="12"/>
        <v>0.97553575210997689</v>
      </c>
      <c r="AK193" s="192">
        <v>45517</v>
      </c>
      <c r="AL193" s="193">
        <v>99.45</v>
      </c>
      <c r="AM193" s="194">
        <v>2040</v>
      </c>
      <c r="AN193" s="115"/>
      <c r="AO193" s="195">
        <v>-1.7578532515000001E-3</v>
      </c>
      <c r="AP193" s="196">
        <f>IF(AO193="","",AO193-AO$6)</f>
        <v>-2.2379981364299998E-3</v>
      </c>
      <c r="AQ193" s="196">
        <v>-6.0084378855999995E-4</v>
      </c>
      <c r="AR193" s="196">
        <f>IF(AQ193="","",AQ193-AQ$6)</f>
        <v>-3.8333703559999992E-4</v>
      </c>
      <c r="AS193" s="196">
        <v>6.5612645612000003E-2</v>
      </c>
      <c r="AT193" s="196">
        <f>IF(AS193="","",AS193-AS$6)</f>
        <v>5.0886810557000006E-2</v>
      </c>
      <c r="AU193" s="196">
        <v>-2.2451605005999999E-2</v>
      </c>
      <c r="AV193" s="196">
        <f>IF(AU193="","",AU193-AU$6)</f>
        <v>-9.3830224099999988E-3</v>
      </c>
      <c r="AW193" s="196">
        <v>4.5760003553E-2</v>
      </c>
      <c r="AX193" s="196">
        <f>IF(AW193="","",AW193-AW$6)</f>
        <v>2.1764935765E-2</v>
      </c>
      <c r="AY193" s="196">
        <v>4.030063951E-2</v>
      </c>
      <c r="AZ193" s="196">
        <f>IF(AY193="","",AY193-AY$6)</f>
        <v>2.6058384720000001E-2</v>
      </c>
      <c r="BA193" s="196">
        <v>0.12174376717</v>
      </c>
      <c r="BB193" s="196">
        <f>IF(BA193="","",BA193-BA$6)</f>
        <v>6.8256802612000012E-2</v>
      </c>
      <c r="BC193" s="196">
        <v>0.21295247579000001</v>
      </c>
      <c r="BD193" s="196">
        <f>IF(BC193="","",BC193-BC$6)</f>
        <v>1.8643909300000011E-2</v>
      </c>
      <c r="BE193" s="196"/>
      <c r="BF193" s="196" t="str">
        <f>IF(BE193="","",BE193-BE$6)</f>
        <v/>
      </c>
      <c r="BG193" s="196"/>
      <c r="BH193" s="196" t="str">
        <f>IF(BG193="","",BG193-BG$6)</f>
        <v/>
      </c>
      <c r="BI193" s="196"/>
      <c r="BJ193" s="196" t="str">
        <f>IF(BI193="","",BI193-BI$6)</f>
        <v/>
      </c>
      <c r="BK193" s="197">
        <v>8.8730274044000002</v>
      </c>
      <c r="BL193" s="115"/>
      <c r="BM193" s="198">
        <v>2.1369089462000002E-2</v>
      </c>
      <c r="BN193" s="191">
        <v>-2.1079533064999999E-2</v>
      </c>
      <c r="BO193" s="191">
        <v>4.4972620253000001E-2</v>
      </c>
      <c r="BP193" s="191">
        <v>-2.0289807423999998E-2</v>
      </c>
      <c r="BQ193" s="199">
        <v>8</v>
      </c>
      <c r="BR193" s="199">
        <v>4</v>
      </c>
      <c r="BS193" s="199">
        <v>5</v>
      </c>
      <c r="BT193" s="199">
        <v>7</v>
      </c>
      <c r="BU193" s="200">
        <v>0.14576034897000001</v>
      </c>
      <c r="BV193" s="200"/>
      <c r="BW193" s="191">
        <v>9.1793229535999995E-3</v>
      </c>
      <c r="BX193" s="191">
        <v>7.3415812298E-3</v>
      </c>
      <c r="BY193" s="189">
        <v>0.57231367355999996</v>
      </c>
      <c r="BZ193" s="191">
        <v>-3.4348388482000003E-2</v>
      </c>
      <c r="CA193" s="191">
        <v>-3.4348388482000003E-2</v>
      </c>
      <c r="CB193" s="182">
        <v>45287</v>
      </c>
      <c r="CC193" s="182">
        <v>45309</v>
      </c>
      <c r="CD193" s="201">
        <v>28</v>
      </c>
      <c r="CE193" s="202">
        <v>45328</v>
      </c>
      <c r="CF193" s="116"/>
    </row>
    <row r="194" spans="2:84" ht="15.6" x14ac:dyDescent="0.3">
      <c r="B194" s="110" t="s">
        <v>520</v>
      </c>
      <c r="C194" s="147" t="s">
        <v>685</v>
      </c>
      <c r="D194" s="148" t="s">
        <v>623</v>
      </c>
      <c r="E194" s="148" t="s">
        <v>104</v>
      </c>
      <c r="F194" s="149">
        <v>10979076000164</v>
      </c>
      <c r="G194" s="149" t="s">
        <v>840</v>
      </c>
      <c r="H194" s="149" t="s">
        <v>388</v>
      </c>
      <c r="I194" s="150">
        <v>1</v>
      </c>
      <c r="J194" s="151" t="s">
        <v>107</v>
      </c>
      <c r="K194" s="151" t="s">
        <v>126</v>
      </c>
      <c r="L194" s="151" t="s">
        <v>124</v>
      </c>
      <c r="M194" s="151" t="s">
        <v>106</v>
      </c>
      <c r="N194" s="151" t="s">
        <v>109</v>
      </c>
      <c r="O194" s="152">
        <v>360000</v>
      </c>
      <c r="P194" s="153">
        <v>360000000</v>
      </c>
      <c r="Q194" s="153">
        <v>1000</v>
      </c>
      <c r="R194" s="154">
        <v>43544</v>
      </c>
      <c r="S194" s="154">
        <v>48197</v>
      </c>
      <c r="T194" s="155" t="s">
        <v>769</v>
      </c>
      <c r="U194" s="155" t="s">
        <v>923</v>
      </c>
      <c r="V194" s="154" t="s">
        <v>194</v>
      </c>
      <c r="W194" s="154" t="s">
        <v>102</v>
      </c>
      <c r="X194" s="154" t="s">
        <v>968</v>
      </c>
      <c r="Y194" s="154">
        <v>46980</v>
      </c>
      <c r="Z194" s="156">
        <f>IFERROR(INDEX(Base!G:G,MATCH('Debêntures IPCA-Spread'!Y194,Base!F:F,0)),"")</f>
        <v>6.4702000000000002</v>
      </c>
      <c r="AA194" s="115"/>
      <c r="AB194" s="157">
        <v>45552</v>
      </c>
      <c r="AC194" s="158">
        <v>6.3650000000000002</v>
      </c>
      <c r="AD194" s="159">
        <f t="shared" si="10"/>
        <v>-0.10519999999999996</v>
      </c>
      <c r="AE194" s="160">
        <v>0.26</v>
      </c>
      <c r="AF194" s="161">
        <v>6.5871000000000004</v>
      </c>
      <c r="AG194" s="161">
        <v>6.2363</v>
      </c>
      <c r="AH194" s="162">
        <v>958.79883900000004</v>
      </c>
      <c r="AI194" s="162">
        <v>962.04988500000002</v>
      </c>
      <c r="AJ194" s="163">
        <f t="shared" si="12"/>
        <v>0.99662070953836246</v>
      </c>
      <c r="AK194" s="164">
        <v>45544</v>
      </c>
      <c r="AL194" s="165">
        <v>98.41</v>
      </c>
      <c r="AM194" s="166">
        <v>886</v>
      </c>
      <c r="AN194" s="115"/>
      <c r="AO194" s="167">
        <v>-8.1989350656000003E-4</v>
      </c>
      <c r="AP194" s="168">
        <f>IF(AO194="","",AO194-AO$6)</f>
        <v>-1.30003839149E-3</v>
      </c>
      <c r="AQ194" s="168">
        <v>6.6380320349999997E-3</v>
      </c>
      <c r="AR194" s="168">
        <f>IF(AQ194="","",AQ194-AQ$6)</f>
        <v>6.8555387879599998E-3</v>
      </c>
      <c r="AS194" s="168">
        <v>6.3576918736999999E-2</v>
      </c>
      <c r="AT194" s="168">
        <f>IF(AS194="","",AS194-AS$6)</f>
        <v>4.8851083682000002E-2</v>
      </c>
      <c r="AU194" s="168">
        <v>-8.9964677499999998E-4</v>
      </c>
      <c r="AV194" s="168">
        <f>IF(AU194="","",AU194-AU$6)</f>
        <v>1.2168935820999999E-2</v>
      </c>
      <c r="AW194" s="168">
        <v>3.5769746555000002E-2</v>
      </c>
      <c r="AX194" s="168">
        <f>IF(AW194="","",AW194-AW$6)</f>
        <v>1.1774678767000002E-2</v>
      </c>
      <c r="AY194" s="168">
        <v>3.1271570411000003E-2</v>
      </c>
      <c r="AZ194" s="168">
        <f>IF(AY194="","",AY194-AY$6)</f>
        <v>1.7029315621000005E-2</v>
      </c>
      <c r="BA194" s="168">
        <v>9.4508658982000004E-2</v>
      </c>
      <c r="BB194" s="168">
        <f>IF(BA194="","",BA194-BA$6)</f>
        <v>4.1021694424000006E-2</v>
      </c>
      <c r="BC194" s="168">
        <v>0.25440003796999999</v>
      </c>
      <c r="BD194" s="168">
        <f>IF(BC194="","",BC194-BC$6)</f>
        <v>6.0091471479999992E-2</v>
      </c>
      <c r="BE194" s="168">
        <v>0.34855435049</v>
      </c>
      <c r="BF194" s="168">
        <f>IF(BE194="","",BE194-BE$6)</f>
        <v>8.6835010950000013E-2</v>
      </c>
      <c r="BG194" s="168">
        <v>0.52311247124000004</v>
      </c>
      <c r="BH194" s="168">
        <f>IF(BG194="","",BG194-BG$6)</f>
        <v>0.21419582243000002</v>
      </c>
      <c r="BI194" s="168"/>
      <c r="BJ194" s="168" t="str">
        <f>IF(BI194="","",BI194-BI$6)</f>
        <v/>
      </c>
      <c r="BK194" s="169">
        <v>4.1532825996999998</v>
      </c>
      <c r="BL194" s="115"/>
      <c r="BM194" s="170">
        <v>1.1317402444000001E-2</v>
      </c>
      <c r="BN194" s="163">
        <v>-8.3994471151999997E-3</v>
      </c>
      <c r="BO194" s="163">
        <v>2.4638877230000002E-2</v>
      </c>
      <c r="BP194" s="163">
        <v>-1.3462917527999999E-2</v>
      </c>
      <c r="BQ194" s="171">
        <v>9</v>
      </c>
      <c r="BR194" s="171">
        <v>3</v>
      </c>
      <c r="BS194" s="171">
        <v>7</v>
      </c>
      <c r="BT194" s="171">
        <v>5</v>
      </c>
      <c r="BU194" s="172">
        <v>-0.35340738867999999</v>
      </c>
      <c r="BV194" s="172">
        <v>-0.37394896571000003</v>
      </c>
      <c r="BW194" s="163">
        <v>4.2930615828E-3</v>
      </c>
      <c r="BX194" s="163">
        <v>3.8807507362999998E-3</v>
      </c>
      <c r="BY194" s="161">
        <v>-2.1591075549999998</v>
      </c>
      <c r="BZ194" s="163">
        <v>-1.9193322352000001E-2</v>
      </c>
      <c r="CA194" s="163">
        <v>-1.9193322352000001E-2</v>
      </c>
      <c r="CB194" s="154">
        <v>45391</v>
      </c>
      <c r="CC194" s="154">
        <v>45399</v>
      </c>
      <c r="CD194" s="173">
        <v>63</v>
      </c>
      <c r="CE194" s="174">
        <v>45482</v>
      </c>
      <c r="CF194" s="116"/>
    </row>
    <row r="195" spans="2:84" ht="15.6" x14ac:dyDescent="0.3">
      <c r="B195" s="98" t="s">
        <v>2257</v>
      </c>
      <c r="C195" s="175" t="s">
        <v>2642</v>
      </c>
      <c r="D195" s="176" t="s">
        <v>2855</v>
      </c>
      <c r="E195" s="176" t="s">
        <v>1965</v>
      </c>
      <c r="F195" s="177">
        <v>8170849000115</v>
      </c>
      <c r="G195" s="177" t="s">
        <v>2392</v>
      </c>
      <c r="H195" s="177" t="s">
        <v>388</v>
      </c>
      <c r="I195" s="178">
        <v>7</v>
      </c>
      <c r="J195" s="179" t="s">
        <v>107</v>
      </c>
      <c r="K195" s="179" t="s">
        <v>126</v>
      </c>
      <c r="L195" s="179" t="s">
        <v>2466</v>
      </c>
      <c r="M195" s="179" t="s">
        <v>118</v>
      </c>
      <c r="N195" s="179" t="s">
        <v>109</v>
      </c>
      <c r="O195" s="180">
        <v>375000</v>
      </c>
      <c r="P195" s="181">
        <v>375000000</v>
      </c>
      <c r="Q195" s="181">
        <v>1000</v>
      </c>
      <c r="R195" s="182">
        <v>45458</v>
      </c>
      <c r="S195" s="182">
        <v>48014</v>
      </c>
      <c r="T195" s="183" t="s">
        <v>2819</v>
      </c>
      <c r="U195" s="183" t="s">
        <v>1715</v>
      </c>
      <c r="V195" s="182" t="s">
        <v>105</v>
      </c>
      <c r="W195" s="182" t="s">
        <v>102</v>
      </c>
      <c r="X195" s="182" t="s">
        <v>2519</v>
      </c>
      <c r="Y195" s="182">
        <v>47710</v>
      </c>
      <c r="Z195" s="184">
        <f>IFERROR(INDEX(Base!G:G,MATCH('Debêntures IPCA-Spread'!Y195,Base!F:F,0)),"")</f>
        <v>6.3273999999999999</v>
      </c>
      <c r="AA195" s="115"/>
      <c r="AB195" s="185">
        <v>45552</v>
      </c>
      <c r="AC195" s="186">
        <v>7.1746999999999996</v>
      </c>
      <c r="AD195" s="187">
        <f t="shared" si="10"/>
        <v>0.84729999999999972</v>
      </c>
      <c r="AE195" s="188">
        <v>0.1</v>
      </c>
      <c r="AF195" s="189">
        <v>7.3326000000000002</v>
      </c>
      <c r="AG195" s="189">
        <v>6.9947999999999997</v>
      </c>
      <c r="AH195" s="190">
        <v>1028.9962559999999</v>
      </c>
      <c r="AI195" s="190"/>
      <c r="AJ195" s="191" t="str">
        <f t="shared" si="12"/>
        <v/>
      </c>
      <c r="AK195" s="192"/>
      <c r="AL195" s="193">
        <v>101.17</v>
      </c>
      <c r="AM195" s="194">
        <v>1182</v>
      </c>
      <c r="AN195" s="115"/>
      <c r="AO195" s="195">
        <v>3.3939043169000001E-4</v>
      </c>
      <c r="AP195" s="196">
        <f>IF(AO195="","",AO195-AO$6)</f>
        <v>-1.4075445323999999E-4</v>
      </c>
      <c r="AQ195" s="196">
        <v>4.4044234709999998E-4</v>
      </c>
      <c r="AR195" s="196">
        <f>IF(AQ195="","",AQ195-AQ$6)</f>
        <v>6.5794910006000001E-4</v>
      </c>
      <c r="AS195" s="196"/>
      <c r="AT195" s="196" t="str">
        <f>IF(AS195="","",AS195-AS$6)</f>
        <v/>
      </c>
      <c r="AU195" s="196"/>
      <c r="AV195" s="196" t="str">
        <f>IF(AU195="","",AU195-AU$6)</f>
        <v/>
      </c>
      <c r="AW195" s="196"/>
      <c r="AX195" s="196" t="str">
        <f>IF(AW195="","",AW195-AW$6)</f>
        <v/>
      </c>
      <c r="AY195" s="196"/>
      <c r="AZ195" s="196" t="str">
        <f>IF(AY195="","",AY195-AY$6)</f>
        <v/>
      </c>
      <c r="BA195" s="196"/>
      <c r="BB195" s="196" t="str">
        <f>IF(BA195="","",BA195-BA$6)</f>
        <v/>
      </c>
      <c r="BC195" s="196"/>
      <c r="BD195" s="196" t="str">
        <f>IF(BC195="","",BC195-BC$6)</f>
        <v/>
      </c>
      <c r="BE195" s="196"/>
      <c r="BF195" s="196" t="str">
        <f>IF(BE195="","",BE195-BE$6)</f>
        <v/>
      </c>
      <c r="BG195" s="196"/>
      <c r="BH195" s="196" t="str">
        <f>IF(BG195="","",BG195-BG$6)</f>
        <v/>
      </c>
      <c r="BI195" s="196"/>
      <c r="BJ195" s="196" t="str">
        <f>IF(BI195="","",BI195-BI$6)</f>
        <v/>
      </c>
      <c r="BK195" s="197"/>
      <c r="BL195" s="115"/>
      <c r="BM195" s="198">
        <v>3.1133938991999999E-3</v>
      </c>
      <c r="BN195" s="191">
        <v>-4.5711784787000002E-3</v>
      </c>
      <c r="BO195" s="191">
        <v>4.4044234709999998E-4</v>
      </c>
      <c r="BP195" s="191">
        <v>4.4044234709999998E-4</v>
      </c>
      <c r="BQ195" s="199"/>
      <c r="BR195" s="199"/>
      <c r="BS195" s="199"/>
      <c r="BT195" s="199"/>
      <c r="BU195" s="200"/>
      <c r="BV195" s="200"/>
      <c r="BW195" s="191"/>
      <c r="BX195" s="191"/>
      <c r="BY195" s="189"/>
      <c r="BZ195" s="191">
        <v>0</v>
      </c>
      <c r="CA195" s="191">
        <v>-7.3852676002E-3</v>
      </c>
      <c r="CB195" s="182">
        <v>45531</v>
      </c>
      <c r="CC195" s="182">
        <v>45537</v>
      </c>
      <c r="CD195" s="201"/>
      <c r="CE195" s="202"/>
      <c r="CF195" s="116"/>
    </row>
    <row r="196" spans="2:84" ht="15.6" x14ac:dyDescent="0.3">
      <c r="B196" s="110" t="s">
        <v>521</v>
      </c>
      <c r="C196" s="147" t="s">
        <v>686</v>
      </c>
      <c r="D196" s="148" t="s">
        <v>624</v>
      </c>
      <c r="E196" s="148" t="s">
        <v>104</v>
      </c>
      <c r="F196" s="149">
        <v>24743678000122</v>
      </c>
      <c r="G196" s="149" t="s">
        <v>841</v>
      </c>
      <c r="H196" s="149" t="s">
        <v>388</v>
      </c>
      <c r="I196" s="150">
        <v>1</v>
      </c>
      <c r="J196" s="151" t="s">
        <v>107</v>
      </c>
      <c r="K196" s="151" t="s">
        <v>130</v>
      </c>
      <c r="L196" s="151" t="s">
        <v>118</v>
      </c>
      <c r="M196" s="151" t="s">
        <v>106</v>
      </c>
      <c r="N196" s="151" t="s">
        <v>109</v>
      </c>
      <c r="O196" s="152">
        <v>180000</v>
      </c>
      <c r="P196" s="153">
        <v>180000000</v>
      </c>
      <c r="Q196" s="153">
        <v>1000</v>
      </c>
      <c r="R196" s="154">
        <v>43997</v>
      </c>
      <c r="S196" s="154">
        <v>47649</v>
      </c>
      <c r="T196" s="155" t="s">
        <v>770</v>
      </c>
      <c r="U196" s="155" t="s">
        <v>924</v>
      </c>
      <c r="V196" s="154" t="s">
        <v>105</v>
      </c>
      <c r="W196" s="154" t="s">
        <v>102</v>
      </c>
      <c r="X196" s="154" t="s">
        <v>1331</v>
      </c>
      <c r="Y196" s="154">
        <v>46522</v>
      </c>
      <c r="Z196" s="156">
        <f>IFERROR(INDEX(Base!G:G,MATCH('Debêntures IPCA-Spread'!Y196,Base!F:F,0)),"")</f>
        <v>6.391</v>
      </c>
      <c r="AA196" s="115"/>
      <c r="AB196" s="157">
        <v>45552</v>
      </c>
      <c r="AC196" s="158">
        <v>6.4241999999999999</v>
      </c>
      <c r="AD196" s="159">
        <f t="shared" si="10"/>
        <v>3.3199999999999896E-2</v>
      </c>
      <c r="AE196" s="160">
        <v>0.17</v>
      </c>
      <c r="AF196" s="161">
        <v>6.6136999999999997</v>
      </c>
      <c r="AG196" s="161">
        <v>6.3761000000000001</v>
      </c>
      <c r="AH196" s="162">
        <v>1273.252142</v>
      </c>
      <c r="AI196" s="162">
        <v>1273.252142</v>
      </c>
      <c r="AJ196" s="163">
        <f t="shared" si="12"/>
        <v>1</v>
      </c>
      <c r="AK196" s="164">
        <v>45552</v>
      </c>
      <c r="AL196" s="165">
        <v>101.32</v>
      </c>
      <c r="AM196" s="166">
        <v>743</v>
      </c>
      <c r="AN196" s="115"/>
      <c r="AO196" s="167">
        <v>1.5812544134E-3</v>
      </c>
      <c r="AP196" s="168">
        <f>IF(AO196="","",AO196-AO$6)</f>
        <v>1.10110952847E-3</v>
      </c>
      <c r="AQ196" s="168">
        <v>8.8471343387999998E-3</v>
      </c>
      <c r="AR196" s="168">
        <f>IF(AQ196="","",AQ196-AQ$6)</f>
        <v>9.0646410917599989E-3</v>
      </c>
      <c r="AS196" s="168">
        <v>7.4207779018000006E-2</v>
      </c>
      <c r="AT196" s="168">
        <f>IF(AS196="","",AS196-AS$6)</f>
        <v>5.9481943963000009E-2</v>
      </c>
      <c r="AU196" s="168">
        <v>7.3948377048999999E-3</v>
      </c>
      <c r="AV196" s="168">
        <f>IF(AU196="","",AU196-AU$6)</f>
        <v>2.0463420300899999E-2</v>
      </c>
      <c r="AW196" s="168">
        <v>3.6878132357999999E-2</v>
      </c>
      <c r="AX196" s="168">
        <f>IF(AW196="","",AW196-AW$6)</f>
        <v>1.2883064569999998E-2</v>
      </c>
      <c r="AY196" s="168">
        <v>3.9996555453000002E-2</v>
      </c>
      <c r="AZ196" s="168">
        <f>IF(AY196="","",AY196-AY$6)</f>
        <v>2.5754300663000003E-2</v>
      </c>
      <c r="BA196" s="168">
        <v>9.8678617292999996E-2</v>
      </c>
      <c r="BB196" s="168">
        <f>IF(BA196="","",BA196-BA$6)</f>
        <v>4.5191652734999997E-2</v>
      </c>
      <c r="BC196" s="168">
        <v>0.25034891013999999</v>
      </c>
      <c r="BD196" s="168">
        <f>IF(BC196="","",BC196-BC$6)</f>
        <v>5.6040343649999991E-2</v>
      </c>
      <c r="BE196" s="168">
        <v>0.39308997343000002</v>
      </c>
      <c r="BF196" s="168">
        <f>IF(BE196="","",BE196-BE$6)</f>
        <v>0.13137063389000003</v>
      </c>
      <c r="BG196" s="168"/>
      <c r="BH196" s="168" t="str">
        <f>IF(BG196="","",BG196-BG$6)</f>
        <v/>
      </c>
      <c r="BI196" s="168"/>
      <c r="BJ196" s="168" t="str">
        <f>IF(BI196="","",BI196-BI$6)</f>
        <v/>
      </c>
      <c r="BK196" s="169">
        <v>3.8862695974000001</v>
      </c>
      <c r="BL196" s="115"/>
      <c r="BM196" s="170">
        <v>6.6034028204999999E-3</v>
      </c>
      <c r="BN196" s="163">
        <v>-8.8652828353999995E-3</v>
      </c>
      <c r="BO196" s="163">
        <v>2.3697498154000001E-2</v>
      </c>
      <c r="BP196" s="163">
        <v>-8.2425064174000001E-3</v>
      </c>
      <c r="BQ196" s="171">
        <v>9</v>
      </c>
      <c r="BR196" s="171">
        <v>3</v>
      </c>
      <c r="BS196" s="171">
        <v>9</v>
      </c>
      <c r="BT196" s="171">
        <v>3</v>
      </c>
      <c r="BU196" s="172">
        <v>-0.28397334841999999</v>
      </c>
      <c r="BV196" s="172">
        <v>1.2263443277E-2</v>
      </c>
      <c r="BW196" s="163">
        <v>4.0148326570999997E-3</v>
      </c>
      <c r="BX196" s="163">
        <v>2.7654142302E-3</v>
      </c>
      <c r="BY196" s="161">
        <v>-1.7912644297</v>
      </c>
      <c r="BZ196" s="163">
        <v>-1.9661343493E-2</v>
      </c>
      <c r="CA196" s="163">
        <v>-1.9661343493E-2</v>
      </c>
      <c r="CB196" s="154">
        <v>45187</v>
      </c>
      <c r="CC196" s="154">
        <v>45229</v>
      </c>
      <c r="CD196" s="173">
        <v>47</v>
      </c>
      <c r="CE196" s="174">
        <v>45257</v>
      </c>
      <c r="CF196" s="116"/>
    </row>
    <row r="197" spans="2:84" ht="15.6" x14ac:dyDescent="0.3">
      <c r="B197" s="98" t="s">
        <v>2258</v>
      </c>
      <c r="C197" s="175" t="s">
        <v>2643</v>
      </c>
      <c r="D197" s="176" t="s">
        <v>624</v>
      </c>
      <c r="E197" s="176" t="s">
        <v>104</v>
      </c>
      <c r="F197" s="177">
        <v>24743678000122</v>
      </c>
      <c r="G197" s="177" t="s">
        <v>2393</v>
      </c>
      <c r="H197" s="177" t="s">
        <v>388</v>
      </c>
      <c r="I197" s="178">
        <v>2</v>
      </c>
      <c r="J197" s="179">
        <v>1</v>
      </c>
      <c r="K197" s="179" t="s">
        <v>128</v>
      </c>
      <c r="L197" s="179" t="s">
        <v>125</v>
      </c>
      <c r="M197" s="179" t="s">
        <v>128</v>
      </c>
      <c r="N197" s="179" t="s">
        <v>109</v>
      </c>
      <c r="O197" s="180">
        <v>80000</v>
      </c>
      <c r="P197" s="181">
        <v>80000000</v>
      </c>
      <c r="Q197" s="181">
        <v>1000</v>
      </c>
      <c r="R197" s="182">
        <v>44180</v>
      </c>
      <c r="S197" s="182">
        <v>47832</v>
      </c>
      <c r="T197" s="183" t="s">
        <v>2832</v>
      </c>
      <c r="U197" s="183" t="s">
        <v>2746</v>
      </c>
      <c r="V197" s="182" t="s">
        <v>105</v>
      </c>
      <c r="W197" s="182" t="s">
        <v>102</v>
      </c>
      <c r="X197" s="182" t="s">
        <v>1371</v>
      </c>
      <c r="Y197" s="182">
        <v>46522</v>
      </c>
      <c r="Z197" s="184">
        <f>IFERROR(INDEX(Base!G:G,MATCH('Debêntures IPCA-Spread'!Y197,Base!F:F,0)),"")</f>
        <v>6.391</v>
      </c>
      <c r="AA197" s="115"/>
      <c r="AB197" s="185">
        <v>45552</v>
      </c>
      <c r="AC197" s="186">
        <v>6.5368000000000004</v>
      </c>
      <c r="AD197" s="187">
        <f t="shared" si="10"/>
        <v>0.14580000000000037</v>
      </c>
      <c r="AE197" s="188">
        <v>0.33</v>
      </c>
      <c r="AF197" s="189">
        <v>6.8329000000000004</v>
      </c>
      <c r="AG197" s="189">
        <v>6.5037000000000003</v>
      </c>
      <c r="AH197" s="190">
        <v>1149.402574</v>
      </c>
      <c r="AI197" s="190"/>
      <c r="AJ197" s="191" t="str">
        <f t="shared" si="12"/>
        <v/>
      </c>
      <c r="AK197" s="192"/>
      <c r="AL197" s="193">
        <v>95.48</v>
      </c>
      <c r="AM197" s="194">
        <v>682</v>
      </c>
      <c r="AN197" s="115"/>
      <c r="AO197" s="195">
        <v>3.1365428548999998E-4</v>
      </c>
      <c r="AP197" s="196">
        <f>IF(AO197="","",AO197-AO$6)</f>
        <v>-1.6649059944000001E-4</v>
      </c>
      <c r="AQ197" s="196">
        <v>1.4911814957999999E-2</v>
      </c>
      <c r="AR197" s="196">
        <f>IF(AQ197="","",AQ197-AQ$6)</f>
        <v>1.5129321710959999E-2</v>
      </c>
      <c r="AS197" s="196"/>
      <c r="AT197" s="196" t="str">
        <f>IF(AS197="","",AS197-AS$6)</f>
        <v/>
      </c>
      <c r="AU197" s="196">
        <v>7.2989648470000003E-4</v>
      </c>
      <c r="AV197" s="196">
        <f>IF(AU197="","",AU197-AU$6)</f>
        <v>1.3798479080699999E-2</v>
      </c>
      <c r="AW197" s="196">
        <v>4.1642770102000001E-2</v>
      </c>
      <c r="AX197" s="196">
        <f>IF(AW197="","",AW197-AW$6)</f>
        <v>1.7647702314000001E-2</v>
      </c>
      <c r="AY197" s="196">
        <v>4.0750732278000003E-2</v>
      </c>
      <c r="AZ197" s="196">
        <f>IF(AY197="","",AY197-AY$6)</f>
        <v>2.6508477488000004E-2</v>
      </c>
      <c r="BA197" s="196"/>
      <c r="BB197" s="196" t="str">
        <f>IF(BA197="","",BA197-BA$6)</f>
        <v/>
      </c>
      <c r="BC197" s="196"/>
      <c r="BD197" s="196" t="str">
        <f>IF(BC197="","",BC197-BC$6)</f>
        <v/>
      </c>
      <c r="BE197" s="196"/>
      <c r="BF197" s="196" t="str">
        <f>IF(BE197="","",BE197-BE$6)</f>
        <v/>
      </c>
      <c r="BG197" s="196"/>
      <c r="BH197" s="196" t="str">
        <f>IF(BG197="","",BG197-BG$6)</f>
        <v/>
      </c>
      <c r="BI197" s="196"/>
      <c r="BJ197" s="196" t="str">
        <f>IF(BI197="","",BI197-BI$6)</f>
        <v/>
      </c>
      <c r="BK197" s="197"/>
      <c r="BL197" s="115"/>
      <c r="BM197" s="198">
        <v>7.4698847693E-3</v>
      </c>
      <c r="BN197" s="191">
        <v>-6.5584060976000003E-3</v>
      </c>
      <c r="BO197" s="191">
        <v>1.8164840505000002E-2</v>
      </c>
      <c r="BP197" s="191">
        <v>-1.3317512284999999E-2</v>
      </c>
      <c r="BQ197" s="199"/>
      <c r="BR197" s="199"/>
      <c r="BS197" s="199"/>
      <c r="BT197" s="199"/>
      <c r="BU197" s="200"/>
      <c r="BV197" s="200"/>
      <c r="BW197" s="191"/>
      <c r="BX197" s="191">
        <v>4.4145025320000003E-3</v>
      </c>
      <c r="BY197" s="189"/>
      <c r="BZ197" s="191">
        <v>-1.6343848022999999E-2</v>
      </c>
      <c r="CA197" s="191">
        <v>-1.6343848022999999E-2</v>
      </c>
      <c r="CB197" s="182">
        <v>45379</v>
      </c>
      <c r="CC197" s="182">
        <v>45399</v>
      </c>
      <c r="CD197" s="201">
        <v>44</v>
      </c>
      <c r="CE197" s="202">
        <v>45446</v>
      </c>
      <c r="CF197" s="116"/>
    </row>
    <row r="198" spans="2:84" ht="15.6" x14ac:dyDescent="0.3">
      <c r="B198" s="110" t="s">
        <v>1433</v>
      </c>
      <c r="C198" s="147" t="s">
        <v>2079</v>
      </c>
      <c r="D198" s="148" t="s">
        <v>624</v>
      </c>
      <c r="E198" s="148" t="s">
        <v>104</v>
      </c>
      <c r="F198" s="149">
        <v>24743678000122</v>
      </c>
      <c r="G198" s="149" t="s">
        <v>1792</v>
      </c>
      <c r="H198" s="149" t="s">
        <v>388</v>
      </c>
      <c r="I198" s="150">
        <v>2</v>
      </c>
      <c r="J198" s="151">
        <v>2</v>
      </c>
      <c r="K198" s="151" t="s">
        <v>128</v>
      </c>
      <c r="L198" s="151" t="s">
        <v>125</v>
      </c>
      <c r="M198" s="151" t="s">
        <v>128</v>
      </c>
      <c r="N198" s="151" t="s">
        <v>109</v>
      </c>
      <c r="O198" s="152">
        <v>60000</v>
      </c>
      <c r="P198" s="153">
        <v>60000000</v>
      </c>
      <c r="Q198" s="153">
        <v>1000</v>
      </c>
      <c r="R198" s="154">
        <v>44180</v>
      </c>
      <c r="S198" s="154">
        <v>47863</v>
      </c>
      <c r="T198" s="155" t="s">
        <v>1993</v>
      </c>
      <c r="U198" s="155" t="s">
        <v>1684</v>
      </c>
      <c r="V198" s="154" t="s">
        <v>105</v>
      </c>
      <c r="W198" s="154" t="s">
        <v>102</v>
      </c>
      <c r="X198" s="154" t="s">
        <v>1371</v>
      </c>
      <c r="Y198" s="154">
        <v>46522</v>
      </c>
      <c r="Z198" s="156">
        <f>IFERROR(INDEX(Base!G:G,MATCH('Debêntures IPCA-Spread'!Y198,Base!F:F,0)),"")</f>
        <v>6.391</v>
      </c>
      <c r="AA198" s="115"/>
      <c r="AB198" s="157">
        <v>45552</v>
      </c>
      <c r="AC198" s="158">
        <v>6.3525999999999998</v>
      </c>
      <c r="AD198" s="159">
        <f t="shared" si="10"/>
        <v>-3.8400000000000212E-2</v>
      </c>
      <c r="AE198" s="160">
        <v>0.16</v>
      </c>
      <c r="AF198" s="161">
        <v>6.5884999999999998</v>
      </c>
      <c r="AG198" s="161">
        <v>6.1875</v>
      </c>
      <c r="AH198" s="162">
        <v>1154.753062</v>
      </c>
      <c r="AI198" s="162">
        <v>1154.753062</v>
      </c>
      <c r="AJ198" s="163">
        <f t="shared" si="12"/>
        <v>1</v>
      </c>
      <c r="AK198" s="164">
        <v>45552</v>
      </c>
      <c r="AL198" s="165">
        <v>95.93</v>
      </c>
      <c r="AM198" s="166">
        <v>684</v>
      </c>
      <c r="AN198" s="115"/>
      <c r="AO198" s="167">
        <v>1.4364701927999999E-3</v>
      </c>
      <c r="AP198" s="168">
        <f>IF(AO198="","",AO198-AO$6)</f>
        <v>9.5632530786999995E-4</v>
      </c>
      <c r="AQ198" s="168">
        <v>8.8846043673000002E-3</v>
      </c>
      <c r="AR198" s="168">
        <f>IF(AQ198="","",AQ198-AQ$6)</f>
        <v>9.1021111202599994E-3</v>
      </c>
      <c r="AS198" s="168">
        <v>7.9109741871000006E-2</v>
      </c>
      <c r="AT198" s="168">
        <f>IF(AS198="","",AS198-AS$6)</f>
        <v>6.4383906816000008E-2</v>
      </c>
      <c r="AU198" s="168">
        <v>8.1706736601000005E-3</v>
      </c>
      <c r="AV198" s="168">
        <f>IF(AU198="","",AU198-AU$6)</f>
        <v>2.12392562561E-2</v>
      </c>
      <c r="AW198" s="168">
        <v>4.4837230220000003E-2</v>
      </c>
      <c r="AX198" s="168">
        <f>IF(AW198="","",AW198-AW$6)</f>
        <v>2.0842162432000003E-2</v>
      </c>
      <c r="AY198" s="168">
        <v>3.6940390582E-2</v>
      </c>
      <c r="AZ198" s="168">
        <f>IF(AY198="","",AY198-AY$6)</f>
        <v>2.2698135792000002E-2</v>
      </c>
      <c r="BA198" s="168">
        <v>0.10169855166</v>
      </c>
      <c r="BB198" s="168">
        <f>IF(BA198="","",BA198-BA$6)</f>
        <v>4.8211587101999999E-2</v>
      </c>
      <c r="BC198" s="168"/>
      <c r="BD198" s="168" t="str">
        <f>IF(BC198="","",BC198-BC$6)</f>
        <v/>
      </c>
      <c r="BE198" s="168"/>
      <c r="BF198" s="168" t="str">
        <f>IF(BE198="","",BE198-BE$6)</f>
        <v/>
      </c>
      <c r="BG198" s="168"/>
      <c r="BH198" s="168" t="str">
        <f>IF(BG198="","",BG198-BG$6)</f>
        <v/>
      </c>
      <c r="BI198" s="168"/>
      <c r="BJ198" s="168" t="str">
        <f>IF(BI198="","",BI198-BI$6)</f>
        <v/>
      </c>
      <c r="BK198" s="169">
        <v>4.1436266440000002</v>
      </c>
      <c r="BL198" s="115"/>
      <c r="BM198" s="170">
        <v>8.2656767663000005E-3</v>
      </c>
      <c r="BN198" s="163">
        <v>-8.4907761820000004E-3</v>
      </c>
      <c r="BO198" s="163">
        <v>2.3513781006999999E-2</v>
      </c>
      <c r="BP198" s="163">
        <v>-8.9053687907000006E-3</v>
      </c>
      <c r="BQ198" s="171">
        <v>9</v>
      </c>
      <c r="BR198" s="171">
        <v>3</v>
      </c>
      <c r="BS198" s="171">
        <v>8</v>
      </c>
      <c r="BT198" s="171">
        <v>4</v>
      </c>
      <c r="BU198" s="172">
        <v>-0.19821569258999999</v>
      </c>
      <c r="BV198" s="172"/>
      <c r="BW198" s="163">
        <v>4.2819044589E-3</v>
      </c>
      <c r="BX198" s="163">
        <v>3.1295218827E-3</v>
      </c>
      <c r="BY198" s="161">
        <v>-1.4629392073</v>
      </c>
      <c r="BZ198" s="163">
        <v>-1.7029992906000001E-2</v>
      </c>
      <c r="CA198" s="163">
        <v>-1.7029992906000001E-2</v>
      </c>
      <c r="CB198" s="154">
        <v>45390</v>
      </c>
      <c r="CC198" s="154">
        <v>45399</v>
      </c>
      <c r="CD198" s="173">
        <v>26</v>
      </c>
      <c r="CE198" s="174">
        <v>45427</v>
      </c>
      <c r="CF198" s="116"/>
    </row>
    <row r="199" spans="2:84" ht="15.6" x14ac:dyDescent="0.3">
      <c r="B199" s="98" t="s">
        <v>1434</v>
      </c>
      <c r="C199" s="175" t="s">
        <v>2080</v>
      </c>
      <c r="D199" s="176" t="s">
        <v>83</v>
      </c>
      <c r="E199" s="176" t="s">
        <v>228</v>
      </c>
      <c r="F199" s="177">
        <v>10841050000155</v>
      </c>
      <c r="G199" s="177" t="s">
        <v>1793</v>
      </c>
      <c r="H199" s="177" t="s">
        <v>388</v>
      </c>
      <c r="I199" s="178">
        <v>3</v>
      </c>
      <c r="J199" s="179">
        <v>1</v>
      </c>
      <c r="K199" s="179" t="s">
        <v>126</v>
      </c>
      <c r="L199" s="179" t="s">
        <v>112</v>
      </c>
      <c r="M199" s="179" t="s">
        <v>114</v>
      </c>
      <c r="N199" s="179" t="s">
        <v>109</v>
      </c>
      <c r="O199" s="180">
        <v>472000</v>
      </c>
      <c r="P199" s="181">
        <v>472000000</v>
      </c>
      <c r="Q199" s="181">
        <v>1000</v>
      </c>
      <c r="R199" s="182">
        <v>45000</v>
      </c>
      <c r="S199" s="182">
        <v>47557</v>
      </c>
      <c r="T199" s="183" t="s">
        <v>1994</v>
      </c>
      <c r="U199" s="183" t="s">
        <v>1675</v>
      </c>
      <c r="V199" s="182" t="s">
        <v>105</v>
      </c>
      <c r="W199" s="182" t="s">
        <v>102</v>
      </c>
      <c r="X199" s="182" t="s">
        <v>1570</v>
      </c>
      <c r="Y199" s="182">
        <v>46980</v>
      </c>
      <c r="Z199" s="184">
        <f>IFERROR(INDEX(Base!G:G,MATCH('Debêntures IPCA-Spread'!Y199,Base!F:F,0)),"")</f>
        <v>6.4702000000000002</v>
      </c>
      <c r="AA199" s="115"/>
      <c r="AB199" s="185">
        <v>45552</v>
      </c>
      <c r="AC199" s="186">
        <v>6.5867000000000004</v>
      </c>
      <c r="AD199" s="187">
        <f t="shared" si="10"/>
        <v>0.11650000000000027</v>
      </c>
      <c r="AE199" s="188">
        <v>0.05</v>
      </c>
      <c r="AF199" s="189">
        <v>6.7526999999999999</v>
      </c>
      <c r="AG199" s="189">
        <v>6.3933999999999997</v>
      </c>
      <c r="AH199" s="190">
        <v>1046.5064609999999</v>
      </c>
      <c r="AI199" s="190">
        <v>1047.3159889999999</v>
      </c>
      <c r="AJ199" s="191">
        <f t="shared" si="12"/>
        <v>0.99922704512439176</v>
      </c>
      <c r="AK199" s="192">
        <v>45548</v>
      </c>
      <c r="AL199" s="193">
        <v>102.94</v>
      </c>
      <c r="AM199" s="194">
        <v>813</v>
      </c>
      <c r="AN199" s="115"/>
      <c r="AO199" s="195">
        <v>1.1016105781E-3</v>
      </c>
      <c r="AP199" s="196">
        <f>IF(AO199="","",AO199-AO$6)</f>
        <v>6.2146569317E-4</v>
      </c>
      <c r="AQ199" s="196">
        <v>5.2361478811000003E-3</v>
      </c>
      <c r="AR199" s="196">
        <f>IF(AQ199="","",AQ199-AQ$6)</f>
        <v>5.4536546340600003E-3</v>
      </c>
      <c r="AS199" s="196">
        <v>7.2447909998999999E-2</v>
      </c>
      <c r="AT199" s="196">
        <f>IF(AS199="","",AS199-AS$6)</f>
        <v>5.7722074944000001E-2</v>
      </c>
      <c r="AU199" s="196">
        <v>2.5934242785E-3</v>
      </c>
      <c r="AV199" s="196">
        <f>IF(AU199="","",AU199-AU$6)</f>
        <v>1.5662006874499999E-2</v>
      </c>
      <c r="AW199" s="196">
        <v>3.2931005255E-2</v>
      </c>
      <c r="AX199" s="196">
        <f>IF(AW199="","",AW199-AW$6)</f>
        <v>8.9359374669999991E-3</v>
      </c>
      <c r="AY199" s="196">
        <v>3.3469198520999999E-2</v>
      </c>
      <c r="AZ199" s="196">
        <f>IF(AY199="","",AY199-AY$6)</f>
        <v>1.9226943731E-2</v>
      </c>
      <c r="BA199" s="196">
        <v>9.7367473509000005E-2</v>
      </c>
      <c r="BB199" s="196">
        <f>IF(BA199="","",BA199-BA$6)</f>
        <v>4.3880508951000007E-2</v>
      </c>
      <c r="BC199" s="196"/>
      <c r="BD199" s="196" t="str">
        <f>IF(BC199="","",BC199-BC$6)</f>
        <v/>
      </c>
      <c r="BE199" s="196"/>
      <c r="BF199" s="196" t="str">
        <f>IF(BE199="","",BE199-BE$6)</f>
        <v/>
      </c>
      <c r="BG199" s="196"/>
      <c r="BH199" s="196" t="str">
        <f>IF(BG199="","",BG199-BG$6)</f>
        <v/>
      </c>
      <c r="BI199" s="196"/>
      <c r="BJ199" s="196" t="str">
        <f>IF(BI199="","",BI199-BI$6)</f>
        <v/>
      </c>
      <c r="BK199" s="197">
        <v>3.6432631813</v>
      </c>
      <c r="BL199" s="115"/>
      <c r="BM199" s="198">
        <v>7.2298988416E-3</v>
      </c>
      <c r="BN199" s="191">
        <v>-7.0654226738000002E-3</v>
      </c>
      <c r="BO199" s="191">
        <v>2.316751794E-2</v>
      </c>
      <c r="BP199" s="191">
        <v>-1.0413195112E-2</v>
      </c>
      <c r="BQ199" s="199">
        <v>9</v>
      </c>
      <c r="BR199" s="199">
        <v>3</v>
      </c>
      <c r="BS199" s="199">
        <v>7</v>
      </c>
      <c r="BT199" s="199">
        <v>5</v>
      </c>
      <c r="BU199" s="200">
        <v>-0.33770269921000001</v>
      </c>
      <c r="BV199" s="200"/>
      <c r="BW199" s="191">
        <v>3.7646358653000002E-3</v>
      </c>
      <c r="BX199" s="191">
        <v>2.8495911315E-3</v>
      </c>
      <c r="BY199" s="189">
        <v>-1.8535790174</v>
      </c>
      <c r="BZ199" s="191">
        <v>-1.8246121896E-2</v>
      </c>
      <c r="CA199" s="191">
        <v>-1.8246121896E-2</v>
      </c>
      <c r="CB199" s="182">
        <v>45187</v>
      </c>
      <c r="CC199" s="182">
        <v>45230</v>
      </c>
      <c r="CD199" s="201">
        <v>47</v>
      </c>
      <c r="CE199" s="202">
        <v>45257</v>
      </c>
      <c r="CF199" s="116"/>
    </row>
    <row r="200" spans="2:84" ht="15.6" x14ac:dyDescent="0.3">
      <c r="B200" s="110" t="s">
        <v>1435</v>
      </c>
      <c r="C200" s="147" t="s">
        <v>2081</v>
      </c>
      <c r="D200" s="148" t="s">
        <v>83</v>
      </c>
      <c r="E200" s="148" t="s">
        <v>228</v>
      </c>
      <c r="F200" s="149">
        <v>10841050000155</v>
      </c>
      <c r="G200" s="149" t="s">
        <v>1794</v>
      </c>
      <c r="H200" s="149" t="s">
        <v>388</v>
      </c>
      <c r="I200" s="150">
        <v>3</v>
      </c>
      <c r="J200" s="151">
        <v>2</v>
      </c>
      <c r="K200" s="151" t="s">
        <v>126</v>
      </c>
      <c r="L200" s="151" t="s">
        <v>112</v>
      </c>
      <c r="M200" s="151" t="s">
        <v>114</v>
      </c>
      <c r="N200" s="151" t="s">
        <v>109</v>
      </c>
      <c r="O200" s="152">
        <v>708000</v>
      </c>
      <c r="P200" s="153">
        <v>708000000</v>
      </c>
      <c r="Q200" s="153">
        <v>1000</v>
      </c>
      <c r="R200" s="154">
        <v>45000</v>
      </c>
      <c r="S200" s="154">
        <v>49383</v>
      </c>
      <c r="T200" s="155" t="s">
        <v>1994</v>
      </c>
      <c r="U200" s="155" t="s">
        <v>1685</v>
      </c>
      <c r="V200" s="154" t="s">
        <v>105</v>
      </c>
      <c r="W200" s="154" t="s">
        <v>102</v>
      </c>
      <c r="X200" s="154" t="s">
        <v>1571</v>
      </c>
      <c r="Y200" s="154">
        <v>48441</v>
      </c>
      <c r="Z200" s="156">
        <f>IFERROR(INDEX(Base!G:G,MATCH('Debêntures IPCA-Spread'!Y200,Base!F:F,0)),"")</f>
        <v>6.3467000000000002</v>
      </c>
      <c r="AA200" s="115"/>
      <c r="AB200" s="157">
        <v>45552</v>
      </c>
      <c r="AC200" s="158">
        <v>6.7087000000000003</v>
      </c>
      <c r="AD200" s="159">
        <f t="shared" si="10"/>
        <v>0.3620000000000001</v>
      </c>
      <c r="AE200" s="160">
        <v>0.09</v>
      </c>
      <c r="AF200" s="161">
        <v>6.9462999999999999</v>
      </c>
      <c r="AG200" s="161">
        <v>6.5240999999999998</v>
      </c>
      <c r="AH200" s="162">
        <v>1151.4960490000001</v>
      </c>
      <c r="AI200" s="162">
        <v>1163.7286916</v>
      </c>
      <c r="AJ200" s="163">
        <f t="shared" si="12"/>
        <v>0.98948840680108918</v>
      </c>
      <c r="AK200" s="164">
        <v>45527</v>
      </c>
      <c r="AL200" s="165">
        <v>109.01</v>
      </c>
      <c r="AM200" s="166">
        <v>1636</v>
      </c>
      <c r="AN200" s="115"/>
      <c r="AO200" s="167">
        <v>1.7668252131E-3</v>
      </c>
      <c r="AP200" s="168">
        <f>IF(AO200="","",AO200-AO$6)</f>
        <v>1.28668032817E-3</v>
      </c>
      <c r="AQ200" s="168">
        <v>5.3937843677000002E-3</v>
      </c>
      <c r="AR200" s="168">
        <f>IF(AQ200="","",AQ200-AQ$6)</f>
        <v>5.6112911206600002E-3</v>
      </c>
      <c r="AS200" s="168">
        <v>7.3398402644999999E-2</v>
      </c>
      <c r="AT200" s="168">
        <f>IF(AS200="","",AS200-AS$6)</f>
        <v>5.8672567590000002E-2</v>
      </c>
      <c r="AU200" s="168">
        <v>-4.4935223159000004E-3</v>
      </c>
      <c r="AV200" s="168">
        <f>IF(AU200="","",AU200-AU$6)</f>
        <v>8.5750602800999994E-3</v>
      </c>
      <c r="AW200" s="168">
        <v>4.7799256668000001E-2</v>
      </c>
      <c r="AX200" s="168">
        <f>IF(AW200="","",AW200-AW$6)</f>
        <v>2.380418888E-2</v>
      </c>
      <c r="AY200" s="168">
        <v>3.1192437101999999E-2</v>
      </c>
      <c r="AZ200" s="168">
        <f>IF(AY200="","",AY200-AY$6)</f>
        <v>1.6950182311999996E-2</v>
      </c>
      <c r="BA200" s="168">
        <v>9.7000924446999995E-2</v>
      </c>
      <c r="BB200" s="168">
        <f>IF(BA200="","",BA200-BA$6)</f>
        <v>4.3513959888999997E-2</v>
      </c>
      <c r="BC200" s="168"/>
      <c r="BD200" s="168" t="str">
        <f>IF(BC200="","",BC200-BC$6)</f>
        <v/>
      </c>
      <c r="BE200" s="168"/>
      <c r="BF200" s="168" t="str">
        <f>IF(BE200="","",BE200-BE$6)</f>
        <v/>
      </c>
      <c r="BG200" s="168"/>
      <c r="BH200" s="168" t="str">
        <f>IF(BG200="","",BG200-BG$6)</f>
        <v/>
      </c>
      <c r="BI200" s="168"/>
      <c r="BJ200" s="168" t="str">
        <f>IF(BI200="","",BI200-BI$6)</f>
        <v/>
      </c>
      <c r="BK200" s="169">
        <v>6.5608220076999997</v>
      </c>
      <c r="BL200" s="115"/>
      <c r="BM200" s="170">
        <v>1.7033123457000001E-2</v>
      </c>
      <c r="BN200" s="163">
        <v>-1.3769413249000001E-2</v>
      </c>
      <c r="BO200" s="163">
        <v>3.3854635044999998E-2</v>
      </c>
      <c r="BP200" s="163">
        <v>-2.4087617023E-2</v>
      </c>
      <c r="BQ200" s="171">
        <v>9</v>
      </c>
      <c r="BR200" s="171">
        <v>3</v>
      </c>
      <c r="BS200" s="171">
        <v>7</v>
      </c>
      <c r="BT200" s="171">
        <v>5</v>
      </c>
      <c r="BU200" s="172">
        <v>-0.17010435959</v>
      </c>
      <c r="BV200" s="172"/>
      <c r="BW200" s="163">
        <v>6.7816619350999996E-3</v>
      </c>
      <c r="BX200" s="163">
        <v>5.9145289646000002E-3</v>
      </c>
      <c r="BY200" s="161">
        <v>-2.1329305482000001</v>
      </c>
      <c r="BZ200" s="163">
        <v>-3.3935556125000002E-2</v>
      </c>
      <c r="CA200" s="163">
        <v>-3.3935556125000002E-2</v>
      </c>
      <c r="CB200" s="154">
        <v>45189</v>
      </c>
      <c r="CC200" s="154">
        <v>45222</v>
      </c>
      <c r="CD200" s="173">
        <v>57</v>
      </c>
      <c r="CE200" s="174">
        <v>45273</v>
      </c>
      <c r="CF200" s="116"/>
    </row>
    <row r="201" spans="2:84" ht="15.6" x14ac:dyDescent="0.3">
      <c r="B201" s="98" t="s">
        <v>522</v>
      </c>
      <c r="C201" s="175" t="s">
        <v>687</v>
      </c>
      <c r="D201" s="176" t="s">
        <v>84</v>
      </c>
      <c r="E201" s="176" t="s">
        <v>228</v>
      </c>
      <c r="F201" s="177">
        <v>8873873000110</v>
      </c>
      <c r="G201" s="177" t="s">
        <v>842</v>
      </c>
      <c r="H201" s="177" t="s">
        <v>388</v>
      </c>
      <c r="I201" s="178">
        <v>6</v>
      </c>
      <c r="J201" s="179">
        <v>3</v>
      </c>
      <c r="K201" s="179" t="s">
        <v>111</v>
      </c>
      <c r="L201" s="179" t="s">
        <v>118</v>
      </c>
      <c r="M201" s="179" t="s">
        <v>106</v>
      </c>
      <c r="N201" s="179" t="s">
        <v>117</v>
      </c>
      <c r="O201" s="180">
        <v>30000</v>
      </c>
      <c r="P201" s="181">
        <v>30000000</v>
      </c>
      <c r="Q201" s="181">
        <v>1000</v>
      </c>
      <c r="R201" s="182">
        <v>43054</v>
      </c>
      <c r="S201" s="182">
        <v>45611</v>
      </c>
      <c r="T201" s="183" t="s">
        <v>771</v>
      </c>
      <c r="U201" s="183" t="s">
        <v>925</v>
      </c>
      <c r="V201" s="182" t="s">
        <v>105</v>
      </c>
      <c r="W201" s="182" t="s">
        <v>102</v>
      </c>
      <c r="X201" s="182" t="s">
        <v>1303</v>
      </c>
      <c r="Y201" s="182">
        <v>45792</v>
      </c>
      <c r="Z201" s="184">
        <f>IFERROR(INDEX(Base!G:G,MATCH('Debêntures IPCA-Spread'!Y201,Base!F:F,0)),"")</f>
        <v>5.73</v>
      </c>
      <c r="AA201" s="115"/>
      <c r="AB201" s="185">
        <v>45552</v>
      </c>
      <c r="AC201" s="186">
        <v>7.6280999999999999</v>
      </c>
      <c r="AD201" s="187">
        <f t="shared" si="10"/>
        <v>1.8980999999999995</v>
      </c>
      <c r="AE201" s="188">
        <v>0.54</v>
      </c>
      <c r="AF201" s="189"/>
      <c r="AG201" s="189"/>
      <c r="AH201" s="190">
        <v>745.54055500000004</v>
      </c>
      <c r="AI201" s="190">
        <v>745.54055500000004</v>
      </c>
      <c r="AJ201" s="191">
        <f t="shared" si="12"/>
        <v>1</v>
      </c>
      <c r="AK201" s="192">
        <v>45552</v>
      </c>
      <c r="AL201" s="193">
        <v>99.74</v>
      </c>
      <c r="AM201" s="194">
        <v>43</v>
      </c>
      <c r="AN201" s="115"/>
      <c r="AO201" s="195">
        <v>2.4817416669999998E-4</v>
      </c>
      <c r="AP201" s="196">
        <f>IF(AO201="","",AO201-AO$6)</f>
        <v>-2.3197071823000001E-4</v>
      </c>
      <c r="AQ201" s="196">
        <v>4.7943807567000004E-3</v>
      </c>
      <c r="AR201" s="196">
        <f>IF(AQ201="","",AQ201-AQ$6)</f>
        <v>5.0118875096600004E-3</v>
      </c>
      <c r="AS201" s="196">
        <v>9.0182193563999993E-2</v>
      </c>
      <c r="AT201" s="196">
        <f>IF(AS201="","",AS201-AS$6)</f>
        <v>7.5456358508999996E-2</v>
      </c>
      <c r="AU201" s="196">
        <v>6.9744782777000002E-3</v>
      </c>
      <c r="AV201" s="196">
        <f>IF(AU201="","",AU201-AU$6)</f>
        <v>2.0043060873699999E-2</v>
      </c>
      <c r="AW201" s="196">
        <v>2.6169459961000001E-2</v>
      </c>
      <c r="AX201" s="196">
        <f>IF(AW201="","",AW201-AW$6)</f>
        <v>2.1743921730000004E-3</v>
      </c>
      <c r="AY201" s="196">
        <v>5.2752615687000001E-2</v>
      </c>
      <c r="AZ201" s="196">
        <f>IF(AY201="","",AY201-AY$6)</f>
        <v>3.8510360897000002E-2</v>
      </c>
      <c r="BA201" s="196">
        <v>0.12426375392</v>
      </c>
      <c r="BB201" s="196">
        <f>IF(BA201="","",BA201-BA$6)</f>
        <v>7.0776789361999992E-2</v>
      </c>
      <c r="BC201" s="196">
        <v>0.26868176555000001</v>
      </c>
      <c r="BD201" s="196">
        <f>IF(BC201="","",BC201-BC$6)</f>
        <v>7.4373199060000006E-2</v>
      </c>
      <c r="BE201" s="196"/>
      <c r="BF201" s="196" t="str">
        <f>IF(BE201="","",BE201-BE$6)</f>
        <v/>
      </c>
      <c r="BG201" s="196"/>
      <c r="BH201" s="196" t="str">
        <f>IF(BG201="","",BG201-BG$6)</f>
        <v/>
      </c>
      <c r="BI201" s="196"/>
      <c r="BJ201" s="196" t="str">
        <f>IF(BI201="","",BI201-BI$6)</f>
        <v/>
      </c>
      <c r="BK201" s="197">
        <v>0.92246552096000001</v>
      </c>
      <c r="BL201" s="115"/>
      <c r="BM201" s="198">
        <v>3.9548204330999998E-3</v>
      </c>
      <c r="BN201" s="191">
        <v>-9.2598477567999997E-4</v>
      </c>
      <c r="BO201" s="191">
        <v>1.6451778572E-2</v>
      </c>
      <c r="BP201" s="191">
        <v>4.7943807567000004E-3</v>
      </c>
      <c r="BQ201" s="199">
        <v>12</v>
      </c>
      <c r="BR201" s="199">
        <v>0</v>
      </c>
      <c r="BS201" s="199">
        <v>8</v>
      </c>
      <c r="BT201" s="199">
        <v>4</v>
      </c>
      <c r="BU201" s="200">
        <v>1.1488248261</v>
      </c>
      <c r="BV201" s="200"/>
      <c r="BW201" s="191">
        <v>9.5384854331000005E-4</v>
      </c>
      <c r="BX201" s="191">
        <v>4.7973508756000001E-4</v>
      </c>
      <c r="BY201" s="189">
        <v>1.0848609967</v>
      </c>
      <c r="BZ201" s="191">
        <v>-1.1048569363E-3</v>
      </c>
      <c r="CA201" s="191">
        <v>-1.1048569363E-3</v>
      </c>
      <c r="CB201" s="182">
        <v>45386</v>
      </c>
      <c r="CC201" s="182">
        <v>45393</v>
      </c>
      <c r="CD201" s="201">
        <v>11</v>
      </c>
      <c r="CE201" s="202">
        <v>45401</v>
      </c>
      <c r="CF201" s="116"/>
    </row>
    <row r="202" spans="2:84" ht="15.6" x14ac:dyDescent="0.3">
      <c r="B202" s="110" t="s">
        <v>399</v>
      </c>
      <c r="C202" s="147" t="s">
        <v>420</v>
      </c>
      <c r="D202" s="148" t="s">
        <v>84</v>
      </c>
      <c r="E202" s="148" t="s">
        <v>228</v>
      </c>
      <c r="F202" s="149">
        <v>8873873000110</v>
      </c>
      <c r="G202" s="149" t="s">
        <v>435</v>
      </c>
      <c r="H202" s="149" t="s">
        <v>388</v>
      </c>
      <c r="I202" s="150">
        <v>7</v>
      </c>
      <c r="J202" s="151" t="s">
        <v>107</v>
      </c>
      <c r="K202" s="151" t="s">
        <v>111</v>
      </c>
      <c r="L202" s="151" t="s">
        <v>123</v>
      </c>
      <c r="M202" s="151" t="s">
        <v>106</v>
      </c>
      <c r="N202" s="151" t="s">
        <v>117</v>
      </c>
      <c r="O202" s="152">
        <v>350000</v>
      </c>
      <c r="P202" s="153">
        <v>350000000</v>
      </c>
      <c r="Q202" s="153">
        <v>1000</v>
      </c>
      <c r="R202" s="154">
        <v>43266</v>
      </c>
      <c r="S202" s="154">
        <v>45823</v>
      </c>
      <c r="T202" s="155" t="s">
        <v>411</v>
      </c>
      <c r="U202" s="155" t="s">
        <v>428</v>
      </c>
      <c r="V202" s="154" t="s">
        <v>105</v>
      </c>
      <c r="W202" s="154" t="s">
        <v>102</v>
      </c>
      <c r="X202" s="154" t="s">
        <v>443</v>
      </c>
      <c r="Y202" s="154">
        <v>45792</v>
      </c>
      <c r="Z202" s="156">
        <f>IFERROR(INDEX(Base!G:G,MATCH('Debêntures IPCA-Spread'!Y202,Base!F:F,0)),"")</f>
        <v>5.73</v>
      </c>
      <c r="AA202" s="115"/>
      <c r="AB202" s="157">
        <v>45552</v>
      </c>
      <c r="AC202" s="158">
        <v>8.0459999999999994</v>
      </c>
      <c r="AD202" s="159">
        <f t="shared" si="10"/>
        <v>2.3159999999999989</v>
      </c>
      <c r="AE202" s="160">
        <v>0.41</v>
      </c>
      <c r="AF202" s="161">
        <v>8.3630999999999993</v>
      </c>
      <c r="AG202" s="161"/>
      <c r="AH202" s="162">
        <v>704.27370900000005</v>
      </c>
      <c r="AI202" s="162">
        <v>704.27370900000005</v>
      </c>
      <c r="AJ202" s="163">
        <f t="shared" si="12"/>
        <v>1</v>
      </c>
      <c r="AK202" s="164">
        <v>45552</v>
      </c>
      <c r="AL202" s="165">
        <v>99.59</v>
      </c>
      <c r="AM202" s="166">
        <v>185</v>
      </c>
      <c r="AN202" s="115"/>
      <c r="AO202" s="167">
        <v>1.9207536442999999E-3</v>
      </c>
      <c r="AP202" s="168">
        <f>IF(AO202="","",AO202-AO$6)</f>
        <v>1.4406087593699999E-3</v>
      </c>
      <c r="AQ202" s="168">
        <v>5.3760935460999996E-3</v>
      </c>
      <c r="AR202" s="168">
        <f>IF(AQ202="","",AQ202-AQ$6)</f>
        <v>5.5936002990599996E-3</v>
      </c>
      <c r="AS202" s="168">
        <v>9.8467503812999999E-2</v>
      </c>
      <c r="AT202" s="168">
        <f>IF(AS202="","",AS202-AS$6)</f>
        <v>8.3741668758000001E-2</v>
      </c>
      <c r="AU202" s="168">
        <v>1.0783114745000001E-2</v>
      </c>
      <c r="AV202" s="168">
        <f>IF(AU202="","",AU202-AU$6)</f>
        <v>2.3851697341000001E-2</v>
      </c>
      <c r="AW202" s="168">
        <v>3.5930102105E-2</v>
      </c>
      <c r="AX202" s="168">
        <f>IF(AW202="","",AW202-AW$6)</f>
        <v>1.1935034317E-2</v>
      </c>
      <c r="AY202" s="168">
        <v>6.3356101255000005E-2</v>
      </c>
      <c r="AZ202" s="168">
        <f>IF(AY202="","",AY202-AY$6)</f>
        <v>4.9113846465000006E-2</v>
      </c>
      <c r="BA202" s="168">
        <v>0.12981197149000001</v>
      </c>
      <c r="BB202" s="168">
        <f>IF(BA202="","",BA202-BA$6)</f>
        <v>7.6325006932000006E-2</v>
      </c>
      <c r="BC202" s="168">
        <v>0.27948498459999999</v>
      </c>
      <c r="BD202" s="168">
        <f>IF(BC202="","",BC202-BC$6)</f>
        <v>8.5176418109999985E-2</v>
      </c>
      <c r="BE202" s="168">
        <v>0.40276867957000001</v>
      </c>
      <c r="BF202" s="168">
        <f>IF(BE202="","",BE202-BE$6)</f>
        <v>0.14104934003000003</v>
      </c>
      <c r="BG202" s="168">
        <v>0.51405226466999998</v>
      </c>
      <c r="BH202" s="168">
        <f>IF(BG202="","",BG202-BG$6)</f>
        <v>0.20513561585999995</v>
      </c>
      <c r="BI202" s="168">
        <v>0.66608171269000005</v>
      </c>
      <c r="BJ202" s="168">
        <f>IF(BI202="","",BI202-BI$6)</f>
        <v>0.29313870261000002</v>
      </c>
      <c r="BK202" s="169">
        <v>1.0672821131000001</v>
      </c>
      <c r="BL202" s="115"/>
      <c r="BM202" s="170">
        <v>4.0332808840000001E-3</v>
      </c>
      <c r="BN202" s="163">
        <v>-1.3665283468000001E-3</v>
      </c>
      <c r="BO202" s="163">
        <v>1.3973512235000001E-2</v>
      </c>
      <c r="BP202" s="163">
        <v>5.3760935460999996E-3</v>
      </c>
      <c r="BQ202" s="171">
        <v>12</v>
      </c>
      <c r="BR202" s="171">
        <v>0</v>
      </c>
      <c r="BS202" s="171">
        <v>8</v>
      </c>
      <c r="BT202" s="171">
        <v>4</v>
      </c>
      <c r="BU202" s="172">
        <v>1.5192058605000001</v>
      </c>
      <c r="BV202" s="172">
        <v>8.5794857678999997E-2</v>
      </c>
      <c r="BW202" s="163">
        <v>1.1035300368E-3</v>
      </c>
      <c r="BX202" s="163">
        <v>1.2418966848000001E-3</v>
      </c>
      <c r="BY202" s="161">
        <v>1.692335752</v>
      </c>
      <c r="BZ202" s="163">
        <v>-2.8148084221000002E-3</v>
      </c>
      <c r="CA202" s="163">
        <v>-2.8148084221000002E-3</v>
      </c>
      <c r="CB202" s="154">
        <v>45201</v>
      </c>
      <c r="CC202" s="154">
        <v>45204</v>
      </c>
      <c r="CD202" s="173">
        <v>9</v>
      </c>
      <c r="CE202" s="174">
        <v>45215</v>
      </c>
      <c r="CF202" s="116"/>
    </row>
    <row r="203" spans="2:84" ht="15.6" x14ac:dyDescent="0.3">
      <c r="B203" s="98" t="s">
        <v>523</v>
      </c>
      <c r="C203" s="175" t="s">
        <v>688</v>
      </c>
      <c r="D203" s="176" t="s">
        <v>84</v>
      </c>
      <c r="E203" s="176" t="s">
        <v>228</v>
      </c>
      <c r="F203" s="177">
        <v>8873873000110</v>
      </c>
      <c r="G203" s="177" t="s">
        <v>843</v>
      </c>
      <c r="H203" s="177" t="s">
        <v>388</v>
      </c>
      <c r="I203" s="178">
        <v>8</v>
      </c>
      <c r="J203" s="179">
        <v>3</v>
      </c>
      <c r="K203" s="179" t="s">
        <v>111</v>
      </c>
      <c r="L203" s="179" t="s">
        <v>118</v>
      </c>
      <c r="M203" s="179" t="s">
        <v>106</v>
      </c>
      <c r="N203" s="179" t="s">
        <v>117</v>
      </c>
      <c r="O203" s="180">
        <v>66325</v>
      </c>
      <c r="P203" s="181">
        <v>66325000</v>
      </c>
      <c r="Q203" s="181">
        <v>1000</v>
      </c>
      <c r="R203" s="182">
        <v>43570</v>
      </c>
      <c r="S203" s="182">
        <v>46127</v>
      </c>
      <c r="T203" s="183" t="s">
        <v>772</v>
      </c>
      <c r="U203" s="183" t="s">
        <v>926</v>
      </c>
      <c r="V203" s="182" t="s">
        <v>105</v>
      </c>
      <c r="W203" s="182" t="s">
        <v>102</v>
      </c>
      <c r="X203" s="182" t="s">
        <v>969</v>
      </c>
      <c r="Y203" s="182">
        <v>45792</v>
      </c>
      <c r="Z203" s="184">
        <f>IFERROR(INDEX(Base!G:G,MATCH('Debêntures IPCA-Spread'!Y203,Base!F:F,0)),"")</f>
        <v>5.73</v>
      </c>
      <c r="AA203" s="115"/>
      <c r="AB203" s="185">
        <v>45552</v>
      </c>
      <c r="AC203" s="186">
        <v>7.2610999999999999</v>
      </c>
      <c r="AD203" s="187">
        <f t="shared" si="10"/>
        <v>1.5310999999999995</v>
      </c>
      <c r="AE203" s="188">
        <v>0.08</v>
      </c>
      <c r="AF203" s="189"/>
      <c r="AG203" s="189"/>
      <c r="AH203" s="190">
        <v>1345.894237</v>
      </c>
      <c r="AI203" s="190">
        <v>1345.894237</v>
      </c>
      <c r="AJ203" s="191">
        <f t="shared" si="12"/>
        <v>1</v>
      </c>
      <c r="AK203" s="192">
        <v>45552</v>
      </c>
      <c r="AL203" s="193">
        <v>98.29</v>
      </c>
      <c r="AM203" s="194">
        <v>262</v>
      </c>
      <c r="AN203" s="115"/>
      <c r="AO203" s="195">
        <v>7.0868382499999995E-4</v>
      </c>
      <c r="AP203" s="196">
        <f>IF(AO203="","",AO203-AO$6)</f>
        <v>2.2853894006999995E-4</v>
      </c>
      <c r="AQ203" s="196">
        <v>7.1422638702999999E-3</v>
      </c>
      <c r="AR203" s="196">
        <f>IF(AQ203="","",AQ203-AQ$6)</f>
        <v>7.3597706232599999E-3</v>
      </c>
      <c r="AS203" s="196">
        <v>8.3083548048E-2</v>
      </c>
      <c r="AT203" s="196">
        <f>IF(AS203="","",AS203-AS$6)</f>
        <v>6.8357712993000003E-2</v>
      </c>
      <c r="AU203" s="196">
        <v>7.8169746266000002E-3</v>
      </c>
      <c r="AV203" s="196">
        <f>IF(AU203="","",AU203-AU$6)</f>
        <v>2.08855572226E-2</v>
      </c>
      <c r="AW203" s="196">
        <v>3.2396495279000001E-2</v>
      </c>
      <c r="AX203" s="196">
        <f>IF(AW203="","",AW203-AW$6)</f>
        <v>8.4014274910000006E-3</v>
      </c>
      <c r="AY203" s="196">
        <v>5.3601864122999998E-2</v>
      </c>
      <c r="AZ203" s="196">
        <f>IF(AY203="","",AY203-AY$6)</f>
        <v>3.9359609332999999E-2</v>
      </c>
      <c r="BA203" s="196">
        <v>0.11835485017</v>
      </c>
      <c r="BB203" s="196">
        <f>IF(BA203="","",BA203-BA$6)</f>
        <v>6.4867885611999992E-2</v>
      </c>
      <c r="BC203" s="196">
        <v>0.26139518004000001</v>
      </c>
      <c r="BD203" s="196">
        <f>IF(BC203="","",BC203-BC$6)</f>
        <v>6.7086613550000007E-2</v>
      </c>
      <c r="BE203" s="196">
        <v>0.38459075654000002</v>
      </c>
      <c r="BF203" s="196">
        <f>IF(BE203="","",BE203-BE$6)</f>
        <v>0.12287141700000004</v>
      </c>
      <c r="BG203" s="196">
        <v>0.49071569122999997</v>
      </c>
      <c r="BH203" s="196">
        <f>IF(BG203="","",BG203-BG$6)</f>
        <v>0.18179904241999995</v>
      </c>
      <c r="BI203" s="196"/>
      <c r="BJ203" s="196" t="str">
        <f>IF(BI203="","",BI203-BI$6)</f>
        <v/>
      </c>
      <c r="BK203" s="197">
        <v>2.1760774031999999</v>
      </c>
      <c r="BL203" s="115"/>
      <c r="BM203" s="198">
        <v>5.6544632844000003E-3</v>
      </c>
      <c r="BN203" s="191">
        <v>-3.8464882382E-3</v>
      </c>
      <c r="BO203" s="191">
        <v>1.5009471014999999E-2</v>
      </c>
      <c r="BP203" s="191">
        <v>1.2626900934000001E-3</v>
      </c>
      <c r="BQ203" s="199">
        <v>12</v>
      </c>
      <c r="BR203" s="199">
        <v>0</v>
      </c>
      <c r="BS203" s="199">
        <v>7</v>
      </c>
      <c r="BT203" s="199">
        <v>5</v>
      </c>
      <c r="BU203" s="200">
        <v>0.28260445027999997</v>
      </c>
      <c r="BV203" s="200">
        <v>-6.4163163285999997E-2</v>
      </c>
      <c r="BW203" s="191">
        <v>2.2497347940000001E-3</v>
      </c>
      <c r="BX203" s="191">
        <v>1.6865165593000001E-3</v>
      </c>
      <c r="BY203" s="189">
        <v>0.52432196003999998</v>
      </c>
      <c r="BZ203" s="191">
        <v>-8.4040248359999997E-3</v>
      </c>
      <c r="CA203" s="191">
        <v>-8.4040248359999997E-3</v>
      </c>
      <c r="CB203" s="182">
        <v>45387</v>
      </c>
      <c r="CC203" s="182">
        <v>45399</v>
      </c>
      <c r="CD203" s="201">
        <v>17</v>
      </c>
      <c r="CE203" s="202">
        <v>45412</v>
      </c>
      <c r="CF203" s="116"/>
    </row>
    <row r="204" spans="2:84" ht="15.6" x14ac:dyDescent="0.3">
      <c r="B204" s="110" t="s">
        <v>2259</v>
      </c>
      <c r="C204" s="147" t="s">
        <v>2644</v>
      </c>
      <c r="D204" s="148" t="s">
        <v>84</v>
      </c>
      <c r="E204" s="148" t="s">
        <v>228</v>
      </c>
      <c r="F204" s="149">
        <v>8873873000110</v>
      </c>
      <c r="G204" s="149" t="s">
        <v>2394</v>
      </c>
      <c r="H204" s="149" t="s">
        <v>388</v>
      </c>
      <c r="I204" s="150">
        <v>13</v>
      </c>
      <c r="J204" s="151">
        <v>3</v>
      </c>
      <c r="K204" s="151" t="s">
        <v>126</v>
      </c>
      <c r="L204" s="151" t="s">
        <v>2466</v>
      </c>
      <c r="M204" s="151" t="s">
        <v>114</v>
      </c>
      <c r="N204" s="151" t="s">
        <v>109</v>
      </c>
      <c r="O204" s="152">
        <v>180000</v>
      </c>
      <c r="P204" s="153">
        <v>180000000</v>
      </c>
      <c r="Q204" s="153">
        <v>1000</v>
      </c>
      <c r="R204" s="154">
        <v>45214</v>
      </c>
      <c r="S204" s="154">
        <v>48867</v>
      </c>
      <c r="T204" s="155" t="s">
        <v>2771</v>
      </c>
      <c r="U204" s="155" t="s">
        <v>2711</v>
      </c>
      <c r="V204" s="154" t="s">
        <v>105</v>
      </c>
      <c r="W204" s="154" t="s">
        <v>102</v>
      </c>
      <c r="X204" s="154" t="s">
        <v>2520</v>
      </c>
      <c r="Y204" s="154">
        <v>48441</v>
      </c>
      <c r="Z204" s="156">
        <f>IFERROR(INDEX(Base!G:G,MATCH('Debêntures IPCA-Spread'!Y204,Base!F:F,0)),"")</f>
        <v>6.3467000000000002</v>
      </c>
      <c r="AA204" s="115"/>
      <c r="AB204" s="157">
        <v>45552</v>
      </c>
      <c r="AC204" s="158">
        <v>6.8174000000000001</v>
      </c>
      <c r="AD204" s="159">
        <f t="shared" si="10"/>
        <v>0.4706999999999999</v>
      </c>
      <c r="AE204" s="160">
        <v>0.15</v>
      </c>
      <c r="AF204" s="161">
        <v>7.0114000000000001</v>
      </c>
      <c r="AG204" s="161">
        <v>6.8014000000000001</v>
      </c>
      <c r="AH204" s="162">
        <v>1069.065259</v>
      </c>
      <c r="AI204" s="162"/>
      <c r="AJ204" s="163" t="str">
        <f t="shared" si="12"/>
        <v/>
      </c>
      <c r="AK204" s="164"/>
      <c r="AL204" s="165">
        <v>100.06</v>
      </c>
      <c r="AM204" s="166">
        <v>1549</v>
      </c>
      <c r="AN204" s="115"/>
      <c r="AO204" s="167">
        <v>9.3634080257999995E-6</v>
      </c>
      <c r="AP204" s="168">
        <f>IF(AO204="","",AO204-AO$6)</f>
        <v>-4.7078147690419997E-4</v>
      </c>
      <c r="AQ204" s="168">
        <v>1.4979980194E-2</v>
      </c>
      <c r="AR204" s="168">
        <f>IF(AQ204="","",AQ204-AQ$6)</f>
        <v>1.519748694696E-2</v>
      </c>
      <c r="AS204" s="168">
        <v>6.7989830501999998E-2</v>
      </c>
      <c r="AT204" s="168">
        <f>IF(AS204="","",AS204-AS$6)</f>
        <v>5.3263995447000001E-2</v>
      </c>
      <c r="AU204" s="168">
        <v>-4.9138292907000003E-3</v>
      </c>
      <c r="AV204" s="168">
        <f>IF(AU204="","",AU204-AU$6)</f>
        <v>8.1547533052999995E-3</v>
      </c>
      <c r="AW204" s="168">
        <v>4.4775485820000002E-2</v>
      </c>
      <c r="AX204" s="168">
        <f>IF(AW204="","",AW204-AW$6)</f>
        <v>2.0780418032000002E-2</v>
      </c>
      <c r="AY204" s="168">
        <v>3.0752973969000001E-2</v>
      </c>
      <c r="AZ204" s="168">
        <f>IF(AY204="","",AY204-AY$6)</f>
        <v>1.6510719179000002E-2</v>
      </c>
      <c r="BA204" s="168"/>
      <c r="BB204" s="168" t="str">
        <f>IF(BA204="","",BA204-BA$6)</f>
        <v/>
      </c>
      <c r="BC204" s="168"/>
      <c r="BD204" s="168" t="str">
        <f>IF(BC204="","",BC204-BC$6)</f>
        <v/>
      </c>
      <c r="BE204" s="168"/>
      <c r="BF204" s="168" t="str">
        <f>IF(BE204="","",BE204-BE$6)</f>
        <v/>
      </c>
      <c r="BG204" s="168"/>
      <c r="BH204" s="168" t="str">
        <f>IF(BG204="","",BG204-BG$6)</f>
        <v/>
      </c>
      <c r="BI204" s="168"/>
      <c r="BJ204" s="168" t="str">
        <f>IF(BI204="","",BI204-BI$6)</f>
        <v/>
      </c>
      <c r="BK204" s="169"/>
      <c r="BL204" s="115"/>
      <c r="BM204" s="170">
        <v>1.2784002347000001E-2</v>
      </c>
      <c r="BN204" s="163">
        <v>-1.0126058467E-2</v>
      </c>
      <c r="BO204" s="163">
        <v>3.5768186041000002E-2</v>
      </c>
      <c r="BP204" s="163">
        <v>-2.7725918815E-2</v>
      </c>
      <c r="BQ204" s="171"/>
      <c r="BR204" s="171"/>
      <c r="BS204" s="171"/>
      <c r="BT204" s="171"/>
      <c r="BU204" s="172"/>
      <c r="BV204" s="172"/>
      <c r="BW204" s="163"/>
      <c r="BX204" s="163">
        <v>6.1195450596999998E-3</v>
      </c>
      <c r="BY204" s="161"/>
      <c r="BZ204" s="163">
        <v>-3.7834310635999999E-2</v>
      </c>
      <c r="CA204" s="163">
        <v>-3.7834310635999999E-2</v>
      </c>
      <c r="CB204" s="154">
        <v>45377</v>
      </c>
      <c r="CC204" s="154">
        <v>45475</v>
      </c>
      <c r="CD204" s="173">
        <v>89</v>
      </c>
      <c r="CE204" s="174">
        <v>45505</v>
      </c>
      <c r="CF204" s="116"/>
    </row>
    <row r="205" spans="2:84" ht="15.6" x14ac:dyDescent="0.3">
      <c r="B205" s="98" t="s">
        <v>2260</v>
      </c>
      <c r="C205" s="175" t="s">
        <v>2645</v>
      </c>
      <c r="D205" s="176" t="s">
        <v>84</v>
      </c>
      <c r="E205" s="176" t="s">
        <v>228</v>
      </c>
      <c r="F205" s="177">
        <v>8873873000110</v>
      </c>
      <c r="G205" s="177" t="s">
        <v>2395</v>
      </c>
      <c r="H205" s="177" t="s">
        <v>388</v>
      </c>
      <c r="I205" s="178">
        <v>14</v>
      </c>
      <c r="J205" s="179">
        <v>1</v>
      </c>
      <c r="K205" s="179" t="s">
        <v>126</v>
      </c>
      <c r="L205" s="179" t="s">
        <v>2467</v>
      </c>
      <c r="M205" s="179" t="s">
        <v>114</v>
      </c>
      <c r="N205" s="179" t="s">
        <v>109</v>
      </c>
      <c r="O205" s="180">
        <v>897312</v>
      </c>
      <c r="P205" s="181">
        <v>897312000</v>
      </c>
      <c r="Q205" s="181">
        <v>1000</v>
      </c>
      <c r="R205" s="182">
        <v>45458</v>
      </c>
      <c r="S205" s="182">
        <v>48014</v>
      </c>
      <c r="T205" s="183" t="s">
        <v>2819</v>
      </c>
      <c r="U205" s="183" t="s">
        <v>113</v>
      </c>
      <c r="V205" s="182" t="s">
        <v>105</v>
      </c>
      <c r="W205" s="182" t="s">
        <v>102</v>
      </c>
      <c r="X205" s="182" t="s">
        <v>2521</v>
      </c>
      <c r="Y205" s="182">
        <v>47710</v>
      </c>
      <c r="Z205" s="184">
        <f>IFERROR(INDEX(Base!G:G,MATCH('Debêntures IPCA-Spread'!Y205,Base!F:F,0)),"")</f>
        <v>6.3273999999999999</v>
      </c>
      <c r="AA205" s="115"/>
      <c r="AB205" s="185">
        <v>45552</v>
      </c>
      <c r="AC205" s="186">
        <v>6.5975000000000001</v>
      </c>
      <c r="AD205" s="187">
        <f t="shared" si="10"/>
        <v>0.27010000000000023</v>
      </c>
      <c r="AE205" s="188">
        <v>0.08</v>
      </c>
      <c r="AF205" s="189">
        <v>6.8978000000000002</v>
      </c>
      <c r="AG205" s="189">
        <v>6.5541</v>
      </c>
      <c r="AH205" s="190">
        <v>1031.910046</v>
      </c>
      <c r="AI205" s="190"/>
      <c r="AJ205" s="191" t="str">
        <f t="shared" si="12"/>
        <v/>
      </c>
      <c r="AK205" s="192"/>
      <c r="AL205" s="193">
        <v>101.15</v>
      </c>
      <c r="AM205" s="194">
        <v>1367</v>
      </c>
      <c r="AN205" s="115"/>
      <c r="AO205" s="195">
        <v>3.6459664643E-3</v>
      </c>
      <c r="AP205" s="196">
        <f>IF(AO205="","",AO205-AO$6)</f>
        <v>3.16582157937E-3</v>
      </c>
      <c r="AQ205" s="196">
        <v>6.2333722199000002E-3</v>
      </c>
      <c r="AR205" s="196">
        <f>IF(AQ205="","",AQ205-AQ$6)</f>
        <v>6.4508789728600002E-3</v>
      </c>
      <c r="AS205" s="196"/>
      <c r="AT205" s="196" t="str">
        <f>IF(AS205="","",AS205-AS$6)</f>
        <v/>
      </c>
      <c r="AU205" s="196">
        <v>-3.4564600901000001E-3</v>
      </c>
      <c r="AV205" s="196">
        <f>IF(AU205="","",AU205-AU$6)</f>
        <v>9.6121225058999997E-3</v>
      </c>
      <c r="AW205" s="196"/>
      <c r="AX205" s="196" t="str">
        <f>IF(AW205="","",AW205-AW$6)</f>
        <v/>
      </c>
      <c r="AY205" s="196"/>
      <c r="AZ205" s="196" t="str">
        <f>IF(AY205="","",AY205-AY$6)</f>
        <v/>
      </c>
      <c r="BA205" s="196"/>
      <c r="BB205" s="196" t="str">
        <f>IF(BA205="","",BA205-BA$6)</f>
        <v/>
      </c>
      <c r="BC205" s="196"/>
      <c r="BD205" s="196" t="str">
        <f>IF(BC205="","",BC205-BC$6)</f>
        <v/>
      </c>
      <c r="BE205" s="196"/>
      <c r="BF205" s="196" t="str">
        <f>IF(BE205="","",BE205-BE$6)</f>
        <v/>
      </c>
      <c r="BG205" s="196"/>
      <c r="BH205" s="196" t="str">
        <f>IF(BG205="","",BG205-BG$6)</f>
        <v/>
      </c>
      <c r="BI205" s="196"/>
      <c r="BJ205" s="196" t="str">
        <f>IF(BI205="","",BI205-BI$6)</f>
        <v/>
      </c>
      <c r="BK205" s="197"/>
      <c r="BL205" s="115"/>
      <c r="BM205" s="198">
        <v>7.8355169371000007E-3</v>
      </c>
      <c r="BN205" s="191">
        <v>-6.1959866953000004E-3</v>
      </c>
      <c r="BO205" s="191">
        <v>1.7521981235000001E-2</v>
      </c>
      <c r="BP205" s="191">
        <v>6.2333722199000002E-3</v>
      </c>
      <c r="BQ205" s="199"/>
      <c r="BR205" s="199"/>
      <c r="BS205" s="199"/>
      <c r="BT205" s="199"/>
      <c r="BU205" s="200"/>
      <c r="BV205" s="200"/>
      <c r="BW205" s="191"/>
      <c r="BX205" s="191">
        <v>5.1075863714999999E-3</v>
      </c>
      <c r="BY205" s="189"/>
      <c r="BZ205" s="191">
        <v>-3.5676040759000001E-3</v>
      </c>
      <c r="CA205" s="191">
        <v>-1.3580646218E-2</v>
      </c>
      <c r="CB205" s="182">
        <v>45523</v>
      </c>
      <c r="CC205" s="182">
        <v>45537</v>
      </c>
      <c r="CD205" s="201"/>
      <c r="CE205" s="202"/>
      <c r="CF205" s="116"/>
    </row>
    <row r="206" spans="2:84" ht="15.6" x14ac:dyDescent="0.3">
      <c r="B206" s="110" t="s">
        <v>2261</v>
      </c>
      <c r="C206" s="147" t="s">
        <v>2646</v>
      </c>
      <c r="D206" s="148" t="s">
        <v>84</v>
      </c>
      <c r="E206" s="148" t="s">
        <v>228</v>
      </c>
      <c r="F206" s="149">
        <v>8873873000110</v>
      </c>
      <c r="G206" s="149" t="s">
        <v>2396</v>
      </c>
      <c r="H206" s="149" t="s">
        <v>388</v>
      </c>
      <c r="I206" s="150">
        <v>14</v>
      </c>
      <c r="J206" s="151">
        <v>2</v>
      </c>
      <c r="K206" s="151" t="s">
        <v>126</v>
      </c>
      <c r="L206" s="151" t="s">
        <v>2467</v>
      </c>
      <c r="M206" s="151" t="s">
        <v>114</v>
      </c>
      <c r="N206" s="151" t="s">
        <v>109</v>
      </c>
      <c r="O206" s="152">
        <v>842198</v>
      </c>
      <c r="P206" s="153">
        <v>842198000</v>
      </c>
      <c r="Q206" s="153">
        <v>1000</v>
      </c>
      <c r="R206" s="154">
        <v>45458</v>
      </c>
      <c r="S206" s="154">
        <v>49110</v>
      </c>
      <c r="T206" s="155" t="s">
        <v>2819</v>
      </c>
      <c r="U206" s="155" t="s">
        <v>2747</v>
      </c>
      <c r="V206" s="154" t="s">
        <v>105</v>
      </c>
      <c r="W206" s="154" t="s">
        <v>102</v>
      </c>
      <c r="X206" s="154" t="s">
        <v>2522</v>
      </c>
      <c r="Y206" s="154">
        <v>48714</v>
      </c>
      <c r="Z206" s="156">
        <f>IFERROR(INDEX(Base!G:G,MATCH('Debêntures IPCA-Spread'!Y206,Base!F:F,0)),"")</f>
        <v>6.3373999999999997</v>
      </c>
      <c r="AA206" s="115"/>
      <c r="AB206" s="157">
        <v>45552</v>
      </c>
      <c r="AC206" s="158">
        <v>6.8616999999999999</v>
      </c>
      <c r="AD206" s="159">
        <f t="shared" si="10"/>
        <v>0.52430000000000021</v>
      </c>
      <c r="AE206" s="160">
        <v>0.08</v>
      </c>
      <c r="AF206" s="161">
        <v>7.0228000000000002</v>
      </c>
      <c r="AG206" s="161">
        <v>6.7778</v>
      </c>
      <c r="AH206" s="162">
        <v>1036.51604</v>
      </c>
      <c r="AI206" s="162"/>
      <c r="AJ206" s="163" t="str">
        <f t="shared" si="12"/>
        <v/>
      </c>
      <c r="AK206" s="164"/>
      <c r="AL206" s="165">
        <v>101.54</v>
      </c>
      <c r="AM206" s="166">
        <v>1654</v>
      </c>
      <c r="AN206" s="115"/>
      <c r="AO206" s="167">
        <v>-4.8472606795E-4</v>
      </c>
      <c r="AP206" s="168">
        <f>IF(AO206="","",AO206-AO$6)</f>
        <v>-9.6487095288E-4</v>
      </c>
      <c r="AQ206" s="168">
        <v>1.7178978651E-3</v>
      </c>
      <c r="AR206" s="168">
        <f>IF(AQ206="","",AQ206-AQ$6)</f>
        <v>1.93540461806E-3</v>
      </c>
      <c r="AS206" s="168"/>
      <c r="AT206" s="168" t="str">
        <f>IF(AS206="","",AS206-AS$6)</f>
        <v/>
      </c>
      <c r="AU206" s="168">
        <v>-5.3452437623000004E-3</v>
      </c>
      <c r="AV206" s="168">
        <f>IF(AU206="","",AU206-AU$6)</f>
        <v>7.7233388336999994E-3</v>
      </c>
      <c r="AW206" s="168"/>
      <c r="AX206" s="168" t="str">
        <f>IF(AW206="","",AW206-AW$6)</f>
        <v/>
      </c>
      <c r="AY206" s="168"/>
      <c r="AZ206" s="168" t="str">
        <f>IF(AY206="","",AY206-AY$6)</f>
        <v/>
      </c>
      <c r="BA206" s="168"/>
      <c r="BB206" s="168" t="str">
        <f>IF(BA206="","",BA206-BA$6)</f>
        <v/>
      </c>
      <c r="BC206" s="168"/>
      <c r="BD206" s="168" t="str">
        <f>IF(BC206="","",BC206-BC$6)</f>
        <v/>
      </c>
      <c r="BE206" s="168"/>
      <c r="BF206" s="168" t="str">
        <f>IF(BE206="","",BE206-BE$6)</f>
        <v/>
      </c>
      <c r="BG206" s="168"/>
      <c r="BH206" s="168" t="str">
        <f>IF(BG206="","",BG206-BG$6)</f>
        <v/>
      </c>
      <c r="BI206" s="168"/>
      <c r="BJ206" s="168" t="str">
        <f>IF(BI206="","",BI206-BI$6)</f>
        <v/>
      </c>
      <c r="BK206" s="169"/>
      <c r="BL206" s="115"/>
      <c r="BM206" s="170">
        <v>1.1996151058999999E-2</v>
      </c>
      <c r="BN206" s="163">
        <v>-5.3903933522000003E-3</v>
      </c>
      <c r="BO206" s="163">
        <v>2.3050979201999999E-2</v>
      </c>
      <c r="BP206" s="163">
        <v>1.7178978651E-3</v>
      </c>
      <c r="BQ206" s="171"/>
      <c r="BR206" s="171"/>
      <c r="BS206" s="171"/>
      <c r="BT206" s="171"/>
      <c r="BU206" s="172"/>
      <c r="BV206" s="172"/>
      <c r="BW206" s="163"/>
      <c r="BX206" s="163">
        <v>4.0156586493000001E-3</v>
      </c>
      <c r="BY206" s="161"/>
      <c r="BZ206" s="163">
        <v>-3.3513598768000002E-3</v>
      </c>
      <c r="CA206" s="163">
        <v>-1.2591937204E-2</v>
      </c>
      <c r="CB206" s="154">
        <v>45519</v>
      </c>
      <c r="CC206" s="154">
        <v>45538</v>
      </c>
      <c r="CD206" s="173"/>
      <c r="CE206" s="174"/>
      <c r="CF206" s="116"/>
    </row>
    <row r="207" spans="2:84" ht="15.6" x14ac:dyDescent="0.3">
      <c r="B207" s="98" t="s">
        <v>2262</v>
      </c>
      <c r="C207" s="175" t="s">
        <v>2647</v>
      </c>
      <c r="D207" s="176" t="s">
        <v>84</v>
      </c>
      <c r="E207" s="176" t="s">
        <v>228</v>
      </c>
      <c r="F207" s="177">
        <v>8873873000110</v>
      </c>
      <c r="G207" s="177" t="s">
        <v>2397</v>
      </c>
      <c r="H207" s="177" t="s">
        <v>388</v>
      </c>
      <c r="I207" s="178">
        <v>14</v>
      </c>
      <c r="J207" s="179">
        <v>3</v>
      </c>
      <c r="K207" s="179" t="s">
        <v>126</v>
      </c>
      <c r="L207" s="179" t="s">
        <v>2467</v>
      </c>
      <c r="M207" s="179" t="s">
        <v>114</v>
      </c>
      <c r="N207" s="179" t="s">
        <v>109</v>
      </c>
      <c r="O207" s="180">
        <v>360490</v>
      </c>
      <c r="P207" s="181">
        <v>360490000</v>
      </c>
      <c r="Q207" s="181">
        <v>1000</v>
      </c>
      <c r="R207" s="182">
        <v>45458</v>
      </c>
      <c r="S207" s="182">
        <v>50936</v>
      </c>
      <c r="T207" s="183" t="s">
        <v>2819</v>
      </c>
      <c r="U207" s="183" t="s">
        <v>2748</v>
      </c>
      <c r="V207" s="182" t="s">
        <v>105</v>
      </c>
      <c r="W207" s="182" t="s">
        <v>102</v>
      </c>
      <c r="X207" s="182" t="s">
        <v>2523</v>
      </c>
      <c r="Y207" s="182">
        <v>49444</v>
      </c>
      <c r="Z207" s="184">
        <f>IFERROR(INDEX(Base!G:G,MATCH('Debêntures IPCA-Spread'!Y207,Base!F:F,0)),"")</f>
        <v>6.3137999999999996</v>
      </c>
      <c r="AA207" s="115"/>
      <c r="AB207" s="185">
        <v>45552</v>
      </c>
      <c r="AC207" s="186">
        <v>7.0444000000000004</v>
      </c>
      <c r="AD207" s="187">
        <f t="shared" si="10"/>
        <v>0.7306000000000008</v>
      </c>
      <c r="AE207" s="188">
        <v>0.12</v>
      </c>
      <c r="AF207" s="189">
        <v>7.2308000000000003</v>
      </c>
      <c r="AG207" s="189">
        <v>6.9555999999999996</v>
      </c>
      <c r="AH207" s="190">
        <v>1043.7753339999999</v>
      </c>
      <c r="AI207" s="190"/>
      <c r="AJ207" s="191" t="str">
        <f t="shared" si="12"/>
        <v/>
      </c>
      <c r="AK207" s="192"/>
      <c r="AL207" s="193">
        <v>102.21</v>
      </c>
      <c r="AM207" s="194">
        <v>2225</v>
      </c>
      <c r="AN207" s="115"/>
      <c r="AO207" s="195">
        <v>1.3537235045E-3</v>
      </c>
      <c r="AP207" s="196">
        <f>IF(AO207="","",AO207-AO$6)</f>
        <v>8.7357861956999998E-4</v>
      </c>
      <c r="AQ207" s="196">
        <v>-9.7430182631999995E-4</v>
      </c>
      <c r="AR207" s="196">
        <f>IF(AQ207="","",AQ207-AQ$6)</f>
        <v>-7.5679507335999993E-4</v>
      </c>
      <c r="AS207" s="196"/>
      <c r="AT207" s="196" t="str">
        <f>IF(AS207="","",AS207-AS$6)</f>
        <v/>
      </c>
      <c r="AU207" s="196">
        <v>-1.9306798997E-2</v>
      </c>
      <c r="AV207" s="196">
        <f>IF(AU207="","",AU207-AU$6)</f>
        <v>-6.2382164010000001E-3</v>
      </c>
      <c r="AW207" s="196"/>
      <c r="AX207" s="196" t="str">
        <f>IF(AW207="","",AW207-AW$6)</f>
        <v/>
      </c>
      <c r="AY207" s="196"/>
      <c r="AZ207" s="196" t="str">
        <f>IF(AY207="","",AY207-AY$6)</f>
        <v/>
      </c>
      <c r="BA207" s="196"/>
      <c r="BB207" s="196" t="str">
        <f>IF(BA207="","",BA207-BA$6)</f>
        <v/>
      </c>
      <c r="BC207" s="196"/>
      <c r="BD207" s="196" t="str">
        <f>IF(BC207="","",BC207-BC$6)</f>
        <v/>
      </c>
      <c r="BE207" s="196"/>
      <c r="BF207" s="196" t="str">
        <f>IF(BE207="","",BE207-BE$6)</f>
        <v/>
      </c>
      <c r="BG207" s="196"/>
      <c r="BH207" s="196" t="str">
        <f>IF(BG207="","",BG207-BG$6)</f>
        <v/>
      </c>
      <c r="BI207" s="196"/>
      <c r="BJ207" s="196" t="str">
        <f>IF(BI207="","",BI207-BI$6)</f>
        <v/>
      </c>
      <c r="BK207" s="197"/>
      <c r="BL207" s="115"/>
      <c r="BM207" s="198">
        <v>1.8951844709999999E-2</v>
      </c>
      <c r="BN207" s="191">
        <v>-7.7067921174999998E-3</v>
      </c>
      <c r="BO207" s="191">
        <v>2.0242040895000001E-2</v>
      </c>
      <c r="BP207" s="191">
        <v>-9.7430182631999995E-4</v>
      </c>
      <c r="BQ207" s="199"/>
      <c r="BR207" s="199"/>
      <c r="BS207" s="199"/>
      <c r="BT207" s="199"/>
      <c r="BU207" s="200"/>
      <c r="BV207" s="200"/>
      <c r="BW207" s="191"/>
      <c r="BX207" s="191">
        <v>6.5110100537000004E-3</v>
      </c>
      <c r="BY207" s="189"/>
      <c r="BZ207" s="191">
        <v>-1.0705938427E-3</v>
      </c>
      <c r="CA207" s="191">
        <v>-2.0632591677999999E-2</v>
      </c>
      <c r="CB207" s="182">
        <v>45520</v>
      </c>
      <c r="CC207" s="182">
        <v>45551</v>
      </c>
      <c r="CD207" s="201"/>
      <c r="CE207" s="202"/>
      <c r="CF207" s="116"/>
    </row>
    <row r="208" spans="2:84" ht="15.6" x14ac:dyDescent="0.3">
      <c r="B208" s="110" t="s">
        <v>524</v>
      </c>
      <c r="C208" s="147" t="s">
        <v>689</v>
      </c>
      <c r="D208" s="148" t="s">
        <v>625</v>
      </c>
      <c r="E208" s="148" t="s">
        <v>226</v>
      </c>
      <c r="F208" s="149">
        <v>27831352000145</v>
      </c>
      <c r="G208" s="149" t="s">
        <v>844</v>
      </c>
      <c r="H208" s="149" t="s">
        <v>388</v>
      </c>
      <c r="I208" s="150">
        <v>1</v>
      </c>
      <c r="J208" s="151" t="s">
        <v>107</v>
      </c>
      <c r="K208" s="151" t="s">
        <v>130</v>
      </c>
      <c r="L208" s="151" t="s">
        <v>112</v>
      </c>
      <c r="M208" s="151" t="s">
        <v>114</v>
      </c>
      <c r="N208" s="151" t="s">
        <v>109</v>
      </c>
      <c r="O208" s="152">
        <v>1200000</v>
      </c>
      <c r="P208" s="153">
        <v>1200000000</v>
      </c>
      <c r="Q208" s="153">
        <v>1000</v>
      </c>
      <c r="R208" s="154">
        <v>43388</v>
      </c>
      <c r="S208" s="154">
        <v>47041</v>
      </c>
      <c r="T208" s="155" t="s">
        <v>773</v>
      </c>
      <c r="U208" s="155" t="s">
        <v>927</v>
      </c>
      <c r="V208" s="154" t="s">
        <v>194</v>
      </c>
      <c r="W208" s="154" t="s">
        <v>102</v>
      </c>
      <c r="X208" s="154" t="s">
        <v>1332</v>
      </c>
      <c r="Y208" s="154">
        <v>46522</v>
      </c>
      <c r="Z208" s="156">
        <f>IFERROR(INDEX(Base!G:G,MATCH('Debêntures IPCA-Spread'!Y208,Base!F:F,0)),"")</f>
        <v>6.391</v>
      </c>
      <c r="AA208" s="115"/>
      <c r="AB208" s="157">
        <v>45552</v>
      </c>
      <c r="AC208" s="158">
        <v>6.6173999999999999</v>
      </c>
      <c r="AD208" s="159">
        <f t="shared" si="10"/>
        <v>0.22639999999999993</v>
      </c>
      <c r="AE208" s="160">
        <v>0.09</v>
      </c>
      <c r="AF208" s="161">
        <v>7.1832000000000003</v>
      </c>
      <c r="AG208" s="161">
        <v>6.4650999999999996</v>
      </c>
      <c r="AH208" s="162">
        <v>1332.2045169999999</v>
      </c>
      <c r="AI208" s="162">
        <v>1332.5245729999999</v>
      </c>
      <c r="AJ208" s="163">
        <f t="shared" si="12"/>
        <v>0.99975981230929234</v>
      </c>
      <c r="AK208" s="164">
        <v>45548</v>
      </c>
      <c r="AL208" s="165">
        <v>100.21</v>
      </c>
      <c r="AM208" s="166">
        <v>540</v>
      </c>
      <c r="AN208" s="115"/>
      <c r="AO208" s="167">
        <v>1.4516097852999999E-3</v>
      </c>
      <c r="AP208" s="168">
        <f>IF(AO208="","",AO208-AO$6)</f>
        <v>9.7146490036999992E-4</v>
      </c>
      <c r="AQ208" s="168">
        <v>9.6233826370999993E-3</v>
      </c>
      <c r="AR208" s="168">
        <f>IF(AQ208="","",AQ208-AQ$6)</f>
        <v>9.8408893900599984E-3</v>
      </c>
      <c r="AS208" s="168">
        <v>7.6022057419000005E-2</v>
      </c>
      <c r="AT208" s="168">
        <f>IF(AS208="","",AS208-AS$6)</f>
        <v>6.1296222364000008E-2</v>
      </c>
      <c r="AU208" s="168">
        <v>9.9557418071000003E-3</v>
      </c>
      <c r="AV208" s="168">
        <f>IF(AU208="","",AU208-AU$6)</f>
        <v>2.30243244031E-2</v>
      </c>
      <c r="AW208" s="168">
        <v>4.2298243999999999E-2</v>
      </c>
      <c r="AX208" s="168">
        <f>IF(AW208="","",AW208-AW$6)</f>
        <v>1.8303176211999998E-2</v>
      </c>
      <c r="AY208" s="168">
        <v>5.9926553902000003E-2</v>
      </c>
      <c r="AZ208" s="168">
        <f>IF(AY208="","",AY208-AY$6)</f>
        <v>4.5684299112000004E-2</v>
      </c>
      <c r="BA208" s="168">
        <v>0.1072990417</v>
      </c>
      <c r="BB208" s="168">
        <f>IF(BA208="","",BA208-BA$6)</f>
        <v>5.3812077142000002E-2</v>
      </c>
      <c r="BC208" s="168">
        <v>0.23400357551000001</v>
      </c>
      <c r="BD208" s="168">
        <f>IF(BC208="","",BC208-BC$6)</f>
        <v>3.9695009020000005E-2</v>
      </c>
      <c r="BE208" s="168">
        <v>0.38594157690000003</v>
      </c>
      <c r="BF208" s="168">
        <f>IF(BE208="","",BE208-BE$6)</f>
        <v>0.12422223736000004</v>
      </c>
      <c r="BG208" s="168">
        <v>0.49198413709</v>
      </c>
      <c r="BH208" s="168">
        <f>IF(BG208="","",BG208-BG$6)</f>
        <v>0.18306748827999997</v>
      </c>
      <c r="BI208" s="168"/>
      <c r="BJ208" s="168" t="str">
        <f>IF(BI208="","",BI208-BI$6)</f>
        <v/>
      </c>
      <c r="BK208" s="169">
        <v>3.9360119045999999</v>
      </c>
      <c r="BL208" s="115"/>
      <c r="BM208" s="170">
        <v>9.7808011888000004E-3</v>
      </c>
      <c r="BN208" s="163">
        <v>-5.7938585487000002E-3</v>
      </c>
      <c r="BO208" s="163">
        <v>2.8297531417000001E-2</v>
      </c>
      <c r="BP208" s="163">
        <v>-9.7263586312999993E-3</v>
      </c>
      <c r="BQ208" s="171">
        <v>10</v>
      </c>
      <c r="BR208" s="171">
        <v>2</v>
      </c>
      <c r="BS208" s="171">
        <v>7</v>
      </c>
      <c r="BT208" s="171">
        <v>5</v>
      </c>
      <c r="BU208" s="172">
        <v>-8.2654733049000007E-2</v>
      </c>
      <c r="BV208" s="172">
        <v>-3.0397039991000002E-2</v>
      </c>
      <c r="BW208" s="163">
        <v>4.0687539636999996E-3</v>
      </c>
      <c r="BX208" s="163">
        <v>2.6208643585000002E-3</v>
      </c>
      <c r="BY208" s="161">
        <v>-0.80338500438000005</v>
      </c>
      <c r="BZ208" s="163">
        <v>-1.5386678306999999E-2</v>
      </c>
      <c r="CA208" s="163">
        <v>-1.5386678306999999E-2</v>
      </c>
      <c r="CB208" s="154">
        <v>45189</v>
      </c>
      <c r="CC208" s="154">
        <v>45229</v>
      </c>
      <c r="CD208" s="173">
        <v>32</v>
      </c>
      <c r="CE208" s="174">
        <v>45237</v>
      </c>
      <c r="CF208" s="116"/>
    </row>
    <row r="209" spans="2:84" ht="15.6" x14ac:dyDescent="0.3">
      <c r="B209" s="98" t="s">
        <v>261</v>
      </c>
      <c r="C209" s="175" t="s">
        <v>303</v>
      </c>
      <c r="D209" s="176" t="s">
        <v>268</v>
      </c>
      <c r="E209" s="176" t="s">
        <v>226</v>
      </c>
      <c r="F209" s="177">
        <v>4705039000165</v>
      </c>
      <c r="G209" s="177" t="s">
        <v>360</v>
      </c>
      <c r="H209" s="177" t="s">
        <v>388</v>
      </c>
      <c r="I209" s="178">
        <v>1</v>
      </c>
      <c r="J209" s="179" t="s">
        <v>108</v>
      </c>
      <c r="K209" s="179" t="s">
        <v>126</v>
      </c>
      <c r="L209" s="179" t="s">
        <v>121</v>
      </c>
      <c r="M209" s="179" t="s">
        <v>116</v>
      </c>
      <c r="N209" s="179" t="s">
        <v>109</v>
      </c>
      <c r="O209" s="180">
        <v>115000</v>
      </c>
      <c r="P209" s="181">
        <v>115000000</v>
      </c>
      <c r="Q209" s="181">
        <v>1000</v>
      </c>
      <c r="R209" s="182">
        <v>43235</v>
      </c>
      <c r="S209" s="182">
        <v>48714</v>
      </c>
      <c r="T209" s="183" t="s">
        <v>274</v>
      </c>
      <c r="U209" s="183" t="s">
        <v>274</v>
      </c>
      <c r="V209" s="182" t="s">
        <v>194</v>
      </c>
      <c r="W209" s="182" t="s">
        <v>102</v>
      </c>
      <c r="X209" s="182" t="s">
        <v>271</v>
      </c>
      <c r="Y209" s="182">
        <v>47253</v>
      </c>
      <c r="Z209" s="184">
        <f>IFERROR(INDEX(Base!G:G,MATCH('Debêntures IPCA-Spread'!Y209,Base!F:F,0)),"")</f>
        <v>6.41</v>
      </c>
      <c r="AA209" s="115"/>
      <c r="AB209" s="185">
        <v>45552</v>
      </c>
      <c r="AC209" s="186">
        <v>6.4333</v>
      </c>
      <c r="AD209" s="187">
        <f t="shared" si="10"/>
        <v>2.3299999999999876E-2</v>
      </c>
      <c r="AE209" s="188">
        <v>0.22</v>
      </c>
      <c r="AF209" s="189">
        <v>6.6779000000000002</v>
      </c>
      <c r="AG209" s="189">
        <v>6.4099000000000004</v>
      </c>
      <c r="AH209" s="190">
        <v>1026.3946350000001</v>
      </c>
      <c r="AI209" s="190">
        <v>1027.772023</v>
      </c>
      <c r="AJ209" s="191">
        <f t="shared" si="12"/>
        <v>0.99865983119877166</v>
      </c>
      <c r="AK209" s="192">
        <v>45546</v>
      </c>
      <c r="AL209" s="193">
        <v>102.16</v>
      </c>
      <c r="AM209" s="194">
        <v>975</v>
      </c>
      <c r="AN209" s="115"/>
      <c r="AO209" s="195">
        <v>3.6980206914E-3</v>
      </c>
      <c r="AP209" s="196">
        <f>IF(AO209="","",AO209-AO$6)</f>
        <v>3.21787580647E-3</v>
      </c>
      <c r="AQ209" s="196">
        <v>9.6049520980000004E-3</v>
      </c>
      <c r="AR209" s="196">
        <f>IF(AQ209="","",AQ209-AQ$6)</f>
        <v>9.8224588509599996E-3</v>
      </c>
      <c r="AS209" s="196">
        <v>6.4637261939000004E-2</v>
      </c>
      <c r="AT209" s="196">
        <f>IF(AS209="","",AS209-AS$6)</f>
        <v>4.9911426884000007E-2</v>
      </c>
      <c r="AU209" s="196">
        <v>2.7609188818999999E-3</v>
      </c>
      <c r="AV209" s="196">
        <f>IF(AU209="","",AU209-AU$6)</f>
        <v>1.58295014779E-2</v>
      </c>
      <c r="AW209" s="196">
        <v>3.7369285214E-2</v>
      </c>
      <c r="AX209" s="196">
        <f>IF(AW209="","",AW209-AW$6)</f>
        <v>1.3374217426E-2</v>
      </c>
      <c r="AY209" s="196">
        <v>3.6507297139999999E-2</v>
      </c>
      <c r="AZ209" s="196">
        <f>IF(AY209="","",AY209-AY$6)</f>
        <v>2.226504235E-2</v>
      </c>
      <c r="BA209" s="196">
        <v>9.8330244006999995E-2</v>
      </c>
      <c r="BB209" s="196">
        <f>IF(BA209="","",BA209-BA$6)</f>
        <v>4.4843279448999997E-2</v>
      </c>
      <c r="BC209" s="196">
        <v>0.25258522105999998</v>
      </c>
      <c r="BD209" s="196">
        <f>IF(BC209="","",BC209-BC$6)</f>
        <v>5.8276654569999975E-2</v>
      </c>
      <c r="BE209" s="196">
        <v>0.40610688639999998</v>
      </c>
      <c r="BF209" s="196">
        <f>IF(BE209="","",BE209-BE$6)</f>
        <v>0.14438754685999999</v>
      </c>
      <c r="BG209" s="196">
        <v>0.52104489692</v>
      </c>
      <c r="BH209" s="196">
        <f>IF(BG209="","",BG209-BG$6)</f>
        <v>0.21212824810999997</v>
      </c>
      <c r="BI209" s="196">
        <v>0.57843795265999998</v>
      </c>
      <c r="BJ209" s="196">
        <f>IF(BI209="","",BI209-BI$6)</f>
        <v>0.20549494257999995</v>
      </c>
      <c r="BK209" s="197">
        <v>3.9628414936</v>
      </c>
      <c r="BL209" s="115"/>
      <c r="BM209" s="198">
        <v>6.5487952688000001E-3</v>
      </c>
      <c r="BN209" s="191">
        <v>-7.0879187842000004E-3</v>
      </c>
      <c r="BO209" s="191">
        <v>2.3256888582E-2</v>
      </c>
      <c r="BP209" s="191">
        <v>-7.1579194018E-3</v>
      </c>
      <c r="BQ209" s="199">
        <v>9</v>
      </c>
      <c r="BR209" s="199">
        <v>3</v>
      </c>
      <c r="BS209" s="199">
        <v>6</v>
      </c>
      <c r="BT209" s="199">
        <v>6</v>
      </c>
      <c r="BU209" s="200">
        <v>-0.28573338914000002</v>
      </c>
      <c r="BV209" s="200">
        <v>7.9288819233999996E-2</v>
      </c>
      <c r="BW209" s="191">
        <v>4.0935926196999997E-3</v>
      </c>
      <c r="BX209" s="191">
        <v>4.3487904393999998E-3</v>
      </c>
      <c r="BY209" s="189">
        <v>-1.8406200368000001</v>
      </c>
      <c r="BZ209" s="191">
        <v>-1.6310539923000002E-2</v>
      </c>
      <c r="CA209" s="191">
        <v>-1.6310539923000002E-2</v>
      </c>
      <c r="CB209" s="182">
        <v>45187</v>
      </c>
      <c r="CC209" s="182">
        <v>45202</v>
      </c>
      <c r="CD209" s="201">
        <v>41</v>
      </c>
      <c r="CE209" s="202">
        <v>45247</v>
      </c>
      <c r="CF209" s="116"/>
    </row>
    <row r="210" spans="2:84" ht="15.6" x14ac:dyDescent="0.3">
      <c r="B210" s="110" t="s">
        <v>1436</v>
      </c>
      <c r="C210" s="147" t="s">
        <v>2082</v>
      </c>
      <c r="D210" s="148" t="s">
        <v>1908</v>
      </c>
      <c r="E210" s="148" t="s">
        <v>226</v>
      </c>
      <c r="F210" s="149">
        <v>27821748000101</v>
      </c>
      <c r="G210" s="149" t="s">
        <v>1795</v>
      </c>
      <c r="H210" s="149" t="s">
        <v>388</v>
      </c>
      <c r="I210" s="150">
        <v>2</v>
      </c>
      <c r="J210" s="151" t="s">
        <v>107</v>
      </c>
      <c r="K210" s="151" t="s">
        <v>126</v>
      </c>
      <c r="L210" s="151" t="s">
        <v>118</v>
      </c>
      <c r="M210" s="151" t="s">
        <v>116</v>
      </c>
      <c r="N210" s="151" t="s">
        <v>109</v>
      </c>
      <c r="O210" s="152">
        <v>800000</v>
      </c>
      <c r="P210" s="153">
        <v>800000000</v>
      </c>
      <c r="Q210" s="153">
        <v>1000</v>
      </c>
      <c r="R210" s="154">
        <v>43661</v>
      </c>
      <c r="S210" s="154">
        <v>50966</v>
      </c>
      <c r="T210" s="155" t="s">
        <v>1686</v>
      </c>
      <c r="U210" s="155" t="s">
        <v>1686</v>
      </c>
      <c r="V210" s="154" t="s">
        <v>105</v>
      </c>
      <c r="W210" s="154" t="s">
        <v>102</v>
      </c>
      <c r="X210" s="154" t="s">
        <v>1367</v>
      </c>
      <c r="Y210" s="154">
        <v>48441</v>
      </c>
      <c r="Z210" s="156">
        <f>IFERROR(INDEX(Base!G:G,MATCH('Debêntures IPCA-Spread'!Y210,Base!F:F,0)),"")</f>
        <v>6.3467000000000002</v>
      </c>
      <c r="AA210" s="115"/>
      <c r="AB210" s="157">
        <v>45552</v>
      </c>
      <c r="AC210" s="158">
        <v>6.5461</v>
      </c>
      <c r="AD210" s="159">
        <f t="shared" si="10"/>
        <v>0.1993999999999998</v>
      </c>
      <c r="AE210" s="160">
        <v>0.06</v>
      </c>
      <c r="AF210" s="161">
        <v>6.7401</v>
      </c>
      <c r="AG210" s="161">
        <v>6.3689</v>
      </c>
      <c r="AH210" s="162">
        <v>1214.141856</v>
      </c>
      <c r="AI210" s="162">
        <v>1221.03087</v>
      </c>
      <c r="AJ210" s="163">
        <f t="shared" si="12"/>
        <v>0.99435803453519556</v>
      </c>
      <c r="AK210" s="164">
        <v>45546</v>
      </c>
      <c r="AL210" s="165">
        <v>88.05</v>
      </c>
      <c r="AM210" s="166">
        <v>1570</v>
      </c>
      <c r="AN210" s="115"/>
      <c r="AO210" s="167">
        <v>2.7764430159999998E-4</v>
      </c>
      <c r="AP210" s="168">
        <f>IF(AO210="","",AO210-AO$6)</f>
        <v>-2.0250058333000002E-4</v>
      </c>
      <c r="AQ210" s="168">
        <v>1.0451367963000001E-2</v>
      </c>
      <c r="AR210" s="168">
        <f>IF(AQ210="","",AQ210-AQ$6)</f>
        <v>1.066887471596E-2</v>
      </c>
      <c r="AS210" s="168">
        <v>8.8110474187999999E-2</v>
      </c>
      <c r="AT210" s="168">
        <f>IF(AS210="","",AS210-AS$6)</f>
        <v>7.3384639133000001E-2</v>
      </c>
      <c r="AU210" s="168">
        <v>5.6920530933000004E-3</v>
      </c>
      <c r="AV210" s="168">
        <f>IF(AU210="","",AU210-AU$6)</f>
        <v>1.87606356893E-2</v>
      </c>
      <c r="AW210" s="168">
        <v>5.2255669756000003E-2</v>
      </c>
      <c r="AX210" s="168">
        <f>IF(AW210="","",AW210-AW$6)</f>
        <v>2.8260601968000003E-2</v>
      </c>
      <c r="AY210" s="168">
        <v>4.4161285288E-2</v>
      </c>
      <c r="AZ210" s="168">
        <f>IF(AY210="","",AY210-AY$6)</f>
        <v>2.9919030498000002E-2</v>
      </c>
      <c r="BA210" s="168">
        <v>0.10492425924</v>
      </c>
      <c r="BB210" s="168">
        <f>IF(BA210="","",BA210-BA$6)</f>
        <v>5.1437294682E-2</v>
      </c>
      <c r="BC210" s="168">
        <v>0.28469049460000001</v>
      </c>
      <c r="BD210" s="168">
        <f>IF(BC210="","",BC210-BC$6)</f>
        <v>9.0381928110000009E-2</v>
      </c>
      <c r="BE210" s="168"/>
      <c r="BF210" s="168" t="str">
        <f>IF(BE210="","",BE210-BE$6)</f>
        <v/>
      </c>
      <c r="BG210" s="168"/>
      <c r="BH210" s="168" t="str">
        <f>IF(BG210="","",BG210-BG$6)</f>
        <v/>
      </c>
      <c r="BI210" s="168"/>
      <c r="BJ210" s="168" t="str">
        <f>IF(BI210="","",BI210-BI$6)</f>
        <v/>
      </c>
      <c r="BK210" s="169">
        <v>6.3353243452000001</v>
      </c>
      <c r="BL210" s="115"/>
      <c r="BM210" s="170">
        <v>1.5578473543E-2</v>
      </c>
      <c r="BN210" s="163">
        <v>-1.2346353907E-2</v>
      </c>
      <c r="BO210" s="163">
        <v>3.2099230300000003E-2</v>
      </c>
      <c r="BP210" s="163">
        <v>-2.2730066409000001E-2</v>
      </c>
      <c r="BQ210" s="171">
        <v>9</v>
      </c>
      <c r="BR210" s="171">
        <v>3</v>
      </c>
      <c r="BS210" s="171">
        <v>8</v>
      </c>
      <c r="BT210" s="171">
        <v>4</v>
      </c>
      <c r="BU210" s="172">
        <v>-6.5718882305000004E-2</v>
      </c>
      <c r="BV210" s="172"/>
      <c r="BW210" s="163">
        <v>6.5505438298000002E-3</v>
      </c>
      <c r="BX210" s="163">
        <v>5.3627873876999996E-3</v>
      </c>
      <c r="BY210" s="161">
        <v>-1.2422027452</v>
      </c>
      <c r="BZ210" s="163">
        <v>-2.8873949571E-2</v>
      </c>
      <c r="CA210" s="163">
        <v>-2.8873949571E-2</v>
      </c>
      <c r="CB210" s="154">
        <v>45189</v>
      </c>
      <c r="CC210" s="154">
        <v>45229</v>
      </c>
      <c r="CD210" s="173">
        <v>62</v>
      </c>
      <c r="CE210" s="174">
        <v>45280</v>
      </c>
      <c r="CF210" s="116"/>
    </row>
    <row r="211" spans="2:84" ht="15.6" x14ac:dyDescent="0.3">
      <c r="B211" s="98" t="s">
        <v>525</v>
      </c>
      <c r="C211" s="175" t="s">
        <v>690</v>
      </c>
      <c r="D211" s="176" t="s">
        <v>626</v>
      </c>
      <c r="E211" s="176" t="s">
        <v>226</v>
      </c>
      <c r="F211" s="177">
        <v>24870962000160</v>
      </c>
      <c r="G211" s="177" t="s">
        <v>845</v>
      </c>
      <c r="H211" s="177" t="s">
        <v>388</v>
      </c>
      <c r="I211" s="178">
        <v>2</v>
      </c>
      <c r="J211" s="179" t="s">
        <v>107</v>
      </c>
      <c r="K211" s="179" t="s">
        <v>126</v>
      </c>
      <c r="L211" s="179" t="s">
        <v>122</v>
      </c>
      <c r="M211" s="179" t="s">
        <v>114</v>
      </c>
      <c r="N211" s="179" t="s">
        <v>109</v>
      </c>
      <c r="O211" s="180">
        <v>315000</v>
      </c>
      <c r="P211" s="181">
        <v>315000000</v>
      </c>
      <c r="Q211" s="181">
        <v>1000</v>
      </c>
      <c r="R211" s="182">
        <v>43449</v>
      </c>
      <c r="S211" s="182">
        <v>47102</v>
      </c>
      <c r="T211" s="183" t="s">
        <v>774</v>
      </c>
      <c r="U211" s="183" t="s">
        <v>928</v>
      </c>
      <c r="V211" s="182" t="s">
        <v>105</v>
      </c>
      <c r="W211" s="182" t="s">
        <v>102</v>
      </c>
      <c r="X211" s="182" t="s">
        <v>970</v>
      </c>
      <c r="Y211" s="182">
        <v>46522</v>
      </c>
      <c r="Z211" s="184">
        <f>IFERROR(INDEX(Base!G:G,MATCH('Debêntures IPCA-Spread'!Y211,Base!F:F,0)),"")</f>
        <v>6.391</v>
      </c>
      <c r="AA211" s="115"/>
      <c r="AB211" s="185">
        <v>45552</v>
      </c>
      <c r="AC211" s="186">
        <v>6.33</v>
      </c>
      <c r="AD211" s="187">
        <f t="shared" si="10"/>
        <v>-6.0999999999999943E-2</v>
      </c>
      <c r="AE211" s="188">
        <v>0.2</v>
      </c>
      <c r="AF211" s="189">
        <v>6.6104000000000003</v>
      </c>
      <c r="AG211" s="189">
        <v>6.2935999999999996</v>
      </c>
      <c r="AH211" s="190">
        <v>1241.9168420000001</v>
      </c>
      <c r="AI211" s="190">
        <v>1241.9168420000001</v>
      </c>
      <c r="AJ211" s="191">
        <f t="shared" si="12"/>
        <v>1</v>
      </c>
      <c r="AK211" s="192">
        <v>45552</v>
      </c>
      <c r="AL211" s="193">
        <v>97.38</v>
      </c>
      <c r="AM211" s="194">
        <v>680</v>
      </c>
      <c r="AN211" s="115"/>
      <c r="AO211" s="195">
        <v>2.6111518655000002E-3</v>
      </c>
      <c r="AP211" s="196">
        <f>IF(AO211="","",AO211-AO$6)</f>
        <v>2.1310069805700002E-3</v>
      </c>
      <c r="AQ211" s="196">
        <v>8.1428441662999996E-3</v>
      </c>
      <c r="AR211" s="196">
        <f>IF(AQ211="","",AQ211-AQ$6)</f>
        <v>8.3603509192599988E-3</v>
      </c>
      <c r="AS211" s="196">
        <v>6.9009937588000003E-2</v>
      </c>
      <c r="AT211" s="196">
        <f>IF(AS211="","",AS211-AS$6)</f>
        <v>5.4284102533000006E-2</v>
      </c>
      <c r="AU211" s="196">
        <v>4.1186782255000004E-3</v>
      </c>
      <c r="AV211" s="196">
        <f>IF(AU211="","",AU211-AU$6)</f>
        <v>1.7187260821499999E-2</v>
      </c>
      <c r="AW211" s="196">
        <v>3.1567434222E-2</v>
      </c>
      <c r="AX211" s="196">
        <f>IF(AW211="","",AW211-AW$6)</f>
        <v>7.5723664339999996E-3</v>
      </c>
      <c r="AY211" s="196">
        <v>3.4647557080000002E-2</v>
      </c>
      <c r="AZ211" s="196">
        <f>IF(AY211="","",AY211-AY$6)</f>
        <v>2.0405302290000003E-2</v>
      </c>
      <c r="BA211" s="196">
        <v>9.6458287002000001E-2</v>
      </c>
      <c r="BB211" s="196">
        <f>IF(BA211="","",BA211-BA$6)</f>
        <v>4.2971322444000003E-2</v>
      </c>
      <c r="BC211" s="196">
        <v>0.23093220148999999</v>
      </c>
      <c r="BD211" s="196">
        <f>IF(BC211="","",BC211-BC$6)</f>
        <v>3.6623634999999988E-2</v>
      </c>
      <c r="BE211" s="196">
        <v>0.34823115966000001</v>
      </c>
      <c r="BF211" s="196">
        <f>IF(BE211="","",BE211-BE$6)</f>
        <v>8.6511820120000027E-2</v>
      </c>
      <c r="BG211" s="196">
        <v>0.45544283853</v>
      </c>
      <c r="BH211" s="196">
        <f>IF(BG211="","",BG211-BG$6)</f>
        <v>0.14652618971999998</v>
      </c>
      <c r="BI211" s="196">
        <v>0.52975265402000005</v>
      </c>
      <c r="BJ211" s="196">
        <f>IF(BI211="","",BI211-BI$6)</f>
        <v>0.15680964394000002</v>
      </c>
      <c r="BK211" s="197">
        <v>3.6512312119999999</v>
      </c>
      <c r="BL211" s="115"/>
      <c r="BM211" s="198">
        <v>7.3577553394E-3</v>
      </c>
      <c r="BN211" s="191">
        <v>-6.0071998086999997E-3</v>
      </c>
      <c r="BO211" s="191">
        <v>2.3394158981000002E-2</v>
      </c>
      <c r="BP211" s="191">
        <v>-7.8293524520999993E-3</v>
      </c>
      <c r="BQ211" s="199">
        <v>10</v>
      </c>
      <c r="BR211" s="199">
        <v>2</v>
      </c>
      <c r="BS211" s="199">
        <v>6</v>
      </c>
      <c r="BT211" s="199">
        <v>6</v>
      </c>
      <c r="BU211" s="200">
        <v>-0.35932952974999999</v>
      </c>
      <c r="BV211" s="200">
        <v>-0.24169533335999999</v>
      </c>
      <c r="BW211" s="191">
        <v>3.7729036917E-3</v>
      </c>
      <c r="BX211" s="191">
        <v>3.3223304582000002E-3</v>
      </c>
      <c r="BY211" s="189">
        <v>-1.9059086913000001</v>
      </c>
      <c r="BZ211" s="191">
        <v>-1.4997120696E-2</v>
      </c>
      <c r="CA211" s="191">
        <v>-1.4997120696E-2</v>
      </c>
      <c r="CB211" s="182">
        <v>45189</v>
      </c>
      <c r="CC211" s="182">
        <v>45229</v>
      </c>
      <c r="CD211" s="201">
        <v>37</v>
      </c>
      <c r="CE211" s="202">
        <v>45244</v>
      </c>
      <c r="CF211" s="116"/>
    </row>
    <row r="212" spans="2:84" ht="15.6" x14ac:dyDescent="0.3">
      <c r="B212" s="110" t="s">
        <v>2263</v>
      </c>
      <c r="C212" s="147" t="s">
        <v>2648</v>
      </c>
      <c r="D212" s="148" t="s">
        <v>2801</v>
      </c>
      <c r="E212" s="148" t="s">
        <v>226</v>
      </c>
      <c r="F212" s="149">
        <v>28438777000151</v>
      </c>
      <c r="G212" s="149" t="s">
        <v>2398</v>
      </c>
      <c r="H212" s="149" t="s">
        <v>388</v>
      </c>
      <c r="I212" s="150">
        <v>1</v>
      </c>
      <c r="J212" s="151" t="s">
        <v>107</v>
      </c>
      <c r="K212" s="151" t="s">
        <v>126</v>
      </c>
      <c r="L212" s="151" t="s">
        <v>112</v>
      </c>
      <c r="M212" s="151" t="s">
        <v>106</v>
      </c>
      <c r="N212" s="151" t="s">
        <v>109</v>
      </c>
      <c r="O212" s="152">
        <v>1100000</v>
      </c>
      <c r="P212" s="153">
        <v>1100000000</v>
      </c>
      <c r="Q212" s="153">
        <v>1000</v>
      </c>
      <c r="R212" s="154">
        <v>45427</v>
      </c>
      <c r="S212" s="154">
        <v>50540</v>
      </c>
      <c r="T212" s="155" t="s">
        <v>2751</v>
      </c>
      <c r="U212" s="155" t="s">
        <v>2749</v>
      </c>
      <c r="V212" s="154" t="s">
        <v>194</v>
      </c>
      <c r="W212" s="154" t="s">
        <v>102</v>
      </c>
      <c r="X212" s="154" t="s">
        <v>2524</v>
      </c>
      <c r="Y212" s="154">
        <v>48714</v>
      </c>
      <c r="Z212" s="156">
        <f>IFERROR(INDEX(Base!G:G,MATCH('Debêntures IPCA-Spread'!Y212,Base!F:F,0)),"")</f>
        <v>6.3373999999999997</v>
      </c>
      <c r="AA212" s="115"/>
      <c r="AB212" s="157">
        <v>45552</v>
      </c>
      <c r="AC212" s="158">
        <v>6.6406999999999998</v>
      </c>
      <c r="AD212" s="159">
        <f t="shared" si="10"/>
        <v>0.30330000000000013</v>
      </c>
      <c r="AE212" s="160">
        <v>0.02</v>
      </c>
      <c r="AF212" s="161">
        <v>6.8493000000000004</v>
      </c>
      <c r="AG212" s="161">
        <v>6.5259999999999998</v>
      </c>
      <c r="AH212" s="162">
        <v>1013.3641249999999</v>
      </c>
      <c r="AI212" s="162"/>
      <c r="AJ212" s="163" t="str">
        <f t="shared" si="12"/>
        <v/>
      </c>
      <c r="AK212" s="164"/>
      <c r="AL212" s="165">
        <v>98.52</v>
      </c>
      <c r="AM212" s="166">
        <v>1824</v>
      </c>
      <c r="AN212" s="115"/>
      <c r="AO212" s="167">
        <v>3.2415835631000001E-4</v>
      </c>
      <c r="AP212" s="168">
        <f>IF(AO212="","",AO212-AO$6)</f>
        <v>-1.5598652861999998E-4</v>
      </c>
      <c r="AQ212" s="168">
        <v>5.7655254204000005E-4</v>
      </c>
      <c r="AR212" s="168">
        <f>IF(AQ212="","",AQ212-AQ$6)</f>
        <v>7.9405929500000008E-4</v>
      </c>
      <c r="AS212" s="168"/>
      <c r="AT212" s="168" t="str">
        <f>IF(AS212="","",AS212-AS$6)</f>
        <v/>
      </c>
      <c r="AU212" s="168">
        <v>-1.2638025928E-2</v>
      </c>
      <c r="AV212" s="168">
        <f>IF(AU212="","",AU212-AU$6)</f>
        <v>4.3055666799999941E-4</v>
      </c>
      <c r="AW212" s="168"/>
      <c r="AX212" s="168" t="str">
        <f>IF(AW212="","",AW212-AW$6)</f>
        <v/>
      </c>
      <c r="AY212" s="168"/>
      <c r="AZ212" s="168" t="str">
        <f>IF(AY212="","",AY212-AY$6)</f>
        <v/>
      </c>
      <c r="BA212" s="168"/>
      <c r="BB212" s="168" t="str">
        <f>IF(BA212="","",BA212-BA$6)</f>
        <v/>
      </c>
      <c r="BC212" s="168"/>
      <c r="BD212" s="168" t="str">
        <f>IF(BC212="","",BC212-BC$6)</f>
        <v/>
      </c>
      <c r="BE212" s="168"/>
      <c r="BF212" s="168" t="str">
        <f>IF(BE212="","",BE212-BE$6)</f>
        <v/>
      </c>
      <c r="BG212" s="168"/>
      <c r="BH212" s="168" t="str">
        <f>IF(BG212="","",BG212-BG$6)</f>
        <v/>
      </c>
      <c r="BI212" s="168"/>
      <c r="BJ212" s="168" t="str">
        <f>IF(BI212="","",BI212-BI$6)</f>
        <v/>
      </c>
      <c r="BK212" s="169"/>
      <c r="BL212" s="115"/>
      <c r="BM212" s="170">
        <v>1.1280847397999999E-2</v>
      </c>
      <c r="BN212" s="163">
        <v>-8.5890463441999996E-3</v>
      </c>
      <c r="BO212" s="163">
        <v>4.0965278044999998E-2</v>
      </c>
      <c r="BP212" s="163">
        <v>5.7655254204000005E-4</v>
      </c>
      <c r="BQ212" s="171"/>
      <c r="BR212" s="171"/>
      <c r="BS212" s="171"/>
      <c r="BT212" s="171"/>
      <c r="BU212" s="172"/>
      <c r="BV212" s="172"/>
      <c r="BW212" s="163"/>
      <c r="BX212" s="163">
        <v>5.6465747459000003E-3</v>
      </c>
      <c r="BY212" s="161"/>
      <c r="BZ212" s="163">
        <v>-1.1997490929E-2</v>
      </c>
      <c r="CA212" s="163">
        <v>-1.8113193784999999E-2</v>
      </c>
      <c r="CB212" s="154">
        <v>45518</v>
      </c>
      <c r="CC212" s="154">
        <v>45538</v>
      </c>
      <c r="CD212" s="173"/>
      <c r="CE212" s="174"/>
      <c r="CF212" s="116"/>
    </row>
    <row r="213" spans="2:84" ht="15.6" x14ac:dyDescent="0.3">
      <c r="B213" s="98" t="s">
        <v>526</v>
      </c>
      <c r="C213" s="175" t="s">
        <v>691</v>
      </c>
      <c r="D213" s="176" t="s">
        <v>627</v>
      </c>
      <c r="E213" s="176" t="s">
        <v>226</v>
      </c>
      <c r="F213" s="177">
        <v>2328280000197</v>
      </c>
      <c r="G213" s="177" t="s">
        <v>846</v>
      </c>
      <c r="H213" s="177" t="s">
        <v>388</v>
      </c>
      <c r="I213" s="178">
        <v>7</v>
      </c>
      <c r="J213" s="179">
        <v>3</v>
      </c>
      <c r="K213" s="179" t="s">
        <v>130</v>
      </c>
      <c r="L213" s="179" t="s">
        <v>123</v>
      </c>
      <c r="M213" s="179" t="s">
        <v>106</v>
      </c>
      <c r="N213" s="179" t="s">
        <v>109</v>
      </c>
      <c r="O213" s="180">
        <v>300000</v>
      </c>
      <c r="P213" s="181">
        <v>300000000</v>
      </c>
      <c r="Q213" s="181">
        <v>1000</v>
      </c>
      <c r="R213" s="182">
        <v>43235</v>
      </c>
      <c r="S213" s="182">
        <v>45792</v>
      </c>
      <c r="T213" s="183" t="s">
        <v>775</v>
      </c>
      <c r="U213" s="183" t="s">
        <v>914</v>
      </c>
      <c r="V213" s="182" t="s">
        <v>105</v>
      </c>
      <c r="W213" s="182" t="s">
        <v>102</v>
      </c>
      <c r="X213" s="182" t="s">
        <v>971</v>
      </c>
      <c r="Y213" s="182">
        <v>45792</v>
      </c>
      <c r="Z213" s="184">
        <f>IFERROR(INDEX(Base!G:G,MATCH('Debêntures IPCA-Spread'!Y213,Base!F:F,0)),"")</f>
        <v>5.73</v>
      </c>
      <c r="AA213" s="115"/>
      <c r="AB213" s="185">
        <v>45552</v>
      </c>
      <c r="AC213" s="186">
        <v>5.9512</v>
      </c>
      <c r="AD213" s="187">
        <f t="shared" si="10"/>
        <v>0.22119999999999962</v>
      </c>
      <c r="AE213" s="188">
        <v>0.15</v>
      </c>
      <c r="AF213" s="189">
        <v>6.1775000000000002</v>
      </c>
      <c r="AG213" s="189">
        <v>5.9104000000000001</v>
      </c>
      <c r="AH213" s="190">
        <v>709.85870899999998</v>
      </c>
      <c r="AI213" s="190">
        <v>709.85870899999998</v>
      </c>
      <c r="AJ213" s="191">
        <f t="shared" si="12"/>
        <v>1</v>
      </c>
      <c r="AK213" s="192">
        <v>45552</v>
      </c>
      <c r="AL213" s="193">
        <v>100</v>
      </c>
      <c r="AM213" s="194">
        <v>159</v>
      </c>
      <c r="AN213" s="115"/>
      <c r="AO213" s="195">
        <v>1.5496591568E-3</v>
      </c>
      <c r="AP213" s="196">
        <f>IF(AO213="","",AO213-AO$6)</f>
        <v>1.06951427187E-3</v>
      </c>
      <c r="AQ213" s="196">
        <v>6.4734868702000002E-3</v>
      </c>
      <c r="AR213" s="196">
        <f>IF(AQ213="","",AQ213-AQ$6)</f>
        <v>6.6909936231600003E-3</v>
      </c>
      <c r="AS213" s="196">
        <v>9.4252047546000001E-2</v>
      </c>
      <c r="AT213" s="196">
        <f>IF(AS213="","",AS213-AS$6)</f>
        <v>7.9526212491000003E-2</v>
      </c>
      <c r="AU213" s="196">
        <v>1.0675152916E-2</v>
      </c>
      <c r="AV213" s="196">
        <f>IF(AU213="","",AU213-AU$6)</f>
        <v>2.3743735512E-2</v>
      </c>
      <c r="AW213" s="196">
        <v>3.2873375684999998E-2</v>
      </c>
      <c r="AX213" s="196">
        <f>IF(AW213="","",AW213-AW$6)</f>
        <v>8.8783078969999971E-3</v>
      </c>
      <c r="AY213" s="196">
        <v>6.0947911626000002E-2</v>
      </c>
      <c r="AZ213" s="196">
        <f>IF(AY213="","",AY213-AY$6)</f>
        <v>4.6705656836000004E-2</v>
      </c>
      <c r="BA213" s="196">
        <v>0.11883809072</v>
      </c>
      <c r="BB213" s="196">
        <f>IF(BA213="","",BA213-BA$6)</f>
        <v>6.5351126162000006E-2</v>
      </c>
      <c r="BC213" s="196">
        <v>0.26162934753</v>
      </c>
      <c r="BD213" s="196">
        <f>IF(BC213="","",BC213-BC$6)</f>
        <v>6.732078104E-2</v>
      </c>
      <c r="BE213" s="196">
        <v>0.3834985856</v>
      </c>
      <c r="BF213" s="196">
        <f>IF(BE213="","",BE213-BE$6)</f>
        <v>0.12177924606000001</v>
      </c>
      <c r="BG213" s="196">
        <v>0.47985020480000001</v>
      </c>
      <c r="BH213" s="196">
        <f>IF(BG213="","",BG213-BG$6)</f>
        <v>0.17093355598999999</v>
      </c>
      <c r="BI213" s="196">
        <v>0.57704065570999996</v>
      </c>
      <c r="BJ213" s="196">
        <f>IF(BI213="","",BI213-BI$6)</f>
        <v>0.20409764562999994</v>
      </c>
      <c r="BK213" s="197">
        <v>1.4919872356999999</v>
      </c>
      <c r="BL213" s="115"/>
      <c r="BM213" s="198">
        <v>3.6696529695999999E-3</v>
      </c>
      <c r="BN213" s="191">
        <v>-2.4987773285999998E-3</v>
      </c>
      <c r="BO213" s="191">
        <v>1.4613781609999999E-2</v>
      </c>
      <c r="BP213" s="191">
        <v>3.4943366681999999E-3</v>
      </c>
      <c r="BQ213" s="199">
        <v>12</v>
      </c>
      <c r="BR213" s="199">
        <v>0</v>
      </c>
      <c r="BS213" s="199">
        <v>8</v>
      </c>
      <c r="BT213" s="199">
        <v>4</v>
      </c>
      <c r="BU213" s="200">
        <v>0.4320240125</v>
      </c>
      <c r="BV213" s="200">
        <v>-9.7069763119999999E-2</v>
      </c>
      <c r="BW213" s="191">
        <v>1.5421345419999999E-3</v>
      </c>
      <c r="BX213" s="191">
        <v>1.2111372409E-3</v>
      </c>
      <c r="BY213" s="189">
        <v>0.63436289459999995</v>
      </c>
      <c r="BZ213" s="191">
        <v>-4.4649548290999997E-3</v>
      </c>
      <c r="CA213" s="191">
        <v>-4.4649548290999997E-3</v>
      </c>
      <c r="CB213" s="182">
        <v>45209</v>
      </c>
      <c r="CC213" s="182">
        <v>45216</v>
      </c>
      <c r="CD213" s="201">
        <v>10</v>
      </c>
      <c r="CE213" s="202">
        <v>45224</v>
      </c>
      <c r="CF213" s="116"/>
    </row>
    <row r="214" spans="2:84" ht="15.6" x14ac:dyDescent="0.3">
      <c r="B214" s="110" t="s">
        <v>1437</v>
      </c>
      <c r="C214" s="147" t="s">
        <v>2083</v>
      </c>
      <c r="D214" s="148" t="s">
        <v>627</v>
      </c>
      <c r="E214" s="148" t="s">
        <v>226</v>
      </c>
      <c r="F214" s="149">
        <v>2328280000197</v>
      </c>
      <c r="G214" s="149" t="s">
        <v>1796</v>
      </c>
      <c r="H214" s="149" t="s">
        <v>388</v>
      </c>
      <c r="I214" s="150">
        <v>10</v>
      </c>
      <c r="J214" s="151">
        <v>3</v>
      </c>
      <c r="K214" s="151" t="s">
        <v>126</v>
      </c>
      <c r="L214" s="151" t="s">
        <v>1252</v>
      </c>
      <c r="M214" s="151" t="s">
        <v>106</v>
      </c>
      <c r="N214" s="151" t="s">
        <v>109</v>
      </c>
      <c r="O214" s="152">
        <v>260000</v>
      </c>
      <c r="P214" s="153">
        <v>260000000</v>
      </c>
      <c r="Q214" s="153">
        <v>1000</v>
      </c>
      <c r="R214" s="154">
        <v>44484</v>
      </c>
      <c r="S214" s="154">
        <v>48136</v>
      </c>
      <c r="T214" s="155" t="s">
        <v>1199</v>
      </c>
      <c r="U214" s="155" t="s">
        <v>1672</v>
      </c>
      <c r="V214" s="154" t="s">
        <v>105</v>
      </c>
      <c r="W214" s="154" t="s">
        <v>102</v>
      </c>
      <c r="X214" s="154" t="s">
        <v>1572</v>
      </c>
      <c r="Y214" s="154">
        <v>47710</v>
      </c>
      <c r="Z214" s="156">
        <f>IFERROR(INDEX(Base!G:G,MATCH('Debêntures IPCA-Spread'!Y214,Base!F:F,0)),"")</f>
        <v>6.3273999999999999</v>
      </c>
      <c r="AA214" s="115"/>
      <c r="AB214" s="157">
        <v>45552</v>
      </c>
      <c r="AC214" s="158">
        <v>6.5041000000000002</v>
      </c>
      <c r="AD214" s="159">
        <f t="shared" si="10"/>
        <v>0.1767000000000003</v>
      </c>
      <c r="AE214" s="160">
        <v>0.05</v>
      </c>
      <c r="AF214" s="161">
        <v>6.6525999999999996</v>
      </c>
      <c r="AG214" s="161">
        <v>6.3981000000000003</v>
      </c>
      <c r="AH214" s="162">
        <v>1152.7162490000001</v>
      </c>
      <c r="AI214" s="162">
        <v>1165.7102910000001</v>
      </c>
      <c r="AJ214" s="163">
        <f t="shared" si="12"/>
        <v>0.98885311204651616</v>
      </c>
      <c r="AK214" s="164">
        <v>45519</v>
      </c>
      <c r="AL214" s="165">
        <v>96.57</v>
      </c>
      <c r="AM214" s="166">
        <v>1268</v>
      </c>
      <c r="AN214" s="115"/>
      <c r="AO214" s="167">
        <v>2.7967692768000001E-4</v>
      </c>
      <c r="AP214" s="168">
        <f>IF(AO214="","",AO214-AO$6)</f>
        <v>-2.0046795724999999E-4</v>
      </c>
      <c r="AQ214" s="168">
        <v>4.3205176007000002E-4</v>
      </c>
      <c r="AR214" s="168">
        <f>IF(AQ214="","",AQ214-AQ$6)</f>
        <v>6.4955851303000005E-4</v>
      </c>
      <c r="AS214" s="168">
        <v>5.9262574949000002E-2</v>
      </c>
      <c r="AT214" s="168">
        <f>IF(AS214="","",AS214-AS$6)</f>
        <v>4.4536739894000005E-2</v>
      </c>
      <c r="AU214" s="168">
        <v>-9.5497408975000007E-3</v>
      </c>
      <c r="AV214" s="168">
        <f>IF(AU214="","",AU214-AU$6)</f>
        <v>3.5188416984999991E-3</v>
      </c>
      <c r="AW214" s="168">
        <v>3.1363506431999998E-2</v>
      </c>
      <c r="AX214" s="168">
        <f>IF(AW214="","",AW214-AW$6)</f>
        <v>7.3684386439999972E-3</v>
      </c>
      <c r="AY214" s="168">
        <v>2.0086882986999999E-2</v>
      </c>
      <c r="AZ214" s="168">
        <f>IF(AY214="","",AY214-AY$6)</f>
        <v>5.8446281969999989E-3</v>
      </c>
      <c r="BA214" s="168">
        <v>9.3680192112999994E-2</v>
      </c>
      <c r="BB214" s="168">
        <f>IF(BA214="","",BA214-BA$6)</f>
        <v>4.0193227554999995E-2</v>
      </c>
      <c r="BC214" s="168">
        <v>0.23110970243000001</v>
      </c>
      <c r="BD214" s="168">
        <f>IF(BC214="","",BC214-BC$6)</f>
        <v>3.6801135940000007E-2</v>
      </c>
      <c r="BE214" s="168"/>
      <c r="BF214" s="168" t="str">
        <f>IF(BE214="","",BE214-BE$6)</f>
        <v/>
      </c>
      <c r="BG214" s="168"/>
      <c r="BH214" s="168" t="str">
        <f>IF(BG214="","",BG214-BG$6)</f>
        <v/>
      </c>
      <c r="BI214" s="168"/>
      <c r="BJ214" s="168" t="str">
        <f>IF(BI214="","",BI214-BI$6)</f>
        <v/>
      </c>
      <c r="BK214" s="169">
        <v>4.8989312918000003</v>
      </c>
      <c r="BL214" s="115"/>
      <c r="BM214" s="170">
        <v>1.0900149733999999E-2</v>
      </c>
      <c r="BN214" s="163">
        <v>-1.0519102674000001E-2</v>
      </c>
      <c r="BO214" s="163">
        <v>2.8177792189999998E-2</v>
      </c>
      <c r="BP214" s="163">
        <v>-1.9386405434000002E-2</v>
      </c>
      <c r="BQ214" s="171">
        <v>9</v>
      </c>
      <c r="BR214" s="171">
        <v>3</v>
      </c>
      <c r="BS214" s="171">
        <v>6</v>
      </c>
      <c r="BT214" s="171">
        <v>6</v>
      </c>
      <c r="BU214" s="172">
        <v>-0.30820527003999998</v>
      </c>
      <c r="BV214" s="172"/>
      <c r="BW214" s="163">
        <v>5.0619335609000003E-3</v>
      </c>
      <c r="BX214" s="163">
        <v>3.7096110969E-3</v>
      </c>
      <c r="BY214" s="161">
        <v>-2.3338113707999999</v>
      </c>
      <c r="BZ214" s="163">
        <v>-2.3233346315999999E-2</v>
      </c>
      <c r="CA214" s="163">
        <v>-2.3233346315999999E-2</v>
      </c>
      <c r="CB214" s="154">
        <v>45187</v>
      </c>
      <c r="CC214" s="154">
        <v>45202</v>
      </c>
      <c r="CD214" s="173">
        <v>41</v>
      </c>
      <c r="CE214" s="174">
        <v>45247</v>
      </c>
      <c r="CF214" s="116"/>
    </row>
    <row r="215" spans="2:84" ht="15.6" x14ac:dyDescent="0.3">
      <c r="B215" s="98" t="s">
        <v>1438</v>
      </c>
      <c r="C215" s="175" t="s">
        <v>2084</v>
      </c>
      <c r="D215" s="176" t="s">
        <v>627</v>
      </c>
      <c r="E215" s="176" t="s">
        <v>226</v>
      </c>
      <c r="F215" s="177">
        <v>2328280000197</v>
      </c>
      <c r="G215" s="177" t="s">
        <v>1797</v>
      </c>
      <c r="H215" s="177" t="s">
        <v>388</v>
      </c>
      <c r="I215" s="178">
        <v>11</v>
      </c>
      <c r="J215" s="179">
        <v>3</v>
      </c>
      <c r="K215" s="179" t="s">
        <v>126</v>
      </c>
      <c r="L215" s="179" t="s">
        <v>112</v>
      </c>
      <c r="M215" s="179" t="s">
        <v>106</v>
      </c>
      <c r="N215" s="179" t="s">
        <v>109</v>
      </c>
      <c r="O215" s="180">
        <v>300000</v>
      </c>
      <c r="P215" s="181">
        <v>300000000</v>
      </c>
      <c r="Q215" s="181">
        <v>1000</v>
      </c>
      <c r="R215" s="182">
        <v>44757</v>
      </c>
      <c r="S215" s="182">
        <v>47314</v>
      </c>
      <c r="T215" s="183" t="s">
        <v>1992</v>
      </c>
      <c r="U215" s="183" t="s">
        <v>1687</v>
      </c>
      <c r="V215" s="182" t="s">
        <v>105</v>
      </c>
      <c r="W215" s="182" t="s">
        <v>102</v>
      </c>
      <c r="X215" s="182" t="s">
        <v>1566</v>
      </c>
      <c r="Y215" s="182">
        <v>47253</v>
      </c>
      <c r="Z215" s="184">
        <f>IFERROR(INDEX(Base!G:G,MATCH('Debêntures IPCA-Spread'!Y215,Base!F:F,0)),"")</f>
        <v>6.41</v>
      </c>
      <c r="AA215" s="115"/>
      <c r="AB215" s="185">
        <v>45552</v>
      </c>
      <c r="AC215" s="186">
        <v>6.4185999999999996</v>
      </c>
      <c r="AD215" s="187">
        <f t="shared" si="10"/>
        <v>8.5999999999994969E-3</v>
      </c>
      <c r="AE215" s="188">
        <v>0.1</v>
      </c>
      <c r="AF215" s="189">
        <v>6.5578000000000003</v>
      </c>
      <c r="AG215" s="189">
        <v>6.2805999999999997</v>
      </c>
      <c r="AH215" s="190">
        <v>1101.453739</v>
      </c>
      <c r="AI215" s="190">
        <v>1105.9868180000001</v>
      </c>
      <c r="AJ215" s="191">
        <f t="shared" si="12"/>
        <v>0.99590132637548301</v>
      </c>
      <c r="AK215" s="192">
        <v>45518</v>
      </c>
      <c r="AL215" s="193">
        <v>100.73</v>
      </c>
      <c r="AM215" s="194">
        <v>950</v>
      </c>
      <c r="AN215" s="115"/>
      <c r="AO215" s="195">
        <v>-3.8470696200000002E-4</v>
      </c>
      <c r="AP215" s="196">
        <f>IF(AO215="","",AO215-AO$6)</f>
        <v>-8.6485184693000001E-4</v>
      </c>
      <c r="AQ215" s="196">
        <v>4.8233170909999998E-3</v>
      </c>
      <c r="AR215" s="196">
        <f>IF(AQ215="","",AQ215-AQ$6)</f>
        <v>5.0408238439599998E-3</v>
      </c>
      <c r="AS215" s="196">
        <v>6.8755175941999994E-2</v>
      </c>
      <c r="AT215" s="196">
        <f>IF(AS215="","",AS215-AS$6)</f>
        <v>5.4029340886999996E-2</v>
      </c>
      <c r="AU215" s="196">
        <v>-1.4653709968000001E-3</v>
      </c>
      <c r="AV215" s="196">
        <f>IF(AU215="","",AU215-AU$6)</f>
        <v>1.1603211599199999E-2</v>
      </c>
      <c r="AW215" s="196">
        <v>3.5473072002999997E-2</v>
      </c>
      <c r="AX215" s="196">
        <f>IF(AW215="","",AW215-AW$6)</f>
        <v>1.1478004214999997E-2</v>
      </c>
      <c r="AY215" s="196">
        <v>2.3292458822000001E-2</v>
      </c>
      <c r="AZ215" s="196">
        <f>IF(AY215="","",AY215-AY$6)</f>
        <v>9.0502040320000008E-3</v>
      </c>
      <c r="BA215" s="196">
        <v>0.10084569536</v>
      </c>
      <c r="BB215" s="196">
        <f>IF(BA215="","",BA215-BA$6)</f>
        <v>4.7358730802000003E-2</v>
      </c>
      <c r="BC215" s="196"/>
      <c r="BD215" s="196" t="str">
        <f>IF(BC215="","",BC215-BC$6)</f>
        <v/>
      </c>
      <c r="BE215" s="196"/>
      <c r="BF215" s="196" t="str">
        <f>IF(BE215="","",BE215-BE$6)</f>
        <v/>
      </c>
      <c r="BG215" s="196"/>
      <c r="BH215" s="196" t="str">
        <f>IF(BG215="","",BG215-BG$6)</f>
        <v/>
      </c>
      <c r="BI215" s="196"/>
      <c r="BJ215" s="196" t="str">
        <f>IF(BI215="","",BI215-BI$6)</f>
        <v/>
      </c>
      <c r="BK215" s="197">
        <v>4.0761468257000004</v>
      </c>
      <c r="BL215" s="115"/>
      <c r="BM215" s="198">
        <v>6.8879535265000003E-3</v>
      </c>
      <c r="BN215" s="191">
        <v>-8.7847580317000004E-3</v>
      </c>
      <c r="BO215" s="191">
        <v>2.6696375622000001E-2</v>
      </c>
      <c r="BP215" s="191">
        <v>-1.5284480027000001E-2</v>
      </c>
      <c r="BQ215" s="199">
        <v>9</v>
      </c>
      <c r="BR215" s="199">
        <v>3</v>
      </c>
      <c r="BS215" s="199">
        <v>8</v>
      </c>
      <c r="BT215" s="199">
        <v>4</v>
      </c>
      <c r="BU215" s="200">
        <v>-0.22112368501999999</v>
      </c>
      <c r="BV215" s="200"/>
      <c r="BW215" s="191">
        <v>4.2106757325000004E-3</v>
      </c>
      <c r="BX215" s="191">
        <v>3.2225865445000001E-3</v>
      </c>
      <c r="BY215" s="189">
        <v>-1.5135820708000001</v>
      </c>
      <c r="BZ215" s="191">
        <v>-1.9796690924999999E-2</v>
      </c>
      <c r="CA215" s="191">
        <v>-1.9796690924999999E-2</v>
      </c>
      <c r="CB215" s="182">
        <v>45391</v>
      </c>
      <c r="CC215" s="182">
        <v>45412</v>
      </c>
      <c r="CD215" s="201">
        <v>64</v>
      </c>
      <c r="CE215" s="202">
        <v>45483</v>
      </c>
      <c r="CF215" s="116"/>
    </row>
    <row r="216" spans="2:84" ht="15.6" x14ac:dyDescent="0.3">
      <c r="B216" s="110" t="s">
        <v>2264</v>
      </c>
      <c r="C216" s="147" t="s">
        <v>2649</v>
      </c>
      <c r="D216" s="148" t="s">
        <v>627</v>
      </c>
      <c r="E216" s="148" t="s">
        <v>226</v>
      </c>
      <c r="F216" s="149">
        <v>2328280000197</v>
      </c>
      <c r="G216" s="149" t="s">
        <v>2399</v>
      </c>
      <c r="H216" s="149" t="s">
        <v>388</v>
      </c>
      <c r="I216" s="150">
        <v>13</v>
      </c>
      <c r="J216" s="151">
        <v>2</v>
      </c>
      <c r="K216" s="151" t="s">
        <v>126</v>
      </c>
      <c r="L216" s="151" t="s">
        <v>112</v>
      </c>
      <c r="M216" s="151" t="s">
        <v>106</v>
      </c>
      <c r="N216" s="151" t="s">
        <v>109</v>
      </c>
      <c r="O216" s="152">
        <v>300000</v>
      </c>
      <c r="P216" s="153">
        <v>300000000</v>
      </c>
      <c r="Q216" s="153">
        <v>1000</v>
      </c>
      <c r="R216" s="154">
        <v>45397</v>
      </c>
      <c r="S216" s="154">
        <v>49049</v>
      </c>
      <c r="T216" s="155" t="s">
        <v>2816</v>
      </c>
      <c r="U216" s="155" t="s">
        <v>2712</v>
      </c>
      <c r="V216" s="154" t="s">
        <v>105</v>
      </c>
      <c r="W216" s="154" t="s">
        <v>102</v>
      </c>
      <c r="X216" s="154" t="s">
        <v>2525</v>
      </c>
      <c r="Y216" s="154">
        <v>48714</v>
      </c>
      <c r="Z216" s="156">
        <f>IFERROR(INDEX(Base!G:G,MATCH('Debêntures IPCA-Spread'!Y216,Base!F:F,0)),"")</f>
        <v>6.3373999999999997</v>
      </c>
      <c r="AA216" s="115"/>
      <c r="AB216" s="157">
        <v>45552</v>
      </c>
      <c r="AC216" s="158">
        <v>6.6821000000000002</v>
      </c>
      <c r="AD216" s="159">
        <f t="shared" si="10"/>
        <v>0.34470000000000045</v>
      </c>
      <c r="AE216" s="160">
        <v>0.11</v>
      </c>
      <c r="AF216" s="161">
        <v>6.8714000000000004</v>
      </c>
      <c r="AG216" s="161">
        <v>6.5452000000000004</v>
      </c>
      <c r="AH216" s="162">
        <v>1005.98954</v>
      </c>
      <c r="AI216" s="162"/>
      <c r="AJ216" s="163" t="str">
        <f t="shared" si="12"/>
        <v/>
      </c>
      <c r="AK216" s="164"/>
      <c r="AL216" s="165">
        <v>97.41</v>
      </c>
      <c r="AM216" s="166">
        <v>1656</v>
      </c>
      <c r="AN216" s="115"/>
      <c r="AO216" s="167">
        <v>4.3754694506999998E-3</v>
      </c>
      <c r="AP216" s="168">
        <f>IF(AO216="","",AO216-AO$6)</f>
        <v>3.8953245657699998E-3</v>
      </c>
      <c r="AQ216" s="168">
        <v>1.7639194702000001E-3</v>
      </c>
      <c r="AR216" s="168">
        <f>IF(AQ216="","",AQ216-AQ$6)</f>
        <v>1.9814262231600001E-3</v>
      </c>
      <c r="AS216" s="168"/>
      <c r="AT216" s="168" t="str">
        <f>IF(AS216="","",AS216-AS$6)</f>
        <v/>
      </c>
      <c r="AU216" s="168">
        <v>-1.3780783408E-2</v>
      </c>
      <c r="AV216" s="168">
        <f>IF(AU216="","",AU216-AU$6)</f>
        <v>-7.1220081199999986E-4</v>
      </c>
      <c r="AW216" s="168"/>
      <c r="AX216" s="168" t="str">
        <f>IF(AW216="","",AW216-AW$6)</f>
        <v/>
      </c>
      <c r="AY216" s="168"/>
      <c r="AZ216" s="168" t="str">
        <f>IF(AY216="","",AY216-AY$6)</f>
        <v/>
      </c>
      <c r="BA216" s="168"/>
      <c r="BB216" s="168" t="str">
        <f>IF(BA216="","",BA216-BA$6)</f>
        <v/>
      </c>
      <c r="BC216" s="168"/>
      <c r="BD216" s="168" t="str">
        <f>IF(BC216="","",BC216-BC$6)</f>
        <v/>
      </c>
      <c r="BE216" s="168"/>
      <c r="BF216" s="168" t="str">
        <f>IF(BE216="","",BE216-BE$6)</f>
        <v/>
      </c>
      <c r="BG216" s="168"/>
      <c r="BH216" s="168" t="str">
        <f>IF(BG216="","",BG216-BG$6)</f>
        <v/>
      </c>
      <c r="BI216" s="168"/>
      <c r="BJ216" s="168" t="str">
        <f>IF(BI216="","",BI216-BI$6)</f>
        <v/>
      </c>
      <c r="BK216" s="169"/>
      <c r="BL216" s="115"/>
      <c r="BM216" s="170">
        <v>7.6594855745000003E-3</v>
      </c>
      <c r="BN216" s="163">
        <v>-8.7803838496000007E-3</v>
      </c>
      <c r="BO216" s="163">
        <v>2.6946488484000001E-2</v>
      </c>
      <c r="BP216" s="163">
        <v>1.7639194702000001E-3</v>
      </c>
      <c r="BQ216" s="171"/>
      <c r="BR216" s="171"/>
      <c r="BS216" s="171"/>
      <c r="BT216" s="171"/>
      <c r="BU216" s="172"/>
      <c r="BV216" s="172"/>
      <c r="BW216" s="163"/>
      <c r="BX216" s="163">
        <v>5.645261304E-3</v>
      </c>
      <c r="BY216" s="161"/>
      <c r="BZ216" s="163">
        <v>-1.4413090738E-2</v>
      </c>
      <c r="CA216" s="163">
        <v>-2.2751022510999998E-2</v>
      </c>
      <c r="CB216" s="154">
        <v>45517</v>
      </c>
      <c r="CC216" s="154">
        <v>45538</v>
      </c>
      <c r="CD216" s="173"/>
      <c r="CE216" s="174"/>
      <c r="CF216" s="116"/>
    </row>
    <row r="217" spans="2:84" ht="15.6" x14ac:dyDescent="0.3">
      <c r="B217" s="98" t="s">
        <v>527</v>
      </c>
      <c r="C217" s="175" t="s">
        <v>692</v>
      </c>
      <c r="D217" s="176" t="s">
        <v>628</v>
      </c>
      <c r="E217" s="176" t="s">
        <v>226</v>
      </c>
      <c r="F217" s="177">
        <v>1180000126</v>
      </c>
      <c r="G217" s="177" t="s">
        <v>847</v>
      </c>
      <c r="H217" s="177" t="s">
        <v>388</v>
      </c>
      <c r="I217" s="178">
        <v>2</v>
      </c>
      <c r="J217" s="179">
        <v>4</v>
      </c>
      <c r="K217" s="179" t="s">
        <v>130</v>
      </c>
      <c r="L217" s="179" t="s">
        <v>122</v>
      </c>
      <c r="M217" s="179" t="s">
        <v>114</v>
      </c>
      <c r="N217" s="179" t="s">
        <v>109</v>
      </c>
      <c r="O217" s="180">
        <v>700000</v>
      </c>
      <c r="P217" s="181">
        <v>700000000</v>
      </c>
      <c r="Q217" s="181">
        <v>1000</v>
      </c>
      <c r="R217" s="182">
        <v>43580</v>
      </c>
      <c r="S217" s="182">
        <v>47253</v>
      </c>
      <c r="T217" s="183" t="s">
        <v>776</v>
      </c>
      <c r="U217" s="183" t="s">
        <v>929</v>
      </c>
      <c r="V217" s="182" t="s">
        <v>105</v>
      </c>
      <c r="W217" s="182" t="s">
        <v>102</v>
      </c>
      <c r="X217" s="182" t="s">
        <v>972</v>
      </c>
      <c r="Y217" s="182">
        <v>46980</v>
      </c>
      <c r="Z217" s="184">
        <f>IFERROR(INDEX(Base!G:G,MATCH('Debêntures IPCA-Spread'!Y217,Base!F:F,0)),"")</f>
        <v>6.4702000000000002</v>
      </c>
      <c r="AA217" s="115"/>
      <c r="AB217" s="185">
        <v>45552</v>
      </c>
      <c r="AC217" s="186">
        <v>6.4966999999999997</v>
      </c>
      <c r="AD217" s="187">
        <f t="shared" si="10"/>
        <v>2.6499999999999524E-2</v>
      </c>
      <c r="AE217" s="188">
        <v>0.09</v>
      </c>
      <c r="AF217" s="189">
        <v>6.6993</v>
      </c>
      <c r="AG217" s="189">
        <v>6.3479999999999999</v>
      </c>
      <c r="AH217" s="190">
        <v>1307.5456710000001</v>
      </c>
      <c r="AI217" s="190">
        <v>1310.884043</v>
      </c>
      <c r="AJ217" s="191">
        <f t="shared" si="12"/>
        <v>0.99745334301853272</v>
      </c>
      <c r="AK217" s="192">
        <v>45518</v>
      </c>
      <c r="AL217" s="193">
        <v>96.01</v>
      </c>
      <c r="AM217" s="194">
        <v>824</v>
      </c>
      <c r="AN217" s="115"/>
      <c r="AO217" s="195">
        <v>4.9736257824000004E-4</v>
      </c>
      <c r="AP217" s="196">
        <f>IF(AO217="","",AO217-AO$6)</f>
        <v>1.7217693310000049E-5</v>
      </c>
      <c r="AQ217" s="196">
        <v>3.9094484708999998E-3</v>
      </c>
      <c r="AR217" s="196">
        <f>IF(AQ217="","",AQ217-AQ$6)</f>
        <v>4.1269552238599998E-3</v>
      </c>
      <c r="AS217" s="196">
        <v>6.0777374651999998E-2</v>
      </c>
      <c r="AT217" s="196">
        <f>IF(AS217="","",AS217-AS$6)</f>
        <v>4.6051539596999994E-2</v>
      </c>
      <c r="AU217" s="196">
        <v>1.469227609E-4</v>
      </c>
      <c r="AV217" s="196">
        <f>IF(AU217="","",AU217-AU$6)</f>
        <v>1.32155053569E-2</v>
      </c>
      <c r="AW217" s="196">
        <v>2.9214287804E-2</v>
      </c>
      <c r="AX217" s="196">
        <f>IF(AW217="","",AW217-AW$6)</f>
        <v>5.219220016E-3</v>
      </c>
      <c r="AY217" s="196">
        <v>2.9684368685E-2</v>
      </c>
      <c r="AZ217" s="196">
        <f>IF(AY217="","",AY217-AY$6)</f>
        <v>1.5442113895E-2</v>
      </c>
      <c r="BA217" s="196">
        <v>9.4245047169000007E-2</v>
      </c>
      <c r="BB217" s="196">
        <f>IF(BA217="","",BA217-BA$6)</f>
        <v>4.0758082611000009E-2</v>
      </c>
      <c r="BC217" s="196">
        <v>0.22276279058000001</v>
      </c>
      <c r="BD217" s="196">
        <f>IF(BC217="","",BC217-BC$6)</f>
        <v>2.8454224090000008E-2</v>
      </c>
      <c r="BE217" s="196">
        <v>0.32954111461000002</v>
      </c>
      <c r="BF217" s="196">
        <f>IF(BE217="","",BE217-BE$6)</f>
        <v>6.7821775070000034E-2</v>
      </c>
      <c r="BG217" s="196">
        <v>0.42722727926999998</v>
      </c>
      <c r="BH217" s="196">
        <f>IF(BG217="","",BG217-BG$6)</f>
        <v>0.11831063045999995</v>
      </c>
      <c r="BI217" s="196"/>
      <c r="BJ217" s="196" t="str">
        <f>IF(BI217="","",BI217-BI$6)</f>
        <v/>
      </c>
      <c r="BK217" s="197">
        <v>3.4758357117999998</v>
      </c>
      <c r="BL217" s="115"/>
      <c r="BM217" s="198">
        <v>8.2625456271E-3</v>
      </c>
      <c r="BN217" s="191">
        <v>-6.4776823510000001E-3</v>
      </c>
      <c r="BO217" s="191">
        <v>2.3548437575000001E-2</v>
      </c>
      <c r="BP217" s="191">
        <v>-8.7050763232000006E-3</v>
      </c>
      <c r="BQ217" s="199">
        <v>9</v>
      </c>
      <c r="BR217" s="199">
        <v>3</v>
      </c>
      <c r="BS217" s="199">
        <v>6</v>
      </c>
      <c r="BT217" s="199">
        <v>6</v>
      </c>
      <c r="BU217" s="200">
        <v>-0.43660466072999998</v>
      </c>
      <c r="BV217" s="200">
        <v>-0.32924295463999997</v>
      </c>
      <c r="BW217" s="191">
        <v>3.5917213599E-3</v>
      </c>
      <c r="BX217" s="191">
        <v>2.5073497898E-3</v>
      </c>
      <c r="BY217" s="189">
        <v>-2.2256513214</v>
      </c>
      <c r="BZ217" s="191">
        <v>-1.6385186539999999E-2</v>
      </c>
      <c r="CA217" s="191">
        <v>-1.6385186539999999E-2</v>
      </c>
      <c r="CB217" s="182">
        <v>45187</v>
      </c>
      <c r="CC217" s="182">
        <v>45202</v>
      </c>
      <c r="CD217" s="201">
        <v>39</v>
      </c>
      <c r="CE217" s="202">
        <v>45244</v>
      </c>
      <c r="CF217" s="116"/>
    </row>
    <row r="218" spans="2:84" ht="15.6" x14ac:dyDescent="0.3">
      <c r="B218" s="110" t="s">
        <v>1111</v>
      </c>
      <c r="C218" s="147" t="s">
        <v>1275</v>
      </c>
      <c r="D218" s="148" t="s">
        <v>628</v>
      </c>
      <c r="E218" s="148" t="s">
        <v>226</v>
      </c>
      <c r="F218" s="149">
        <v>1180000126</v>
      </c>
      <c r="G218" s="149" t="s">
        <v>1172</v>
      </c>
      <c r="H218" s="149" t="s">
        <v>388</v>
      </c>
      <c r="I218" s="150">
        <v>3</v>
      </c>
      <c r="J218" s="151">
        <v>2</v>
      </c>
      <c r="K218" s="151" t="s">
        <v>126</v>
      </c>
      <c r="L218" s="151" t="s">
        <v>122</v>
      </c>
      <c r="M218" s="151" t="s">
        <v>114</v>
      </c>
      <c r="N218" s="151" t="s">
        <v>109</v>
      </c>
      <c r="O218" s="152">
        <v>1500000</v>
      </c>
      <c r="P218" s="153">
        <v>1500000000</v>
      </c>
      <c r="Q218" s="153">
        <v>1000</v>
      </c>
      <c r="R218" s="154">
        <v>44301</v>
      </c>
      <c r="S218" s="154">
        <v>47953</v>
      </c>
      <c r="T218" s="155" t="s">
        <v>1239</v>
      </c>
      <c r="U218" s="155" t="s">
        <v>161</v>
      </c>
      <c r="V218" s="154" t="s">
        <v>105</v>
      </c>
      <c r="W218" s="154" t="s">
        <v>102</v>
      </c>
      <c r="X218" s="154" t="s">
        <v>1333</v>
      </c>
      <c r="Y218" s="154">
        <v>47710</v>
      </c>
      <c r="Z218" s="156">
        <f>IFERROR(INDEX(Base!G:G,MATCH('Debêntures IPCA-Spread'!Y218,Base!F:F,0)),"")</f>
        <v>6.3273999999999999</v>
      </c>
      <c r="AA218" s="115"/>
      <c r="AB218" s="157">
        <v>45552</v>
      </c>
      <c r="AC218" s="158">
        <v>6.5544000000000002</v>
      </c>
      <c r="AD218" s="159">
        <f t="shared" si="10"/>
        <v>0.22700000000000031</v>
      </c>
      <c r="AE218" s="160">
        <v>0.05</v>
      </c>
      <c r="AF218" s="161">
        <v>6.7251000000000003</v>
      </c>
      <c r="AG218" s="161">
        <v>6.3855000000000004</v>
      </c>
      <c r="AH218" s="162">
        <v>1147.571404</v>
      </c>
      <c r="AI218" s="162">
        <v>1164.3960420000001</v>
      </c>
      <c r="AJ218" s="163">
        <f t="shared" si="12"/>
        <v>0.98555075988483987</v>
      </c>
      <c r="AK218" s="164">
        <v>45517</v>
      </c>
      <c r="AL218" s="165">
        <v>91.78</v>
      </c>
      <c r="AM218" s="166">
        <v>1385</v>
      </c>
      <c r="AN218" s="115"/>
      <c r="AO218" s="167">
        <v>1.0449683468E-3</v>
      </c>
      <c r="AP218" s="168">
        <f>IF(AO218="","",AO218-AO$6)</f>
        <v>5.6482346187000003E-4</v>
      </c>
      <c r="AQ218" s="168">
        <v>-1.6666840138000001E-3</v>
      </c>
      <c r="AR218" s="168">
        <f>IF(AQ218="","",AQ218-AQ$6)</f>
        <v>-1.4491772608400001E-3</v>
      </c>
      <c r="AS218" s="168">
        <v>5.2172525448000003E-2</v>
      </c>
      <c r="AT218" s="168">
        <f>IF(AS218="","",AS218-AS$6)</f>
        <v>3.7446690392999998E-2</v>
      </c>
      <c r="AU218" s="168">
        <v>-1.1203144194E-2</v>
      </c>
      <c r="AV218" s="168">
        <f>IF(AU218="","",AU218-AU$6)</f>
        <v>1.8654384019999998E-3</v>
      </c>
      <c r="AW218" s="168">
        <v>3.2432535092000003E-2</v>
      </c>
      <c r="AX218" s="168">
        <f>IF(AW218="","",AW218-AW$6)</f>
        <v>8.4374673040000028E-3</v>
      </c>
      <c r="AY218" s="168">
        <v>1.8808391904000001E-2</v>
      </c>
      <c r="AZ218" s="168">
        <f>IF(AY218="","",AY218-AY$6)</f>
        <v>4.566137114E-3</v>
      </c>
      <c r="BA218" s="168">
        <v>8.2769841346999995E-2</v>
      </c>
      <c r="BB218" s="168">
        <f>IF(BA218="","",BA218-BA$6)</f>
        <v>2.9282876788999997E-2</v>
      </c>
      <c r="BC218" s="168">
        <v>0.21665589296000001</v>
      </c>
      <c r="BD218" s="168">
        <f>IF(BC218="","",BC218-BC$6)</f>
        <v>2.2347326470000012E-2</v>
      </c>
      <c r="BE218" s="168">
        <v>0.31722514659000001</v>
      </c>
      <c r="BF218" s="168">
        <f>IF(BE218="","",BE218-BE$6)</f>
        <v>5.5505807050000022E-2</v>
      </c>
      <c r="BG218" s="168"/>
      <c r="BH218" s="168" t="str">
        <f>IF(BG218="","",BG218-BG$6)</f>
        <v/>
      </c>
      <c r="BI218" s="168"/>
      <c r="BJ218" s="168" t="str">
        <f>IF(BI218="","",BI218-BI$6)</f>
        <v/>
      </c>
      <c r="BK218" s="169">
        <v>5.9538529267999998</v>
      </c>
      <c r="BL218" s="115"/>
      <c r="BM218" s="170">
        <v>1.5968595229000002E-2</v>
      </c>
      <c r="BN218" s="163">
        <v>-1.3615498977E-2</v>
      </c>
      <c r="BO218" s="163">
        <v>3.0429681316999999E-2</v>
      </c>
      <c r="BP218" s="163">
        <v>-1.4130512531000001E-2</v>
      </c>
      <c r="BQ218" s="171">
        <v>8</v>
      </c>
      <c r="BR218" s="171">
        <v>4</v>
      </c>
      <c r="BS218" s="171">
        <v>6</v>
      </c>
      <c r="BT218" s="171">
        <v>6</v>
      </c>
      <c r="BU218" s="172">
        <v>-0.40888868944000001</v>
      </c>
      <c r="BV218" s="172">
        <v>-0.25450679910000001</v>
      </c>
      <c r="BW218" s="163">
        <v>6.1574244218000002E-3</v>
      </c>
      <c r="BX218" s="163">
        <v>4.0146361481000004E-3</v>
      </c>
      <c r="BY218" s="161">
        <v>-3.4937284470000001</v>
      </c>
      <c r="BZ218" s="163">
        <v>-2.8136247201000001E-2</v>
      </c>
      <c r="CA218" s="163">
        <v>-2.8136247201000001E-2</v>
      </c>
      <c r="CB218" s="154">
        <v>45189</v>
      </c>
      <c r="CC218" s="154">
        <v>45202</v>
      </c>
      <c r="CD218" s="173">
        <v>38</v>
      </c>
      <c r="CE218" s="174">
        <v>45246</v>
      </c>
      <c r="CF218" s="116"/>
    </row>
    <row r="219" spans="2:84" ht="15.6" x14ac:dyDescent="0.3">
      <c r="B219" s="98" t="s">
        <v>2265</v>
      </c>
      <c r="C219" s="175" t="s">
        <v>2650</v>
      </c>
      <c r="D219" s="176" t="s">
        <v>628</v>
      </c>
      <c r="E219" s="176" t="s">
        <v>226</v>
      </c>
      <c r="F219" s="177">
        <v>1180000126</v>
      </c>
      <c r="G219" s="177" t="s">
        <v>2400</v>
      </c>
      <c r="H219" s="177" t="s">
        <v>388</v>
      </c>
      <c r="I219" s="178">
        <v>4</v>
      </c>
      <c r="J219" s="179">
        <v>1</v>
      </c>
      <c r="K219" s="179" t="s">
        <v>128</v>
      </c>
      <c r="L219" s="179" t="s">
        <v>2466</v>
      </c>
      <c r="M219" s="179" t="s">
        <v>128</v>
      </c>
      <c r="N219" s="179" t="s">
        <v>109</v>
      </c>
      <c r="O219" s="180">
        <v>4000000</v>
      </c>
      <c r="P219" s="181">
        <v>4000000000</v>
      </c>
      <c r="Q219" s="181">
        <v>1000</v>
      </c>
      <c r="R219" s="182">
        <v>45184</v>
      </c>
      <c r="S219" s="182">
        <v>48106</v>
      </c>
      <c r="T219" s="183" t="s">
        <v>2828</v>
      </c>
      <c r="U219" s="183" t="s">
        <v>2750</v>
      </c>
      <c r="V219" s="182" t="s">
        <v>105</v>
      </c>
      <c r="W219" s="182" t="s">
        <v>102</v>
      </c>
      <c r="X219" s="182" t="s">
        <v>2526</v>
      </c>
      <c r="Y219" s="182">
        <v>47710</v>
      </c>
      <c r="Z219" s="184">
        <f>IFERROR(INDEX(Base!G:G,MATCH('Debêntures IPCA-Spread'!Y219,Base!F:F,0)),"")</f>
        <v>6.3273999999999999</v>
      </c>
      <c r="AA219" s="115"/>
      <c r="AB219" s="185">
        <v>45552</v>
      </c>
      <c r="AC219" s="186">
        <v>6.5347999999999997</v>
      </c>
      <c r="AD219" s="187">
        <f t="shared" si="10"/>
        <v>0.20739999999999981</v>
      </c>
      <c r="AE219" s="188">
        <v>0.06</v>
      </c>
      <c r="AF219" s="189">
        <v>6.6448999999999998</v>
      </c>
      <c r="AG219" s="189">
        <v>6.4375999999999998</v>
      </c>
      <c r="AH219" s="190">
        <v>1031.65634</v>
      </c>
      <c r="AI219" s="190"/>
      <c r="AJ219" s="191" t="str">
        <f t="shared" si="12"/>
        <v/>
      </c>
      <c r="AK219" s="192"/>
      <c r="AL219" s="193">
        <v>98.97</v>
      </c>
      <c r="AM219" s="194">
        <v>1271</v>
      </c>
      <c r="AN219" s="115"/>
      <c r="AO219" s="195">
        <v>6.9738765342000002E-4</v>
      </c>
      <c r="AP219" s="196">
        <f>IF(AO219="","",AO219-AO$6)</f>
        <v>2.1724276849000002E-4</v>
      </c>
      <c r="AQ219" s="196">
        <v>-5.7663397420000002E-3</v>
      </c>
      <c r="AR219" s="196">
        <f>IF(AQ219="","",AQ219-AQ$6)</f>
        <v>-5.5488329890400001E-3</v>
      </c>
      <c r="AS219" s="196">
        <v>4.8295996139E-2</v>
      </c>
      <c r="AT219" s="196">
        <f>IF(AS219="","",AS219-AS$6)</f>
        <v>3.3570161084000003E-2</v>
      </c>
      <c r="AU219" s="196">
        <v>-9.3346991479999995E-3</v>
      </c>
      <c r="AV219" s="196">
        <f>IF(AU219="","",AU219-AU$6)</f>
        <v>3.7338834480000003E-3</v>
      </c>
      <c r="AW219" s="196">
        <v>3.1825783652999998E-2</v>
      </c>
      <c r="AX219" s="196">
        <f>IF(AW219="","",AW219-AW$6)</f>
        <v>7.8307158649999972E-3</v>
      </c>
      <c r="AY219" s="196">
        <v>1.6466543435000001E-2</v>
      </c>
      <c r="AZ219" s="196">
        <f>IF(AY219="","",AY219-AY$6)</f>
        <v>2.2242886450000009E-3</v>
      </c>
      <c r="BA219" s="196"/>
      <c r="BB219" s="196" t="str">
        <f>IF(BA219="","",BA219-BA$6)</f>
        <v/>
      </c>
      <c r="BC219" s="196"/>
      <c r="BD219" s="196" t="str">
        <f>IF(BC219="","",BC219-BC$6)</f>
        <v/>
      </c>
      <c r="BE219" s="196"/>
      <c r="BF219" s="196" t="str">
        <f>IF(BE219="","",BE219-BE$6)</f>
        <v/>
      </c>
      <c r="BG219" s="196"/>
      <c r="BH219" s="196" t="str">
        <f>IF(BG219="","",BG219-BG$6)</f>
        <v/>
      </c>
      <c r="BI219" s="196"/>
      <c r="BJ219" s="196" t="str">
        <f>IF(BI219="","",BI219-BI$6)</f>
        <v/>
      </c>
      <c r="BK219" s="197"/>
      <c r="BL219" s="115"/>
      <c r="BM219" s="198">
        <v>8.9550848716000008E-3</v>
      </c>
      <c r="BN219" s="191">
        <v>-6.3138499198999998E-3</v>
      </c>
      <c r="BO219" s="191">
        <v>3.4965065997E-2</v>
      </c>
      <c r="BP219" s="191">
        <v>-1.8961888353E-2</v>
      </c>
      <c r="BQ219" s="199"/>
      <c r="BR219" s="199"/>
      <c r="BS219" s="199"/>
      <c r="BT219" s="199"/>
      <c r="BU219" s="200"/>
      <c r="BV219" s="200"/>
      <c r="BW219" s="191"/>
      <c r="BX219" s="191">
        <v>2.7361281439E-3</v>
      </c>
      <c r="BY219" s="189"/>
      <c r="BZ219" s="191">
        <v>-2.317642135E-2</v>
      </c>
      <c r="CA219" s="191">
        <v>-2.317642135E-2</v>
      </c>
      <c r="CB219" s="182">
        <v>45366</v>
      </c>
      <c r="CC219" s="182">
        <v>45475</v>
      </c>
      <c r="CD219" s="201">
        <v>82</v>
      </c>
      <c r="CE219" s="202">
        <v>45485</v>
      </c>
      <c r="CF219" s="116"/>
    </row>
    <row r="220" spans="2:84" ht="15.6" x14ac:dyDescent="0.3">
      <c r="B220" s="110" t="s">
        <v>528</v>
      </c>
      <c r="C220" s="147" t="s">
        <v>693</v>
      </c>
      <c r="D220" s="148" t="s">
        <v>629</v>
      </c>
      <c r="E220" s="148" t="s">
        <v>226</v>
      </c>
      <c r="F220" s="149">
        <v>61695227000193</v>
      </c>
      <c r="G220" s="149" t="s">
        <v>848</v>
      </c>
      <c r="H220" s="149" t="s">
        <v>388</v>
      </c>
      <c r="I220" s="150">
        <v>24</v>
      </c>
      <c r="J220" s="151">
        <v>2</v>
      </c>
      <c r="K220" s="151" t="s">
        <v>111</v>
      </c>
      <c r="L220" s="151" t="s">
        <v>119</v>
      </c>
      <c r="M220" s="151" t="s">
        <v>106</v>
      </c>
      <c r="N220" s="151" t="s">
        <v>109</v>
      </c>
      <c r="O220" s="152">
        <v>800000</v>
      </c>
      <c r="P220" s="153">
        <v>800000000</v>
      </c>
      <c r="Q220" s="153">
        <v>1000</v>
      </c>
      <c r="R220" s="154">
        <v>43600</v>
      </c>
      <c r="S220" s="154">
        <v>46157</v>
      </c>
      <c r="T220" s="155" t="s">
        <v>777</v>
      </c>
      <c r="U220" s="155" t="s">
        <v>161</v>
      </c>
      <c r="V220" s="154" t="s">
        <v>105</v>
      </c>
      <c r="W220" s="154" t="s">
        <v>102</v>
      </c>
      <c r="X220" s="154" t="s">
        <v>973</v>
      </c>
      <c r="Y220" s="154">
        <v>46249</v>
      </c>
      <c r="Z220" s="156">
        <f>IFERROR(INDEX(Base!G:G,MATCH('Debêntures IPCA-Spread'!Y220,Base!F:F,0)),"")</f>
        <v>6.5365000000000002</v>
      </c>
      <c r="AA220" s="115"/>
      <c r="AB220" s="157">
        <v>45552</v>
      </c>
      <c r="AC220" s="158">
        <v>6.4404000000000003</v>
      </c>
      <c r="AD220" s="159">
        <f t="shared" si="10"/>
        <v>-9.6099999999999852E-2</v>
      </c>
      <c r="AE220" s="160">
        <v>0.17</v>
      </c>
      <c r="AF220" s="161">
        <v>6.6548999999999996</v>
      </c>
      <c r="AG220" s="161">
        <v>6.2298999999999998</v>
      </c>
      <c r="AH220" s="162">
        <v>1306.2169260000001</v>
      </c>
      <c r="AI220" s="162">
        <v>1306.2169260000001</v>
      </c>
      <c r="AJ220" s="163">
        <f t="shared" si="12"/>
        <v>1</v>
      </c>
      <c r="AK220" s="164">
        <v>45552</v>
      </c>
      <c r="AL220" s="165">
        <v>96.4</v>
      </c>
      <c r="AM220" s="166">
        <v>400</v>
      </c>
      <c r="AN220" s="115"/>
      <c r="AO220" s="167">
        <v>1.0060601271E-3</v>
      </c>
      <c r="AP220" s="168">
        <f>IF(AO220="","",AO220-AO$6)</f>
        <v>5.2591524217000005E-4</v>
      </c>
      <c r="AQ220" s="168">
        <v>5.3350667348999996E-3</v>
      </c>
      <c r="AR220" s="168">
        <f>IF(AQ220="","",AQ220-AQ$6)</f>
        <v>5.5525734878599997E-3</v>
      </c>
      <c r="AS220" s="168">
        <v>6.4680383139E-2</v>
      </c>
      <c r="AT220" s="168">
        <f>IF(AS220="","",AS220-AS$6)</f>
        <v>4.9954548084000003E-2</v>
      </c>
      <c r="AU220" s="168">
        <v>9.4300339205999999E-3</v>
      </c>
      <c r="AV220" s="168">
        <f>IF(AU220="","",AU220-AU$6)</f>
        <v>2.2498616516599998E-2</v>
      </c>
      <c r="AW220" s="168">
        <v>2.7703794125E-2</v>
      </c>
      <c r="AX220" s="168">
        <f>IF(AW220="","",AW220-AW$6)</f>
        <v>3.7087263369999998E-3</v>
      </c>
      <c r="AY220" s="168">
        <v>3.6878661551000003E-2</v>
      </c>
      <c r="AZ220" s="168">
        <f>IF(AY220="","",AY220-AY$6)</f>
        <v>2.2636406761000004E-2</v>
      </c>
      <c r="BA220" s="168">
        <v>9.3625131993999994E-2</v>
      </c>
      <c r="BB220" s="168">
        <f>IF(BA220="","",BA220-BA$6)</f>
        <v>4.0138167435999995E-2</v>
      </c>
      <c r="BC220" s="168">
        <v>0.21758204069000001</v>
      </c>
      <c r="BD220" s="168">
        <f>IF(BC220="","",BC220-BC$6)</f>
        <v>2.3273474200000005E-2</v>
      </c>
      <c r="BE220" s="168">
        <v>0.32657122808</v>
      </c>
      <c r="BF220" s="168">
        <f>IF(BE220="","",BE220-BE$6)</f>
        <v>6.4851888540000013E-2</v>
      </c>
      <c r="BG220" s="168">
        <v>0.44877184774000001</v>
      </c>
      <c r="BH220" s="168">
        <f>IF(BG220="","",BG220-BG$6)</f>
        <v>0.13985519892999998</v>
      </c>
      <c r="BI220" s="168"/>
      <c r="BJ220" s="168" t="str">
        <f>IF(BI220="","",BI220-BI$6)</f>
        <v/>
      </c>
      <c r="BK220" s="169">
        <v>2.4191511941999999</v>
      </c>
      <c r="BL220" s="115"/>
      <c r="BM220" s="170">
        <v>5.2717953385999997E-3</v>
      </c>
      <c r="BN220" s="163">
        <v>-5.6039888685999999E-3</v>
      </c>
      <c r="BO220" s="163">
        <v>2.0191206100000001E-2</v>
      </c>
      <c r="BP220" s="163">
        <v>-3.7529687388000001E-3</v>
      </c>
      <c r="BQ220" s="171">
        <v>10</v>
      </c>
      <c r="BR220" s="171">
        <v>2</v>
      </c>
      <c r="BS220" s="171">
        <v>8</v>
      </c>
      <c r="BT220" s="171">
        <v>4</v>
      </c>
      <c r="BU220" s="172">
        <v>-0.66309110104000002</v>
      </c>
      <c r="BV220" s="172">
        <v>-0.44065482165999997</v>
      </c>
      <c r="BW220" s="163">
        <v>2.4989858521999998E-3</v>
      </c>
      <c r="BX220" s="163">
        <v>1.5372904567999999E-3</v>
      </c>
      <c r="BY220" s="161">
        <v>-2.1416970537000002</v>
      </c>
      <c r="BZ220" s="163">
        <v>-1.1375092918999999E-2</v>
      </c>
      <c r="CA220" s="163">
        <v>-1.1375092918999999E-2</v>
      </c>
      <c r="CB220" s="154">
        <v>45391</v>
      </c>
      <c r="CC220" s="154">
        <v>45399</v>
      </c>
      <c r="CD220" s="173">
        <v>22</v>
      </c>
      <c r="CE220" s="174">
        <v>45422</v>
      </c>
      <c r="CF220" s="116"/>
    </row>
    <row r="221" spans="2:84" ht="15.6" x14ac:dyDescent="0.3">
      <c r="B221" s="98" t="s">
        <v>1112</v>
      </c>
      <c r="C221" s="175" t="s">
        <v>1276</v>
      </c>
      <c r="D221" s="176" t="s">
        <v>629</v>
      </c>
      <c r="E221" s="176" t="s">
        <v>226</v>
      </c>
      <c r="F221" s="177">
        <v>61695227000193</v>
      </c>
      <c r="G221" s="177" t="s">
        <v>1173</v>
      </c>
      <c r="H221" s="177" t="s">
        <v>388</v>
      </c>
      <c r="I221" s="178">
        <v>25</v>
      </c>
      <c r="J221" s="179" t="s">
        <v>107</v>
      </c>
      <c r="K221" s="179" t="s">
        <v>111</v>
      </c>
      <c r="L221" s="179" t="s">
        <v>112</v>
      </c>
      <c r="M221" s="179" t="s">
        <v>114</v>
      </c>
      <c r="N221" s="179" t="s">
        <v>109</v>
      </c>
      <c r="O221" s="180">
        <v>720000</v>
      </c>
      <c r="P221" s="181">
        <v>720000000</v>
      </c>
      <c r="Q221" s="181">
        <v>1000</v>
      </c>
      <c r="R221" s="182">
        <v>44301</v>
      </c>
      <c r="S221" s="182">
        <v>47953</v>
      </c>
      <c r="T221" s="183" t="s">
        <v>1240</v>
      </c>
      <c r="U221" s="183" t="s">
        <v>1214</v>
      </c>
      <c r="V221" s="182" t="s">
        <v>105</v>
      </c>
      <c r="W221" s="182" t="s">
        <v>102</v>
      </c>
      <c r="X221" s="182" t="s">
        <v>1334</v>
      </c>
      <c r="Y221" s="182">
        <v>47710</v>
      </c>
      <c r="Z221" s="184">
        <f>IFERROR(INDEX(Base!G:G,MATCH('Debêntures IPCA-Spread'!Y221,Base!F:F,0)),"")</f>
        <v>6.3273999999999999</v>
      </c>
      <c r="AA221" s="115"/>
      <c r="AB221" s="185">
        <v>45552</v>
      </c>
      <c r="AC221" s="186">
        <v>6.6376999999999997</v>
      </c>
      <c r="AD221" s="187">
        <f t="shared" si="10"/>
        <v>0.3102999999999998</v>
      </c>
      <c r="AE221" s="188">
        <v>0.06</v>
      </c>
      <c r="AF221" s="189">
        <v>6.8388999999999998</v>
      </c>
      <c r="AG221" s="189">
        <v>6.4520999999999997</v>
      </c>
      <c r="AH221" s="190">
        <v>1118.850782</v>
      </c>
      <c r="AI221" s="190">
        <v>1126.1421110000001</v>
      </c>
      <c r="AJ221" s="191">
        <f t="shared" si="12"/>
        <v>0.99352539175226695</v>
      </c>
      <c r="AK221" s="192">
        <v>45518</v>
      </c>
      <c r="AL221" s="193">
        <v>89.62</v>
      </c>
      <c r="AM221" s="194">
        <v>1218</v>
      </c>
      <c r="AN221" s="115"/>
      <c r="AO221" s="195">
        <v>-1.6842661989000001E-4</v>
      </c>
      <c r="AP221" s="196">
        <f>IF(AO221="","",AO221-AO$6)</f>
        <v>-6.4857150481999995E-4</v>
      </c>
      <c r="AQ221" s="196">
        <v>8.0654068879000007E-3</v>
      </c>
      <c r="AR221" s="196">
        <f>IF(AQ221="","",AQ221-AQ$6)</f>
        <v>8.2829136408599999E-3</v>
      </c>
      <c r="AS221" s="196">
        <v>4.5021206341E-2</v>
      </c>
      <c r="AT221" s="196">
        <f>IF(AS221="","",AS221-AS$6)</f>
        <v>3.0295371285999999E-2</v>
      </c>
      <c r="AU221" s="196">
        <v>-1.4938457325E-3</v>
      </c>
      <c r="AV221" s="196">
        <f>IF(AU221="","",AU221-AU$6)</f>
        <v>1.1574736863499999E-2</v>
      </c>
      <c r="AW221" s="196">
        <v>3.6566967312000001E-2</v>
      </c>
      <c r="AX221" s="196">
        <f>IF(AW221="","",AW221-AW$6)</f>
        <v>1.2571899524000001E-2</v>
      </c>
      <c r="AY221" s="196">
        <v>1.8655555612E-2</v>
      </c>
      <c r="AZ221" s="196">
        <f>IF(AY221="","",AY221-AY$6)</f>
        <v>4.4133008219999995E-3</v>
      </c>
      <c r="BA221" s="196">
        <v>7.2174155347999994E-2</v>
      </c>
      <c r="BB221" s="196">
        <f>IF(BA221="","",BA221-BA$6)</f>
        <v>1.8687190789999995E-2</v>
      </c>
      <c r="BC221" s="196">
        <v>0.21609633353999999</v>
      </c>
      <c r="BD221" s="196">
        <f>IF(BC221="","",BC221-BC$6)</f>
        <v>2.178776704999999E-2</v>
      </c>
      <c r="BE221" s="196"/>
      <c r="BF221" s="196" t="str">
        <f>IF(BE221="","",BE221-BE$6)</f>
        <v/>
      </c>
      <c r="BG221" s="196"/>
      <c r="BH221" s="196" t="str">
        <f>IF(BG221="","",BG221-BG$6)</f>
        <v/>
      </c>
      <c r="BI221" s="196"/>
      <c r="BJ221" s="196" t="str">
        <f>IF(BI221="","",BI221-BI$6)</f>
        <v/>
      </c>
      <c r="BK221" s="197">
        <v>4.8182106312000004</v>
      </c>
      <c r="BL221" s="115"/>
      <c r="BM221" s="198">
        <v>9.5977937326000001E-3</v>
      </c>
      <c r="BN221" s="191">
        <v>-1.0727266179E-2</v>
      </c>
      <c r="BO221" s="191">
        <v>2.5854061453999998E-2</v>
      </c>
      <c r="BP221" s="191">
        <v>-2.3137235361999998E-2</v>
      </c>
      <c r="BQ221" s="199">
        <v>9</v>
      </c>
      <c r="BR221" s="199">
        <v>3</v>
      </c>
      <c r="BS221" s="199">
        <v>6</v>
      </c>
      <c r="BT221" s="199">
        <v>6</v>
      </c>
      <c r="BU221" s="200">
        <v>-0.71627589600999997</v>
      </c>
      <c r="BV221" s="200">
        <v>-0.33883196229000001</v>
      </c>
      <c r="BW221" s="191">
        <v>4.9775842467E-3</v>
      </c>
      <c r="BX221" s="191">
        <v>5.3323769715E-3</v>
      </c>
      <c r="BY221" s="189">
        <v>-4.5009197821000004</v>
      </c>
      <c r="BZ221" s="191">
        <v>-2.8007521888E-2</v>
      </c>
      <c r="CA221" s="191">
        <v>-2.8007521888E-2</v>
      </c>
      <c r="CB221" s="182">
        <v>45364</v>
      </c>
      <c r="CC221" s="182">
        <v>45398</v>
      </c>
      <c r="CD221" s="201">
        <v>83</v>
      </c>
      <c r="CE221" s="202">
        <v>45484</v>
      </c>
      <c r="CF221" s="116"/>
    </row>
    <row r="222" spans="2:84" ht="15.6" x14ac:dyDescent="0.3">
      <c r="B222" s="110" t="s">
        <v>1441</v>
      </c>
      <c r="C222" s="147" t="s">
        <v>2087</v>
      </c>
      <c r="D222" s="148" t="s">
        <v>629</v>
      </c>
      <c r="E222" s="148" t="s">
        <v>226</v>
      </c>
      <c r="F222" s="149">
        <v>61695227000193</v>
      </c>
      <c r="G222" s="149" t="s">
        <v>1800</v>
      </c>
      <c r="H222" s="149" t="s">
        <v>388</v>
      </c>
      <c r="I222" s="150">
        <v>27</v>
      </c>
      <c r="J222" s="151" t="s">
        <v>107</v>
      </c>
      <c r="K222" s="151" t="s">
        <v>111</v>
      </c>
      <c r="L222" s="151" t="s">
        <v>122</v>
      </c>
      <c r="M222" s="151" t="s">
        <v>986</v>
      </c>
      <c r="N222" s="151" t="s">
        <v>109</v>
      </c>
      <c r="O222" s="152">
        <v>800000</v>
      </c>
      <c r="P222" s="153">
        <v>800000000</v>
      </c>
      <c r="Q222" s="153">
        <v>1000</v>
      </c>
      <c r="R222" s="154">
        <v>44666</v>
      </c>
      <c r="S222" s="154">
        <v>48319</v>
      </c>
      <c r="T222" s="155" t="s">
        <v>1974</v>
      </c>
      <c r="U222" s="155" t="s">
        <v>1670</v>
      </c>
      <c r="V222" s="154" t="s">
        <v>105</v>
      </c>
      <c r="W222" s="154" t="s">
        <v>102</v>
      </c>
      <c r="X222" s="154" t="s">
        <v>1575</v>
      </c>
      <c r="Y222" s="154">
        <v>47710</v>
      </c>
      <c r="Z222" s="156">
        <f>IFERROR(INDEX(Base!G:G,MATCH('Debêntures IPCA-Spread'!Y222,Base!F:F,0)),"")</f>
        <v>6.3273999999999999</v>
      </c>
      <c r="AA222" s="115"/>
      <c r="AB222" s="157">
        <v>45552</v>
      </c>
      <c r="AC222" s="158">
        <v>6.59</v>
      </c>
      <c r="AD222" s="159">
        <f t="shared" si="10"/>
        <v>0.26259999999999994</v>
      </c>
      <c r="AE222" s="160">
        <v>0.09</v>
      </c>
      <c r="AF222" s="161">
        <v>6.7755000000000001</v>
      </c>
      <c r="AG222" s="161">
        <v>6.4775999999999998</v>
      </c>
      <c r="AH222" s="162">
        <v>1096.3961730000001</v>
      </c>
      <c r="AI222" s="162">
        <v>1111.1343179999999</v>
      </c>
      <c r="AJ222" s="163">
        <f t="shared" si="12"/>
        <v>0.98673594653567365</v>
      </c>
      <c r="AK222" s="164">
        <v>45520</v>
      </c>
      <c r="AL222" s="165">
        <v>97.76</v>
      </c>
      <c r="AM222" s="166">
        <v>1340</v>
      </c>
      <c r="AN222" s="115"/>
      <c r="AO222" s="167">
        <v>1.5534702124000001E-3</v>
      </c>
      <c r="AP222" s="168">
        <f>IF(AO222="","",AO222-AO$6)</f>
        <v>1.0733253274700001E-3</v>
      </c>
      <c r="AQ222" s="168">
        <v>5.6064525597000004E-3</v>
      </c>
      <c r="AR222" s="168">
        <f>IF(AQ222="","",AQ222-AQ$6)</f>
        <v>5.8239593126600004E-3</v>
      </c>
      <c r="AS222" s="168">
        <v>4.5058799464000002E-2</v>
      </c>
      <c r="AT222" s="168">
        <f>IF(AS222="","",AS222-AS$6)</f>
        <v>3.0332964409000001E-2</v>
      </c>
      <c r="AU222" s="168">
        <v>-1.3264053463000001E-2</v>
      </c>
      <c r="AV222" s="168">
        <f>IF(AU222="","",AU222-AU$6)</f>
        <v>-1.9547086700000098E-4</v>
      </c>
      <c r="AW222" s="168">
        <v>4.2707199128999999E-2</v>
      </c>
      <c r="AX222" s="168">
        <f>IF(AW222="","",AW222-AW$6)</f>
        <v>1.8712131340999999E-2</v>
      </c>
      <c r="AY222" s="168">
        <v>1.6180959492000001E-2</v>
      </c>
      <c r="AZ222" s="168">
        <f>IF(AY222="","",AY222-AY$6)</f>
        <v>1.938704702000001E-3</v>
      </c>
      <c r="BA222" s="168">
        <v>8.1275161144999997E-2</v>
      </c>
      <c r="BB222" s="168">
        <f>IF(BA222="","",BA222-BA$6)</f>
        <v>2.7788196586999998E-2</v>
      </c>
      <c r="BC222" s="168">
        <v>0.23381141627999999</v>
      </c>
      <c r="BD222" s="168">
        <f>IF(BC222="","",BC222-BC$6)</f>
        <v>3.9502849789999989E-2</v>
      </c>
      <c r="BE222" s="168"/>
      <c r="BF222" s="168" t="str">
        <f>IF(BE222="","",BE222-BE$6)</f>
        <v/>
      </c>
      <c r="BG222" s="168"/>
      <c r="BH222" s="168" t="str">
        <f>IF(BG222="","",BG222-BG$6)</f>
        <v/>
      </c>
      <c r="BI222" s="168"/>
      <c r="BJ222" s="168" t="str">
        <f>IF(BI222="","",BI222-BI$6)</f>
        <v/>
      </c>
      <c r="BK222" s="169">
        <v>5.3662265604000003</v>
      </c>
      <c r="BL222" s="115"/>
      <c r="BM222" s="170">
        <v>1.3615026664E-2</v>
      </c>
      <c r="BN222" s="163">
        <v>-1.0178210694E-2</v>
      </c>
      <c r="BO222" s="163">
        <v>2.8256796609999999E-2</v>
      </c>
      <c r="BP222" s="163">
        <v>-3.1830130260999998E-2</v>
      </c>
      <c r="BQ222" s="171">
        <v>9</v>
      </c>
      <c r="BR222" s="171">
        <v>3</v>
      </c>
      <c r="BS222" s="171">
        <v>6</v>
      </c>
      <c r="BT222" s="171">
        <v>6</v>
      </c>
      <c r="BU222" s="172">
        <v>-0.48498557621999999</v>
      </c>
      <c r="BV222" s="172"/>
      <c r="BW222" s="163">
        <v>5.5477022662000003E-3</v>
      </c>
      <c r="BX222" s="163">
        <v>5.1449493655000003E-3</v>
      </c>
      <c r="BY222" s="161">
        <v>-3.5875982409999998</v>
      </c>
      <c r="BZ222" s="163">
        <v>-3.4876431295000003E-2</v>
      </c>
      <c r="CA222" s="163">
        <v>-3.4876431295000003E-2</v>
      </c>
      <c r="CB222" s="154">
        <v>45362</v>
      </c>
      <c r="CC222" s="154">
        <v>45412</v>
      </c>
      <c r="CD222" s="173">
        <v>88</v>
      </c>
      <c r="CE222" s="174">
        <v>45489</v>
      </c>
      <c r="CF222" s="116"/>
    </row>
    <row r="223" spans="2:84" ht="15.6" x14ac:dyDescent="0.3">
      <c r="B223" s="98" t="s">
        <v>2266</v>
      </c>
      <c r="C223" s="175" t="s">
        <v>2651</v>
      </c>
      <c r="D223" s="176" t="s">
        <v>2802</v>
      </c>
      <c r="E223" s="176" t="s">
        <v>231</v>
      </c>
      <c r="F223" s="177">
        <v>13504675000110</v>
      </c>
      <c r="G223" s="177" t="s">
        <v>2401</v>
      </c>
      <c r="H223" s="177" t="s">
        <v>388</v>
      </c>
      <c r="I223" s="178">
        <v>3</v>
      </c>
      <c r="J223" s="179" t="s">
        <v>107</v>
      </c>
      <c r="K223" s="179" t="s">
        <v>128</v>
      </c>
      <c r="L223" s="179" t="s">
        <v>122</v>
      </c>
      <c r="M223" s="179" t="s">
        <v>128</v>
      </c>
      <c r="N223" s="179" t="s">
        <v>109</v>
      </c>
      <c r="O223" s="180">
        <v>220000</v>
      </c>
      <c r="P223" s="181">
        <v>220000000</v>
      </c>
      <c r="Q223" s="181">
        <v>1000</v>
      </c>
      <c r="R223" s="182">
        <v>45245</v>
      </c>
      <c r="S223" s="182">
        <v>49628</v>
      </c>
      <c r="T223" s="183" t="s">
        <v>2821</v>
      </c>
      <c r="U223" s="183" t="s">
        <v>2751</v>
      </c>
      <c r="V223" s="182" t="s">
        <v>105</v>
      </c>
      <c r="W223" s="182" t="s">
        <v>102</v>
      </c>
      <c r="X223" s="182" t="s">
        <v>2527</v>
      </c>
      <c r="Y223" s="182">
        <v>47710</v>
      </c>
      <c r="Z223" s="184">
        <f>IFERROR(INDEX(Base!G:G,MATCH('Debêntures IPCA-Spread'!Y223,Base!F:F,0)),"")</f>
        <v>6.3273999999999999</v>
      </c>
      <c r="AA223" s="115"/>
      <c r="AB223" s="185">
        <v>45552</v>
      </c>
      <c r="AC223" s="186">
        <v>7.1581000000000001</v>
      </c>
      <c r="AD223" s="187">
        <f t="shared" si="10"/>
        <v>0.83070000000000022</v>
      </c>
      <c r="AE223" s="188">
        <v>0.19</v>
      </c>
      <c r="AF223" s="189">
        <v>7.5354000000000001</v>
      </c>
      <c r="AG223" s="189">
        <v>6.9621000000000004</v>
      </c>
      <c r="AH223" s="190">
        <v>1139.9119310000001</v>
      </c>
      <c r="AI223" s="190"/>
      <c r="AJ223" s="191" t="str">
        <f t="shared" si="12"/>
        <v/>
      </c>
      <c r="AK223" s="192"/>
      <c r="AL223" s="193">
        <v>106.83</v>
      </c>
      <c r="AM223" s="194">
        <v>1260</v>
      </c>
      <c r="AN223" s="115"/>
      <c r="AO223" s="195">
        <v>6.1513529909E-4</v>
      </c>
      <c r="AP223" s="196">
        <f>IF(AO223="","",AO223-AO$6)</f>
        <v>1.3499041416E-4</v>
      </c>
      <c r="AQ223" s="196">
        <v>2.0569137670000001E-2</v>
      </c>
      <c r="AR223" s="196">
        <f>IF(AQ223="","",AQ223-AQ$6)</f>
        <v>2.078664442296E-2</v>
      </c>
      <c r="AS223" s="196"/>
      <c r="AT223" s="196" t="str">
        <f>IF(AS223="","",AS223-AS$6)</f>
        <v/>
      </c>
      <c r="AU223" s="196">
        <v>1.4517375422E-2</v>
      </c>
      <c r="AV223" s="196">
        <f>IF(AU223="","",AU223-AU$6)</f>
        <v>2.7585958017999998E-2</v>
      </c>
      <c r="AW223" s="196">
        <v>7.3938911107999994E-2</v>
      </c>
      <c r="AX223" s="196">
        <f>IF(AW223="","",AW223-AW$6)</f>
        <v>4.9943843319999993E-2</v>
      </c>
      <c r="AY223" s="196">
        <v>7.5801511336999999E-2</v>
      </c>
      <c r="AZ223" s="196">
        <f>IF(AY223="","",AY223-AY$6)</f>
        <v>6.1559256547000001E-2</v>
      </c>
      <c r="BA223" s="196"/>
      <c r="BB223" s="196" t="str">
        <f>IF(BA223="","",BA223-BA$6)</f>
        <v/>
      </c>
      <c r="BC223" s="196"/>
      <c r="BD223" s="196" t="str">
        <f>IF(BC223="","",BC223-BC$6)</f>
        <v/>
      </c>
      <c r="BE223" s="196"/>
      <c r="BF223" s="196" t="str">
        <f>IF(BE223="","",BE223-BE$6)</f>
        <v/>
      </c>
      <c r="BG223" s="196"/>
      <c r="BH223" s="196" t="str">
        <f>IF(BG223="","",BG223-BG$6)</f>
        <v/>
      </c>
      <c r="BI223" s="196"/>
      <c r="BJ223" s="196" t="str">
        <f>IF(BI223="","",BI223-BI$6)</f>
        <v/>
      </c>
      <c r="BK223" s="197"/>
      <c r="BL223" s="115"/>
      <c r="BM223" s="198">
        <v>1.5323698311E-2</v>
      </c>
      <c r="BN223" s="191">
        <v>-1.06789138E-2</v>
      </c>
      <c r="BO223" s="191">
        <v>2.5639050964000001E-2</v>
      </c>
      <c r="BP223" s="191">
        <v>-1.0402445781000001E-2</v>
      </c>
      <c r="BQ223" s="199"/>
      <c r="BR223" s="199"/>
      <c r="BS223" s="199"/>
      <c r="BT223" s="199"/>
      <c r="BU223" s="200"/>
      <c r="BV223" s="200"/>
      <c r="BW223" s="191"/>
      <c r="BX223" s="191">
        <v>6.0797078627000001E-3</v>
      </c>
      <c r="BY223" s="189"/>
      <c r="BZ223" s="191">
        <v>-1.5349281354999999E-2</v>
      </c>
      <c r="CA223" s="191">
        <v>-1.5349281354999999E-2</v>
      </c>
      <c r="CB223" s="182">
        <v>45433</v>
      </c>
      <c r="CC223" s="182">
        <v>45455</v>
      </c>
      <c r="CD223" s="201">
        <v>29</v>
      </c>
      <c r="CE223" s="202">
        <v>45475</v>
      </c>
      <c r="CF223" s="116"/>
    </row>
    <row r="224" spans="2:84" ht="15.6" x14ac:dyDescent="0.3">
      <c r="B224" s="110" t="s">
        <v>400</v>
      </c>
      <c r="C224" s="147" t="s">
        <v>421</v>
      </c>
      <c r="D224" s="148" t="s">
        <v>407</v>
      </c>
      <c r="E224" s="148" t="s">
        <v>226</v>
      </c>
      <c r="F224" s="149">
        <v>18494537000110</v>
      </c>
      <c r="G224" s="149" t="s">
        <v>436</v>
      </c>
      <c r="H224" s="149" t="s">
        <v>388</v>
      </c>
      <c r="I224" s="150">
        <v>4</v>
      </c>
      <c r="J224" s="151" t="s">
        <v>107</v>
      </c>
      <c r="K224" s="151" t="s">
        <v>130</v>
      </c>
      <c r="L224" s="151" t="s">
        <v>124</v>
      </c>
      <c r="M224" s="151" t="s">
        <v>116</v>
      </c>
      <c r="N224" s="151" t="s">
        <v>109</v>
      </c>
      <c r="O224" s="152">
        <v>340000</v>
      </c>
      <c r="P224" s="153">
        <v>340000000</v>
      </c>
      <c r="Q224" s="153">
        <v>1000</v>
      </c>
      <c r="R224" s="154">
        <v>43327</v>
      </c>
      <c r="S224" s="154">
        <v>48745</v>
      </c>
      <c r="T224" s="155" t="s">
        <v>412</v>
      </c>
      <c r="U224" s="155" t="s">
        <v>161</v>
      </c>
      <c r="V224" s="154" t="s">
        <v>194</v>
      </c>
      <c r="W224" s="154" t="s">
        <v>102</v>
      </c>
      <c r="X224" s="154" t="s">
        <v>444</v>
      </c>
      <c r="Y224" s="154">
        <v>47253</v>
      </c>
      <c r="Z224" s="156">
        <f>IFERROR(INDEX(Base!G:G,MATCH('Debêntures IPCA-Spread'!Y224,Base!F:F,0)),"")</f>
        <v>6.41</v>
      </c>
      <c r="AA224" s="115"/>
      <c r="AB224" s="157">
        <v>45552</v>
      </c>
      <c r="AC224" s="158">
        <v>6.6003999999999996</v>
      </c>
      <c r="AD224" s="159">
        <f t="shared" si="10"/>
        <v>0.19039999999999946</v>
      </c>
      <c r="AE224" s="160">
        <v>0.23</v>
      </c>
      <c r="AF224" s="161">
        <v>6.7510000000000003</v>
      </c>
      <c r="AG224" s="161">
        <v>6.4932999999999996</v>
      </c>
      <c r="AH224" s="162">
        <v>904.71495300000004</v>
      </c>
      <c r="AI224" s="162">
        <v>909.00810200000001</v>
      </c>
      <c r="AJ224" s="163">
        <f t="shared" si="12"/>
        <v>0.99527710590196705</v>
      </c>
      <c r="AK224" s="164">
        <v>45544</v>
      </c>
      <c r="AL224" s="165">
        <v>102.62</v>
      </c>
      <c r="AM224" s="166">
        <v>982</v>
      </c>
      <c r="AN224" s="115"/>
      <c r="AO224" s="167">
        <v>1.3474314309E-3</v>
      </c>
      <c r="AP224" s="168">
        <f>IF(AO224="","",AO224-AO$6)</f>
        <v>8.6728654596999999E-4</v>
      </c>
      <c r="AQ224" s="168">
        <v>5.5383060843999998E-3</v>
      </c>
      <c r="AR224" s="168">
        <f>IF(AQ224="","",AQ224-AQ$6)</f>
        <v>5.7558128373599998E-3</v>
      </c>
      <c r="AS224" s="168">
        <v>8.1834987464000003E-2</v>
      </c>
      <c r="AT224" s="168">
        <f>IF(AS224="","",AS224-AS$6)</f>
        <v>6.7109152409000006E-2</v>
      </c>
      <c r="AU224" s="168">
        <v>-3.0698145837999998E-4</v>
      </c>
      <c r="AV224" s="168">
        <f>IF(AU224="","",AU224-AU$6)</f>
        <v>1.276160113762E-2</v>
      </c>
      <c r="AW224" s="168">
        <v>3.8121251169000003E-2</v>
      </c>
      <c r="AX224" s="168">
        <f>IF(AW224="","",AW224-AW$6)</f>
        <v>1.4126183381000003E-2</v>
      </c>
      <c r="AY224" s="168">
        <v>3.2402331579E-2</v>
      </c>
      <c r="AZ224" s="168">
        <f>IF(AY224="","",AY224-AY$6)</f>
        <v>1.8160076789000001E-2</v>
      </c>
      <c r="BA224" s="168">
        <v>0.11237880427999999</v>
      </c>
      <c r="BB224" s="168">
        <f>IF(BA224="","",BA224-BA$6)</f>
        <v>5.8891839721999996E-2</v>
      </c>
      <c r="BC224" s="168">
        <v>0.23985507995999999</v>
      </c>
      <c r="BD224" s="168">
        <f>IF(BC224="","",BC224-BC$6)</f>
        <v>4.5546513469999994E-2</v>
      </c>
      <c r="BE224" s="168">
        <v>0.37803119427999998</v>
      </c>
      <c r="BF224" s="168">
        <f>IF(BE224="","",BE224-BE$6)</f>
        <v>0.11631185474</v>
      </c>
      <c r="BG224" s="168">
        <v>0.53389679721000005</v>
      </c>
      <c r="BH224" s="168">
        <f>IF(BG224="","",BG224-BG$6)</f>
        <v>0.22498014840000002</v>
      </c>
      <c r="BI224" s="168">
        <v>0.54764483561999999</v>
      </c>
      <c r="BJ224" s="168">
        <f>IF(BI224="","",BI224-BI$6)</f>
        <v>0.17470182553999997</v>
      </c>
      <c r="BK224" s="169">
        <v>4.7414267374000003</v>
      </c>
      <c r="BL224" s="115"/>
      <c r="BM224" s="170">
        <v>1.3363684896000001E-2</v>
      </c>
      <c r="BN224" s="163">
        <v>-1.0231600311E-2</v>
      </c>
      <c r="BO224" s="163">
        <v>2.4250845962999999E-2</v>
      </c>
      <c r="BP224" s="163">
        <v>-1.0460633204E-2</v>
      </c>
      <c r="BQ224" s="171">
        <v>10</v>
      </c>
      <c r="BR224" s="171">
        <v>2</v>
      </c>
      <c r="BS224" s="171">
        <v>7</v>
      </c>
      <c r="BT224" s="171">
        <v>5</v>
      </c>
      <c r="BU224" s="172">
        <v>3.5159910636999997E-2</v>
      </c>
      <c r="BV224" s="172">
        <v>-6.0585187541E-2</v>
      </c>
      <c r="BW224" s="163">
        <v>4.9006698851000001E-3</v>
      </c>
      <c r="BX224" s="163">
        <v>3.8720059577999999E-3</v>
      </c>
      <c r="BY224" s="161">
        <v>-0.30998702280000001</v>
      </c>
      <c r="BZ224" s="163">
        <v>-1.6394029141999999E-2</v>
      </c>
      <c r="CA224" s="163">
        <v>-1.6394029141999999E-2</v>
      </c>
      <c r="CB224" s="154">
        <v>45282</v>
      </c>
      <c r="CC224" s="154">
        <v>45293</v>
      </c>
      <c r="CD224" s="173">
        <v>8</v>
      </c>
      <c r="CE224" s="174">
        <v>45296</v>
      </c>
      <c r="CF224" s="116"/>
    </row>
    <row r="225" spans="2:84" ht="15.6" x14ac:dyDescent="0.3">
      <c r="B225" s="98" t="s">
        <v>1442</v>
      </c>
      <c r="C225" s="175" t="s">
        <v>2088</v>
      </c>
      <c r="D225" s="176" t="s">
        <v>1909</v>
      </c>
      <c r="E225" s="176" t="s">
        <v>233</v>
      </c>
      <c r="F225" s="177">
        <v>11669021000110</v>
      </c>
      <c r="G225" s="177" t="s">
        <v>1801</v>
      </c>
      <c r="H225" s="177" t="s">
        <v>388</v>
      </c>
      <c r="I225" s="178">
        <v>1</v>
      </c>
      <c r="J225" s="179">
        <v>1</v>
      </c>
      <c r="K225" s="179" t="s">
        <v>128</v>
      </c>
      <c r="L225" s="179" t="s">
        <v>118</v>
      </c>
      <c r="M225" s="179" t="s">
        <v>128</v>
      </c>
      <c r="N225" s="179" t="s">
        <v>109</v>
      </c>
      <c r="O225" s="180">
        <v>736675</v>
      </c>
      <c r="P225" s="181">
        <v>736675000</v>
      </c>
      <c r="Q225" s="181">
        <v>1000</v>
      </c>
      <c r="R225" s="182">
        <v>44910</v>
      </c>
      <c r="S225" s="182">
        <v>47467</v>
      </c>
      <c r="T225" s="183" t="s">
        <v>1985</v>
      </c>
      <c r="U225" s="183" t="s">
        <v>1689</v>
      </c>
      <c r="V225" s="182" t="s">
        <v>194</v>
      </c>
      <c r="W225" s="182" t="s">
        <v>102</v>
      </c>
      <c r="X225" s="182" t="s">
        <v>1576</v>
      </c>
      <c r="Y225" s="182">
        <v>46522</v>
      </c>
      <c r="Z225" s="184">
        <f>IFERROR(INDEX(Base!G:G,MATCH('Debêntures IPCA-Spread'!Y225,Base!F:F,0)),"")</f>
        <v>6.391</v>
      </c>
      <c r="AA225" s="115"/>
      <c r="AB225" s="185">
        <v>45552</v>
      </c>
      <c r="AC225" s="186">
        <v>7.3518999999999997</v>
      </c>
      <c r="AD225" s="187">
        <f t="shared" si="10"/>
        <v>0.96089999999999964</v>
      </c>
      <c r="AE225" s="188">
        <v>0.12</v>
      </c>
      <c r="AF225" s="189">
        <v>7.5530999999999997</v>
      </c>
      <c r="AG225" s="189">
        <v>7.1332000000000004</v>
      </c>
      <c r="AH225" s="190">
        <v>1184.8868190000001</v>
      </c>
      <c r="AI225" s="190">
        <v>1184.8868190000001</v>
      </c>
      <c r="AJ225" s="191">
        <f t="shared" si="12"/>
        <v>1</v>
      </c>
      <c r="AK225" s="192">
        <v>45552</v>
      </c>
      <c r="AL225" s="193">
        <v>106.93</v>
      </c>
      <c r="AM225" s="194">
        <v>745</v>
      </c>
      <c r="AN225" s="115"/>
      <c r="AO225" s="195">
        <v>2.1688362358000001E-3</v>
      </c>
      <c r="AP225" s="196">
        <f>IF(AO225="","",AO225-AO$6)</f>
        <v>1.6886913508700001E-3</v>
      </c>
      <c r="AQ225" s="196">
        <v>9.1958688189999992E-3</v>
      </c>
      <c r="AR225" s="196">
        <f>IF(AQ225="","",AQ225-AQ$6)</f>
        <v>9.4133755719599983E-3</v>
      </c>
      <c r="AS225" s="196">
        <v>0.13059107103000001</v>
      </c>
      <c r="AT225" s="196">
        <f>IF(AS225="","",AS225-AS$6)</f>
        <v>0.11586523597500001</v>
      </c>
      <c r="AU225" s="196">
        <v>7.0611812133999996E-3</v>
      </c>
      <c r="AV225" s="196">
        <f>IF(AU225="","",AU225-AU$6)</f>
        <v>2.01297638094E-2</v>
      </c>
      <c r="AW225" s="196">
        <v>5.4356607096000001E-2</v>
      </c>
      <c r="AX225" s="196">
        <f>IF(AW225="","",AW225-AW$6)</f>
        <v>3.0361539308E-2</v>
      </c>
      <c r="AY225" s="196">
        <v>7.5125227468000003E-2</v>
      </c>
      <c r="AZ225" s="196">
        <f>IF(AY225="","",AY225-AY$6)</f>
        <v>6.0882972678000004E-2</v>
      </c>
      <c r="BA225" s="196">
        <v>0.21327473903999999</v>
      </c>
      <c r="BB225" s="196">
        <f>IF(BA225="","",BA225-BA$6)</f>
        <v>0.15978777448199999</v>
      </c>
      <c r="BC225" s="196"/>
      <c r="BD225" s="196" t="str">
        <f>IF(BC225="","",BC225-BC$6)</f>
        <v/>
      </c>
      <c r="BE225" s="196"/>
      <c r="BF225" s="196" t="str">
        <f>IF(BE225="","",BE225-BE$6)</f>
        <v/>
      </c>
      <c r="BG225" s="196"/>
      <c r="BH225" s="196" t="str">
        <f>IF(BG225="","",BG225-BG$6)</f>
        <v/>
      </c>
      <c r="BI225" s="196"/>
      <c r="BJ225" s="196" t="str">
        <f>IF(BI225="","",BI225-BI$6)</f>
        <v/>
      </c>
      <c r="BK225" s="197">
        <v>4.7887613441000001</v>
      </c>
      <c r="BL225" s="115"/>
      <c r="BM225" s="198">
        <v>1.4711978805E-2</v>
      </c>
      <c r="BN225" s="191">
        <v>-8.3384536764999993E-3</v>
      </c>
      <c r="BO225" s="191">
        <v>2.7940660788000001E-2</v>
      </c>
      <c r="BP225" s="191">
        <v>-6.8693307467000003E-3</v>
      </c>
      <c r="BQ225" s="199">
        <v>10</v>
      </c>
      <c r="BR225" s="199">
        <v>2</v>
      </c>
      <c r="BS225" s="199">
        <v>9</v>
      </c>
      <c r="BT225" s="199">
        <v>3</v>
      </c>
      <c r="BU225" s="200">
        <v>1.8988462776999999</v>
      </c>
      <c r="BV225" s="200"/>
      <c r="BW225" s="191">
        <v>4.9533722001000001E-3</v>
      </c>
      <c r="BX225" s="191">
        <v>3.1219869698999999E-3</v>
      </c>
      <c r="BY225" s="189">
        <v>9.4765045632000007</v>
      </c>
      <c r="BZ225" s="191">
        <v>-1.7048053713999999E-2</v>
      </c>
      <c r="CA225" s="191">
        <v>-1.7048053713999999E-2</v>
      </c>
      <c r="CB225" s="182">
        <v>45209</v>
      </c>
      <c r="CC225" s="182">
        <v>45218</v>
      </c>
      <c r="CD225" s="201">
        <v>23</v>
      </c>
      <c r="CE225" s="202">
        <v>45244</v>
      </c>
      <c r="CF225" s="116"/>
    </row>
    <row r="226" spans="2:84" ht="15.6" x14ac:dyDescent="0.3">
      <c r="B226" s="110" t="s">
        <v>2267</v>
      </c>
      <c r="C226" s="147" t="s">
        <v>2652</v>
      </c>
      <c r="D226" s="148" t="s">
        <v>1909</v>
      </c>
      <c r="E226" s="148" t="s">
        <v>233</v>
      </c>
      <c r="F226" s="149">
        <v>11669021000110</v>
      </c>
      <c r="G226" s="149" t="s">
        <v>2402</v>
      </c>
      <c r="H226" s="149" t="s">
        <v>388</v>
      </c>
      <c r="I226" s="150">
        <v>2</v>
      </c>
      <c r="J226" s="151">
        <v>1</v>
      </c>
      <c r="K226" s="151" t="s">
        <v>128</v>
      </c>
      <c r="L226" s="151" t="s">
        <v>125</v>
      </c>
      <c r="M226" s="151" t="s">
        <v>128</v>
      </c>
      <c r="N226" s="151" t="s">
        <v>109</v>
      </c>
      <c r="O226" s="152">
        <v>103496</v>
      </c>
      <c r="P226" s="153">
        <v>103496000</v>
      </c>
      <c r="Q226" s="153">
        <v>1000</v>
      </c>
      <c r="R226" s="154">
        <v>45184</v>
      </c>
      <c r="S226" s="154">
        <v>47378</v>
      </c>
      <c r="T226" s="155" t="s">
        <v>2828</v>
      </c>
      <c r="U226" s="155" t="s">
        <v>2721</v>
      </c>
      <c r="V226" s="154" t="s">
        <v>194</v>
      </c>
      <c r="W226" s="154" t="s">
        <v>102</v>
      </c>
      <c r="X226" s="154" t="s">
        <v>2528</v>
      </c>
      <c r="Y226" s="154">
        <v>46980</v>
      </c>
      <c r="Z226" s="156">
        <f>IFERROR(INDEX(Base!G:G,MATCH('Debêntures IPCA-Spread'!Y226,Base!F:F,0)),"")</f>
        <v>6.4702000000000002</v>
      </c>
      <c r="AA226" s="115"/>
      <c r="AB226" s="157">
        <v>45552</v>
      </c>
      <c r="AC226" s="158">
        <v>7.7428999999999997</v>
      </c>
      <c r="AD226" s="159">
        <f t="shared" si="10"/>
        <v>1.2726999999999995</v>
      </c>
      <c r="AE226" s="160">
        <v>0.09</v>
      </c>
      <c r="AF226" s="161"/>
      <c r="AG226" s="161"/>
      <c r="AH226" s="162">
        <v>1020.398095</v>
      </c>
      <c r="AI226" s="162"/>
      <c r="AJ226" s="163" t="str">
        <f t="shared" si="12"/>
        <v/>
      </c>
      <c r="AK226" s="164"/>
      <c r="AL226" s="165">
        <v>97.97</v>
      </c>
      <c r="AM226" s="166">
        <v>885</v>
      </c>
      <c r="AN226" s="115"/>
      <c r="AO226" s="167">
        <v>1.3915246418E-3</v>
      </c>
      <c r="AP226" s="168">
        <f>IF(AO226="","",AO226-AO$6)</f>
        <v>9.1137975686999997E-4</v>
      </c>
      <c r="AQ226" s="168">
        <v>9.2125341362000006E-3</v>
      </c>
      <c r="AR226" s="168">
        <f>IF(AQ226="","",AQ226-AQ$6)</f>
        <v>9.4300408891599997E-3</v>
      </c>
      <c r="AS226" s="168"/>
      <c r="AT226" s="168" t="str">
        <f>IF(AS226="","",AS226-AS$6)</f>
        <v/>
      </c>
      <c r="AU226" s="168">
        <v>6.5264494133000003E-3</v>
      </c>
      <c r="AV226" s="168">
        <f>IF(AU226="","",AU226-AU$6)</f>
        <v>1.95950320093E-2</v>
      </c>
      <c r="AW226" s="168"/>
      <c r="AX226" s="168" t="str">
        <f>IF(AW226="","",AW226-AW$6)</f>
        <v/>
      </c>
      <c r="AY226" s="168"/>
      <c r="AZ226" s="168" t="str">
        <f>IF(AY226="","",AY226-AY$6)</f>
        <v/>
      </c>
      <c r="BA226" s="168"/>
      <c r="BB226" s="168" t="str">
        <f>IF(BA226="","",BA226-BA$6)</f>
        <v/>
      </c>
      <c r="BC226" s="168"/>
      <c r="BD226" s="168" t="str">
        <f>IF(BC226="","",BC226-BC$6)</f>
        <v/>
      </c>
      <c r="BE226" s="168"/>
      <c r="BF226" s="168" t="str">
        <f>IF(BE226="","",BE226-BE$6)</f>
        <v/>
      </c>
      <c r="BG226" s="168"/>
      <c r="BH226" s="168" t="str">
        <f>IF(BG226="","",BG226-BG$6)</f>
        <v/>
      </c>
      <c r="BI226" s="168"/>
      <c r="BJ226" s="168" t="str">
        <f>IF(BI226="","",BI226-BI$6)</f>
        <v/>
      </c>
      <c r="BK226" s="169"/>
      <c r="BL226" s="115"/>
      <c r="BM226" s="170">
        <v>7.6863896010999997E-3</v>
      </c>
      <c r="BN226" s="163">
        <v>-8.0240466513999999E-3</v>
      </c>
      <c r="BO226" s="163">
        <v>1.0168177788000001E-2</v>
      </c>
      <c r="BP226" s="163">
        <v>9.2125341362000006E-3</v>
      </c>
      <c r="BQ226" s="171"/>
      <c r="BR226" s="171"/>
      <c r="BS226" s="171"/>
      <c r="BT226" s="171"/>
      <c r="BU226" s="172"/>
      <c r="BV226" s="172"/>
      <c r="BW226" s="163"/>
      <c r="BX226" s="163">
        <v>4.6179574367999996E-3</v>
      </c>
      <c r="BY226" s="161"/>
      <c r="BZ226" s="163">
        <v>-7.6396486850000001E-3</v>
      </c>
      <c r="CA226" s="163">
        <v>-8.0240466516999995E-3</v>
      </c>
      <c r="CB226" s="154">
        <v>45546</v>
      </c>
      <c r="CC226" s="154">
        <v>45547</v>
      </c>
      <c r="CD226" s="173"/>
      <c r="CE226" s="174"/>
      <c r="CF226" s="116"/>
    </row>
    <row r="227" spans="2:84" ht="15.6" x14ac:dyDescent="0.3">
      <c r="B227" s="98" t="s">
        <v>2268</v>
      </c>
      <c r="C227" s="175" t="s">
        <v>2653</v>
      </c>
      <c r="D227" s="176" t="s">
        <v>1909</v>
      </c>
      <c r="E227" s="176" t="s">
        <v>233</v>
      </c>
      <c r="F227" s="177">
        <v>11669021000110</v>
      </c>
      <c r="G227" s="177" t="s">
        <v>2403</v>
      </c>
      <c r="H227" s="177" t="s">
        <v>388</v>
      </c>
      <c r="I227" s="178">
        <v>3</v>
      </c>
      <c r="J227" s="179">
        <v>1</v>
      </c>
      <c r="K227" s="179" t="s">
        <v>128</v>
      </c>
      <c r="L227" s="179" t="s">
        <v>2466</v>
      </c>
      <c r="M227" s="179" t="s">
        <v>128</v>
      </c>
      <c r="N227" s="179" t="s">
        <v>109</v>
      </c>
      <c r="O227" s="180">
        <v>777978</v>
      </c>
      <c r="P227" s="181">
        <v>777978000</v>
      </c>
      <c r="Q227" s="181">
        <v>1000</v>
      </c>
      <c r="R227" s="182">
        <v>45458</v>
      </c>
      <c r="S227" s="182">
        <v>47649</v>
      </c>
      <c r="T227" s="183" t="s">
        <v>2819</v>
      </c>
      <c r="U227" s="183" t="s">
        <v>113</v>
      </c>
      <c r="V227" s="182" t="s">
        <v>105</v>
      </c>
      <c r="W227" s="182" t="s">
        <v>102</v>
      </c>
      <c r="X227" s="182" t="s">
        <v>2529</v>
      </c>
      <c r="Y227" s="182">
        <v>47710</v>
      </c>
      <c r="Z227" s="184">
        <f>IFERROR(INDEX(Base!G:G,MATCH('Debêntures IPCA-Spread'!Y227,Base!F:F,0)),"")</f>
        <v>6.3273999999999999</v>
      </c>
      <c r="AA227" s="115"/>
      <c r="AB227" s="185">
        <v>45552</v>
      </c>
      <c r="AC227" s="186">
        <v>7.6882999999999999</v>
      </c>
      <c r="AD227" s="187">
        <f t="shared" si="10"/>
        <v>1.3609</v>
      </c>
      <c r="AE227" s="188">
        <v>0.08</v>
      </c>
      <c r="AF227" s="189">
        <v>7.9965999999999999</v>
      </c>
      <c r="AG227" s="189">
        <v>7.5575000000000001</v>
      </c>
      <c r="AH227" s="190">
        <v>1042.2748710000001</v>
      </c>
      <c r="AI227" s="190"/>
      <c r="AJ227" s="191" t="str">
        <f t="shared" si="12"/>
        <v/>
      </c>
      <c r="AK227" s="192"/>
      <c r="AL227" s="193">
        <v>101.61</v>
      </c>
      <c r="AM227" s="194">
        <v>1163</v>
      </c>
      <c r="AN227" s="115"/>
      <c r="AO227" s="195">
        <v>6.4012680650000001E-3</v>
      </c>
      <c r="AP227" s="196">
        <f>IF(AO227="","",AO227-AO$6)</f>
        <v>5.9211231800700001E-3</v>
      </c>
      <c r="AQ227" s="196">
        <v>7.8635988193000005E-3</v>
      </c>
      <c r="AR227" s="196">
        <f>IF(AQ227="","",AQ227-AQ$6)</f>
        <v>8.0811055722599997E-3</v>
      </c>
      <c r="AS227" s="196"/>
      <c r="AT227" s="196" t="str">
        <f>IF(AS227="","",AS227-AS$6)</f>
        <v/>
      </c>
      <c r="AU227" s="196">
        <v>7.1696479244999999E-4</v>
      </c>
      <c r="AV227" s="196">
        <f>IF(AU227="","",AU227-AU$6)</f>
        <v>1.378554738845E-2</v>
      </c>
      <c r="AW227" s="196"/>
      <c r="AX227" s="196" t="str">
        <f>IF(AW227="","",AW227-AW$6)</f>
        <v/>
      </c>
      <c r="AY227" s="196"/>
      <c r="AZ227" s="196" t="str">
        <f>IF(AY227="","",AY227-AY$6)</f>
        <v/>
      </c>
      <c r="BA227" s="196"/>
      <c r="BB227" s="196" t="str">
        <f>IF(BA227="","",BA227-BA$6)</f>
        <v/>
      </c>
      <c r="BC227" s="196"/>
      <c r="BD227" s="196" t="str">
        <f>IF(BC227="","",BC227-BC$6)</f>
        <v/>
      </c>
      <c r="BE227" s="196"/>
      <c r="BF227" s="196" t="str">
        <f>IF(BE227="","",BE227-BE$6)</f>
        <v/>
      </c>
      <c r="BG227" s="196"/>
      <c r="BH227" s="196" t="str">
        <f>IF(BG227="","",BG227-BG$6)</f>
        <v/>
      </c>
      <c r="BI227" s="196"/>
      <c r="BJ227" s="196" t="str">
        <f>IF(BI227="","",BI227-BI$6)</f>
        <v/>
      </c>
      <c r="BK227" s="197"/>
      <c r="BL227" s="115"/>
      <c r="BM227" s="198">
        <v>7.9424547474999992E-3</v>
      </c>
      <c r="BN227" s="191">
        <v>-4.1118806803000004E-3</v>
      </c>
      <c r="BO227" s="191">
        <v>1.1690041345999999E-2</v>
      </c>
      <c r="BP227" s="191">
        <v>7.8635988193000005E-3</v>
      </c>
      <c r="BQ227" s="199"/>
      <c r="BR227" s="199"/>
      <c r="BS227" s="199"/>
      <c r="BT227" s="199"/>
      <c r="BU227" s="200"/>
      <c r="BV227" s="200"/>
      <c r="BW227" s="191"/>
      <c r="BX227" s="191">
        <v>5.0852807344000002E-3</v>
      </c>
      <c r="BY227" s="189"/>
      <c r="BZ227" s="191">
        <v>-9.3452118554999996E-4</v>
      </c>
      <c r="CA227" s="191">
        <v>-1.2103109678999999E-2</v>
      </c>
      <c r="CB227" s="182">
        <v>45518</v>
      </c>
      <c r="CC227" s="182">
        <v>45538</v>
      </c>
      <c r="CD227" s="201"/>
      <c r="CE227" s="202"/>
      <c r="CF227" s="116"/>
    </row>
    <row r="228" spans="2:84" ht="15.6" x14ac:dyDescent="0.3">
      <c r="B228" s="110" t="s">
        <v>2269</v>
      </c>
      <c r="C228" s="147" t="s">
        <v>2654</v>
      </c>
      <c r="D228" s="148" t="s">
        <v>1909</v>
      </c>
      <c r="E228" s="148" t="s">
        <v>233</v>
      </c>
      <c r="F228" s="149">
        <v>11669021000110</v>
      </c>
      <c r="G228" s="149" t="s">
        <v>2404</v>
      </c>
      <c r="H228" s="149" t="s">
        <v>388</v>
      </c>
      <c r="I228" s="150">
        <v>3</v>
      </c>
      <c r="J228" s="151">
        <v>3</v>
      </c>
      <c r="K228" s="151" t="s">
        <v>128</v>
      </c>
      <c r="L228" s="151" t="s">
        <v>2466</v>
      </c>
      <c r="M228" s="151" t="s">
        <v>128</v>
      </c>
      <c r="N228" s="151" t="s">
        <v>109</v>
      </c>
      <c r="O228" s="152">
        <v>665949</v>
      </c>
      <c r="P228" s="153">
        <v>665949000</v>
      </c>
      <c r="Q228" s="153">
        <v>1000</v>
      </c>
      <c r="R228" s="154">
        <v>45458</v>
      </c>
      <c r="S228" s="154">
        <v>49110</v>
      </c>
      <c r="T228" s="155" t="s">
        <v>2819</v>
      </c>
      <c r="U228" s="155" t="s">
        <v>2747</v>
      </c>
      <c r="V228" s="154" t="s">
        <v>105</v>
      </c>
      <c r="W228" s="154" t="s">
        <v>102</v>
      </c>
      <c r="X228" s="154" t="s">
        <v>2530</v>
      </c>
      <c r="Y228" s="154">
        <v>48441</v>
      </c>
      <c r="Z228" s="156">
        <f>IFERROR(INDEX(Base!G:G,MATCH('Debêntures IPCA-Spread'!Y228,Base!F:F,0)),"")</f>
        <v>6.3467000000000002</v>
      </c>
      <c r="AA228" s="115"/>
      <c r="AB228" s="157">
        <v>45552</v>
      </c>
      <c r="AC228" s="158">
        <v>7.7969999999999997</v>
      </c>
      <c r="AD228" s="159">
        <f t="shared" si="10"/>
        <v>1.4502999999999995</v>
      </c>
      <c r="AE228" s="160">
        <v>0.14000000000000001</v>
      </c>
      <c r="AF228" s="161">
        <v>8.1348000000000003</v>
      </c>
      <c r="AG228" s="161">
        <v>7.7202999999999999</v>
      </c>
      <c r="AH228" s="162">
        <v>1054.3838370000001</v>
      </c>
      <c r="AI228" s="162"/>
      <c r="AJ228" s="163" t="str">
        <f t="shared" si="12"/>
        <v/>
      </c>
      <c r="AK228" s="164"/>
      <c r="AL228" s="165">
        <v>102.74</v>
      </c>
      <c r="AM228" s="166">
        <v>1588</v>
      </c>
      <c r="AN228" s="115"/>
      <c r="AO228" s="167">
        <v>5.6065992867E-3</v>
      </c>
      <c r="AP228" s="168">
        <f>IF(AO228="","",AO228-AO$6)</f>
        <v>5.12645440177E-3</v>
      </c>
      <c r="AQ228" s="168">
        <v>1.1873356567999999E-2</v>
      </c>
      <c r="AR228" s="168">
        <f>IF(AQ228="","",AQ228-AQ$6)</f>
        <v>1.2090863320959998E-2</v>
      </c>
      <c r="AS228" s="168"/>
      <c r="AT228" s="168" t="str">
        <f>IF(AS228="","",AS228-AS$6)</f>
        <v/>
      </c>
      <c r="AU228" s="168">
        <v>-6.6623335623999997E-4</v>
      </c>
      <c r="AV228" s="168">
        <f>IF(AU228="","",AU228-AU$6)</f>
        <v>1.240234923976E-2</v>
      </c>
      <c r="AW228" s="168"/>
      <c r="AX228" s="168" t="str">
        <f>IF(AW228="","",AW228-AW$6)</f>
        <v/>
      </c>
      <c r="AY228" s="168"/>
      <c r="AZ228" s="168" t="str">
        <f>IF(AY228="","",AY228-AY$6)</f>
        <v/>
      </c>
      <c r="BA228" s="168"/>
      <c r="BB228" s="168" t="str">
        <f>IF(BA228="","",BA228-BA$6)</f>
        <v/>
      </c>
      <c r="BC228" s="168"/>
      <c r="BD228" s="168" t="str">
        <f>IF(BC228="","",BC228-BC$6)</f>
        <v/>
      </c>
      <c r="BE228" s="168"/>
      <c r="BF228" s="168" t="str">
        <f>IF(BE228="","",BE228-BE$6)</f>
        <v/>
      </c>
      <c r="BG228" s="168"/>
      <c r="BH228" s="168" t="str">
        <f>IF(BG228="","",BG228-BG$6)</f>
        <v/>
      </c>
      <c r="BI228" s="168"/>
      <c r="BJ228" s="168" t="str">
        <f>IF(BI228="","",BI228-BI$6)</f>
        <v/>
      </c>
      <c r="BK228" s="169"/>
      <c r="BL228" s="115"/>
      <c r="BM228" s="170">
        <v>7.6045157384000001E-3</v>
      </c>
      <c r="BN228" s="163">
        <v>-6.90019988E-3</v>
      </c>
      <c r="BO228" s="163">
        <v>1.4072168717999999E-2</v>
      </c>
      <c r="BP228" s="163">
        <v>1.1873356567999999E-2</v>
      </c>
      <c r="BQ228" s="171"/>
      <c r="BR228" s="171"/>
      <c r="BS228" s="171"/>
      <c r="BT228" s="171"/>
      <c r="BU228" s="172"/>
      <c r="BV228" s="172"/>
      <c r="BW228" s="163"/>
      <c r="BX228" s="163">
        <v>6.1449015493999998E-3</v>
      </c>
      <c r="BY228" s="161"/>
      <c r="BZ228" s="163">
        <v>-1.82550925E-2</v>
      </c>
      <c r="CA228" s="163">
        <v>-1.82550925E-2</v>
      </c>
      <c r="CB228" s="154">
        <v>45523</v>
      </c>
      <c r="CC228" s="154">
        <v>45537</v>
      </c>
      <c r="CD228" s="173">
        <v>17</v>
      </c>
      <c r="CE228" s="174">
        <v>45546</v>
      </c>
      <c r="CF228" s="116"/>
    </row>
    <row r="229" spans="2:84" ht="15.6" x14ac:dyDescent="0.3">
      <c r="B229" s="98" t="s">
        <v>2270</v>
      </c>
      <c r="C229" s="175" t="s">
        <v>2655</v>
      </c>
      <c r="D229" s="176" t="s">
        <v>1909</v>
      </c>
      <c r="E229" s="176" t="s">
        <v>233</v>
      </c>
      <c r="F229" s="177">
        <v>11669021000110</v>
      </c>
      <c r="G229" s="177" t="s">
        <v>2405</v>
      </c>
      <c r="H229" s="177" t="s">
        <v>388</v>
      </c>
      <c r="I229" s="178">
        <v>4</v>
      </c>
      <c r="J229" s="179">
        <v>1</v>
      </c>
      <c r="K229" s="179" t="s">
        <v>128</v>
      </c>
      <c r="L229" s="179" t="s">
        <v>2466</v>
      </c>
      <c r="M229" s="179" t="s">
        <v>128</v>
      </c>
      <c r="N229" s="179" t="s">
        <v>109</v>
      </c>
      <c r="O229" s="180">
        <v>396000</v>
      </c>
      <c r="P229" s="181">
        <v>396000000</v>
      </c>
      <c r="Q229" s="181">
        <v>1000</v>
      </c>
      <c r="R229" s="182">
        <v>45458</v>
      </c>
      <c r="S229" s="182">
        <v>47649</v>
      </c>
      <c r="T229" s="183" t="s">
        <v>2819</v>
      </c>
      <c r="U229" s="183" t="s">
        <v>113</v>
      </c>
      <c r="V229" s="182" t="s">
        <v>105</v>
      </c>
      <c r="W229" s="182" t="s">
        <v>102</v>
      </c>
      <c r="X229" s="182" t="s">
        <v>2531</v>
      </c>
      <c r="Y229" s="182">
        <v>47710</v>
      </c>
      <c r="Z229" s="184">
        <f>IFERROR(INDEX(Base!G:G,MATCH('Debêntures IPCA-Spread'!Y229,Base!F:F,0)),"")</f>
        <v>6.3273999999999999</v>
      </c>
      <c r="AA229" s="115"/>
      <c r="AB229" s="185">
        <v>45552</v>
      </c>
      <c r="AC229" s="186">
        <v>7.6802999999999999</v>
      </c>
      <c r="AD229" s="187">
        <f t="shared" si="10"/>
        <v>1.3529</v>
      </c>
      <c r="AE229" s="188">
        <v>0.16</v>
      </c>
      <c r="AF229" s="189">
        <v>7.9215999999999998</v>
      </c>
      <c r="AG229" s="189">
        <v>7.4993999999999996</v>
      </c>
      <c r="AH229" s="190">
        <v>1041.0880090000001</v>
      </c>
      <c r="AI229" s="190"/>
      <c r="AJ229" s="191" t="str">
        <f t="shared" si="12"/>
        <v/>
      </c>
      <c r="AK229" s="192"/>
      <c r="AL229" s="193">
        <v>101.62</v>
      </c>
      <c r="AM229" s="194">
        <v>1165</v>
      </c>
      <c r="AN229" s="115"/>
      <c r="AO229" s="195">
        <v>1.7292069715000001E-3</v>
      </c>
      <c r="AP229" s="196">
        <f>IF(AO229="","",AO229-AO$6)</f>
        <v>1.2490620865700001E-3</v>
      </c>
      <c r="AQ229" s="196">
        <v>5.4447629136E-3</v>
      </c>
      <c r="AR229" s="196">
        <f>IF(AQ229="","",AQ229-AQ$6)</f>
        <v>5.6622696665600001E-3</v>
      </c>
      <c r="AS229" s="196"/>
      <c r="AT229" s="196" t="str">
        <f>IF(AS229="","",AS229-AS$6)</f>
        <v/>
      </c>
      <c r="AU229" s="196">
        <v>-2.3709453161999999E-3</v>
      </c>
      <c r="AV229" s="196">
        <f>IF(AU229="","",AU229-AU$6)</f>
        <v>1.06976372798E-2</v>
      </c>
      <c r="AW229" s="196"/>
      <c r="AX229" s="196" t="str">
        <f>IF(AW229="","",AW229-AW$6)</f>
        <v/>
      </c>
      <c r="AY229" s="196"/>
      <c r="AZ229" s="196" t="str">
        <f>IF(AY229="","",AY229-AY$6)</f>
        <v/>
      </c>
      <c r="BA229" s="196"/>
      <c r="BB229" s="196" t="str">
        <f>IF(BA229="","",BA229-BA$6)</f>
        <v/>
      </c>
      <c r="BC229" s="196"/>
      <c r="BD229" s="196" t="str">
        <f>IF(BC229="","",BC229-BC$6)</f>
        <v/>
      </c>
      <c r="BE229" s="196"/>
      <c r="BF229" s="196" t="str">
        <f>IF(BE229="","",BE229-BE$6)</f>
        <v/>
      </c>
      <c r="BG229" s="196"/>
      <c r="BH229" s="196" t="str">
        <f>IF(BG229="","",BG229-BG$6)</f>
        <v/>
      </c>
      <c r="BI229" s="196"/>
      <c r="BJ229" s="196" t="str">
        <f>IF(BI229="","",BI229-BI$6)</f>
        <v/>
      </c>
      <c r="BK229" s="197"/>
      <c r="BL229" s="115"/>
      <c r="BM229" s="198">
        <v>8.8261925248000004E-3</v>
      </c>
      <c r="BN229" s="191">
        <v>-3.8444157399000001E-3</v>
      </c>
      <c r="BO229" s="191">
        <v>1.549850147E-2</v>
      </c>
      <c r="BP229" s="191">
        <v>5.4447629136E-3</v>
      </c>
      <c r="BQ229" s="199"/>
      <c r="BR229" s="199"/>
      <c r="BS229" s="199"/>
      <c r="BT229" s="199"/>
      <c r="BU229" s="200"/>
      <c r="BV229" s="200"/>
      <c r="BW229" s="191"/>
      <c r="BX229" s="191">
        <v>4.3876968261999999E-3</v>
      </c>
      <c r="BY229" s="189"/>
      <c r="BZ229" s="191">
        <v>-5.8962089703000001E-3</v>
      </c>
      <c r="CA229" s="191">
        <v>-1.2682423068E-2</v>
      </c>
      <c r="CB229" s="182">
        <v>45527</v>
      </c>
      <c r="CC229" s="182">
        <v>45534</v>
      </c>
      <c r="CD229" s="201"/>
      <c r="CE229" s="202"/>
      <c r="CF229" s="116"/>
    </row>
    <row r="230" spans="2:84" ht="15.6" x14ac:dyDescent="0.3">
      <c r="B230" s="110" t="s">
        <v>2271</v>
      </c>
      <c r="C230" s="147" t="s">
        <v>2656</v>
      </c>
      <c r="D230" s="148" t="s">
        <v>1909</v>
      </c>
      <c r="E230" s="148" t="s">
        <v>233</v>
      </c>
      <c r="F230" s="149">
        <v>11669021000110</v>
      </c>
      <c r="G230" s="149" t="s">
        <v>2406</v>
      </c>
      <c r="H230" s="149" t="s">
        <v>388</v>
      </c>
      <c r="I230" s="150">
        <v>4</v>
      </c>
      <c r="J230" s="151">
        <v>2</v>
      </c>
      <c r="K230" s="151" t="s">
        <v>128</v>
      </c>
      <c r="L230" s="151" t="s">
        <v>2466</v>
      </c>
      <c r="M230" s="151" t="s">
        <v>128</v>
      </c>
      <c r="N230" s="151" t="s">
        <v>109</v>
      </c>
      <c r="O230" s="152">
        <v>204000</v>
      </c>
      <c r="P230" s="153">
        <v>204000000</v>
      </c>
      <c r="Q230" s="153">
        <v>1000</v>
      </c>
      <c r="R230" s="154">
        <v>45458</v>
      </c>
      <c r="S230" s="154">
        <v>49110</v>
      </c>
      <c r="T230" s="155" t="s">
        <v>2819</v>
      </c>
      <c r="U230" s="155" t="s">
        <v>2747</v>
      </c>
      <c r="V230" s="154" t="s">
        <v>105</v>
      </c>
      <c r="W230" s="154" t="s">
        <v>102</v>
      </c>
      <c r="X230" s="154" t="s">
        <v>2532</v>
      </c>
      <c r="Y230" s="154">
        <v>48441</v>
      </c>
      <c r="Z230" s="156">
        <f>IFERROR(INDEX(Base!G:G,MATCH('Debêntures IPCA-Spread'!Y230,Base!F:F,0)),"")</f>
        <v>6.3467000000000002</v>
      </c>
      <c r="AA230" s="115"/>
      <c r="AB230" s="157">
        <v>45552</v>
      </c>
      <c r="AC230" s="158">
        <v>7.8933999999999997</v>
      </c>
      <c r="AD230" s="159">
        <f t="shared" si="10"/>
        <v>1.5466999999999995</v>
      </c>
      <c r="AE230" s="160">
        <v>0.1</v>
      </c>
      <c r="AF230" s="161">
        <v>8.1674000000000007</v>
      </c>
      <c r="AG230" s="161">
        <v>7.7858000000000001</v>
      </c>
      <c r="AH230" s="162">
        <v>1047.5010850000001</v>
      </c>
      <c r="AI230" s="162"/>
      <c r="AJ230" s="163" t="str">
        <f t="shared" si="12"/>
        <v/>
      </c>
      <c r="AK230" s="164"/>
      <c r="AL230" s="165">
        <v>102.2</v>
      </c>
      <c r="AM230" s="166">
        <v>1588</v>
      </c>
      <c r="AN230" s="115"/>
      <c r="AO230" s="167">
        <v>4.0262984802999996E-3</v>
      </c>
      <c r="AP230" s="168">
        <f>IF(AO230="","",AO230-AO$6)</f>
        <v>3.5461535953699996E-3</v>
      </c>
      <c r="AQ230" s="168">
        <v>6.9330735695999996E-3</v>
      </c>
      <c r="AR230" s="168">
        <f>IF(AQ230="","",AQ230-AQ$6)</f>
        <v>7.1505803225599997E-3</v>
      </c>
      <c r="AS230" s="168"/>
      <c r="AT230" s="168" t="str">
        <f>IF(AS230="","",AS230-AS$6)</f>
        <v/>
      </c>
      <c r="AU230" s="168">
        <v>-2.4695010869999999E-3</v>
      </c>
      <c r="AV230" s="168">
        <f>IF(AU230="","",AU230-AU$6)</f>
        <v>1.0599081509E-2</v>
      </c>
      <c r="AW230" s="168"/>
      <c r="AX230" s="168" t="str">
        <f>IF(AW230="","",AW230-AW$6)</f>
        <v/>
      </c>
      <c r="AY230" s="168"/>
      <c r="AZ230" s="168" t="str">
        <f>IF(AY230="","",AY230-AY$6)</f>
        <v/>
      </c>
      <c r="BA230" s="168"/>
      <c r="BB230" s="168" t="str">
        <f>IF(BA230="","",BA230-BA$6)</f>
        <v/>
      </c>
      <c r="BC230" s="168"/>
      <c r="BD230" s="168" t="str">
        <f>IF(BC230="","",BC230-BC$6)</f>
        <v/>
      </c>
      <c r="BE230" s="168"/>
      <c r="BF230" s="168" t="str">
        <f>IF(BE230="","",BE230-BE$6)</f>
        <v/>
      </c>
      <c r="BG230" s="168"/>
      <c r="BH230" s="168" t="str">
        <f>IF(BG230="","",BG230-BG$6)</f>
        <v/>
      </c>
      <c r="BI230" s="168"/>
      <c r="BJ230" s="168" t="str">
        <f>IF(BI230="","",BI230-BI$6)</f>
        <v/>
      </c>
      <c r="BK230" s="169"/>
      <c r="BL230" s="115"/>
      <c r="BM230" s="170">
        <v>1.1684028948E-2</v>
      </c>
      <c r="BN230" s="163">
        <v>-6.5968788003000003E-3</v>
      </c>
      <c r="BO230" s="163">
        <v>1.2307444292E-2</v>
      </c>
      <c r="BP230" s="163">
        <v>6.9330735695999996E-3</v>
      </c>
      <c r="BQ230" s="171"/>
      <c r="BR230" s="171"/>
      <c r="BS230" s="171"/>
      <c r="BT230" s="171"/>
      <c r="BU230" s="172"/>
      <c r="BV230" s="172"/>
      <c r="BW230" s="163"/>
      <c r="BX230" s="163">
        <v>5.4376694781999996E-3</v>
      </c>
      <c r="BY230" s="161"/>
      <c r="BZ230" s="163">
        <v>-4.5748292698999998E-3</v>
      </c>
      <c r="CA230" s="163">
        <v>-2.0153829017E-2</v>
      </c>
      <c r="CB230" s="154">
        <v>45518</v>
      </c>
      <c r="CC230" s="154">
        <v>45537</v>
      </c>
      <c r="CD230" s="173"/>
      <c r="CE230" s="174"/>
      <c r="CF230" s="116"/>
    </row>
    <row r="231" spans="2:84" ht="15.6" x14ac:dyDescent="0.3">
      <c r="B231" s="98" t="s">
        <v>529</v>
      </c>
      <c r="C231" s="175" t="s">
        <v>694</v>
      </c>
      <c r="D231" s="176" t="s">
        <v>630</v>
      </c>
      <c r="E231" s="176" t="s">
        <v>226</v>
      </c>
      <c r="F231" s="177">
        <v>25176391000120</v>
      </c>
      <c r="G231" s="177" t="s">
        <v>849</v>
      </c>
      <c r="H231" s="177" t="s">
        <v>388</v>
      </c>
      <c r="I231" s="178">
        <v>1</v>
      </c>
      <c r="J231" s="179">
        <v>1</v>
      </c>
      <c r="K231" s="179" t="s">
        <v>111</v>
      </c>
      <c r="L231" s="179" t="s">
        <v>112</v>
      </c>
      <c r="M231" s="179" t="s">
        <v>986</v>
      </c>
      <c r="N231" s="179" t="s">
        <v>109</v>
      </c>
      <c r="O231" s="180">
        <v>519000</v>
      </c>
      <c r="P231" s="181">
        <v>519000000</v>
      </c>
      <c r="Q231" s="181">
        <v>1000</v>
      </c>
      <c r="R231" s="182">
        <v>43753</v>
      </c>
      <c r="S231" s="182">
        <v>47406</v>
      </c>
      <c r="T231" s="183" t="s">
        <v>778</v>
      </c>
      <c r="U231" s="183" t="s">
        <v>930</v>
      </c>
      <c r="V231" s="182" t="s">
        <v>105</v>
      </c>
      <c r="W231" s="182" t="s">
        <v>102</v>
      </c>
      <c r="X231" s="182" t="s">
        <v>1335</v>
      </c>
      <c r="Y231" s="182">
        <v>46522</v>
      </c>
      <c r="Z231" s="184">
        <f>IFERROR(INDEX(Base!G:G,MATCH('Debêntures IPCA-Spread'!Y231,Base!F:F,0)),"")</f>
        <v>6.391</v>
      </c>
      <c r="AA231" s="115"/>
      <c r="AB231" s="185">
        <v>45552</v>
      </c>
      <c r="AC231" s="186">
        <v>6.3929</v>
      </c>
      <c r="AD231" s="187">
        <f t="shared" si="10"/>
        <v>1.9000000000000128E-3</v>
      </c>
      <c r="AE231" s="188">
        <v>7.0000000000000007E-2</v>
      </c>
      <c r="AF231" s="189">
        <v>6.5290999999999997</v>
      </c>
      <c r="AG231" s="189">
        <v>6.3226000000000004</v>
      </c>
      <c r="AH231" s="190">
        <v>764.46296900000004</v>
      </c>
      <c r="AI231" s="190">
        <v>764.46296900000004</v>
      </c>
      <c r="AJ231" s="191">
        <f t="shared" si="12"/>
        <v>1</v>
      </c>
      <c r="AK231" s="192">
        <v>45552</v>
      </c>
      <c r="AL231" s="193">
        <v>94.16</v>
      </c>
      <c r="AM231" s="194">
        <v>583</v>
      </c>
      <c r="AN231" s="115"/>
      <c r="AO231" s="195">
        <v>1.10877939E-3</v>
      </c>
      <c r="AP231" s="196">
        <f>IF(AO231="","",AO231-AO$6)</f>
        <v>6.2863450507000002E-4</v>
      </c>
      <c r="AQ231" s="196">
        <v>8.0337961407999994E-3</v>
      </c>
      <c r="AR231" s="196">
        <f>IF(AQ231="","",AQ231-AQ$6)</f>
        <v>8.2513028937599986E-3</v>
      </c>
      <c r="AS231" s="196">
        <v>6.1651394204000003E-2</v>
      </c>
      <c r="AT231" s="196">
        <f>IF(AS231="","",AS231-AS$6)</f>
        <v>4.6925559148999998E-2</v>
      </c>
      <c r="AU231" s="196">
        <v>4.8790470046000001E-3</v>
      </c>
      <c r="AV231" s="196">
        <f>IF(AU231="","",AU231-AU$6)</f>
        <v>1.79476296006E-2</v>
      </c>
      <c r="AW231" s="196">
        <v>3.1782211738999998E-2</v>
      </c>
      <c r="AX231" s="196">
        <f>IF(AW231="","",AW231-AW$6)</f>
        <v>7.7871439509999973E-3</v>
      </c>
      <c r="AY231" s="196">
        <v>3.7219208061E-2</v>
      </c>
      <c r="AZ231" s="196">
        <f>IF(AY231="","",AY231-AY$6)</f>
        <v>2.2976953271000002E-2</v>
      </c>
      <c r="BA231" s="196">
        <v>9.0686364106999998E-2</v>
      </c>
      <c r="BB231" s="196">
        <f>IF(BA231="","",BA231-BA$6)</f>
        <v>3.7199399548999999E-2</v>
      </c>
      <c r="BC231" s="196">
        <v>0.22391646662</v>
      </c>
      <c r="BD231" s="196">
        <f>IF(BC231="","",BC231-BC$6)</f>
        <v>2.9607900130000003E-2</v>
      </c>
      <c r="BE231" s="196">
        <v>0.34012602935000003</v>
      </c>
      <c r="BF231" s="196">
        <f>IF(BE231="","",BE231-BE$6)</f>
        <v>7.8406689810000041E-2</v>
      </c>
      <c r="BG231" s="196">
        <v>0.47182765632000001</v>
      </c>
      <c r="BH231" s="196">
        <f>IF(BG231="","",BG231-BG$6)</f>
        <v>0.16291100750999998</v>
      </c>
      <c r="BI231" s="196"/>
      <c r="BJ231" s="196" t="str">
        <f>IF(BI231="","",BI231-BI$6)</f>
        <v/>
      </c>
      <c r="BK231" s="197">
        <v>2.9467663944</v>
      </c>
      <c r="BL231" s="115"/>
      <c r="BM231" s="198">
        <v>6.2611153352999998E-3</v>
      </c>
      <c r="BN231" s="191">
        <v>-6.3687187785000004E-3</v>
      </c>
      <c r="BO231" s="191">
        <v>2.5332537269000002E-2</v>
      </c>
      <c r="BP231" s="191">
        <v>-1.1340382778999999E-2</v>
      </c>
      <c r="BQ231" s="199">
        <v>10</v>
      </c>
      <c r="BR231" s="199">
        <v>2</v>
      </c>
      <c r="BS231" s="199">
        <v>7</v>
      </c>
      <c r="BT231" s="199">
        <v>5</v>
      </c>
      <c r="BU231" s="200">
        <v>-0.62932324031999998</v>
      </c>
      <c r="BV231" s="200">
        <v>-0.34687964169000002</v>
      </c>
      <c r="BW231" s="191">
        <v>3.0443368270000001E-3</v>
      </c>
      <c r="BX231" s="191">
        <v>2.5238918692000001E-3</v>
      </c>
      <c r="BY231" s="189">
        <v>-2.4934595252</v>
      </c>
      <c r="BZ231" s="191">
        <v>-1.5166013504E-2</v>
      </c>
      <c r="CA231" s="191">
        <v>-1.5166013504E-2</v>
      </c>
      <c r="CB231" s="182">
        <v>45189</v>
      </c>
      <c r="CC231" s="182">
        <v>45229</v>
      </c>
      <c r="CD231" s="201">
        <v>38</v>
      </c>
      <c r="CE231" s="202">
        <v>45246</v>
      </c>
      <c r="CF231" s="116"/>
    </row>
    <row r="232" spans="2:84" ht="15.6" x14ac:dyDescent="0.3">
      <c r="B232" s="110" t="s">
        <v>530</v>
      </c>
      <c r="C232" s="147" t="s">
        <v>695</v>
      </c>
      <c r="D232" s="148" t="s">
        <v>630</v>
      </c>
      <c r="E232" s="148" t="s">
        <v>226</v>
      </c>
      <c r="F232" s="149">
        <v>25176391000120</v>
      </c>
      <c r="G232" s="149" t="s">
        <v>850</v>
      </c>
      <c r="H232" s="149" t="s">
        <v>388</v>
      </c>
      <c r="I232" s="150">
        <v>1</v>
      </c>
      <c r="J232" s="151">
        <v>2</v>
      </c>
      <c r="K232" s="151" t="s">
        <v>111</v>
      </c>
      <c r="L232" s="151" t="s">
        <v>112</v>
      </c>
      <c r="M232" s="151" t="s">
        <v>986</v>
      </c>
      <c r="N232" s="151" t="s">
        <v>109</v>
      </c>
      <c r="O232" s="152">
        <v>281000</v>
      </c>
      <c r="P232" s="153">
        <v>281000000</v>
      </c>
      <c r="Q232" s="153">
        <v>1000</v>
      </c>
      <c r="R232" s="154">
        <v>43753</v>
      </c>
      <c r="S232" s="154">
        <v>47406</v>
      </c>
      <c r="T232" s="155" t="s">
        <v>779</v>
      </c>
      <c r="U232" s="155" t="s">
        <v>779</v>
      </c>
      <c r="V232" s="154" t="s">
        <v>105</v>
      </c>
      <c r="W232" s="154" t="s">
        <v>102</v>
      </c>
      <c r="X232" s="154" t="s">
        <v>1335</v>
      </c>
      <c r="Y232" s="154">
        <v>46522</v>
      </c>
      <c r="Z232" s="156">
        <f>IFERROR(INDEX(Base!G:G,MATCH('Debêntures IPCA-Spread'!Y232,Base!F:F,0)),"")</f>
        <v>6.391</v>
      </c>
      <c r="AA232" s="115"/>
      <c r="AB232" s="157">
        <v>45552</v>
      </c>
      <c r="AC232" s="158">
        <v>6.3076999999999996</v>
      </c>
      <c r="AD232" s="159">
        <f t="shared" si="10"/>
        <v>-8.3300000000000374E-2</v>
      </c>
      <c r="AE232" s="160">
        <v>0.22</v>
      </c>
      <c r="AF232" s="161">
        <v>6.5717999999999996</v>
      </c>
      <c r="AG232" s="161">
        <v>6.2534000000000001</v>
      </c>
      <c r="AH232" s="162">
        <v>779.98029099999997</v>
      </c>
      <c r="AI232" s="162">
        <v>779.98029099999997</v>
      </c>
      <c r="AJ232" s="163">
        <f t="shared" si="12"/>
        <v>1</v>
      </c>
      <c r="AK232" s="164">
        <v>45552</v>
      </c>
      <c r="AL232" s="165">
        <v>94.38</v>
      </c>
      <c r="AM232" s="166">
        <v>578</v>
      </c>
      <c r="AN232" s="115"/>
      <c r="AO232" s="167">
        <v>1.2353489710000001E-3</v>
      </c>
      <c r="AP232" s="168">
        <f>IF(AO232="","",AO232-AO$6)</f>
        <v>7.5520408607000007E-4</v>
      </c>
      <c r="AQ232" s="168">
        <v>8.1779659504000006E-3</v>
      </c>
      <c r="AR232" s="168">
        <f>IF(AQ232="","",AQ232-AQ$6)</f>
        <v>8.3954727033599998E-3</v>
      </c>
      <c r="AS232" s="168">
        <v>6.1743588714E-2</v>
      </c>
      <c r="AT232" s="168">
        <f>IF(AS232="","",AS232-AS$6)</f>
        <v>4.7017753659000003E-2</v>
      </c>
      <c r="AU232" s="168">
        <v>5.7497094895E-3</v>
      </c>
      <c r="AV232" s="168">
        <f>IF(AU232="","",AU232-AU$6)</f>
        <v>1.88182920855E-2</v>
      </c>
      <c r="AW232" s="168">
        <v>3.1423780661000003E-2</v>
      </c>
      <c r="AX232" s="168">
        <f>IF(AW232="","",AW232-AW$6)</f>
        <v>7.4287128730000027E-3</v>
      </c>
      <c r="AY232" s="168">
        <v>3.1700041369000002E-2</v>
      </c>
      <c r="AZ232" s="168">
        <f>IF(AY232="","",AY232-AY$6)</f>
        <v>1.7457786579000004E-2</v>
      </c>
      <c r="BA232" s="168">
        <v>9.1297981249000001E-2</v>
      </c>
      <c r="BB232" s="168">
        <f>IF(BA232="","",BA232-BA$6)</f>
        <v>3.7811016691000003E-2</v>
      </c>
      <c r="BC232" s="168">
        <v>0.22339406597</v>
      </c>
      <c r="BD232" s="168">
        <f>IF(BC232="","",BC232-BC$6)</f>
        <v>2.9085499479999999E-2</v>
      </c>
      <c r="BE232" s="168">
        <v>0.34504055464</v>
      </c>
      <c r="BF232" s="168">
        <f>IF(BE232="","",BE232-BE$6)</f>
        <v>8.3321215100000012E-2</v>
      </c>
      <c r="BG232" s="168">
        <v>0.47459313864000002</v>
      </c>
      <c r="BH232" s="168">
        <f>IF(BG232="","",BG232-BG$6)</f>
        <v>0.16567648983</v>
      </c>
      <c r="BI232" s="168"/>
      <c r="BJ232" s="168" t="str">
        <f>IF(BI232="","",BI232-BI$6)</f>
        <v/>
      </c>
      <c r="BK232" s="169">
        <v>3.0694474529</v>
      </c>
      <c r="BL232" s="115"/>
      <c r="BM232" s="170">
        <v>8.3099912663000004E-3</v>
      </c>
      <c r="BN232" s="163">
        <v>-5.7720799650000003E-3</v>
      </c>
      <c r="BO232" s="163">
        <v>2.3968766272000001E-2</v>
      </c>
      <c r="BP232" s="163">
        <v>-1.1529292962999999E-2</v>
      </c>
      <c r="BQ232" s="171">
        <v>10</v>
      </c>
      <c r="BR232" s="171">
        <v>2</v>
      </c>
      <c r="BS232" s="171">
        <v>7</v>
      </c>
      <c r="BT232" s="171">
        <v>5</v>
      </c>
      <c r="BU232" s="172">
        <v>-0.58499396680000004</v>
      </c>
      <c r="BV232" s="172">
        <v>-0.31061745863000001</v>
      </c>
      <c r="BW232" s="163">
        <v>3.1719549164E-3</v>
      </c>
      <c r="BX232" s="163">
        <v>2.4184166487999999E-3</v>
      </c>
      <c r="BY232" s="161">
        <v>-2.4174417294000001</v>
      </c>
      <c r="BZ232" s="163">
        <v>-1.5019361768999999E-2</v>
      </c>
      <c r="CA232" s="163">
        <v>-1.5019361768999999E-2</v>
      </c>
      <c r="CB232" s="154">
        <v>45189</v>
      </c>
      <c r="CC232" s="154">
        <v>45218</v>
      </c>
      <c r="CD232" s="173">
        <v>37</v>
      </c>
      <c r="CE232" s="174">
        <v>45244</v>
      </c>
      <c r="CF232" s="116"/>
    </row>
    <row r="233" spans="2:84" ht="15.6" x14ac:dyDescent="0.3">
      <c r="B233" s="98" t="s">
        <v>45</v>
      </c>
      <c r="C233" s="175" t="s">
        <v>304</v>
      </c>
      <c r="D233" s="176" t="s">
        <v>18</v>
      </c>
      <c r="E233" s="176" t="s">
        <v>226</v>
      </c>
      <c r="F233" s="177">
        <v>864214000106</v>
      </c>
      <c r="G233" s="177" t="s">
        <v>361</v>
      </c>
      <c r="H233" s="177" t="s">
        <v>388</v>
      </c>
      <c r="I233" s="178">
        <v>9</v>
      </c>
      <c r="J233" s="179">
        <v>2</v>
      </c>
      <c r="K233" s="179" t="s">
        <v>126</v>
      </c>
      <c r="L233" s="179" t="s">
        <v>112</v>
      </c>
      <c r="M233" s="179" t="s">
        <v>106</v>
      </c>
      <c r="N233" s="179" t="s">
        <v>109</v>
      </c>
      <c r="O233" s="180">
        <v>11520</v>
      </c>
      <c r="P233" s="181">
        <v>11520000</v>
      </c>
      <c r="Q233" s="181">
        <v>1000</v>
      </c>
      <c r="R233" s="182">
        <v>43023</v>
      </c>
      <c r="S233" s="182">
        <v>45580</v>
      </c>
      <c r="T233" s="183" t="s">
        <v>147</v>
      </c>
      <c r="U233" s="183" t="s">
        <v>166</v>
      </c>
      <c r="V233" s="182" t="s">
        <v>105</v>
      </c>
      <c r="W233" s="182" t="s">
        <v>102</v>
      </c>
      <c r="X233" s="182" t="s">
        <v>1337</v>
      </c>
      <c r="Y233" s="182">
        <v>45792</v>
      </c>
      <c r="Z233" s="184">
        <f>IFERROR(INDEX(Base!G:G,MATCH('Debêntures IPCA-Spread'!Y233,Base!F:F,0)),"")</f>
        <v>5.73</v>
      </c>
      <c r="AA233" s="115"/>
      <c r="AB233" s="185">
        <v>45552</v>
      </c>
      <c r="AC233" s="186">
        <v>6.4503000000000004</v>
      </c>
      <c r="AD233" s="187">
        <f t="shared" ref="AD233:AD296" si="13">IF(AND(Z233&lt;&gt;"",AC233&lt;&gt;""),AC233-Z233,"")</f>
        <v>0.72029999999999994</v>
      </c>
      <c r="AE233" s="188">
        <v>0.1</v>
      </c>
      <c r="AF233" s="189"/>
      <c r="AG233" s="189"/>
      <c r="AH233" s="190">
        <v>1490.4028109999999</v>
      </c>
      <c r="AI233" s="190">
        <v>1490.4028109999999</v>
      </c>
      <c r="AJ233" s="191">
        <f t="shared" si="12"/>
        <v>1</v>
      </c>
      <c r="AK233" s="192">
        <v>45552</v>
      </c>
      <c r="AL233" s="193">
        <v>99.87</v>
      </c>
      <c r="AM233" s="194">
        <v>20</v>
      </c>
      <c r="AN233" s="115"/>
      <c r="AO233" s="195">
        <v>5.4143193302000001E-4</v>
      </c>
      <c r="AP233" s="196">
        <f>IF(AO233="","",AO233-AO$6)</f>
        <v>6.1287048090000011E-5</v>
      </c>
      <c r="AQ233" s="196">
        <v>3.4639538644E-3</v>
      </c>
      <c r="AR233" s="196">
        <f>IF(AQ233="","",AQ233-AQ$6)</f>
        <v>3.68146061736E-3</v>
      </c>
      <c r="AS233" s="196">
        <v>8.4136108761E-2</v>
      </c>
      <c r="AT233" s="196">
        <f>IF(AS233="","",AS233-AS$6)</f>
        <v>6.9410273706000003E-2</v>
      </c>
      <c r="AU233" s="196">
        <v>7.0181254014000001E-3</v>
      </c>
      <c r="AV233" s="196">
        <f>IF(AU233="","",AU233-AU$6)</f>
        <v>2.0086707997399998E-2</v>
      </c>
      <c r="AW233" s="196">
        <v>2.5115049173E-2</v>
      </c>
      <c r="AX233" s="196">
        <f>IF(AW233="","",AW233-AW$6)</f>
        <v>1.1199813849999997E-3</v>
      </c>
      <c r="AY233" s="196">
        <v>5.0787575541000003E-2</v>
      </c>
      <c r="AZ233" s="196">
        <f>IF(AY233="","",AY233-AY$6)</f>
        <v>3.6545320751000004E-2</v>
      </c>
      <c r="BA233" s="196">
        <v>0.11437188474</v>
      </c>
      <c r="BB233" s="196">
        <f>IF(BA233="","",BA233-BA$6)</f>
        <v>6.0884920182E-2</v>
      </c>
      <c r="BC233" s="196">
        <v>0.24131466691</v>
      </c>
      <c r="BD233" s="196">
        <f>IF(BC233="","",BC233-BC$6)</f>
        <v>4.7006100420000002E-2</v>
      </c>
      <c r="BE233" s="196">
        <v>0.36933830579999999</v>
      </c>
      <c r="BF233" s="196">
        <f>IF(BE233="","",BE233-BE$6)</f>
        <v>0.10761896626</v>
      </c>
      <c r="BG233" s="196">
        <v>0.46760311957</v>
      </c>
      <c r="BH233" s="196">
        <f>IF(BG233="","",BG233-BG$6)</f>
        <v>0.15868647075999998</v>
      </c>
      <c r="BI233" s="196">
        <v>0.56296556492000005</v>
      </c>
      <c r="BJ233" s="196">
        <f>IF(BI233="","",BI233-BI$6)</f>
        <v>0.19002255484000002</v>
      </c>
      <c r="BK233" s="197">
        <v>0.95174342056000005</v>
      </c>
      <c r="BL233" s="115"/>
      <c r="BM233" s="198">
        <v>4.0945647597000001E-3</v>
      </c>
      <c r="BN233" s="191">
        <v>-1.3328322438000001E-3</v>
      </c>
      <c r="BO233" s="191">
        <v>1.3473836696E-2</v>
      </c>
      <c r="BP233" s="191">
        <v>3.4639538644E-3</v>
      </c>
      <c r="BQ233" s="199">
        <v>12</v>
      </c>
      <c r="BR233" s="199">
        <v>0</v>
      </c>
      <c r="BS233" s="199">
        <v>6</v>
      </c>
      <c r="BT233" s="199">
        <v>6</v>
      </c>
      <c r="BU233" s="200">
        <v>0.24966775067999999</v>
      </c>
      <c r="BV233" s="200">
        <v>-0.23750258861000001</v>
      </c>
      <c r="BW233" s="191">
        <v>9.8392606981E-4</v>
      </c>
      <c r="BX233" s="191">
        <v>1.9845609535999999E-4</v>
      </c>
      <c r="BY233" s="189">
        <v>0.16633289843999999</v>
      </c>
      <c r="BZ233" s="191">
        <v>-2.1839332621E-3</v>
      </c>
      <c r="CA233" s="191">
        <v>-2.1839332621E-3</v>
      </c>
      <c r="CB233" s="182">
        <v>45198</v>
      </c>
      <c r="CC233" s="182">
        <v>45204</v>
      </c>
      <c r="CD233" s="201">
        <v>7</v>
      </c>
      <c r="CE233" s="202">
        <v>45209</v>
      </c>
      <c r="CF233" s="116"/>
    </row>
    <row r="234" spans="2:84" ht="15.6" x14ac:dyDescent="0.3">
      <c r="B234" s="110" t="s">
        <v>46</v>
      </c>
      <c r="C234" s="147" t="s">
        <v>305</v>
      </c>
      <c r="D234" s="148" t="s">
        <v>18</v>
      </c>
      <c r="E234" s="148" t="s">
        <v>226</v>
      </c>
      <c r="F234" s="149">
        <v>864214000106</v>
      </c>
      <c r="G234" s="149" t="s">
        <v>362</v>
      </c>
      <c r="H234" s="149" t="s">
        <v>388</v>
      </c>
      <c r="I234" s="150">
        <v>9</v>
      </c>
      <c r="J234" s="151">
        <v>3</v>
      </c>
      <c r="K234" s="151" t="s">
        <v>126</v>
      </c>
      <c r="L234" s="151" t="s">
        <v>112</v>
      </c>
      <c r="M234" s="151" t="s">
        <v>106</v>
      </c>
      <c r="N234" s="151" t="s">
        <v>109</v>
      </c>
      <c r="O234" s="152">
        <v>21439</v>
      </c>
      <c r="P234" s="153">
        <v>21439000</v>
      </c>
      <c r="Q234" s="153">
        <v>1000</v>
      </c>
      <c r="R234" s="154">
        <v>43023</v>
      </c>
      <c r="S234" s="154">
        <v>46675</v>
      </c>
      <c r="T234" s="155" t="s">
        <v>147</v>
      </c>
      <c r="U234" s="155" t="s">
        <v>166</v>
      </c>
      <c r="V234" s="154" t="s">
        <v>105</v>
      </c>
      <c r="W234" s="154" t="s">
        <v>102</v>
      </c>
      <c r="X234" s="154" t="s">
        <v>203</v>
      </c>
      <c r="Y234" s="154">
        <v>46522</v>
      </c>
      <c r="Z234" s="156">
        <f>IFERROR(INDEX(Base!G:G,MATCH('Debêntures IPCA-Spread'!Y234,Base!F:F,0)),"")</f>
        <v>6.391</v>
      </c>
      <c r="AA234" s="115"/>
      <c r="AB234" s="157">
        <v>45552</v>
      </c>
      <c r="AC234" s="158">
        <v>6.4212999999999996</v>
      </c>
      <c r="AD234" s="159">
        <f t="shared" si="13"/>
        <v>3.029999999999955E-2</v>
      </c>
      <c r="AE234" s="160">
        <v>0.13</v>
      </c>
      <c r="AF234" s="161">
        <v>6.6479999999999997</v>
      </c>
      <c r="AG234" s="161">
        <v>6.2548000000000004</v>
      </c>
      <c r="AH234" s="162">
        <v>1446.7808259999999</v>
      </c>
      <c r="AI234" s="162">
        <v>1446.7808259999999</v>
      </c>
      <c r="AJ234" s="163">
        <f t="shared" si="12"/>
        <v>1</v>
      </c>
      <c r="AK234" s="164">
        <v>45552</v>
      </c>
      <c r="AL234" s="165">
        <v>96.61</v>
      </c>
      <c r="AM234" s="166">
        <v>699</v>
      </c>
      <c r="AN234" s="115"/>
      <c r="AO234" s="167">
        <v>2.7281247694E-3</v>
      </c>
      <c r="AP234" s="168">
        <f>IF(AO234="","",AO234-AO$6)</f>
        <v>2.2479798844700001E-3</v>
      </c>
      <c r="AQ234" s="168">
        <v>7.5623704578999997E-3</v>
      </c>
      <c r="AR234" s="168">
        <f>IF(AQ234="","",AQ234-AQ$6)</f>
        <v>7.7798772108599997E-3</v>
      </c>
      <c r="AS234" s="168">
        <v>6.3065625750999998E-2</v>
      </c>
      <c r="AT234" s="168">
        <f>IF(AS234="","",AS234-AS$6)</f>
        <v>4.8339790696000001E-2</v>
      </c>
      <c r="AU234" s="168">
        <v>6.3598178622E-3</v>
      </c>
      <c r="AV234" s="168">
        <f>IF(AU234="","",AU234-AU$6)</f>
        <v>1.9428400458200001E-2</v>
      </c>
      <c r="AW234" s="168">
        <v>3.5496849378000003E-2</v>
      </c>
      <c r="AX234" s="168">
        <f>IF(AW234="","",AW234-AW$6)</f>
        <v>1.1501781590000003E-2</v>
      </c>
      <c r="AY234" s="168">
        <v>3.113869964E-2</v>
      </c>
      <c r="AZ234" s="168">
        <f>IF(AY234="","",AY234-AY$6)</f>
        <v>1.6896444849999998E-2</v>
      </c>
      <c r="BA234" s="168">
        <v>8.9054036724000002E-2</v>
      </c>
      <c r="BB234" s="168">
        <f>IF(BA234="","",BA234-BA$6)</f>
        <v>3.5567072166000004E-2</v>
      </c>
      <c r="BC234" s="168">
        <v>0.22895664568999999</v>
      </c>
      <c r="BD234" s="168">
        <f>IF(BC234="","",BC234-BC$6)</f>
        <v>3.4648079199999987E-2</v>
      </c>
      <c r="BE234" s="168">
        <v>0.37263907713</v>
      </c>
      <c r="BF234" s="168">
        <f>IF(BE234="","",BE234-BE$6)</f>
        <v>0.11091973759000001</v>
      </c>
      <c r="BG234" s="168">
        <v>0.46587571792999999</v>
      </c>
      <c r="BH234" s="168">
        <f>IF(BG234="","",BG234-BG$6)</f>
        <v>0.15695906911999996</v>
      </c>
      <c r="BI234" s="168">
        <v>0.49431598565000001</v>
      </c>
      <c r="BJ234" s="168">
        <f>IF(BI234="","",BI234-BI$6)</f>
        <v>0.12137297556999999</v>
      </c>
      <c r="BK234" s="169">
        <v>3.4451141773999998</v>
      </c>
      <c r="BL234" s="115"/>
      <c r="BM234" s="170">
        <v>5.7601055722999997E-3</v>
      </c>
      <c r="BN234" s="163">
        <v>-6.2303229315000003E-3</v>
      </c>
      <c r="BO234" s="163">
        <v>2.5066035383E-2</v>
      </c>
      <c r="BP234" s="163">
        <v>-1.3469676644000001E-2</v>
      </c>
      <c r="BQ234" s="171">
        <v>9</v>
      </c>
      <c r="BR234" s="171">
        <v>3</v>
      </c>
      <c r="BS234" s="171">
        <v>8</v>
      </c>
      <c r="BT234" s="171">
        <v>4</v>
      </c>
      <c r="BU234" s="172">
        <v>-0.57662133711999997</v>
      </c>
      <c r="BV234" s="172">
        <v>-0.10209786556</v>
      </c>
      <c r="BW234" s="163">
        <v>3.5580329647E-3</v>
      </c>
      <c r="BX234" s="163">
        <v>2.7917760446999999E-3</v>
      </c>
      <c r="BY234" s="161">
        <v>-2.6766591577000001</v>
      </c>
      <c r="BZ234" s="163">
        <v>-2.0244126253000001E-2</v>
      </c>
      <c r="CA234" s="163">
        <v>-2.0244126253000001E-2</v>
      </c>
      <c r="CB234" s="154">
        <v>45187</v>
      </c>
      <c r="CC234" s="154">
        <v>45202</v>
      </c>
      <c r="CD234" s="173">
        <v>40</v>
      </c>
      <c r="CE234" s="174">
        <v>45246</v>
      </c>
      <c r="CF234" s="116"/>
    </row>
    <row r="235" spans="2:84" ht="15.6" x14ac:dyDescent="0.3">
      <c r="B235" s="98" t="s">
        <v>531</v>
      </c>
      <c r="C235" s="175" t="s">
        <v>696</v>
      </c>
      <c r="D235" s="176" t="s">
        <v>18</v>
      </c>
      <c r="E235" s="176" t="s">
        <v>226</v>
      </c>
      <c r="F235" s="177">
        <v>864214000106</v>
      </c>
      <c r="G235" s="177" t="s">
        <v>851</v>
      </c>
      <c r="H235" s="177" t="s">
        <v>388</v>
      </c>
      <c r="I235" s="178">
        <v>11</v>
      </c>
      <c r="J235" s="179" t="s">
        <v>107</v>
      </c>
      <c r="K235" s="179" t="s">
        <v>126</v>
      </c>
      <c r="L235" s="179" t="s">
        <v>112</v>
      </c>
      <c r="M235" s="179" t="s">
        <v>106</v>
      </c>
      <c r="N235" s="179" t="s">
        <v>109</v>
      </c>
      <c r="O235" s="180">
        <v>500000</v>
      </c>
      <c r="P235" s="181">
        <v>500000000</v>
      </c>
      <c r="Q235" s="181">
        <v>1000</v>
      </c>
      <c r="R235" s="182">
        <v>43570</v>
      </c>
      <c r="S235" s="182">
        <v>46127</v>
      </c>
      <c r="T235" s="183" t="s">
        <v>772</v>
      </c>
      <c r="U235" s="183" t="s">
        <v>113</v>
      </c>
      <c r="V235" s="182" t="s">
        <v>105</v>
      </c>
      <c r="W235" s="182" t="s">
        <v>102</v>
      </c>
      <c r="X235" s="182" t="s">
        <v>974</v>
      </c>
      <c r="Y235" s="182">
        <v>46249</v>
      </c>
      <c r="Z235" s="184">
        <f>IFERROR(INDEX(Base!G:G,MATCH('Debêntures IPCA-Spread'!Y235,Base!F:F,0)),"")</f>
        <v>6.5365000000000002</v>
      </c>
      <c r="AA235" s="115"/>
      <c r="AB235" s="185">
        <v>45552</v>
      </c>
      <c r="AC235" s="186">
        <v>6.3392999999999997</v>
      </c>
      <c r="AD235" s="187">
        <f t="shared" si="13"/>
        <v>-0.19720000000000049</v>
      </c>
      <c r="AE235" s="188">
        <v>0.19</v>
      </c>
      <c r="AF235" s="189">
        <v>6.6033999999999997</v>
      </c>
      <c r="AG235" s="189">
        <v>6.1684000000000001</v>
      </c>
      <c r="AH235" s="190">
        <v>1334.3644939999999</v>
      </c>
      <c r="AI235" s="190">
        <v>1334.3644939999999</v>
      </c>
      <c r="AJ235" s="191">
        <f t="shared" si="12"/>
        <v>1</v>
      </c>
      <c r="AK235" s="192">
        <v>45552</v>
      </c>
      <c r="AL235" s="193">
        <v>97.56</v>
      </c>
      <c r="AM235" s="194">
        <v>384</v>
      </c>
      <c r="AN235" s="115"/>
      <c r="AO235" s="195">
        <v>1.5729767856E-3</v>
      </c>
      <c r="AP235" s="196">
        <f>IF(AO235="","",AO235-AO$6)</f>
        <v>1.09283190067E-3</v>
      </c>
      <c r="AQ235" s="196">
        <v>6.2727739750999996E-3</v>
      </c>
      <c r="AR235" s="196">
        <f>IF(AQ235="","",AQ235-AQ$6)</f>
        <v>6.4902807280599996E-3</v>
      </c>
      <c r="AS235" s="196">
        <v>6.7410721955000003E-2</v>
      </c>
      <c r="AT235" s="196">
        <f>IF(AS235="","",AS235-AS$6)</f>
        <v>5.2684886900000005E-2</v>
      </c>
      <c r="AU235" s="196">
        <v>8.0908461478000002E-3</v>
      </c>
      <c r="AV235" s="196">
        <f>IF(AU235="","",AU235-AU$6)</f>
        <v>2.1159428743800002E-2</v>
      </c>
      <c r="AW235" s="196">
        <v>2.7456250322000001E-2</v>
      </c>
      <c r="AX235" s="196">
        <f>IF(AW235="","",AW235-AW$6)</f>
        <v>3.4611825340000006E-3</v>
      </c>
      <c r="AY235" s="196">
        <v>3.7073255833000002E-2</v>
      </c>
      <c r="AZ235" s="196">
        <f>IF(AY235="","",AY235-AY$6)</f>
        <v>2.2831001043000003E-2</v>
      </c>
      <c r="BA235" s="196">
        <v>9.5275440894000002E-2</v>
      </c>
      <c r="BB235" s="196">
        <f>IF(BA235="","",BA235-BA$6)</f>
        <v>4.1788476336000004E-2</v>
      </c>
      <c r="BC235" s="196">
        <v>0.22383707118000001</v>
      </c>
      <c r="BD235" s="196">
        <f>IF(BC235="","",BC235-BC$6)</f>
        <v>2.9528504690000013E-2</v>
      </c>
      <c r="BE235" s="196">
        <v>0.33346307579000001</v>
      </c>
      <c r="BF235" s="196">
        <f>IF(BE235="","",BE235-BE$6)</f>
        <v>7.1743736250000023E-2</v>
      </c>
      <c r="BG235" s="196">
        <v>0.46074752196000002</v>
      </c>
      <c r="BH235" s="196">
        <f>IF(BG235="","",BG235-BG$6)</f>
        <v>0.15183087314999999</v>
      </c>
      <c r="BI235" s="196"/>
      <c r="BJ235" s="196" t="str">
        <f>IF(BI235="","",BI235-BI$6)</f>
        <v/>
      </c>
      <c r="BK235" s="197">
        <v>2.2701167297999998</v>
      </c>
      <c r="BL235" s="115"/>
      <c r="BM235" s="198">
        <v>5.2241844677999999E-3</v>
      </c>
      <c r="BN235" s="191">
        <v>-4.2758089257E-3</v>
      </c>
      <c r="BO235" s="191">
        <v>1.8443487274000001E-2</v>
      </c>
      <c r="BP235" s="191">
        <v>-4.0923379720000002E-3</v>
      </c>
      <c r="BQ235" s="199">
        <v>10</v>
      </c>
      <c r="BR235" s="199">
        <v>2</v>
      </c>
      <c r="BS235" s="199">
        <v>7</v>
      </c>
      <c r="BT235" s="199">
        <v>5</v>
      </c>
      <c r="BU235" s="200">
        <v>-0.64251411139000003</v>
      </c>
      <c r="BV235" s="200">
        <v>-0.42612895547000001</v>
      </c>
      <c r="BW235" s="191">
        <v>2.3455451027000001E-3</v>
      </c>
      <c r="BX235" s="191">
        <v>1.7455717846E-3</v>
      </c>
      <c r="BY235" s="189">
        <v>-1.934346627</v>
      </c>
      <c r="BZ235" s="191">
        <v>-1.1115795536000001E-2</v>
      </c>
      <c r="CA235" s="191">
        <v>-1.1115795536000001E-2</v>
      </c>
      <c r="CB235" s="182">
        <v>45187</v>
      </c>
      <c r="CC235" s="182">
        <v>45218</v>
      </c>
      <c r="CD235" s="201">
        <v>39</v>
      </c>
      <c r="CE235" s="202">
        <v>45244</v>
      </c>
      <c r="CF235" s="116"/>
    </row>
    <row r="236" spans="2:84" ht="15.6" x14ac:dyDescent="0.3">
      <c r="B236" s="110" t="s">
        <v>532</v>
      </c>
      <c r="C236" s="147" t="s">
        <v>697</v>
      </c>
      <c r="D236" s="148" t="s">
        <v>18</v>
      </c>
      <c r="E236" s="148" t="s">
        <v>226</v>
      </c>
      <c r="F236" s="149">
        <v>864214000106</v>
      </c>
      <c r="G236" s="149" t="s">
        <v>852</v>
      </c>
      <c r="H236" s="149" t="s">
        <v>388</v>
      </c>
      <c r="I236" s="150">
        <v>14</v>
      </c>
      <c r="J236" s="151">
        <v>1</v>
      </c>
      <c r="K236" s="151" t="s">
        <v>126</v>
      </c>
      <c r="L236" s="151" t="s">
        <v>116</v>
      </c>
      <c r="M236" s="151" t="s">
        <v>114</v>
      </c>
      <c r="N236" s="151" t="s">
        <v>109</v>
      </c>
      <c r="O236" s="152">
        <v>55000</v>
      </c>
      <c r="P236" s="153">
        <v>55000000</v>
      </c>
      <c r="Q236" s="153">
        <v>1000</v>
      </c>
      <c r="R236" s="154">
        <v>44119</v>
      </c>
      <c r="S236" s="154">
        <v>46675</v>
      </c>
      <c r="T236" s="155" t="s">
        <v>780</v>
      </c>
      <c r="U236" s="155" t="s">
        <v>161</v>
      </c>
      <c r="V236" s="154" t="s">
        <v>105</v>
      </c>
      <c r="W236" s="154" t="s">
        <v>102</v>
      </c>
      <c r="X236" s="154" t="s">
        <v>975</v>
      </c>
      <c r="Y236" s="154">
        <v>46522</v>
      </c>
      <c r="Z236" s="156">
        <f>IFERROR(INDEX(Base!G:G,MATCH('Debêntures IPCA-Spread'!Y236,Base!F:F,0)),"")</f>
        <v>6.391</v>
      </c>
      <c r="AA236" s="115"/>
      <c r="AB236" s="157">
        <v>45552</v>
      </c>
      <c r="AC236" s="158">
        <v>6.4592999999999998</v>
      </c>
      <c r="AD236" s="159">
        <f t="shared" si="13"/>
        <v>6.8299999999999805E-2</v>
      </c>
      <c r="AE236" s="160">
        <v>0.19</v>
      </c>
      <c r="AF236" s="161">
        <v>6.6666999999999996</v>
      </c>
      <c r="AG236" s="161">
        <v>6.3789999999999996</v>
      </c>
      <c r="AH236" s="162">
        <v>1234.7703650000001</v>
      </c>
      <c r="AI236" s="162">
        <v>1234.8686259999999</v>
      </c>
      <c r="AJ236" s="163">
        <f t="shared" si="12"/>
        <v>0.9999204279727163</v>
      </c>
      <c r="AK236" s="164">
        <v>45551</v>
      </c>
      <c r="AL236" s="165">
        <v>94.15</v>
      </c>
      <c r="AM236" s="166">
        <v>717</v>
      </c>
      <c r="AN236" s="115"/>
      <c r="AO236" s="167">
        <v>-7.9572027971000004E-5</v>
      </c>
      <c r="AP236" s="168">
        <f>IF(AO236="","",AO236-AO$6)</f>
        <v>-5.5971691290100005E-4</v>
      </c>
      <c r="AQ236" s="168">
        <v>5.8013174421000001E-3</v>
      </c>
      <c r="AR236" s="168">
        <f>IF(AQ236="","",AQ236-AQ$6)</f>
        <v>6.0188241950600001E-3</v>
      </c>
      <c r="AS236" s="168">
        <v>6.4290445909000002E-2</v>
      </c>
      <c r="AT236" s="168">
        <f>IF(AS236="","",AS236-AS$6)</f>
        <v>4.9564610854000005E-2</v>
      </c>
      <c r="AU236" s="168">
        <v>6.1766148864999997E-3</v>
      </c>
      <c r="AV236" s="168">
        <f>IF(AU236="","",AU236-AU$6)</f>
        <v>1.92451974825E-2</v>
      </c>
      <c r="AW236" s="168">
        <v>3.4212241246000002E-2</v>
      </c>
      <c r="AX236" s="168">
        <f>IF(AW236="","",AW236-AW$6)</f>
        <v>1.0217173458000002E-2</v>
      </c>
      <c r="AY236" s="168">
        <v>3.7024704243000001E-2</v>
      </c>
      <c r="AZ236" s="168">
        <f>IF(AY236="","",AY236-AY$6)</f>
        <v>2.2782449453000002E-2</v>
      </c>
      <c r="BA236" s="168">
        <v>9.2959811864E-2</v>
      </c>
      <c r="BB236" s="168">
        <f>IF(BA236="","",BA236-BA$6)</f>
        <v>3.9472847306000002E-2</v>
      </c>
      <c r="BC236" s="168">
        <v>0.2270014796</v>
      </c>
      <c r="BD236" s="168">
        <f>IF(BC236="","",BC236-BC$6)</f>
        <v>3.2692913109999999E-2</v>
      </c>
      <c r="BE236" s="168">
        <v>0.33999578960999999</v>
      </c>
      <c r="BF236" s="168">
        <f>IF(BE236="","",BE236-BE$6)</f>
        <v>7.8276450070000003E-2</v>
      </c>
      <c r="BG236" s="168"/>
      <c r="BH236" s="168" t="str">
        <f>IF(BG236="","",BG236-BG$6)</f>
        <v/>
      </c>
      <c r="BI236" s="168"/>
      <c r="BJ236" s="168" t="str">
        <f>IF(BI236="","",BI236-BI$6)</f>
        <v/>
      </c>
      <c r="BK236" s="169">
        <v>3.6462988837000001</v>
      </c>
      <c r="BL236" s="115"/>
      <c r="BM236" s="170">
        <v>6.8929945845999999E-3</v>
      </c>
      <c r="BN236" s="163">
        <v>-7.1890055888000001E-3</v>
      </c>
      <c r="BO236" s="163">
        <v>2.8157281804000001E-2</v>
      </c>
      <c r="BP236" s="163">
        <v>-1.1435765064E-2</v>
      </c>
      <c r="BQ236" s="171">
        <v>9</v>
      </c>
      <c r="BR236" s="171">
        <v>3</v>
      </c>
      <c r="BS236" s="171">
        <v>8</v>
      </c>
      <c r="BT236" s="171">
        <v>4</v>
      </c>
      <c r="BU236" s="172">
        <v>-0.44648498510000001</v>
      </c>
      <c r="BV236" s="172">
        <v>-0.27854812140000001</v>
      </c>
      <c r="BW236" s="163">
        <v>3.7653313116999998E-3</v>
      </c>
      <c r="BX236" s="163">
        <v>2.2920452804999999E-3</v>
      </c>
      <c r="BY236" s="161">
        <v>-2.3202401229</v>
      </c>
      <c r="BZ236" s="163">
        <v>-1.9384996902000001E-2</v>
      </c>
      <c r="CA236" s="163">
        <v>-1.9384996902000001E-2</v>
      </c>
      <c r="CB236" s="154">
        <v>45190</v>
      </c>
      <c r="CC236" s="154">
        <v>45230</v>
      </c>
      <c r="CD236" s="173">
        <v>38</v>
      </c>
      <c r="CE236" s="174">
        <v>45247</v>
      </c>
      <c r="CF236" s="116"/>
    </row>
    <row r="237" spans="2:84" ht="15.6" x14ac:dyDescent="0.3">
      <c r="B237" s="98" t="s">
        <v>533</v>
      </c>
      <c r="C237" s="175" t="s">
        <v>698</v>
      </c>
      <c r="D237" s="176" t="s">
        <v>18</v>
      </c>
      <c r="E237" s="176" t="s">
        <v>226</v>
      </c>
      <c r="F237" s="177">
        <v>864214000106</v>
      </c>
      <c r="G237" s="177" t="s">
        <v>853</v>
      </c>
      <c r="H237" s="177" t="s">
        <v>388</v>
      </c>
      <c r="I237" s="178">
        <v>14</v>
      </c>
      <c r="J237" s="179">
        <v>2</v>
      </c>
      <c r="K237" s="179" t="s">
        <v>126</v>
      </c>
      <c r="L237" s="179" t="s">
        <v>116</v>
      </c>
      <c r="M237" s="179" t="s">
        <v>114</v>
      </c>
      <c r="N237" s="179" t="s">
        <v>109</v>
      </c>
      <c r="O237" s="180">
        <v>425000</v>
      </c>
      <c r="P237" s="181">
        <v>425000000</v>
      </c>
      <c r="Q237" s="181">
        <v>1000</v>
      </c>
      <c r="R237" s="182">
        <v>44119</v>
      </c>
      <c r="S237" s="182">
        <v>47771</v>
      </c>
      <c r="T237" s="183" t="s">
        <v>780</v>
      </c>
      <c r="U237" s="183" t="s">
        <v>931</v>
      </c>
      <c r="V237" s="182" t="s">
        <v>105</v>
      </c>
      <c r="W237" s="182" t="s">
        <v>102</v>
      </c>
      <c r="X237" s="182" t="s">
        <v>976</v>
      </c>
      <c r="Y237" s="182">
        <v>47253</v>
      </c>
      <c r="Z237" s="184">
        <f>IFERROR(INDEX(Base!G:G,MATCH('Debêntures IPCA-Spread'!Y237,Base!F:F,0)),"")</f>
        <v>6.41</v>
      </c>
      <c r="AA237" s="115"/>
      <c r="AB237" s="185">
        <v>45552</v>
      </c>
      <c r="AC237" s="186">
        <v>6.6195000000000004</v>
      </c>
      <c r="AD237" s="187">
        <f t="shared" si="13"/>
        <v>0.20950000000000024</v>
      </c>
      <c r="AE237" s="188">
        <v>0.09</v>
      </c>
      <c r="AF237" s="189">
        <v>6.7584</v>
      </c>
      <c r="AG237" s="189">
        <v>6.4188000000000001</v>
      </c>
      <c r="AH237" s="190">
        <v>1199.141789</v>
      </c>
      <c r="AI237" s="190">
        <v>1210.6705609999999</v>
      </c>
      <c r="AJ237" s="191">
        <f t="shared" si="12"/>
        <v>0.99047736653439622</v>
      </c>
      <c r="AK237" s="192">
        <v>45517</v>
      </c>
      <c r="AL237" s="193">
        <v>91.34</v>
      </c>
      <c r="AM237" s="194">
        <v>1117</v>
      </c>
      <c r="AN237" s="115"/>
      <c r="AO237" s="195">
        <v>-1.6810020434E-3</v>
      </c>
      <c r="AP237" s="196">
        <f>IF(AO237="","",AO237-AO$6)</f>
        <v>-2.1611469283299998E-3</v>
      </c>
      <c r="AQ237" s="196">
        <v>3.1956016445999999E-3</v>
      </c>
      <c r="AR237" s="196">
        <f>IF(AQ237="","",AQ237-AQ$6)</f>
        <v>3.4131083975599999E-3</v>
      </c>
      <c r="AS237" s="196">
        <v>5.4197762837999999E-2</v>
      </c>
      <c r="AT237" s="196">
        <f>IF(AS237="","",AS237-AS$6)</f>
        <v>3.9471927783000002E-2</v>
      </c>
      <c r="AU237" s="196">
        <v>-6.0210841557000001E-3</v>
      </c>
      <c r="AV237" s="196">
        <f>IF(AU237="","",AU237-AU$6)</f>
        <v>7.0474984402999997E-3</v>
      </c>
      <c r="AW237" s="196">
        <v>3.0050740191999999E-2</v>
      </c>
      <c r="AX237" s="196">
        <f>IF(AW237="","",AW237-AW$6)</f>
        <v>6.0556724039999982E-3</v>
      </c>
      <c r="AY237" s="196">
        <v>2.1149329878000001E-2</v>
      </c>
      <c r="AZ237" s="196">
        <f>IF(AY237="","",AY237-AY$6)</f>
        <v>6.907075088E-3</v>
      </c>
      <c r="BA237" s="196">
        <v>8.7035769043999997E-2</v>
      </c>
      <c r="BB237" s="196">
        <f>IF(BA237="","",BA237-BA$6)</f>
        <v>3.3548804485999999E-2</v>
      </c>
      <c r="BC237" s="196">
        <v>0.22388435633000001</v>
      </c>
      <c r="BD237" s="196">
        <f>IF(BC237="","",BC237-BC$6)</f>
        <v>2.9575789840000005E-2</v>
      </c>
      <c r="BE237" s="196">
        <v>0.28570784734999999</v>
      </c>
      <c r="BF237" s="196">
        <f>IF(BE237="","",BE237-BE$6)</f>
        <v>2.3988507810000004E-2</v>
      </c>
      <c r="BG237" s="196"/>
      <c r="BH237" s="196" t="str">
        <f>IF(BG237="","",BG237-BG$6)</f>
        <v/>
      </c>
      <c r="BI237" s="196"/>
      <c r="BJ237" s="196" t="str">
        <f>IF(BI237="","",BI237-BI$6)</f>
        <v/>
      </c>
      <c r="BK237" s="197">
        <v>4.2460391098999999</v>
      </c>
      <c r="BL237" s="115"/>
      <c r="BM237" s="198">
        <v>8.4990530649999996E-3</v>
      </c>
      <c r="BN237" s="191">
        <v>-9.2272126148999992E-3</v>
      </c>
      <c r="BO237" s="191">
        <v>2.6602900515999998E-2</v>
      </c>
      <c r="BP237" s="191">
        <v>-1.4835836364E-2</v>
      </c>
      <c r="BQ237" s="199">
        <v>9</v>
      </c>
      <c r="BR237" s="199">
        <v>3</v>
      </c>
      <c r="BS237" s="199">
        <v>6</v>
      </c>
      <c r="BT237" s="199">
        <v>6</v>
      </c>
      <c r="BU237" s="200">
        <v>-0.50358075360999999</v>
      </c>
      <c r="BV237" s="200">
        <v>-0.48733679681999997</v>
      </c>
      <c r="BW237" s="191">
        <v>4.3863674057E-3</v>
      </c>
      <c r="BX237" s="191">
        <v>4.3211739413999998E-3</v>
      </c>
      <c r="BY237" s="189">
        <v>-2.9528246934000002</v>
      </c>
      <c r="BZ237" s="191">
        <v>-2.0685774341999998E-2</v>
      </c>
      <c r="CA237" s="191">
        <v>-2.0685774341999998E-2</v>
      </c>
      <c r="CB237" s="182">
        <v>45189</v>
      </c>
      <c r="CC237" s="182">
        <v>45202</v>
      </c>
      <c r="CD237" s="201">
        <v>38</v>
      </c>
      <c r="CE237" s="202">
        <v>45246</v>
      </c>
      <c r="CF237" s="116"/>
    </row>
    <row r="238" spans="2:84" ht="15.6" x14ac:dyDescent="0.3">
      <c r="B238" s="110" t="s">
        <v>1443</v>
      </c>
      <c r="C238" s="147" t="s">
        <v>2089</v>
      </c>
      <c r="D238" s="148" t="s">
        <v>18</v>
      </c>
      <c r="E238" s="148" t="s">
        <v>226</v>
      </c>
      <c r="F238" s="149">
        <v>864214000106</v>
      </c>
      <c r="G238" s="149" t="s">
        <v>1802</v>
      </c>
      <c r="H238" s="149" t="s">
        <v>388</v>
      </c>
      <c r="I238" s="150">
        <v>15</v>
      </c>
      <c r="J238" s="151">
        <v>1</v>
      </c>
      <c r="K238" s="151" t="s">
        <v>126</v>
      </c>
      <c r="L238" s="151" t="s">
        <v>112</v>
      </c>
      <c r="M238" s="151" t="s">
        <v>106</v>
      </c>
      <c r="N238" s="151" t="s">
        <v>109</v>
      </c>
      <c r="O238" s="152">
        <v>330000</v>
      </c>
      <c r="P238" s="153">
        <v>330000000</v>
      </c>
      <c r="Q238" s="153">
        <v>1000</v>
      </c>
      <c r="R238" s="154">
        <v>44484</v>
      </c>
      <c r="S238" s="154">
        <v>48136</v>
      </c>
      <c r="T238" s="155" t="s">
        <v>1199</v>
      </c>
      <c r="U238" s="155" t="s">
        <v>1672</v>
      </c>
      <c r="V238" s="154" t="s">
        <v>105</v>
      </c>
      <c r="W238" s="154" t="s">
        <v>102</v>
      </c>
      <c r="X238" s="154" t="s">
        <v>1577</v>
      </c>
      <c r="Y238" s="154">
        <v>47710</v>
      </c>
      <c r="Z238" s="156">
        <f>IFERROR(INDEX(Base!G:G,MATCH('Debêntures IPCA-Spread'!Y238,Base!F:F,0)),"")</f>
        <v>6.3273999999999999</v>
      </c>
      <c r="AA238" s="115"/>
      <c r="AB238" s="157">
        <v>45552</v>
      </c>
      <c r="AC238" s="158">
        <v>6.4729000000000001</v>
      </c>
      <c r="AD238" s="159">
        <f t="shared" si="13"/>
        <v>0.14550000000000018</v>
      </c>
      <c r="AE238" s="160">
        <v>0.13</v>
      </c>
      <c r="AF238" s="161">
        <v>6.6726999999999999</v>
      </c>
      <c r="AG238" s="161">
        <v>6.2981999999999996</v>
      </c>
      <c r="AH238" s="162">
        <v>1173.693581</v>
      </c>
      <c r="AI238" s="162">
        <v>1185.4101290000001</v>
      </c>
      <c r="AJ238" s="163">
        <f t="shared" si="12"/>
        <v>0.99011603856474206</v>
      </c>
      <c r="AK238" s="164">
        <v>45518</v>
      </c>
      <c r="AL238" s="165">
        <v>98.2</v>
      </c>
      <c r="AM238" s="166">
        <v>1259</v>
      </c>
      <c r="AN238" s="115"/>
      <c r="AO238" s="167">
        <v>2.8280400966000001E-3</v>
      </c>
      <c r="AP238" s="168">
        <f>IF(AO238="","",AO238-AO$6)</f>
        <v>2.3478952116700001E-3</v>
      </c>
      <c r="AQ238" s="168">
        <v>5.0184879800999997E-3</v>
      </c>
      <c r="AR238" s="168">
        <f>IF(AQ238="","",AQ238-AQ$6)</f>
        <v>5.2359947330599997E-3</v>
      </c>
      <c r="AS238" s="168">
        <v>5.7415998415000002E-2</v>
      </c>
      <c r="AT238" s="168">
        <f>IF(AS238="","",AS238-AS$6)</f>
        <v>4.2690163360000005E-2</v>
      </c>
      <c r="AU238" s="168">
        <v>-8.6800682747999996E-3</v>
      </c>
      <c r="AV238" s="168">
        <f>IF(AU238="","",AU238-AU$6)</f>
        <v>4.3885143212000002E-3</v>
      </c>
      <c r="AW238" s="168">
        <v>3.6780361212999997E-2</v>
      </c>
      <c r="AX238" s="168">
        <f>IF(AW238="","",AW238-AW$6)</f>
        <v>1.2785293424999997E-2</v>
      </c>
      <c r="AY238" s="168">
        <v>2.3972420271000001E-2</v>
      </c>
      <c r="AZ238" s="168">
        <f>IF(AY238="","",AY238-AY$6)</f>
        <v>9.7301654810000009E-3</v>
      </c>
      <c r="BA238" s="168">
        <v>8.8198363616000003E-2</v>
      </c>
      <c r="BB238" s="168">
        <f>IF(BA238="","",BA238-BA$6)</f>
        <v>3.4711399058000005E-2</v>
      </c>
      <c r="BC238" s="168">
        <v>0.24222633939999999</v>
      </c>
      <c r="BD238" s="168">
        <f>IF(BC238="","",BC238-BC$6)</f>
        <v>4.7917772909999989E-2</v>
      </c>
      <c r="BE238" s="168"/>
      <c r="BF238" s="168" t="str">
        <f>IF(BE238="","",BE238-BE$6)</f>
        <v/>
      </c>
      <c r="BG238" s="168"/>
      <c r="BH238" s="168" t="str">
        <f>IF(BG238="","",BG238-BG$6)</f>
        <v/>
      </c>
      <c r="BI238" s="168"/>
      <c r="BJ238" s="168" t="str">
        <f>IF(BI238="","",BI238-BI$6)</f>
        <v/>
      </c>
      <c r="BK238" s="169">
        <v>4.9284307523999997</v>
      </c>
      <c r="BL238" s="115"/>
      <c r="BM238" s="170">
        <v>9.4276528944000001E-3</v>
      </c>
      <c r="BN238" s="163">
        <v>-1.0076687855999999E-2</v>
      </c>
      <c r="BO238" s="163">
        <v>2.6716962348999999E-2</v>
      </c>
      <c r="BP238" s="163">
        <v>-1.8840444327000001E-2</v>
      </c>
      <c r="BQ238" s="171">
        <v>8</v>
      </c>
      <c r="BR238" s="171">
        <v>4</v>
      </c>
      <c r="BS238" s="171">
        <v>7</v>
      </c>
      <c r="BT238" s="171">
        <v>5</v>
      </c>
      <c r="BU238" s="172">
        <v>-0.40638589055000002</v>
      </c>
      <c r="BV238" s="172"/>
      <c r="BW238" s="163">
        <v>5.0906729221999996E-3</v>
      </c>
      <c r="BX238" s="163">
        <v>4.3789524009999999E-3</v>
      </c>
      <c r="BY238" s="161">
        <v>-2.8805038503999998</v>
      </c>
      <c r="BZ238" s="163">
        <v>-2.3854797987999998E-2</v>
      </c>
      <c r="CA238" s="163">
        <v>-2.3854797987999998E-2</v>
      </c>
      <c r="CB238" s="154">
        <v>45358</v>
      </c>
      <c r="CC238" s="154">
        <v>45474</v>
      </c>
      <c r="CD238" s="173">
        <v>87</v>
      </c>
      <c r="CE238" s="174">
        <v>45484</v>
      </c>
      <c r="CF238" s="116"/>
    </row>
    <row r="239" spans="2:84" ht="15.6" x14ac:dyDescent="0.3">
      <c r="B239" s="98" t="s">
        <v>1444</v>
      </c>
      <c r="C239" s="175" t="s">
        <v>2090</v>
      </c>
      <c r="D239" s="176" t="s">
        <v>18</v>
      </c>
      <c r="E239" s="176" t="s">
        <v>226</v>
      </c>
      <c r="F239" s="177">
        <v>864214000106</v>
      </c>
      <c r="G239" s="177" t="s">
        <v>1803</v>
      </c>
      <c r="H239" s="177" t="s">
        <v>388</v>
      </c>
      <c r="I239" s="178">
        <v>16</v>
      </c>
      <c r="J239" s="179">
        <v>1</v>
      </c>
      <c r="K239" s="179" t="s">
        <v>126</v>
      </c>
      <c r="L239" s="179" t="s">
        <v>118</v>
      </c>
      <c r="M239" s="179" t="s">
        <v>106</v>
      </c>
      <c r="N239" s="179" t="s">
        <v>109</v>
      </c>
      <c r="O239" s="180">
        <v>309383</v>
      </c>
      <c r="P239" s="181">
        <v>309383000</v>
      </c>
      <c r="Q239" s="181">
        <v>1000</v>
      </c>
      <c r="R239" s="182">
        <v>44666</v>
      </c>
      <c r="S239" s="182">
        <v>47223</v>
      </c>
      <c r="T239" s="183" t="s">
        <v>1974</v>
      </c>
      <c r="U239" s="183" t="s">
        <v>1690</v>
      </c>
      <c r="V239" s="182" t="s">
        <v>105</v>
      </c>
      <c r="W239" s="182" t="s">
        <v>102</v>
      </c>
      <c r="X239" s="182" t="s">
        <v>1578</v>
      </c>
      <c r="Y239" s="182">
        <v>46980</v>
      </c>
      <c r="Z239" s="184">
        <f>IFERROR(INDEX(Base!G:G,MATCH('Debêntures IPCA-Spread'!Y239,Base!F:F,0)),"")</f>
        <v>6.4702000000000002</v>
      </c>
      <c r="AA239" s="115"/>
      <c r="AB239" s="185">
        <v>45552</v>
      </c>
      <c r="AC239" s="186">
        <v>6.5587999999999997</v>
      </c>
      <c r="AD239" s="187">
        <f t="shared" si="13"/>
        <v>8.8599999999999568E-2</v>
      </c>
      <c r="AE239" s="188">
        <v>0.03</v>
      </c>
      <c r="AF239" s="189">
        <v>6.7122000000000002</v>
      </c>
      <c r="AG239" s="189">
        <v>6.4977</v>
      </c>
      <c r="AH239" s="190">
        <v>1109.5094340000001</v>
      </c>
      <c r="AI239" s="190">
        <v>1113.7869929999999</v>
      </c>
      <c r="AJ239" s="191">
        <f t="shared" si="12"/>
        <v>0.99615944608180584</v>
      </c>
      <c r="AK239" s="192">
        <v>45519</v>
      </c>
      <c r="AL239" s="193">
        <v>98.82</v>
      </c>
      <c r="AM239" s="194">
        <v>793</v>
      </c>
      <c r="AN239" s="115"/>
      <c r="AO239" s="195">
        <v>9.3214181833999998E-4</v>
      </c>
      <c r="AP239" s="196">
        <f>IF(AO239="","",AO239-AO$6)</f>
        <v>4.5199693340999998E-4</v>
      </c>
      <c r="AQ239" s="196">
        <v>4.0562268769000001E-3</v>
      </c>
      <c r="AR239" s="196">
        <f>IF(AQ239="","",AQ239-AQ$6)</f>
        <v>4.2737336298600001E-3</v>
      </c>
      <c r="AS239" s="196">
        <v>5.5984706593999997E-2</v>
      </c>
      <c r="AT239" s="196">
        <f>IF(AS239="","",AS239-AS$6)</f>
        <v>4.1258871539E-2</v>
      </c>
      <c r="AU239" s="196">
        <v>-1.7693732589E-3</v>
      </c>
      <c r="AV239" s="196">
        <f>IF(AU239="","",AU239-AU$6)</f>
        <v>1.12992093371E-2</v>
      </c>
      <c r="AW239" s="196">
        <v>2.8185444537E-2</v>
      </c>
      <c r="AX239" s="196">
        <f>IF(AW239="","",AW239-AW$6)</f>
        <v>4.190376749E-3</v>
      </c>
      <c r="AY239" s="196">
        <v>2.3566753592999999E-2</v>
      </c>
      <c r="AZ239" s="196">
        <f>IF(AY239="","",AY239-AY$6)</f>
        <v>9.3244988029999986E-3</v>
      </c>
      <c r="BA239" s="196">
        <v>8.8289583739000005E-2</v>
      </c>
      <c r="BB239" s="196">
        <f>IF(BA239="","",BA239-BA$6)</f>
        <v>3.4802619181000007E-2</v>
      </c>
      <c r="BC239" s="196">
        <v>0.23419425100999999</v>
      </c>
      <c r="BD239" s="196">
        <f>IF(BC239="","",BC239-BC$6)</f>
        <v>3.9885684519999992E-2</v>
      </c>
      <c r="BE239" s="196"/>
      <c r="BF239" s="196" t="str">
        <f>IF(BE239="","",BE239-BE$6)</f>
        <v/>
      </c>
      <c r="BG239" s="196"/>
      <c r="BH239" s="196" t="str">
        <f>IF(BG239="","",BG239-BG$6)</f>
        <v/>
      </c>
      <c r="BI239" s="196"/>
      <c r="BJ239" s="196" t="str">
        <f>IF(BI239="","",BI239-BI$6)</f>
        <v/>
      </c>
      <c r="BK239" s="197">
        <v>3.5110609876000001</v>
      </c>
      <c r="BL239" s="115"/>
      <c r="BM239" s="198">
        <v>6.4221998654999998E-3</v>
      </c>
      <c r="BN239" s="191">
        <v>-7.1440303454000003E-3</v>
      </c>
      <c r="BO239" s="191">
        <v>2.3999262556E-2</v>
      </c>
      <c r="BP239" s="191">
        <v>-1.4075224480000001E-2</v>
      </c>
      <c r="BQ239" s="199">
        <v>9</v>
      </c>
      <c r="BR239" s="199">
        <v>3</v>
      </c>
      <c r="BS239" s="199">
        <v>5</v>
      </c>
      <c r="BT239" s="199">
        <v>7</v>
      </c>
      <c r="BU239" s="200">
        <v>-0.58463980304999996</v>
      </c>
      <c r="BV239" s="200"/>
      <c r="BW239" s="191">
        <v>3.6279586051000002E-3</v>
      </c>
      <c r="BX239" s="191">
        <v>3.0574758258999999E-3</v>
      </c>
      <c r="BY239" s="189">
        <v>-2.8015957337000001</v>
      </c>
      <c r="BZ239" s="191">
        <v>-1.8362920793999999E-2</v>
      </c>
      <c r="CA239" s="191">
        <v>-1.8362920793999999E-2</v>
      </c>
      <c r="CB239" s="182">
        <v>45189</v>
      </c>
      <c r="CC239" s="182">
        <v>45202</v>
      </c>
      <c r="CD239" s="201">
        <v>38</v>
      </c>
      <c r="CE239" s="202">
        <v>45246</v>
      </c>
      <c r="CF239" s="116"/>
    </row>
    <row r="240" spans="2:84" ht="15.6" x14ac:dyDescent="0.3">
      <c r="B240" s="110" t="s">
        <v>1445</v>
      </c>
      <c r="C240" s="147" t="s">
        <v>2091</v>
      </c>
      <c r="D240" s="148" t="s">
        <v>18</v>
      </c>
      <c r="E240" s="148" t="s">
        <v>226</v>
      </c>
      <c r="F240" s="149">
        <v>864214000106</v>
      </c>
      <c r="G240" s="149" t="s">
        <v>1804</v>
      </c>
      <c r="H240" s="149" t="s">
        <v>388</v>
      </c>
      <c r="I240" s="150">
        <v>16</v>
      </c>
      <c r="J240" s="151">
        <v>2</v>
      </c>
      <c r="K240" s="151" t="s">
        <v>126</v>
      </c>
      <c r="L240" s="151" t="s">
        <v>118</v>
      </c>
      <c r="M240" s="151" t="s">
        <v>106</v>
      </c>
      <c r="N240" s="151" t="s">
        <v>109</v>
      </c>
      <c r="O240" s="152">
        <v>190617</v>
      </c>
      <c r="P240" s="153">
        <v>190617000</v>
      </c>
      <c r="Q240" s="153">
        <v>1000</v>
      </c>
      <c r="R240" s="154">
        <v>44666</v>
      </c>
      <c r="S240" s="154">
        <v>48319</v>
      </c>
      <c r="T240" s="155" t="s">
        <v>1974</v>
      </c>
      <c r="U240" s="155" t="s">
        <v>1670</v>
      </c>
      <c r="V240" s="154" t="s">
        <v>105</v>
      </c>
      <c r="W240" s="154" t="s">
        <v>102</v>
      </c>
      <c r="X240" s="154" t="s">
        <v>1579</v>
      </c>
      <c r="Y240" s="154">
        <v>47710</v>
      </c>
      <c r="Z240" s="156">
        <f>IFERROR(INDEX(Base!G:G,MATCH('Debêntures IPCA-Spread'!Y240,Base!F:F,0)),"")</f>
        <v>6.3273999999999999</v>
      </c>
      <c r="AA240" s="115"/>
      <c r="AB240" s="157">
        <v>45552</v>
      </c>
      <c r="AC240" s="158">
        <v>6.4720000000000004</v>
      </c>
      <c r="AD240" s="159">
        <f t="shared" si="13"/>
        <v>0.14460000000000051</v>
      </c>
      <c r="AE240" s="160">
        <v>7.0000000000000007E-2</v>
      </c>
      <c r="AF240" s="161">
        <v>6.6970000000000001</v>
      </c>
      <c r="AG240" s="161">
        <v>6.3718000000000004</v>
      </c>
      <c r="AH240" s="162">
        <v>1112.4664749999999</v>
      </c>
      <c r="AI240" s="162">
        <v>1126.010358</v>
      </c>
      <c r="AJ240" s="163">
        <f t="shared" si="12"/>
        <v>0.98797179537135305</v>
      </c>
      <c r="AK240" s="164">
        <v>45518</v>
      </c>
      <c r="AL240" s="165">
        <v>99.03</v>
      </c>
      <c r="AM240" s="166">
        <v>1337</v>
      </c>
      <c r="AN240" s="115"/>
      <c r="AO240" s="167">
        <v>5.5979972420999995E-4</v>
      </c>
      <c r="AP240" s="168">
        <f>IF(AO240="","",AO240-AO$6)</f>
        <v>7.9654839279999956E-5</v>
      </c>
      <c r="AQ240" s="168">
        <v>2.6391709306999999E-3</v>
      </c>
      <c r="AR240" s="168">
        <f>IF(AQ240="","",AQ240-AQ$6)</f>
        <v>2.8566776836599999E-3</v>
      </c>
      <c r="AS240" s="168">
        <v>5.6251756771E-2</v>
      </c>
      <c r="AT240" s="168">
        <f>IF(AS240="","",AS240-AS$6)</f>
        <v>4.1525921716000003E-2</v>
      </c>
      <c r="AU240" s="168">
        <v>-1.1396660596999999E-2</v>
      </c>
      <c r="AV240" s="168">
        <f>IF(AU240="","",AU240-AU$6)</f>
        <v>1.6719219990000006E-3</v>
      </c>
      <c r="AW240" s="168">
        <v>3.6761578469000002E-2</v>
      </c>
      <c r="AX240" s="168">
        <f>IF(AW240="","",AW240-AW$6)</f>
        <v>1.2766510681000001E-2</v>
      </c>
      <c r="AY240" s="168">
        <v>1.6807840364000001E-2</v>
      </c>
      <c r="AZ240" s="168">
        <f>IF(AY240="","",AY240-AY$6)</f>
        <v>2.5655855740000007E-3</v>
      </c>
      <c r="BA240" s="168">
        <v>8.4298018268E-2</v>
      </c>
      <c r="BB240" s="168">
        <f>IF(BA240="","",BA240-BA$6)</f>
        <v>3.0811053710000001E-2</v>
      </c>
      <c r="BC240" s="168">
        <v>0.246249792</v>
      </c>
      <c r="BD240" s="168">
        <f>IF(BC240="","",BC240-BC$6)</f>
        <v>5.1941225509999994E-2</v>
      </c>
      <c r="BE240" s="168"/>
      <c r="BF240" s="168" t="str">
        <f>IF(BE240="","",BE240-BE$6)</f>
        <v/>
      </c>
      <c r="BG240" s="168"/>
      <c r="BH240" s="168" t="str">
        <f>IF(BG240="","",BG240-BG$6)</f>
        <v/>
      </c>
      <c r="BI240" s="168"/>
      <c r="BJ240" s="168" t="str">
        <f>IF(BI240="","",BI240-BI$6)</f>
        <v/>
      </c>
      <c r="BK240" s="169">
        <v>5.0707876546000001</v>
      </c>
      <c r="BL240" s="115"/>
      <c r="BM240" s="170">
        <v>9.5359736569999992E-3</v>
      </c>
      <c r="BN240" s="163">
        <v>-1.1969998616E-2</v>
      </c>
      <c r="BO240" s="163">
        <v>2.7906631205000001E-2</v>
      </c>
      <c r="BP240" s="163">
        <v>-2.4600841896000002E-2</v>
      </c>
      <c r="BQ240" s="171">
        <v>9</v>
      </c>
      <c r="BR240" s="171">
        <v>3</v>
      </c>
      <c r="BS240" s="171">
        <v>6</v>
      </c>
      <c r="BT240" s="171">
        <v>6</v>
      </c>
      <c r="BU240" s="172">
        <v>-0.46288662956999999</v>
      </c>
      <c r="BV240" s="172"/>
      <c r="BW240" s="163">
        <v>5.2378329295999998E-3</v>
      </c>
      <c r="BX240" s="163">
        <v>4.2014168813000003E-3</v>
      </c>
      <c r="BY240" s="161">
        <v>-3.2867584382000001</v>
      </c>
      <c r="BZ240" s="163">
        <v>-2.7915179607000001E-2</v>
      </c>
      <c r="CA240" s="163">
        <v>-2.7915179607000001E-2</v>
      </c>
      <c r="CB240" s="154">
        <v>45371</v>
      </c>
      <c r="CC240" s="154">
        <v>45474</v>
      </c>
      <c r="CD240" s="173">
        <v>81</v>
      </c>
      <c r="CE240" s="174">
        <v>45489</v>
      </c>
      <c r="CF240" s="116"/>
    </row>
    <row r="241" spans="2:84" ht="15.6" x14ac:dyDescent="0.3">
      <c r="B241" s="98" t="s">
        <v>2272</v>
      </c>
      <c r="C241" s="175" t="s">
        <v>2657</v>
      </c>
      <c r="D241" s="176" t="s">
        <v>18</v>
      </c>
      <c r="E241" s="176" t="s">
        <v>226</v>
      </c>
      <c r="F241" s="177">
        <v>864214000106</v>
      </c>
      <c r="G241" s="177" t="s">
        <v>2407</v>
      </c>
      <c r="H241" s="177" t="s">
        <v>388</v>
      </c>
      <c r="I241" s="178">
        <v>19</v>
      </c>
      <c r="J241" s="179">
        <v>1</v>
      </c>
      <c r="K241" s="179" t="s">
        <v>126</v>
      </c>
      <c r="L241" s="179" t="s">
        <v>112</v>
      </c>
      <c r="M241" s="179" t="s">
        <v>114</v>
      </c>
      <c r="N241" s="179" t="s">
        <v>109</v>
      </c>
      <c r="O241" s="180">
        <v>184299</v>
      </c>
      <c r="P241" s="181">
        <v>184299000</v>
      </c>
      <c r="Q241" s="181">
        <v>1000</v>
      </c>
      <c r="R241" s="182">
        <v>45184</v>
      </c>
      <c r="S241" s="182">
        <v>47741</v>
      </c>
      <c r="T241" s="183" t="s">
        <v>2828</v>
      </c>
      <c r="U241" s="183" t="s">
        <v>2752</v>
      </c>
      <c r="V241" s="182" t="s">
        <v>105</v>
      </c>
      <c r="W241" s="182" t="s">
        <v>102</v>
      </c>
      <c r="X241" s="182" t="s">
        <v>2533</v>
      </c>
      <c r="Y241" s="182">
        <v>47710</v>
      </c>
      <c r="Z241" s="184">
        <f>IFERROR(INDEX(Base!G:G,MATCH('Debêntures IPCA-Spread'!Y241,Base!F:F,0)),"")</f>
        <v>6.3273999999999999</v>
      </c>
      <c r="AA241" s="115"/>
      <c r="AB241" s="185">
        <v>45552</v>
      </c>
      <c r="AC241" s="186">
        <v>6.5092999999999996</v>
      </c>
      <c r="AD241" s="187">
        <f t="shared" si="13"/>
        <v>0.18189999999999973</v>
      </c>
      <c r="AE241" s="188">
        <v>0.03</v>
      </c>
      <c r="AF241" s="189">
        <v>6.7149000000000001</v>
      </c>
      <c r="AG241" s="189">
        <v>6.3419999999999996</v>
      </c>
      <c r="AH241" s="190">
        <v>1024.1563249999999</v>
      </c>
      <c r="AI241" s="190"/>
      <c r="AJ241" s="191" t="str">
        <f t="shared" si="12"/>
        <v/>
      </c>
      <c r="AK241" s="192"/>
      <c r="AL241" s="193">
        <v>98.49</v>
      </c>
      <c r="AM241" s="194">
        <v>1188</v>
      </c>
      <c r="AN241" s="115"/>
      <c r="AO241" s="195">
        <v>-1.0600889891000001E-3</v>
      </c>
      <c r="AP241" s="196">
        <f>IF(AO241="","",AO241-AO$6)</f>
        <v>-1.5402338740300001E-3</v>
      </c>
      <c r="AQ241" s="196">
        <v>5.0277815534999996E-3</v>
      </c>
      <c r="AR241" s="196">
        <f>IF(AQ241="","",AQ241-AQ$6)</f>
        <v>5.2452883064599996E-3</v>
      </c>
      <c r="AS241" s="196">
        <v>5.9406082632E-2</v>
      </c>
      <c r="AT241" s="196">
        <f>IF(AS241="","",AS241-AS$6)</f>
        <v>4.4680247576999996E-2</v>
      </c>
      <c r="AU241" s="196">
        <v>-7.4332424537999998E-3</v>
      </c>
      <c r="AV241" s="196">
        <f>IF(AU241="","",AU241-AU$6)</f>
        <v>5.6353401422E-3</v>
      </c>
      <c r="AW241" s="196">
        <v>3.3649549818000002E-2</v>
      </c>
      <c r="AX241" s="196">
        <f>IF(AW241="","",AW241-AW$6)</f>
        <v>9.6544820300000014E-3</v>
      </c>
      <c r="AY241" s="196">
        <v>2.3219927931000001E-2</v>
      </c>
      <c r="AZ241" s="196">
        <f>IF(AY241="","",AY241-AY$6)</f>
        <v>8.9776731410000001E-3</v>
      </c>
      <c r="BA241" s="196"/>
      <c r="BB241" s="196" t="str">
        <f>IF(BA241="","",BA241-BA$6)</f>
        <v/>
      </c>
      <c r="BC241" s="196"/>
      <c r="BD241" s="196" t="str">
        <f>IF(BC241="","",BC241-BC$6)</f>
        <v/>
      </c>
      <c r="BE241" s="196"/>
      <c r="BF241" s="196" t="str">
        <f>IF(BE241="","",BE241-BE$6)</f>
        <v/>
      </c>
      <c r="BG241" s="196"/>
      <c r="BH241" s="196" t="str">
        <f>IF(BG241="","",BG241-BG$6)</f>
        <v/>
      </c>
      <c r="BI241" s="196"/>
      <c r="BJ241" s="196" t="str">
        <f>IF(BI241="","",BI241-BI$6)</f>
        <v/>
      </c>
      <c r="BK241" s="197"/>
      <c r="BL241" s="115"/>
      <c r="BM241" s="198">
        <v>9.2651230879999998E-3</v>
      </c>
      <c r="BN241" s="191">
        <v>-7.2021163405000003E-3</v>
      </c>
      <c r="BO241" s="191">
        <v>2.1001366136E-2</v>
      </c>
      <c r="BP241" s="191">
        <v>-1.9059115044E-2</v>
      </c>
      <c r="BQ241" s="199"/>
      <c r="BR241" s="199"/>
      <c r="BS241" s="199"/>
      <c r="BT241" s="199"/>
      <c r="BU241" s="200"/>
      <c r="BV241" s="200"/>
      <c r="BW241" s="191"/>
      <c r="BX241" s="191">
        <v>3.5551157309E-3</v>
      </c>
      <c r="BY241" s="189"/>
      <c r="BZ241" s="191">
        <v>-1.9894605142000001E-2</v>
      </c>
      <c r="CA241" s="191">
        <v>-1.9894605142000001E-2</v>
      </c>
      <c r="CB241" s="182">
        <v>45364</v>
      </c>
      <c r="CC241" s="182">
        <v>45412</v>
      </c>
      <c r="CD241" s="201">
        <v>82</v>
      </c>
      <c r="CE241" s="202">
        <v>45483</v>
      </c>
      <c r="CF241" s="116"/>
    </row>
    <row r="242" spans="2:84" ht="15.6" x14ac:dyDescent="0.3">
      <c r="B242" s="110" t="s">
        <v>2273</v>
      </c>
      <c r="C242" s="147" t="s">
        <v>2658</v>
      </c>
      <c r="D242" s="148" t="s">
        <v>18</v>
      </c>
      <c r="E242" s="148" t="s">
        <v>226</v>
      </c>
      <c r="F242" s="149">
        <v>864214000106</v>
      </c>
      <c r="G242" s="149" t="s">
        <v>2408</v>
      </c>
      <c r="H242" s="149" t="s">
        <v>388</v>
      </c>
      <c r="I242" s="150">
        <v>19</v>
      </c>
      <c r="J242" s="151">
        <v>2</v>
      </c>
      <c r="K242" s="151" t="s">
        <v>126</v>
      </c>
      <c r="L242" s="151" t="s">
        <v>112</v>
      </c>
      <c r="M242" s="151" t="s">
        <v>114</v>
      </c>
      <c r="N242" s="151" t="s">
        <v>109</v>
      </c>
      <c r="O242" s="152">
        <v>1152701</v>
      </c>
      <c r="P242" s="153">
        <v>1152701000</v>
      </c>
      <c r="Q242" s="153">
        <v>1000</v>
      </c>
      <c r="R242" s="154">
        <v>45184</v>
      </c>
      <c r="S242" s="154">
        <v>48837</v>
      </c>
      <c r="T242" s="155" t="s">
        <v>2828</v>
      </c>
      <c r="U242" s="155" t="s">
        <v>2753</v>
      </c>
      <c r="V242" s="154" t="s">
        <v>105</v>
      </c>
      <c r="W242" s="154" t="s">
        <v>102</v>
      </c>
      <c r="X242" s="154" t="s">
        <v>2534</v>
      </c>
      <c r="Y242" s="154">
        <v>48441</v>
      </c>
      <c r="Z242" s="156">
        <f>IFERROR(INDEX(Base!G:G,MATCH('Debêntures IPCA-Spread'!Y242,Base!F:F,0)),"")</f>
        <v>6.3467000000000002</v>
      </c>
      <c r="AA242" s="115"/>
      <c r="AB242" s="157">
        <v>45552</v>
      </c>
      <c r="AC242" s="158">
        <v>6.5263</v>
      </c>
      <c r="AD242" s="159">
        <f t="shared" si="13"/>
        <v>0.17959999999999976</v>
      </c>
      <c r="AE242" s="160">
        <v>0.08</v>
      </c>
      <c r="AF242" s="161">
        <v>6.6767000000000003</v>
      </c>
      <c r="AG242" s="161">
        <v>6.3975999999999997</v>
      </c>
      <c r="AH242" s="162">
        <v>1035.296611</v>
      </c>
      <c r="AI242" s="162"/>
      <c r="AJ242" s="163" t="str">
        <f t="shared" si="12"/>
        <v/>
      </c>
      <c r="AK242" s="164"/>
      <c r="AL242" s="165">
        <v>99.56</v>
      </c>
      <c r="AM242" s="166">
        <v>1598</v>
      </c>
      <c r="AN242" s="115"/>
      <c r="AO242" s="167">
        <v>1.2919232357999999E-3</v>
      </c>
      <c r="AP242" s="168">
        <f>IF(AO242="","",AO242-AO$6)</f>
        <v>8.1177835086999992E-4</v>
      </c>
      <c r="AQ242" s="168">
        <v>1.9649015830999999E-3</v>
      </c>
      <c r="AR242" s="168">
        <f>IF(AQ242="","",AQ242-AQ$6)</f>
        <v>2.18240833606E-3</v>
      </c>
      <c r="AS242" s="168">
        <v>5.4002771413999999E-2</v>
      </c>
      <c r="AT242" s="168">
        <f>IF(AS242="","",AS242-AS$6)</f>
        <v>3.9276936358999995E-2</v>
      </c>
      <c r="AU242" s="168">
        <v>-1.0733648243999999E-2</v>
      </c>
      <c r="AV242" s="168">
        <f>IF(AU242="","",AU242-AU$6)</f>
        <v>2.3349343520000006E-3</v>
      </c>
      <c r="AW242" s="168">
        <v>3.4636384052999999E-2</v>
      </c>
      <c r="AX242" s="168">
        <f>IF(AW242="","",AW242-AW$6)</f>
        <v>1.0641316264999999E-2</v>
      </c>
      <c r="AY242" s="168">
        <v>2.3151190990000001E-2</v>
      </c>
      <c r="AZ242" s="168">
        <f>IF(AY242="","",AY242-AY$6)</f>
        <v>8.9089362000000002E-3</v>
      </c>
      <c r="BA242" s="168"/>
      <c r="BB242" s="168" t="str">
        <f>IF(BA242="","",BA242-BA$6)</f>
        <v/>
      </c>
      <c r="BC242" s="168"/>
      <c r="BD242" s="168" t="str">
        <f>IF(BC242="","",BC242-BC$6)</f>
        <v/>
      </c>
      <c r="BE242" s="168"/>
      <c r="BF242" s="168" t="str">
        <f>IF(BE242="","",BE242-BE$6)</f>
        <v/>
      </c>
      <c r="BG242" s="168"/>
      <c r="BH242" s="168" t="str">
        <f>IF(BG242="","",BG242-BG$6)</f>
        <v/>
      </c>
      <c r="BI242" s="168"/>
      <c r="BJ242" s="168" t="str">
        <f>IF(BI242="","",BI242-BI$6)</f>
        <v/>
      </c>
      <c r="BK242" s="169"/>
      <c r="BL242" s="115"/>
      <c r="BM242" s="170">
        <v>1.8926442567999999E-2</v>
      </c>
      <c r="BN242" s="163">
        <v>-1.1909965191E-2</v>
      </c>
      <c r="BO242" s="163">
        <v>3.3289476843000002E-2</v>
      </c>
      <c r="BP242" s="163">
        <v>-2.6896202579000002E-2</v>
      </c>
      <c r="BQ242" s="171"/>
      <c r="BR242" s="171"/>
      <c r="BS242" s="171"/>
      <c r="BT242" s="171"/>
      <c r="BU242" s="172"/>
      <c r="BV242" s="172"/>
      <c r="BW242" s="163"/>
      <c r="BX242" s="163">
        <v>4.8932971172000002E-3</v>
      </c>
      <c r="BY242" s="161"/>
      <c r="BZ242" s="163">
        <v>-3.2131575007E-2</v>
      </c>
      <c r="CA242" s="163">
        <v>-3.2131575007E-2</v>
      </c>
      <c r="CB242" s="154">
        <v>45378</v>
      </c>
      <c r="CC242" s="154">
        <v>45475</v>
      </c>
      <c r="CD242" s="173">
        <v>87</v>
      </c>
      <c r="CE242" s="174">
        <v>45504</v>
      </c>
      <c r="CF242" s="116"/>
    </row>
    <row r="243" spans="2:84" ht="15.6" x14ac:dyDescent="0.3">
      <c r="B243" s="98" t="s">
        <v>2274</v>
      </c>
      <c r="C243" s="175" t="s">
        <v>2659</v>
      </c>
      <c r="D243" s="176" t="s">
        <v>18</v>
      </c>
      <c r="E243" s="176" t="s">
        <v>226</v>
      </c>
      <c r="F243" s="177">
        <v>864214000106</v>
      </c>
      <c r="G243" s="177" t="s">
        <v>2409</v>
      </c>
      <c r="H243" s="177" t="s">
        <v>388</v>
      </c>
      <c r="I243" s="178">
        <v>20</v>
      </c>
      <c r="J243" s="179">
        <v>1</v>
      </c>
      <c r="K243" s="179" t="s">
        <v>126</v>
      </c>
      <c r="L243" s="179" t="s">
        <v>125</v>
      </c>
      <c r="M243" s="179" t="s">
        <v>114</v>
      </c>
      <c r="N243" s="179" t="s">
        <v>109</v>
      </c>
      <c r="O243" s="180">
        <v>646556</v>
      </c>
      <c r="P243" s="181">
        <v>646556000</v>
      </c>
      <c r="Q243" s="181">
        <v>1000</v>
      </c>
      <c r="R243" s="182">
        <v>45397</v>
      </c>
      <c r="S243" s="182">
        <v>47953</v>
      </c>
      <c r="T243" s="183" t="s">
        <v>2816</v>
      </c>
      <c r="U243" s="183" t="s">
        <v>113</v>
      </c>
      <c r="V243" s="182" t="s">
        <v>105</v>
      </c>
      <c r="W243" s="182" t="s">
        <v>102</v>
      </c>
      <c r="X243" s="182" t="s">
        <v>2535</v>
      </c>
      <c r="Y243" s="182">
        <v>47710</v>
      </c>
      <c r="Z243" s="184">
        <f>IFERROR(INDEX(Base!G:G,MATCH('Debêntures IPCA-Spread'!Y243,Base!F:F,0)),"")</f>
        <v>6.3273999999999999</v>
      </c>
      <c r="AA243" s="115"/>
      <c r="AB243" s="185">
        <v>45552</v>
      </c>
      <c r="AC243" s="186">
        <v>6.4977</v>
      </c>
      <c r="AD243" s="187">
        <f t="shared" si="13"/>
        <v>0.17030000000000012</v>
      </c>
      <c r="AE243" s="188">
        <v>0.04</v>
      </c>
      <c r="AF243" s="189">
        <v>6.6852</v>
      </c>
      <c r="AG243" s="189">
        <v>6.3429000000000002</v>
      </c>
      <c r="AH243" s="190">
        <v>1017.3853779999999</v>
      </c>
      <c r="AI243" s="190"/>
      <c r="AJ243" s="191" t="str">
        <f t="shared" si="12"/>
        <v/>
      </c>
      <c r="AK243" s="192"/>
      <c r="AL243" s="193">
        <v>98.3</v>
      </c>
      <c r="AM243" s="194">
        <v>1348</v>
      </c>
      <c r="AN243" s="115"/>
      <c r="AO243" s="195">
        <v>8.0393001553999995E-6</v>
      </c>
      <c r="AP243" s="196">
        <f>IF(AO243="","",AO243-AO$6)</f>
        <v>-4.7210558477460001E-4</v>
      </c>
      <c r="AQ243" s="196">
        <v>3.9491213137999998E-3</v>
      </c>
      <c r="AR243" s="196">
        <f>IF(AQ243="","",AQ243-AQ$6)</f>
        <v>4.1666280667599998E-3</v>
      </c>
      <c r="AS243" s="196"/>
      <c r="AT243" s="196" t="str">
        <f>IF(AS243="","",AS243-AS$6)</f>
        <v/>
      </c>
      <c r="AU243" s="196">
        <v>-7.3197695738E-3</v>
      </c>
      <c r="AV243" s="196">
        <f>IF(AU243="","",AU243-AU$6)</f>
        <v>5.7488130221999998E-3</v>
      </c>
      <c r="AW243" s="196"/>
      <c r="AX243" s="196" t="str">
        <f>IF(AW243="","",AW243-AW$6)</f>
        <v/>
      </c>
      <c r="AY243" s="196"/>
      <c r="AZ243" s="196" t="str">
        <f>IF(AY243="","",AY243-AY$6)</f>
        <v/>
      </c>
      <c r="BA243" s="196"/>
      <c r="BB243" s="196" t="str">
        <f>IF(BA243="","",BA243-BA$6)</f>
        <v/>
      </c>
      <c r="BC243" s="196"/>
      <c r="BD243" s="196" t="str">
        <f>IF(BC243="","",BC243-BC$6)</f>
        <v/>
      </c>
      <c r="BE243" s="196"/>
      <c r="BF243" s="196" t="str">
        <f>IF(BE243="","",BE243-BE$6)</f>
        <v/>
      </c>
      <c r="BG243" s="196"/>
      <c r="BH243" s="196" t="str">
        <f>IF(BG243="","",BG243-BG$6)</f>
        <v/>
      </c>
      <c r="BI243" s="196"/>
      <c r="BJ243" s="196" t="str">
        <f>IF(BI243="","",BI243-BI$6)</f>
        <v/>
      </c>
      <c r="BK243" s="197"/>
      <c r="BL243" s="115"/>
      <c r="BM243" s="198">
        <v>8.9352756731000006E-3</v>
      </c>
      <c r="BN243" s="191">
        <v>-8.1692057456000007E-3</v>
      </c>
      <c r="BO243" s="191">
        <v>2.1439658069E-2</v>
      </c>
      <c r="BP243" s="191">
        <v>3.9491213137999998E-3</v>
      </c>
      <c r="BQ243" s="199"/>
      <c r="BR243" s="199"/>
      <c r="BS243" s="199"/>
      <c r="BT243" s="199"/>
      <c r="BU243" s="200"/>
      <c r="BV243" s="200"/>
      <c r="BW243" s="191"/>
      <c r="BX243" s="191">
        <v>5.4512194120000003E-3</v>
      </c>
      <c r="BY243" s="189"/>
      <c r="BZ243" s="191">
        <v>-1.240825232E-2</v>
      </c>
      <c r="CA243" s="191">
        <v>-1.6137266466999999E-2</v>
      </c>
      <c r="CB243" s="182">
        <v>45525</v>
      </c>
      <c r="CC243" s="182">
        <v>45534</v>
      </c>
      <c r="CD243" s="201"/>
      <c r="CE243" s="202"/>
      <c r="CF243" s="116"/>
    </row>
    <row r="244" spans="2:84" ht="15.6" x14ac:dyDescent="0.3">
      <c r="B244" s="110" t="s">
        <v>2275</v>
      </c>
      <c r="C244" s="147" t="s">
        <v>2660</v>
      </c>
      <c r="D244" s="148" t="s">
        <v>18</v>
      </c>
      <c r="E244" s="148" t="s">
        <v>226</v>
      </c>
      <c r="F244" s="149">
        <v>864214000106</v>
      </c>
      <c r="G244" s="149" t="s">
        <v>2410</v>
      </c>
      <c r="H244" s="149" t="s">
        <v>388</v>
      </c>
      <c r="I244" s="150">
        <v>20</v>
      </c>
      <c r="J244" s="151">
        <v>2</v>
      </c>
      <c r="K244" s="151" t="s">
        <v>126</v>
      </c>
      <c r="L244" s="151" t="s">
        <v>125</v>
      </c>
      <c r="M244" s="151" t="s">
        <v>114</v>
      </c>
      <c r="N244" s="151" t="s">
        <v>109</v>
      </c>
      <c r="O244" s="152">
        <v>793444</v>
      </c>
      <c r="P244" s="153">
        <v>793444000</v>
      </c>
      <c r="Q244" s="153">
        <v>1000</v>
      </c>
      <c r="R244" s="154">
        <v>45397</v>
      </c>
      <c r="S244" s="154">
        <v>50875</v>
      </c>
      <c r="T244" s="155" t="s">
        <v>2816</v>
      </c>
      <c r="U244" s="155" t="s">
        <v>2713</v>
      </c>
      <c r="V244" s="154" t="s">
        <v>105</v>
      </c>
      <c r="W244" s="154" t="s">
        <v>102</v>
      </c>
      <c r="X244" s="154" t="s">
        <v>2536</v>
      </c>
      <c r="Y244" s="154">
        <v>49444</v>
      </c>
      <c r="Z244" s="156">
        <f>IFERROR(INDEX(Base!G:G,MATCH('Debêntures IPCA-Spread'!Y244,Base!F:F,0)),"")</f>
        <v>6.3137999999999996</v>
      </c>
      <c r="AA244" s="115"/>
      <c r="AB244" s="157">
        <v>45552</v>
      </c>
      <c r="AC244" s="158">
        <v>6.6508000000000003</v>
      </c>
      <c r="AD244" s="159">
        <f t="shared" si="13"/>
        <v>0.33700000000000063</v>
      </c>
      <c r="AE244" s="160">
        <v>0.04</v>
      </c>
      <c r="AF244" s="161">
        <v>6.8156999999999996</v>
      </c>
      <c r="AG244" s="161">
        <v>6.4851999999999999</v>
      </c>
      <c r="AH244" s="162">
        <v>1014.443358</v>
      </c>
      <c r="AI244" s="162"/>
      <c r="AJ244" s="163" t="str">
        <f t="shared" si="12"/>
        <v/>
      </c>
      <c r="AK244" s="164"/>
      <c r="AL244" s="165">
        <v>97.93</v>
      </c>
      <c r="AM244" s="166">
        <v>2268</v>
      </c>
      <c r="AN244" s="115"/>
      <c r="AO244" s="167">
        <v>1.3412018997E-3</v>
      </c>
      <c r="AP244" s="168">
        <f>IF(AO244="","",AO244-AO$6)</f>
        <v>8.6105701477000003E-4</v>
      </c>
      <c r="AQ244" s="168">
        <v>-2.3504823729999999E-3</v>
      </c>
      <c r="AR244" s="168">
        <f>IF(AQ244="","",AQ244-AQ$6)</f>
        <v>-2.1329756200399999E-3</v>
      </c>
      <c r="AS244" s="168"/>
      <c r="AT244" s="168" t="str">
        <f>IF(AS244="","",AS244-AS$6)</f>
        <v/>
      </c>
      <c r="AU244" s="168">
        <v>-1.3560631740000001E-2</v>
      </c>
      <c r="AV244" s="168">
        <f>IF(AU244="","",AU244-AU$6)</f>
        <v>-4.9204914400000077E-4</v>
      </c>
      <c r="AW244" s="168"/>
      <c r="AX244" s="168" t="str">
        <f>IF(AW244="","",AW244-AW$6)</f>
        <v/>
      </c>
      <c r="AY244" s="168"/>
      <c r="AZ244" s="168" t="str">
        <f>IF(AY244="","",AY244-AY$6)</f>
        <v/>
      </c>
      <c r="BA244" s="168"/>
      <c r="BB244" s="168" t="str">
        <f>IF(BA244="","",BA244-BA$6)</f>
        <v/>
      </c>
      <c r="BC244" s="168"/>
      <c r="BD244" s="168" t="str">
        <f>IF(BC244="","",BC244-BC$6)</f>
        <v/>
      </c>
      <c r="BE244" s="168"/>
      <c r="BF244" s="168" t="str">
        <f>IF(BE244="","",BE244-BE$6)</f>
        <v/>
      </c>
      <c r="BG244" s="168"/>
      <c r="BH244" s="168" t="str">
        <f>IF(BG244="","",BG244-BG$6)</f>
        <v/>
      </c>
      <c r="BI244" s="168"/>
      <c r="BJ244" s="168" t="str">
        <f>IF(BI244="","",BI244-BI$6)</f>
        <v/>
      </c>
      <c r="BK244" s="169"/>
      <c r="BL244" s="115"/>
      <c r="BM244" s="170">
        <v>1.5766315954999999E-2</v>
      </c>
      <c r="BN244" s="163">
        <v>-8.5496751453000008E-3</v>
      </c>
      <c r="BO244" s="163">
        <v>3.9307321883999997E-2</v>
      </c>
      <c r="BP244" s="163">
        <v>-2.3504823729999999E-3</v>
      </c>
      <c r="BQ244" s="171"/>
      <c r="BR244" s="171"/>
      <c r="BS244" s="171"/>
      <c r="BT244" s="171"/>
      <c r="BU244" s="172"/>
      <c r="BV244" s="172"/>
      <c r="BW244" s="163"/>
      <c r="BX244" s="163">
        <v>6.4323129733000004E-3</v>
      </c>
      <c r="BY244" s="161"/>
      <c r="BZ244" s="163">
        <v>-1.7299913782999998E-2</v>
      </c>
      <c r="CA244" s="163">
        <v>-2.1702191163000002E-2</v>
      </c>
      <c r="CB244" s="154">
        <v>45518</v>
      </c>
      <c r="CC244" s="154">
        <v>45537</v>
      </c>
      <c r="CD244" s="173"/>
      <c r="CE244" s="174"/>
      <c r="CF244" s="116"/>
    </row>
    <row r="245" spans="2:84" ht="15.6" x14ac:dyDescent="0.3">
      <c r="B245" s="98" t="s">
        <v>534</v>
      </c>
      <c r="C245" s="175" t="s">
        <v>699</v>
      </c>
      <c r="D245" s="176" t="s">
        <v>631</v>
      </c>
      <c r="E245" s="176" t="s">
        <v>226</v>
      </c>
      <c r="F245" s="177">
        <v>3467321000199</v>
      </c>
      <c r="G245" s="177" t="s">
        <v>854</v>
      </c>
      <c r="H245" s="177" t="s">
        <v>388</v>
      </c>
      <c r="I245" s="178">
        <v>9</v>
      </c>
      <c r="J245" s="179" t="s">
        <v>107</v>
      </c>
      <c r="K245" s="179" t="s">
        <v>126</v>
      </c>
      <c r="L245" s="179" t="s">
        <v>112</v>
      </c>
      <c r="M245" s="179" t="s">
        <v>106</v>
      </c>
      <c r="N245" s="179" t="s">
        <v>109</v>
      </c>
      <c r="O245" s="180">
        <v>385000</v>
      </c>
      <c r="P245" s="181">
        <v>385000000</v>
      </c>
      <c r="Q245" s="181">
        <v>1000</v>
      </c>
      <c r="R245" s="182">
        <v>43358</v>
      </c>
      <c r="S245" s="182">
        <v>45915</v>
      </c>
      <c r="T245" s="183" t="s">
        <v>781</v>
      </c>
      <c r="U245" s="183" t="s">
        <v>932</v>
      </c>
      <c r="V245" s="182" t="s">
        <v>105</v>
      </c>
      <c r="W245" s="182" t="s">
        <v>102</v>
      </c>
      <c r="X245" s="182" t="s">
        <v>977</v>
      </c>
      <c r="Y245" s="182">
        <v>45792</v>
      </c>
      <c r="Z245" s="184">
        <f>IFERROR(INDEX(Base!G:G,MATCH('Debêntures IPCA-Spread'!Y245,Base!F:F,0)),"")</f>
        <v>5.73</v>
      </c>
      <c r="AA245" s="115"/>
      <c r="AB245" s="185">
        <v>45552</v>
      </c>
      <c r="AC245" s="186">
        <v>5.7685000000000004</v>
      </c>
      <c r="AD245" s="187">
        <f t="shared" si="13"/>
        <v>3.8499999999999979E-2</v>
      </c>
      <c r="AE245" s="188">
        <v>0.1</v>
      </c>
      <c r="AF245" s="189">
        <v>6.0678000000000001</v>
      </c>
      <c r="AG245" s="189">
        <v>5.6738999999999997</v>
      </c>
      <c r="AH245" s="190">
        <v>454.00137799999999</v>
      </c>
      <c r="AI245" s="190">
        <v>454.00137799999999</v>
      </c>
      <c r="AJ245" s="191">
        <f t="shared" si="12"/>
        <v>1</v>
      </c>
      <c r="AK245" s="192">
        <v>45552</v>
      </c>
      <c r="AL245" s="193">
        <v>99.36</v>
      </c>
      <c r="AM245" s="194">
        <v>246</v>
      </c>
      <c r="AN245" s="115"/>
      <c r="AO245" s="195">
        <v>4.1999002133000002E-4</v>
      </c>
      <c r="AP245" s="196">
        <f>IF(AO245="","",AO245-AO$6)</f>
        <v>-6.0154863599999977E-5</v>
      </c>
      <c r="AQ245" s="196">
        <v>4.9847175178000004E-3</v>
      </c>
      <c r="AR245" s="196">
        <f>IF(AQ245="","",AQ245-AQ$6)</f>
        <v>5.2022242707600004E-3</v>
      </c>
      <c r="AS245" s="196">
        <v>7.7378371188000006E-2</v>
      </c>
      <c r="AT245" s="196">
        <f>IF(AS245="","",AS245-AS$6)</f>
        <v>6.2652536133000009E-2</v>
      </c>
      <c r="AU245" s="196">
        <v>8.3833377248000007E-3</v>
      </c>
      <c r="AV245" s="196">
        <f>IF(AU245="","",AU245-AU$6)</f>
        <v>2.14519203208E-2</v>
      </c>
      <c r="AW245" s="196">
        <v>2.6788392612E-2</v>
      </c>
      <c r="AX245" s="196">
        <f>IF(AW245="","",AW245-AW$6)</f>
        <v>2.793324824E-3</v>
      </c>
      <c r="AY245" s="196">
        <v>4.8645040739000001E-2</v>
      </c>
      <c r="AZ245" s="196">
        <f>IF(AY245="","",AY245-AY$6)</f>
        <v>3.4402785949000002E-2</v>
      </c>
      <c r="BA245" s="196">
        <v>0.10515641666</v>
      </c>
      <c r="BB245" s="196">
        <f>IF(BA245="","",BA245-BA$6)</f>
        <v>5.1669452102000003E-2</v>
      </c>
      <c r="BC245" s="196">
        <v>0.24858614348999999</v>
      </c>
      <c r="BD245" s="196">
        <f>IF(BC245="","",BC245-BC$6)</f>
        <v>5.4277576999999994E-2</v>
      </c>
      <c r="BE245" s="196">
        <v>0.36612728592999999</v>
      </c>
      <c r="BF245" s="196">
        <f>IF(BE245="","",BE245-BE$6)</f>
        <v>0.10440794639000001</v>
      </c>
      <c r="BG245" s="196">
        <v>0.49981759902</v>
      </c>
      <c r="BH245" s="196">
        <f>IF(BG245="","",BG245-BG$6)</f>
        <v>0.19090095020999998</v>
      </c>
      <c r="BI245" s="196"/>
      <c r="BJ245" s="196" t="str">
        <f>IF(BI245="","",BI245-BI$6)</f>
        <v/>
      </c>
      <c r="BK245" s="197">
        <v>1.2824014480999999</v>
      </c>
      <c r="BL245" s="115"/>
      <c r="BM245" s="198">
        <v>2.6954589520999999E-3</v>
      </c>
      <c r="BN245" s="191">
        <v>-2.9972645179000001E-3</v>
      </c>
      <c r="BO245" s="191">
        <v>1.4109001575E-2</v>
      </c>
      <c r="BP245" s="191">
        <v>4.2813883010000002E-4</v>
      </c>
      <c r="BQ245" s="199">
        <v>12</v>
      </c>
      <c r="BR245" s="199">
        <v>0</v>
      </c>
      <c r="BS245" s="199">
        <v>8</v>
      </c>
      <c r="BT245" s="199">
        <v>4</v>
      </c>
      <c r="BU245" s="200">
        <v>-0.45682797425999999</v>
      </c>
      <c r="BV245" s="200">
        <v>-0.28172176897000001</v>
      </c>
      <c r="BW245" s="191">
        <v>1.3250250921E-3</v>
      </c>
      <c r="BX245" s="191">
        <v>5.7429434653000005E-4</v>
      </c>
      <c r="BY245" s="189">
        <v>-0.80291465755000002</v>
      </c>
      <c r="BZ245" s="191">
        <v>-3.5175916666000001E-3</v>
      </c>
      <c r="CA245" s="191">
        <v>-3.5175916666000001E-3</v>
      </c>
      <c r="CB245" s="182">
        <v>45198</v>
      </c>
      <c r="CC245" s="182">
        <v>45212</v>
      </c>
      <c r="CD245" s="201">
        <v>17</v>
      </c>
      <c r="CE245" s="202">
        <v>45224</v>
      </c>
      <c r="CF245" s="116"/>
    </row>
    <row r="246" spans="2:84" ht="15.6" x14ac:dyDescent="0.3">
      <c r="B246" s="110" t="s">
        <v>535</v>
      </c>
      <c r="C246" s="147" t="s">
        <v>700</v>
      </c>
      <c r="D246" s="148" t="s">
        <v>631</v>
      </c>
      <c r="E246" s="148" t="s">
        <v>226</v>
      </c>
      <c r="F246" s="149">
        <v>3467321000199</v>
      </c>
      <c r="G246" s="149" t="s">
        <v>855</v>
      </c>
      <c r="H246" s="149" t="s">
        <v>388</v>
      </c>
      <c r="I246" s="150">
        <v>13</v>
      </c>
      <c r="J246" s="151">
        <v>1</v>
      </c>
      <c r="K246" s="151" t="s">
        <v>126</v>
      </c>
      <c r="L246" s="151" t="s">
        <v>116</v>
      </c>
      <c r="M246" s="151" t="s">
        <v>114</v>
      </c>
      <c r="N246" s="151" t="s">
        <v>109</v>
      </c>
      <c r="O246" s="152">
        <v>60100</v>
      </c>
      <c r="P246" s="153">
        <v>60100000</v>
      </c>
      <c r="Q246" s="153">
        <v>1000</v>
      </c>
      <c r="R246" s="154">
        <v>44119</v>
      </c>
      <c r="S246" s="154">
        <v>46675</v>
      </c>
      <c r="T246" s="155" t="s">
        <v>780</v>
      </c>
      <c r="U246" s="155" t="s">
        <v>161</v>
      </c>
      <c r="V246" s="154" t="s">
        <v>105</v>
      </c>
      <c r="W246" s="154" t="s">
        <v>102</v>
      </c>
      <c r="X246" s="154" t="s">
        <v>975</v>
      </c>
      <c r="Y246" s="154">
        <v>46522</v>
      </c>
      <c r="Z246" s="156">
        <f>IFERROR(INDEX(Base!G:G,MATCH('Debêntures IPCA-Spread'!Y246,Base!F:F,0)),"")</f>
        <v>6.391</v>
      </c>
      <c r="AA246" s="115"/>
      <c r="AB246" s="157">
        <v>45552</v>
      </c>
      <c r="AC246" s="158">
        <v>6.3586</v>
      </c>
      <c r="AD246" s="159">
        <f t="shared" si="13"/>
        <v>-3.2399999999999984E-2</v>
      </c>
      <c r="AE246" s="160">
        <v>0.13</v>
      </c>
      <c r="AF246" s="161">
        <v>6.6125999999999996</v>
      </c>
      <c r="AG246" s="161">
        <v>6.2352999999999996</v>
      </c>
      <c r="AH246" s="162">
        <v>1238.097847</v>
      </c>
      <c r="AI246" s="162">
        <v>1238.097847</v>
      </c>
      <c r="AJ246" s="163">
        <f t="shared" si="12"/>
        <v>1</v>
      </c>
      <c r="AK246" s="164">
        <v>45552</v>
      </c>
      <c r="AL246" s="165">
        <v>94.4</v>
      </c>
      <c r="AM246" s="166">
        <v>717</v>
      </c>
      <c r="AN246" s="115"/>
      <c r="AO246" s="167">
        <v>1.1081998363E-3</v>
      </c>
      <c r="AP246" s="168">
        <f>IF(AO246="","",AO246-AO$6)</f>
        <v>6.2805495136999999E-4</v>
      </c>
      <c r="AQ246" s="168">
        <v>8.7908490040999997E-3</v>
      </c>
      <c r="AR246" s="168">
        <f>IF(AQ246="","",AQ246-AQ$6)</f>
        <v>9.0083557570599989E-3</v>
      </c>
      <c r="AS246" s="168">
        <v>6.3113370606999994E-2</v>
      </c>
      <c r="AT246" s="168">
        <f>IF(AS246="","",AS246-AS$6)</f>
        <v>4.8387535551999997E-2</v>
      </c>
      <c r="AU246" s="168">
        <v>6.2882436686999997E-3</v>
      </c>
      <c r="AV246" s="168">
        <f>IF(AU246="","",AU246-AU$6)</f>
        <v>1.9356826264699999E-2</v>
      </c>
      <c r="AW246" s="168">
        <v>3.6577561087999998E-2</v>
      </c>
      <c r="AX246" s="168">
        <f>IF(AW246="","",AW246-AW$6)</f>
        <v>1.2582493299999997E-2</v>
      </c>
      <c r="AY246" s="168">
        <v>2.9510733022E-2</v>
      </c>
      <c r="AZ246" s="168">
        <f>IF(AY246="","",AY246-AY$6)</f>
        <v>1.5268478231999999E-2</v>
      </c>
      <c r="BA246" s="168">
        <v>9.0261153147000006E-2</v>
      </c>
      <c r="BB246" s="168">
        <f>IF(BA246="","",BA246-BA$6)</f>
        <v>3.6774188589000008E-2</v>
      </c>
      <c r="BC246" s="168">
        <v>0.23382149468999999</v>
      </c>
      <c r="BD246" s="168">
        <f>IF(BC246="","",BC246-BC$6)</f>
        <v>3.9512928199999992E-2</v>
      </c>
      <c r="BE246" s="168">
        <v>0.34410575285</v>
      </c>
      <c r="BF246" s="168">
        <f>IF(BE246="","",BE246-BE$6)</f>
        <v>8.2386413310000017E-2</v>
      </c>
      <c r="BG246" s="168"/>
      <c r="BH246" s="168" t="str">
        <f>IF(BG246="","",BG246-BG$6)</f>
        <v/>
      </c>
      <c r="BI246" s="168"/>
      <c r="BJ246" s="168" t="str">
        <f>IF(BI246="","",BI246-BI$6)</f>
        <v/>
      </c>
      <c r="BK246" s="169">
        <v>3.6830934023999999</v>
      </c>
      <c r="BL246" s="115"/>
      <c r="BM246" s="170">
        <v>9.0574025744000006E-3</v>
      </c>
      <c r="BN246" s="163">
        <v>-6.9842603998000003E-3</v>
      </c>
      <c r="BO246" s="163">
        <v>2.8420122517000001E-2</v>
      </c>
      <c r="BP246" s="163">
        <v>-1.2328161956E-2</v>
      </c>
      <c r="BQ246" s="171">
        <v>9</v>
      </c>
      <c r="BR246" s="171">
        <v>3</v>
      </c>
      <c r="BS246" s="171">
        <v>7</v>
      </c>
      <c r="BT246" s="171">
        <v>5</v>
      </c>
      <c r="BU246" s="172">
        <v>-0.50734072950999998</v>
      </c>
      <c r="BV246" s="172">
        <v>-0.25835242697999999</v>
      </c>
      <c r="BW246" s="163">
        <v>3.8056654114000002E-3</v>
      </c>
      <c r="BX246" s="163">
        <v>3.3295708813999999E-3</v>
      </c>
      <c r="BY246" s="161">
        <v>-2.5912284616000001</v>
      </c>
      <c r="BZ246" s="163">
        <v>-2.1714239122999999E-2</v>
      </c>
      <c r="CA246" s="163">
        <v>-2.1714239122999999E-2</v>
      </c>
      <c r="CB246" s="154">
        <v>45187</v>
      </c>
      <c r="CC246" s="154">
        <v>45230</v>
      </c>
      <c r="CD246" s="173">
        <v>44</v>
      </c>
      <c r="CE246" s="174">
        <v>45252</v>
      </c>
      <c r="CF246" s="116"/>
    </row>
    <row r="247" spans="2:84" ht="15.6" x14ac:dyDescent="0.3">
      <c r="B247" s="98" t="s">
        <v>536</v>
      </c>
      <c r="C247" s="175" t="s">
        <v>701</v>
      </c>
      <c r="D247" s="176" t="s">
        <v>631</v>
      </c>
      <c r="E247" s="176" t="s">
        <v>226</v>
      </c>
      <c r="F247" s="177">
        <v>3467321000199</v>
      </c>
      <c r="G247" s="177" t="s">
        <v>856</v>
      </c>
      <c r="H247" s="177" t="s">
        <v>388</v>
      </c>
      <c r="I247" s="178">
        <v>13</v>
      </c>
      <c r="J247" s="179">
        <v>2</v>
      </c>
      <c r="K247" s="179" t="s">
        <v>126</v>
      </c>
      <c r="L247" s="179" t="s">
        <v>116</v>
      </c>
      <c r="M247" s="179" t="s">
        <v>114</v>
      </c>
      <c r="N247" s="179" t="s">
        <v>109</v>
      </c>
      <c r="O247" s="180">
        <v>69900</v>
      </c>
      <c r="P247" s="181">
        <v>69900000</v>
      </c>
      <c r="Q247" s="181">
        <v>1000</v>
      </c>
      <c r="R247" s="182">
        <v>44119</v>
      </c>
      <c r="S247" s="182">
        <v>47771</v>
      </c>
      <c r="T247" s="183" t="s">
        <v>780</v>
      </c>
      <c r="U247" s="183" t="s">
        <v>931</v>
      </c>
      <c r="V247" s="182" t="s">
        <v>105</v>
      </c>
      <c r="W247" s="182" t="s">
        <v>102</v>
      </c>
      <c r="X247" s="182" t="s">
        <v>976</v>
      </c>
      <c r="Y247" s="182">
        <v>47253</v>
      </c>
      <c r="Z247" s="184">
        <f>IFERROR(INDEX(Base!G:G,MATCH('Debêntures IPCA-Spread'!Y247,Base!F:F,0)),"")</f>
        <v>6.41</v>
      </c>
      <c r="AA247" s="115"/>
      <c r="AB247" s="185">
        <v>45552</v>
      </c>
      <c r="AC247" s="186">
        <v>6.6702000000000004</v>
      </c>
      <c r="AD247" s="187">
        <f t="shared" si="13"/>
        <v>0.26020000000000021</v>
      </c>
      <c r="AE247" s="188">
        <v>0.1</v>
      </c>
      <c r="AF247" s="189">
        <v>6.8426999999999998</v>
      </c>
      <c r="AG247" s="189">
        <v>6.5166000000000004</v>
      </c>
      <c r="AH247" s="190">
        <v>1196.6170870000001</v>
      </c>
      <c r="AI247" s="190">
        <v>1209.1200779999999</v>
      </c>
      <c r="AJ247" s="191">
        <f t="shared" si="12"/>
        <v>0.98965942983869648</v>
      </c>
      <c r="AK247" s="192">
        <v>45518</v>
      </c>
      <c r="AL247" s="193">
        <v>91.15</v>
      </c>
      <c r="AM247" s="194">
        <v>1117</v>
      </c>
      <c r="AN247" s="115"/>
      <c r="AO247" s="195">
        <v>-2.9693333953999998E-3</v>
      </c>
      <c r="AP247" s="196">
        <f>IF(AO247="","",AO247-AO$6)</f>
        <v>-3.4494782803299998E-3</v>
      </c>
      <c r="AQ247" s="196">
        <v>7.0480943032000005E-4</v>
      </c>
      <c r="AR247" s="196">
        <f>IF(AQ247="","",AQ247-AQ$6)</f>
        <v>9.2231618328000007E-4</v>
      </c>
      <c r="AS247" s="196">
        <v>5.3708019236999999E-2</v>
      </c>
      <c r="AT247" s="196">
        <f>IF(AS247="","",AS247-AS$6)</f>
        <v>3.8982184182000001E-2</v>
      </c>
      <c r="AU247" s="196">
        <v>-4.8421389729000003E-3</v>
      </c>
      <c r="AV247" s="196">
        <f>IF(AU247="","",AU247-AU$6)</f>
        <v>8.2264436230999986E-3</v>
      </c>
      <c r="AW247" s="196">
        <v>3.0762283785999999E-2</v>
      </c>
      <c r="AX247" s="196">
        <f>IF(AW247="","",AW247-AW$6)</f>
        <v>6.7672159979999987E-3</v>
      </c>
      <c r="AY247" s="196">
        <v>2.4283679294999999E-2</v>
      </c>
      <c r="AZ247" s="196">
        <f>IF(AY247="","",AY247-AY$6)</f>
        <v>1.0041424504999999E-2</v>
      </c>
      <c r="BA247" s="196">
        <v>8.4001813837000006E-2</v>
      </c>
      <c r="BB247" s="196">
        <f>IF(BA247="","",BA247-BA$6)</f>
        <v>3.0514849279000007E-2</v>
      </c>
      <c r="BC247" s="196">
        <v>0.22385771998000001</v>
      </c>
      <c r="BD247" s="196">
        <f>IF(BC247="","",BC247-BC$6)</f>
        <v>2.9549153490000007E-2</v>
      </c>
      <c r="BE247" s="196">
        <v>0.30987580003999998</v>
      </c>
      <c r="BF247" s="196">
        <f>IF(BE247="","",BE247-BE$6)</f>
        <v>4.8156460499999998E-2</v>
      </c>
      <c r="BG247" s="196"/>
      <c r="BH247" s="196" t="str">
        <f>IF(BG247="","",BG247-BG$6)</f>
        <v/>
      </c>
      <c r="BI247" s="196"/>
      <c r="BJ247" s="196" t="str">
        <f>IF(BI247="","",BI247-BI$6)</f>
        <v/>
      </c>
      <c r="BK247" s="197">
        <v>4.8906564059999997</v>
      </c>
      <c r="BL247" s="115"/>
      <c r="BM247" s="198">
        <v>1.1251279051999999E-2</v>
      </c>
      <c r="BN247" s="191">
        <v>-9.6609314087000003E-3</v>
      </c>
      <c r="BO247" s="191">
        <v>2.5407241285999999E-2</v>
      </c>
      <c r="BP247" s="191">
        <v>-1.2593010446999999E-2</v>
      </c>
      <c r="BQ247" s="199">
        <v>9</v>
      </c>
      <c r="BR247" s="199">
        <v>3</v>
      </c>
      <c r="BS247" s="199">
        <v>6</v>
      </c>
      <c r="BT247" s="199">
        <v>6</v>
      </c>
      <c r="BU247" s="200">
        <v>-0.48694498231</v>
      </c>
      <c r="BV247" s="200">
        <v>-0.34683405376999998</v>
      </c>
      <c r="BW247" s="191">
        <v>5.0545495996000001E-3</v>
      </c>
      <c r="BX247" s="191">
        <v>4.0785728790000003E-3</v>
      </c>
      <c r="BY247" s="189">
        <v>-3.2643479450999999</v>
      </c>
      <c r="BZ247" s="191">
        <v>-2.0446680171000001E-2</v>
      </c>
      <c r="CA247" s="191">
        <v>-2.0446680171000001E-2</v>
      </c>
      <c r="CB247" s="182">
        <v>45190</v>
      </c>
      <c r="CC247" s="182">
        <v>45222</v>
      </c>
      <c r="CD247" s="201">
        <v>38</v>
      </c>
      <c r="CE247" s="202">
        <v>45247</v>
      </c>
      <c r="CF247" s="116"/>
    </row>
    <row r="248" spans="2:84" ht="15.6" x14ac:dyDescent="0.3">
      <c r="B248" s="110" t="s">
        <v>1446</v>
      </c>
      <c r="C248" s="147" t="s">
        <v>2092</v>
      </c>
      <c r="D248" s="148" t="s">
        <v>631</v>
      </c>
      <c r="E248" s="148" t="s">
        <v>226</v>
      </c>
      <c r="F248" s="149">
        <v>3467321000199</v>
      </c>
      <c r="G248" s="149" t="s">
        <v>1805</v>
      </c>
      <c r="H248" s="149" t="s">
        <v>388</v>
      </c>
      <c r="I248" s="150">
        <v>14</v>
      </c>
      <c r="J248" s="151">
        <v>1</v>
      </c>
      <c r="K248" s="151" t="s">
        <v>126</v>
      </c>
      <c r="L248" s="151" t="s">
        <v>112</v>
      </c>
      <c r="M248" s="151" t="s">
        <v>106</v>
      </c>
      <c r="N248" s="151" t="s">
        <v>109</v>
      </c>
      <c r="O248" s="152">
        <v>350000</v>
      </c>
      <c r="P248" s="153">
        <v>350000000</v>
      </c>
      <c r="Q248" s="153">
        <v>1000</v>
      </c>
      <c r="R248" s="154">
        <v>44484</v>
      </c>
      <c r="S248" s="154">
        <v>48136</v>
      </c>
      <c r="T248" s="155" t="s">
        <v>1199</v>
      </c>
      <c r="U248" s="155" t="s">
        <v>1672</v>
      </c>
      <c r="V248" s="154" t="s">
        <v>105</v>
      </c>
      <c r="W248" s="154" t="s">
        <v>102</v>
      </c>
      <c r="X248" s="154" t="s">
        <v>1577</v>
      </c>
      <c r="Y248" s="154">
        <v>47710</v>
      </c>
      <c r="Z248" s="156">
        <f>IFERROR(INDEX(Base!G:G,MATCH('Debêntures IPCA-Spread'!Y248,Base!F:F,0)),"")</f>
        <v>6.3273999999999999</v>
      </c>
      <c r="AA248" s="115"/>
      <c r="AB248" s="157">
        <v>45552</v>
      </c>
      <c r="AC248" s="158">
        <v>6.4919000000000002</v>
      </c>
      <c r="AD248" s="159">
        <f t="shared" si="13"/>
        <v>0.16450000000000031</v>
      </c>
      <c r="AE248" s="160">
        <v>0.09</v>
      </c>
      <c r="AF248" s="161">
        <v>6.6615000000000002</v>
      </c>
      <c r="AG248" s="161">
        <v>6.4417999999999997</v>
      </c>
      <c r="AH248" s="162">
        <v>1172.6479400000001</v>
      </c>
      <c r="AI248" s="162">
        <v>1183.855695</v>
      </c>
      <c r="AJ248" s="163">
        <f t="shared" si="12"/>
        <v>0.9905328368589722</v>
      </c>
      <c r="AK248" s="164">
        <v>45518</v>
      </c>
      <c r="AL248" s="165">
        <v>98.11</v>
      </c>
      <c r="AM248" s="166">
        <v>1259</v>
      </c>
      <c r="AN248" s="115"/>
      <c r="AO248" s="167">
        <v>1.4599187343000001E-3</v>
      </c>
      <c r="AP248" s="168">
        <f>IF(AO248="","",AO248-AO$6)</f>
        <v>9.7977384937000009E-4</v>
      </c>
      <c r="AQ248" s="168">
        <v>2.2659318255999999E-3</v>
      </c>
      <c r="AR248" s="168">
        <f>IF(AQ248="","",AQ248-AQ$6)</f>
        <v>2.48343857856E-3</v>
      </c>
      <c r="AS248" s="168">
        <v>5.4041558439999998E-2</v>
      </c>
      <c r="AT248" s="168">
        <f>IF(AS248="","",AS248-AS$6)</f>
        <v>3.9315723385000001E-2</v>
      </c>
      <c r="AU248" s="168">
        <v>-7.7804978381999998E-3</v>
      </c>
      <c r="AV248" s="168">
        <f>IF(AU248="","",AU248-AU$6)</f>
        <v>5.2880847578E-3</v>
      </c>
      <c r="AW248" s="168">
        <v>3.4818301750000002E-2</v>
      </c>
      <c r="AX248" s="168">
        <f>IF(AW248="","",AW248-AW$6)</f>
        <v>1.0823233962000002E-2</v>
      </c>
      <c r="AY248" s="168">
        <v>2.1097033001E-2</v>
      </c>
      <c r="AZ248" s="168">
        <f>IF(AY248="","",AY248-AY$6)</f>
        <v>6.8547782109999993E-3</v>
      </c>
      <c r="BA248" s="168">
        <v>8.0507362646999994E-2</v>
      </c>
      <c r="BB248" s="168">
        <f>IF(BA248="","",BA248-BA$6)</f>
        <v>2.7020398088999996E-2</v>
      </c>
      <c r="BC248" s="168">
        <v>0.23776829352000001</v>
      </c>
      <c r="BD248" s="168">
        <f>IF(BC248="","",BC248-BC$6)</f>
        <v>4.3459727030000006E-2</v>
      </c>
      <c r="BE248" s="168"/>
      <c r="BF248" s="168" t="str">
        <f>IF(BE248="","",BE248-BE$6)</f>
        <v/>
      </c>
      <c r="BG248" s="168"/>
      <c r="BH248" s="168" t="str">
        <f>IF(BG248="","",BG248-BG$6)</f>
        <v/>
      </c>
      <c r="BI248" s="168"/>
      <c r="BJ248" s="168" t="str">
        <f>IF(BI248="","",BI248-BI$6)</f>
        <v/>
      </c>
      <c r="BK248" s="169">
        <v>4.9100889652999999</v>
      </c>
      <c r="BL248" s="115"/>
      <c r="BM248" s="170">
        <v>9.3378519449999996E-3</v>
      </c>
      <c r="BN248" s="163">
        <v>-1.2247707371E-2</v>
      </c>
      <c r="BO248" s="163">
        <v>2.4836479181000001E-2</v>
      </c>
      <c r="BP248" s="163">
        <v>-1.9527570914000002E-2</v>
      </c>
      <c r="BQ248" s="171">
        <v>9</v>
      </c>
      <c r="BR248" s="171">
        <v>3</v>
      </c>
      <c r="BS248" s="171">
        <v>6</v>
      </c>
      <c r="BT248" s="171">
        <v>6</v>
      </c>
      <c r="BU248" s="172">
        <v>-0.54916208800999999</v>
      </c>
      <c r="BV248" s="172"/>
      <c r="BW248" s="163">
        <v>5.0716518033000002E-3</v>
      </c>
      <c r="BX248" s="163">
        <v>4.4019939782999999E-3</v>
      </c>
      <c r="BY248" s="161">
        <v>-3.6397461252999999</v>
      </c>
      <c r="BZ248" s="163">
        <v>-2.5724483715E-2</v>
      </c>
      <c r="CA248" s="163">
        <v>-2.5724483715E-2</v>
      </c>
      <c r="CB248" s="154">
        <v>45187</v>
      </c>
      <c r="CC248" s="154">
        <v>45202</v>
      </c>
      <c r="CD248" s="173">
        <v>58</v>
      </c>
      <c r="CE248" s="174">
        <v>45272</v>
      </c>
      <c r="CF248" s="116"/>
    </row>
    <row r="249" spans="2:84" ht="15.6" x14ac:dyDescent="0.3">
      <c r="B249" s="98" t="s">
        <v>1447</v>
      </c>
      <c r="C249" s="175" t="s">
        <v>2093</v>
      </c>
      <c r="D249" s="176" t="s">
        <v>631</v>
      </c>
      <c r="E249" s="176" t="s">
        <v>226</v>
      </c>
      <c r="F249" s="177">
        <v>3467321000199</v>
      </c>
      <c r="G249" s="177" t="s">
        <v>1806</v>
      </c>
      <c r="H249" s="177" t="s">
        <v>388</v>
      </c>
      <c r="I249" s="178">
        <v>15</v>
      </c>
      <c r="J249" s="179">
        <v>1</v>
      </c>
      <c r="K249" s="179" t="s">
        <v>126</v>
      </c>
      <c r="L249" s="179" t="s">
        <v>118</v>
      </c>
      <c r="M249" s="179" t="s">
        <v>106</v>
      </c>
      <c r="N249" s="179" t="s">
        <v>109</v>
      </c>
      <c r="O249" s="180">
        <v>164437</v>
      </c>
      <c r="P249" s="181">
        <v>164437000</v>
      </c>
      <c r="Q249" s="181">
        <v>1000</v>
      </c>
      <c r="R249" s="182">
        <v>44666</v>
      </c>
      <c r="S249" s="182">
        <v>47223</v>
      </c>
      <c r="T249" s="183" t="s">
        <v>1974</v>
      </c>
      <c r="U249" s="183" t="s">
        <v>1690</v>
      </c>
      <c r="V249" s="182" t="s">
        <v>105</v>
      </c>
      <c r="W249" s="182" t="s">
        <v>102</v>
      </c>
      <c r="X249" s="182" t="s">
        <v>1578</v>
      </c>
      <c r="Y249" s="182">
        <v>46980</v>
      </c>
      <c r="Z249" s="184">
        <f>IFERROR(INDEX(Base!G:G,MATCH('Debêntures IPCA-Spread'!Y249,Base!F:F,0)),"")</f>
        <v>6.4702000000000002</v>
      </c>
      <c r="AA249" s="115"/>
      <c r="AB249" s="185">
        <v>45552</v>
      </c>
      <c r="AC249" s="186">
        <v>6.5327000000000002</v>
      </c>
      <c r="AD249" s="187">
        <f t="shared" si="13"/>
        <v>6.25E-2</v>
      </c>
      <c r="AE249" s="188">
        <v>0.05</v>
      </c>
      <c r="AF249" s="189">
        <v>6.6692999999999998</v>
      </c>
      <c r="AG249" s="189">
        <v>6.4425999999999997</v>
      </c>
      <c r="AH249" s="190">
        <v>1110.364642</v>
      </c>
      <c r="AI249" s="190">
        <v>1112.7716840000001</v>
      </c>
      <c r="AJ249" s="191">
        <f t="shared" si="12"/>
        <v>0.9978368949941756</v>
      </c>
      <c r="AK249" s="192">
        <v>45518</v>
      </c>
      <c r="AL249" s="193">
        <v>98.89</v>
      </c>
      <c r="AM249" s="194">
        <v>793</v>
      </c>
      <c r="AN249" s="115"/>
      <c r="AO249" s="195">
        <v>9.6385954929999998E-4</v>
      </c>
      <c r="AP249" s="196">
        <f>IF(AO249="","",AO249-AO$6)</f>
        <v>4.8371466436999998E-4</v>
      </c>
      <c r="AQ249" s="196">
        <v>4.6375606234999997E-3</v>
      </c>
      <c r="AR249" s="196">
        <f>IF(AQ249="","",AQ249-AQ$6)</f>
        <v>4.8550673764599997E-3</v>
      </c>
      <c r="AS249" s="196">
        <v>5.7162570383000003E-2</v>
      </c>
      <c r="AT249" s="196">
        <f>IF(AS249="","",AS249-AS$6)</f>
        <v>4.2436735328000005E-2</v>
      </c>
      <c r="AU249" s="196">
        <v>-8.0231002448000004E-4</v>
      </c>
      <c r="AV249" s="196">
        <f>IF(AU249="","",AU249-AU$6)</f>
        <v>1.226627257152E-2</v>
      </c>
      <c r="AW249" s="196">
        <v>2.9467208368999999E-2</v>
      </c>
      <c r="AX249" s="196">
        <f>IF(AW249="","",AW249-AW$6)</f>
        <v>5.4721405809999984E-3</v>
      </c>
      <c r="AY249" s="196">
        <v>2.283643103E-2</v>
      </c>
      <c r="AZ249" s="196">
        <f>IF(AY249="","",AY249-AY$6)</f>
        <v>8.5941762399999993E-3</v>
      </c>
      <c r="BA249" s="196">
        <v>8.5610031289999999E-2</v>
      </c>
      <c r="BB249" s="196">
        <f>IF(BA249="","",BA249-BA$6)</f>
        <v>3.2123066732000001E-2</v>
      </c>
      <c r="BC249" s="196">
        <v>0.23488451957000001</v>
      </c>
      <c r="BD249" s="196">
        <f>IF(BC249="","",BC249-BC$6)</f>
        <v>4.0575953080000005E-2</v>
      </c>
      <c r="BE249" s="196"/>
      <c r="BF249" s="196" t="str">
        <f>IF(BE249="","",BE249-BE$6)</f>
        <v/>
      </c>
      <c r="BG249" s="196"/>
      <c r="BH249" s="196" t="str">
        <f>IF(BG249="","",BG249-BG$6)</f>
        <v/>
      </c>
      <c r="BI249" s="196"/>
      <c r="BJ249" s="196" t="str">
        <f>IF(BI249="","",BI249-BI$6)</f>
        <v/>
      </c>
      <c r="BK249" s="197">
        <v>3.6507987307</v>
      </c>
      <c r="BL249" s="115"/>
      <c r="BM249" s="198">
        <v>7.9649609851999998E-3</v>
      </c>
      <c r="BN249" s="191">
        <v>-7.9013888617000001E-3</v>
      </c>
      <c r="BO249" s="191">
        <v>2.2346536742999999E-2</v>
      </c>
      <c r="BP249" s="191">
        <v>-1.2240854242999999E-2</v>
      </c>
      <c r="BQ249" s="199">
        <v>9</v>
      </c>
      <c r="BR249" s="199">
        <v>3</v>
      </c>
      <c r="BS249" s="199">
        <v>5</v>
      </c>
      <c r="BT249" s="199">
        <v>7</v>
      </c>
      <c r="BU249" s="200">
        <v>-0.62699853848999998</v>
      </c>
      <c r="BV249" s="200"/>
      <c r="BW249" s="191">
        <v>3.7719056668999999E-3</v>
      </c>
      <c r="BX249" s="191">
        <v>3.7032417001E-3</v>
      </c>
      <c r="BY249" s="189">
        <v>-3.0537223842999999</v>
      </c>
      <c r="BZ249" s="191">
        <v>-1.6108091884999998E-2</v>
      </c>
      <c r="CA249" s="191">
        <v>-1.6108091884999998E-2</v>
      </c>
      <c r="CB249" s="182">
        <v>45187</v>
      </c>
      <c r="CC249" s="182">
        <v>45202</v>
      </c>
      <c r="CD249" s="201">
        <v>41</v>
      </c>
      <c r="CE249" s="202">
        <v>45247</v>
      </c>
      <c r="CF249" s="116"/>
    </row>
    <row r="250" spans="2:84" ht="15.6" x14ac:dyDescent="0.3">
      <c r="B250" s="110" t="s">
        <v>1448</v>
      </c>
      <c r="C250" s="147" t="s">
        <v>2094</v>
      </c>
      <c r="D250" s="148" t="s">
        <v>631</v>
      </c>
      <c r="E250" s="148" t="s">
        <v>226</v>
      </c>
      <c r="F250" s="149">
        <v>3467321000199</v>
      </c>
      <c r="G250" s="149" t="s">
        <v>1807</v>
      </c>
      <c r="H250" s="149" t="s">
        <v>388</v>
      </c>
      <c r="I250" s="150">
        <v>15</v>
      </c>
      <c r="J250" s="151">
        <v>2</v>
      </c>
      <c r="K250" s="151" t="s">
        <v>126</v>
      </c>
      <c r="L250" s="151" t="s">
        <v>118</v>
      </c>
      <c r="M250" s="151" t="s">
        <v>106</v>
      </c>
      <c r="N250" s="151" t="s">
        <v>109</v>
      </c>
      <c r="O250" s="152">
        <v>95563</v>
      </c>
      <c r="P250" s="153">
        <v>95563000</v>
      </c>
      <c r="Q250" s="153">
        <v>1000</v>
      </c>
      <c r="R250" s="154">
        <v>44666</v>
      </c>
      <c r="S250" s="154">
        <v>48319</v>
      </c>
      <c r="T250" s="155" t="s">
        <v>1974</v>
      </c>
      <c r="U250" s="155" t="s">
        <v>1670</v>
      </c>
      <c r="V250" s="154" t="s">
        <v>105</v>
      </c>
      <c r="W250" s="154" t="s">
        <v>102</v>
      </c>
      <c r="X250" s="154" t="s">
        <v>1579</v>
      </c>
      <c r="Y250" s="154">
        <v>47710</v>
      </c>
      <c r="Z250" s="156">
        <f>IFERROR(INDEX(Base!G:G,MATCH('Debêntures IPCA-Spread'!Y250,Base!F:F,0)),"")</f>
        <v>6.3273999999999999</v>
      </c>
      <c r="AA250" s="115"/>
      <c r="AB250" s="157">
        <v>45552</v>
      </c>
      <c r="AC250" s="158">
        <v>6.5338000000000003</v>
      </c>
      <c r="AD250" s="159">
        <f t="shared" si="13"/>
        <v>0.20640000000000036</v>
      </c>
      <c r="AE250" s="160">
        <v>0.06</v>
      </c>
      <c r="AF250" s="161">
        <v>6.6619000000000002</v>
      </c>
      <c r="AG250" s="161">
        <v>6.4025999999999996</v>
      </c>
      <c r="AH250" s="162">
        <v>1109.048217</v>
      </c>
      <c r="AI250" s="162">
        <v>1124.029078</v>
      </c>
      <c r="AJ250" s="163">
        <f t="shared" si="12"/>
        <v>0.98667217664274698</v>
      </c>
      <c r="AK250" s="164">
        <v>45519</v>
      </c>
      <c r="AL250" s="165">
        <v>98.73</v>
      </c>
      <c r="AM250" s="166">
        <v>1336</v>
      </c>
      <c r="AN250" s="115"/>
      <c r="AO250" s="167">
        <v>-1.055757848E-4</v>
      </c>
      <c r="AP250" s="168">
        <f>IF(AO250="","",AO250-AO$6)</f>
        <v>-5.8572066973000005E-4</v>
      </c>
      <c r="AQ250" s="168">
        <v>7.4987557127000005E-4</v>
      </c>
      <c r="AR250" s="168">
        <f>IF(AQ250="","",AQ250-AQ$6)</f>
        <v>9.6738232423000008E-4</v>
      </c>
      <c r="AS250" s="168">
        <v>5.0035131332999999E-2</v>
      </c>
      <c r="AT250" s="168">
        <f>IF(AS250="","",AS250-AS$6)</f>
        <v>3.5309296278000002E-2</v>
      </c>
      <c r="AU250" s="168">
        <v>-1.1866826255000001E-2</v>
      </c>
      <c r="AV250" s="168">
        <f>IF(AU250="","",AU250-AU$6)</f>
        <v>1.2017563409999991E-3</v>
      </c>
      <c r="AW250" s="168">
        <v>3.5637734230000002E-2</v>
      </c>
      <c r="AX250" s="168">
        <f>IF(AW250="","",AW250-AW$6)</f>
        <v>1.1642666442000002E-2</v>
      </c>
      <c r="AY250" s="168">
        <v>1.6282897418999999E-2</v>
      </c>
      <c r="AZ250" s="168">
        <f>IF(AY250="","",AY250-AY$6)</f>
        <v>2.0406426289999984E-3</v>
      </c>
      <c r="BA250" s="168">
        <v>7.6647392457999994E-2</v>
      </c>
      <c r="BB250" s="168">
        <f>IF(BA250="","",BA250-BA$6)</f>
        <v>2.3160427899999995E-2</v>
      </c>
      <c r="BC250" s="168">
        <v>0.23994265673000001</v>
      </c>
      <c r="BD250" s="168">
        <f>IF(BC250="","",BC250-BC$6)</f>
        <v>4.5634090240000008E-2</v>
      </c>
      <c r="BE250" s="168"/>
      <c r="BF250" s="168" t="str">
        <f>IF(BE250="","",BE250-BE$6)</f>
        <v/>
      </c>
      <c r="BG250" s="168"/>
      <c r="BH250" s="168" t="str">
        <f>IF(BG250="","",BG250-BG$6)</f>
        <v/>
      </c>
      <c r="BI250" s="168"/>
      <c r="BJ250" s="168" t="str">
        <f>IF(BI250="","",BI250-BI$6)</f>
        <v/>
      </c>
      <c r="BK250" s="169">
        <v>5.4034919813000002</v>
      </c>
      <c r="BL250" s="115"/>
      <c r="BM250" s="170">
        <v>9.9073133441999993E-3</v>
      </c>
      <c r="BN250" s="163">
        <v>-1.2904885667E-2</v>
      </c>
      <c r="BO250" s="163">
        <v>2.6856054192E-2</v>
      </c>
      <c r="BP250" s="163">
        <v>-2.5962458585999999E-2</v>
      </c>
      <c r="BQ250" s="171">
        <v>9</v>
      </c>
      <c r="BR250" s="171">
        <v>3</v>
      </c>
      <c r="BS250" s="171">
        <v>6</v>
      </c>
      <c r="BT250" s="171">
        <v>6</v>
      </c>
      <c r="BU250" s="172">
        <v>-0.55902274521999995</v>
      </c>
      <c r="BV250" s="172"/>
      <c r="BW250" s="163">
        <v>5.5798537027999997E-3</v>
      </c>
      <c r="BX250" s="163">
        <v>4.4831203018000001E-3</v>
      </c>
      <c r="BY250" s="161">
        <v>-4.1216321817999999</v>
      </c>
      <c r="BZ250" s="163">
        <v>-3.0416677093E-2</v>
      </c>
      <c r="CA250" s="163">
        <v>-3.0416677093E-2</v>
      </c>
      <c r="CB250" s="154">
        <v>45371</v>
      </c>
      <c r="CC250" s="154">
        <v>45474</v>
      </c>
      <c r="CD250" s="173">
        <v>93</v>
      </c>
      <c r="CE250" s="174">
        <v>45505</v>
      </c>
      <c r="CF250" s="116"/>
    </row>
    <row r="251" spans="2:84" ht="15.6" x14ac:dyDescent="0.3">
      <c r="B251" s="98" t="s">
        <v>2276</v>
      </c>
      <c r="C251" s="175" t="s">
        <v>2661</v>
      </c>
      <c r="D251" s="176" t="s">
        <v>631</v>
      </c>
      <c r="E251" s="176" t="s">
        <v>226</v>
      </c>
      <c r="F251" s="177">
        <v>3467321000199</v>
      </c>
      <c r="G251" s="177" t="s">
        <v>2411</v>
      </c>
      <c r="H251" s="177" t="s">
        <v>388</v>
      </c>
      <c r="I251" s="178">
        <v>17</v>
      </c>
      <c r="J251" s="179" t="s">
        <v>107</v>
      </c>
      <c r="K251" s="179" t="s">
        <v>126</v>
      </c>
      <c r="L251" s="179" t="s">
        <v>112</v>
      </c>
      <c r="M251" s="179" t="s">
        <v>114</v>
      </c>
      <c r="N251" s="179" t="s">
        <v>109</v>
      </c>
      <c r="O251" s="180">
        <v>400000</v>
      </c>
      <c r="P251" s="181">
        <v>400000000</v>
      </c>
      <c r="Q251" s="181">
        <v>1000</v>
      </c>
      <c r="R251" s="182">
        <v>45329</v>
      </c>
      <c r="S251" s="182">
        <v>47894</v>
      </c>
      <c r="T251" s="183" t="s">
        <v>2829</v>
      </c>
      <c r="U251" s="183" t="s">
        <v>2754</v>
      </c>
      <c r="V251" s="182" t="s">
        <v>105</v>
      </c>
      <c r="W251" s="182" t="s">
        <v>102</v>
      </c>
      <c r="X251" s="182" t="s">
        <v>1622</v>
      </c>
      <c r="Y251" s="182">
        <v>47710</v>
      </c>
      <c r="Z251" s="184">
        <f>IFERROR(INDEX(Base!G:G,MATCH('Debêntures IPCA-Spread'!Y251,Base!F:F,0)),"")</f>
        <v>6.3273999999999999</v>
      </c>
      <c r="AA251" s="115"/>
      <c r="AB251" s="185">
        <v>45552</v>
      </c>
      <c r="AC251" s="186">
        <v>6.5517000000000003</v>
      </c>
      <c r="AD251" s="187">
        <f t="shared" si="13"/>
        <v>0.22430000000000039</v>
      </c>
      <c r="AE251" s="188">
        <v>0.05</v>
      </c>
      <c r="AF251" s="189">
        <v>6.6711999999999998</v>
      </c>
      <c r="AG251" s="189">
        <v>6.41</v>
      </c>
      <c r="AH251" s="190">
        <v>1009.59231</v>
      </c>
      <c r="AI251" s="190"/>
      <c r="AJ251" s="191" t="str">
        <f t="shared" si="12"/>
        <v/>
      </c>
      <c r="AK251" s="192"/>
      <c r="AL251" s="193">
        <v>97.94</v>
      </c>
      <c r="AM251" s="194">
        <v>1257</v>
      </c>
      <c r="AN251" s="115"/>
      <c r="AO251" s="195">
        <v>-7.2853804340000002E-5</v>
      </c>
      <c r="AP251" s="196">
        <f>IF(AO251="","",AO251-AO$6)</f>
        <v>-5.5299868926999998E-4</v>
      </c>
      <c r="AQ251" s="196">
        <v>1.8104965166E-3</v>
      </c>
      <c r="AR251" s="196">
        <f>IF(AQ251="","",AQ251-AQ$6)</f>
        <v>2.0280032695599998E-3</v>
      </c>
      <c r="AS251" s="196"/>
      <c r="AT251" s="196" t="str">
        <f>IF(AS251="","",AS251-AS$6)</f>
        <v/>
      </c>
      <c r="AU251" s="196">
        <v>-1.2604624388E-2</v>
      </c>
      <c r="AV251" s="196">
        <f>IF(AU251="","",AU251-AU$6)</f>
        <v>4.6395820799999959E-4</v>
      </c>
      <c r="AW251" s="196">
        <v>2.9321801429999999E-2</v>
      </c>
      <c r="AX251" s="196">
        <f>IF(AW251="","",AW251-AW$6)</f>
        <v>5.3267336419999985E-3</v>
      </c>
      <c r="AY251" s="196"/>
      <c r="AZ251" s="196" t="str">
        <f>IF(AY251="","",AY251-AY$6)</f>
        <v/>
      </c>
      <c r="BA251" s="196"/>
      <c r="BB251" s="196" t="str">
        <f>IF(BA251="","",BA251-BA$6)</f>
        <v/>
      </c>
      <c r="BC251" s="196"/>
      <c r="BD251" s="196" t="str">
        <f>IF(BC251="","",BC251-BC$6)</f>
        <v/>
      </c>
      <c r="BE251" s="196"/>
      <c r="BF251" s="196" t="str">
        <f>IF(BE251="","",BE251-BE$6)</f>
        <v/>
      </c>
      <c r="BG251" s="196"/>
      <c r="BH251" s="196" t="str">
        <f>IF(BG251="","",BG251-BG$6)</f>
        <v/>
      </c>
      <c r="BI251" s="196"/>
      <c r="BJ251" s="196" t="str">
        <f>IF(BI251="","",BI251-BI$6)</f>
        <v/>
      </c>
      <c r="BK251" s="197"/>
      <c r="BL251" s="115"/>
      <c r="BM251" s="198">
        <v>8.0293479732000007E-3</v>
      </c>
      <c r="BN251" s="191">
        <v>-1.0420973837000001E-2</v>
      </c>
      <c r="BO251" s="191">
        <v>2.1215148403000001E-2</v>
      </c>
      <c r="BP251" s="191">
        <v>-2.1079122055E-2</v>
      </c>
      <c r="BQ251" s="199"/>
      <c r="BR251" s="199"/>
      <c r="BS251" s="199"/>
      <c r="BT251" s="199"/>
      <c r="BU251" s="200"/>
      <c r="BV251" s="200"/>
      <c r="BW251" s="191"/>
      <c r="BX251" s="191">
        <v>4.5946481029999998E-3</v>
      </c>
      <c r="BY251" s="189"/>
      <c r="BZ251" s="191">
        <v>-2.3152706233E-2</v>
      </c>
      <c r="CA251" s="191">
        <v>-2.3152706233E-2</v>
      </c>
      <c r="CB251" s="182">
        <v>45378</v>
      </c>
      <c r="CC251" s="182">
        <v>45412</v>
      </c>
      <c r="CD251" s="201">
        <v>73</v>
      </c>
      <c r="CE251" s="202">
        <v>45484</v>
      </c>
      <c r="CF251" s="116"/>
    </row>
    <row r="252" spans="2:84" ht="15.6" x14ac:dyDescent="0.3">
      <c r="B252" s="110" t="s">
        <v>2277</v>
      </c>
      <c r="C252" s="147" t="s">
        <v>2662</v>
      </c>
      <c r="D252" s="148" t="s">
        <v>2856</v>
      </c>
      <c r="E252" s="148" t="s">
        <v>226</v>
      </c>
      <c r="F252" s="149">
        <v>9095183000140</v>
      </c>
      <c r="G252" s="149" t="s">
        <v>2412</v>
      </c>
      <c r="H252" s="149" t="s">
        <v>388</v>
      </c>
      <c r="I252" s="150">
        <v>11</v>
      </c>
      <c r="J252" s="151">
        <v>1</v>
      </c>
      <c r="K252" s="151" t="s">
        <v>128</v>
      </c>
      <c r="L252" s="151" t="s">
        <v>1252</v>
      </c>
      <c r="M252" s="151" t="s">
        <v>128</v>
      </c>
      <c r="N252" s="151" t="s">
        <v>109</v>
      </c>
      <c r="O252" s="152">
        <v>63000</v>
      </c>
      <c r="P252" s="153">
        <v>63000000</v>
      </c>
      <c r="Q252" s="153">
        <v>1000</v>
      </c>
      <c r="R252" s="154">
        <v>44576</v>
      </c>
      <c r="S252" s="154">
        <v>47498</v>
      </c>
      <c r="T252" s="155" t="s">
        <v>1973</v>
      </c>
      <c r="U252" s="155" t="s">
        <v>2755</v>
      </c>
      <c r="V252" s="154" t="s">
        <v>105</v>
      </c>
      <c r="W252" s="154" t="s">
        <v>102</v>
      </c>
      <c r="X252" s="154" t="s">
        <v>2537</v>
      </c>
      <c r="Y252" s="154">
        <v>47253</v>
      </c>
      <c r="Z252" s="156">
        <f>IFERROR(INDEX(Base!G:G,MATCH('Debêntures IPCA-Spread'!Y252,Base!F:F,0)),"")</f>
        <v>6.41</v>
      </c>
      <c r="AA252" s="115"/>
      <c r="AB252" s="157">
        <v>45552</v>
      </c>
      <c r="AC252" s="158">
        <v>6.4760999999999997</v>
      </c>
      <c r="AD252" s="159">
        <f t="shared" si="13"/>
        <v>6.6099999999999604E-2</v>
      </c>
      <c r="AE252" s="160">
        <v>0.15</v>
      </c>
      <c r="AF252" s="161">
        <v>6.7352999999999996</v>
      </c>
      <c r="AG252" s="161">
        <v>6.4076000000000004</v>
      </c>
      <c r="AH252" s="162">
        <v>1124.484097</v>
      </c>
      <c r="AI252" s="162"/>
      <c r="AJ252" s="163" t="str">
        <f t="shared" si="12"/>
        <v/>
      </c>
      <c r="AK252" s="164"/>
      <c r="AL252" s="165">
        <v>98.19</v>
      </c>
      <c r="AM252" s="166">
        <v>1054</v>
      </c>
      <c r="AN252" s="115"/>
      <c r="AO252" s="167">
        <v>7.1565663893000001E-4</v>
      </c>
      <c r="AP252" s="168">
        <f>IF(AO252="","",AO252-AO$6)</f>
        <v>2.3551175400000001E-4</v>
      </c>
      <c r="AQ252" s="168">
        <v>7.5334651700999997E-3</v>
      </c>
      <c r="AR252" s="168">
        <f>IF(AQ252="","",AQ252-AQ$6)</f>
        <v>7.7509719230599997E-3</v>
      </c>
      <c r="AS252" s="168">
        <v>6.0697340900999999E-2</v>
      </c>
      <c r="AT252" s="168">
        <f>IF(AS252="","",AS252-AS$6)</f>
        <v>4.5971505846000002E-2</v>
      </c>
      <c r="AU252" s="168">
        <v>-1.8565818900000001E-3</v>
      </c>
      <c r="AV252" s="168">
        <f>IF(AU252="","",AU252-AU$6)</f>
        <v>1.1212000706E-2</v>
      </c>
      <c r="AW252" s="168">
        <v>4.0159267982999999E-2</v>
      </c>
      <c r="AX252" s="168">
        <f>IF(AW252="","",AW252-AW$6)</f>
        <v>1.6164200194999999E-2</v>
      </c>
      <c r="AY252" s="168">
        <v>2.7216877053000001E-2</v>
      </c>
      <c r="AZ252" s="168">
        <f>IF(AY252="","",AY252-AY$6)</f>
        <v>1.2974622263E-2</v>
      </c>
      <c r="BA252" s="168"/>
      <c r="BB252" s="168" t="str">
        <f>IF(BA252="","",BA252-BA$6)</f>
        <v/>
      </c>
      <c r="BC252" s="168"/>
      <c r="BD252" s="168" t="str">
        <f>IF(BC252="","",BC252-BC$6)</f>
        <v/>
      </c>
      <c r="BE252" s="168"/>
      <c r="BF252" s="168" t="str">
        <f>IF(BE252="","",BE252-BE$6)</f>
        <v/>
      </c>
      <c r="BG252" s="168"/>
      <c r="BH252" s="168" t="str">
        <f>IF(BG252="","",BG252-BG$6)</f>
        <v/>
      </c>
      <c r="BI252" s="168"/>
      <c r="BJ252" s="168" t="str">
        <f>IF(BI252="","",BI252-BI$6)</f>
        <v/>
      </c>
      <c r="BK252" s="169"/>
      <c r="BL252" s="115"/>
      <c r="BM252" s="170">
        <v>1.1150711767000001E-2</v>
      </c>
      <c r="BN252" s="163">
        <v>-8.0429197423999999E-3</v>
      </c>
      <c r="BO252" s="163">
        <v>2.4166142242000001E-2</v>
      </c>
      <c r="BP252" s="163">
        <v>-1.2495612658E-2</v>
      </c>
      <c r="BQ252" s="171"/>
      <c r="BR252" s="171"/>
      <c r="BS252" s="171"/>
      <c r="BT252" s="171"/>
      <c r="BU252" s="172"/>
      <c r="BV252" s="172"/>
      <c r="BW252" s="163"/>
      <c r="BX252" s="163">
        <v>3.9084037465000002E-3</v>
      </c>
      <c r="BY252" s="161"/>
      <c r="BZ252" s="163">
        <v>-1.9598904170999999E-2</v>
      </c>
      <c r="CA252" s="163">
        <v>-1.9598904170999999E-2</v>
      </c>
      <c r="CB252" s="154">
        <v>45364</v>
      </c>
      <c r="CC252" s="154">
        <v>45455</v>
      </c>
      <c r="CD252" s="173">
        <v>82</v>
      </c>
      <c r="CE252" s="174">
        <v>45483</v>
      </c>
      <c r="CF252" s="116"/>
    </row>
    <row r="253" spans="2:84" ht="15.6" x14ac:dyDescent="0.3">
      <c r="B253" s="98" t="s">
        <v>2278</v>
      </c>
      <c r="C253" s="175" t="s">
        <v>2663</v>
      </c>
      <c r="D253" s="176" t="s">
        <v>2856</v>
      </c>
      <c r="E253" s="176" t="s">
        <v>226</v>
      </c>
      <c r="F253" s="177">
        <v>9095183000140</v>
      </c>
      <c r="G253" s="177" t="s">
        <v>2413</v>
      </c>
      <c r="H253" s="177" t="s">
        <v>388</v>
      </c>
      <c r="I253" s="178">
        <v>13</v>
      </c>
      <c r="J253" s="179">
        <v>1</v>
      </c>
      <c r="K253" s="179" t="s">
        <v>126</v>
      </c>
      <c r="L253" s="179" t="s">
        <v>125</v>
      </c>
      <c r="M253" s="179" t="s">
        <v>114</v>
      </c>
      <c r="N253" s="179" t="s">
        <v>109</v>
      </c>
      <c r="O253" s="180">
        <v>125747</v>
      </c>
      <c r="P253" s="181">
        <v>125747000</v>
      </c>
      <c r="Q253" s="181">
        <v>1000</v>
      </c>
      <c r="R253" s="182">
        <v>45397</v>
      </c>
      <c r="S253" s="182">
        <v>47953</v>
      </c>
      <c r="T253" s="183" t="s">
        <v>2816</v>
      </c>
      <c r="U253" s="183" t="s">
        <v>113</v>
      </c>
      <c r="V253" s="182" t="s">
        <v>105</v>
      </c>
      <c r="W253" s="182" t="s">
        <v>102</v>
      </c>
      <c r="X253" s="182" t="s">
        <v>2535</v>
      </c>
      <c r="Y253" s="182">
        <v>47710</v>
      </c>
      <c r="Z253" s="184">
        <f>IFERROR(INDEX(Base!G:G,MATCH('Debêntures IPCA-Spread'!Y253,Base!F:F,0)),"")</f>
        <v>6.3273999999999999</v>
      </c>
      <c r="AA253" s="115"/>
      <c r="AB253" s="185">
        <v>45552</v>
      </c>
      <c r="AC253" s="186">
        <v>6.5982000000000003</v>
      </c>
      <c r="AD253" s="187">
        <f t="shared" si="13"/>
        <v>0.27080000000000037</v>
      </c>
      <c r="AE253" s="188">
        <v>0.04</v>
      </c>
      <c r="AF253" s="189">
        <v>6.7531999999999996</v>
      </c>
      <c r="AG253" s="189">
        <v>6.4297000000000004</v>
      </c>
      <c r="AH253" s="190">
        <v>1012.267194</v>
      </c>
      <c r="AI253" s="190"/>
      <c r="AJ253" s="191" t="str">
        <f t="shared" si="12"/>
        <v/>
      </c>
      <c r="AK253" s="192"/>
      <c r="AL253" s="193">
        <v>97.81</v>
      </c>
      <c r="AM253" s="194">
        <v>1347</v>
      </c>
      <c r="AN253" s="115"/>
      <c r="AO253" s="195">
        <v>-3.9384652791E-4</v>
      </c>
      <c r="AP253" s="196">
        <f>IF(AO253="","",AO253-AO$6)</f>
        <v>-8.7399141283999999E-4</v>
      </c>
      <c r="AQ253" s="196">
        <v>1.6081620706E-3</v>
      </c>
      <c r="AR253" s="196">
        <f>IF(AQ253="","",AQ253-AQ$6)</f>
        <v>1.8256688235600001E-3</v>
      </c>
      <c r="AS253" s="196"/>
      <c r="AT253" s="196" t="str">
        <f>IF(AS253="","",AS253-AS$6)</f>
        <v/>
      </c>
      <c r="AU253" s="196">
        <v>-1.1599700132999999E-2</v>
      </c>
      <c r="AV253" s="196">
        <f>IF(AU253="","",AU253-AU$6)</f>
        <v>1.4688824630000007E-3</v>
      </c>
      <c r="AW253" s="196"/>
      <c r="AX253" s="196" t="str">
        <f>IF(AW253="","",AW253-AW$6)</f>
        <v/>
      </c>
      <c r="AY253" s="196"/>
      <c r="AZ253" s="196" t="str">
        <f>IF(AY253="","",AY253-AY$6)</f>
        <v/>
      </c>
      <c r="BA253" s="196"/>
      <c r="BB253" s="196" t="str">
        <f>IF(BA253="","",BA253-BA$6)</f>
        <v/>
      </c>
      <c r="BC253" s="196"/>
      <c r="BD253" s="196" t="str">
        <f>IF(BC253="","",BC253-BC$6)</f>
        <v/>
      </c>
      <c r="BE253" s="196"/>
      <c r="BF253" s="196" t="str">
        <f>IF(BE253="","",BE253-BE$6)</f>
        <v/>
      </c>
      <c r="BG253" s="196"/>
      <c r="BH253" s="196" t="str">
        <f>IF(BG253="","",BG253-BG$6)</f>
        <v/>
      </c>
      <c r="BI253" s="196"/>
      <c r="BJ253" s="196" t="str">
        <f>IF(BI253="","",BI253-BI$6)</f>
        <v/>
      </c>
      <c r="BK253" s="197"/>
      <c r="BL253" s="115"/>
      <c r="BM253" s="198">
        <v>1.153877692E-2</v>
      </c>
      <c r="BN253" s="191">
        <v>-4.4860630695999996E-3</v>
      </c>
      <c r="BO253" s="191">
        <v>8.0396766788999995E-3</v>
      </c>
      <c r="BP253" s="191">
        <v>1.6081620706E-3</v>
      </c>
      <c r="BQ253" s="199"/>
      <c r="BR253" s="199"/>
      <c r="BS253" s="199"/>
      <c r="BT253" s="199"/>
      <c r="BU253" s="200"/>
      <c r="BV253" s="200"/>
      <c r="BW253" s="191"/>
      <c r="BX253" s="191">
        <v>3.8923944353999999E-3</v>
      </c>
      <c r="BY253" s="189"/>
      <c r="BZ253" s="191">
        <v>-4.4860630700999998E-3</v>
      </c>
      <c r="CA253" s="191">
        <v>-1.6779500970999998E-2</v>
      </c>
      <c r="CB253" s="182">
        <v>45518</v>
      </c>
      <c r="CC253" s="182">
        <v>45534</v>
      </c>
      <c r="CD253" s="201"/>
      <c r="CE253" s="202"/>
      <c r="CF253" s="116"/>
    </row>
    <row r="254" spans="2:84" ht="15.6" x14ac:dyDescent="0.3">
      <c r="B254" s="110" t="s">
        <v>2279</v>
      </c>
      <c r="C254" s="147" t="s">
        <v>2664</v>
      </c>
      <c r="D254" s="148" t="s">
        <v>2856</v>
      </c>
      <c r="E254" s="148" t="s">
        <v>226</v>
      </c>
      <c r="F254" s="149">
        <v>9095183000140</v>
      </c>
      <c r="G254" s="149" t="s">
        <v>2414</v>
      </c>
      <c r="H254" s="149" t="s">
        <v>388</v>
      </c>
      <c r="I254" s="150">
        <v>13</v>
      </c>
      <c r="J254" s="151">
        <v>2</v>
      </c>
      <c r="K254" s="151" t="s">
        <v>126</v>
      </c>
      <c r="L254" s="151" t="s">
        <v>125</v>
      </c>
      <c r="M254" s="151" t="s">
        <v>114</v>
      </c>
      <c r="N254" s="151" t="s">
        <v>109</v>
      </c>
      <c r="O254" s="152">
        <v>174253</v>
      </c>
      <c r="P254" s="153">
        <v>174253000</v>
      </c>
      <c r="Q254" s="153">
        <v>1000</v>
      </c>
      <c r="R254" s="154">
        <v>45397</v>
      </c>
      <c r="S254" s="154">
        <v>50875</v>
      </c>
      <c r="T254" s="155" t="s">
        <v>2816</v>
      </c>
      <c r="U254" s="155" t="s">
        <v>2713</v>
      </c>
      <c r="V254" s="154" t="s">
        <v>105</v>
      </c>
      <c r="W254" s="154" t="s">
        <v>102</v>
      </c>
      <c r="X254" s="154" t="s">
        <v>2536</v>
      </c>
      <c r="Y254" s="154">
        <v>49444</v>
      </c>
      <c r="Z254" s="156">
        <f>IFERROR(INDEX(Base!G:G,MATCH('Debêntures IPCA-Spread'!Y254,Base!F:F,0)),"")</f>
        <v>6.3137999999999996</v>
      </c>
      <c r="AA254" s="115"/>
      <c r="AB254" s="157">
        <v>45552</v>
      </c>
      <c r="AC254" s="158">
        <v>6.7176</v>
      </c>
      <c r="AD254" s="159">
        <f t="shared" si="13"/>
        <v>0.40380000000000038</v>
      </c>
      <c r="AE254" s="160">
        <v>0.03</v>
      </c>
      <c r="AF254" s="161">
        <v>6.8524000000000003</v>
      </c>
      <c r="AG254" s="161">
        <v>6.5205000000000002</v>
      </c>
      <c r="AH254" s="162">
        <v>1008.746769</v>
      </c>
      <c r="AI254" s="162"/>
      <c r="AJ254" s="163" t="str">
        <f t="shared" si="12"/>
        <v/>
      </c>
      <c r="AK254" s="164"/>
      <c r="AL254" s="165">
        <v>97.38</v>
      </c>
      <c r="AM254" s="166">
        <v>2265</v>
      </c>
      <c r="AN254" s="115"/>
      <c r="AO254" s="167">
        <v>-8.7453051491999997E-4</v>
      </c>
      <c r="AP254" s="168">
        <f>IF(AO254="","",AO254-AO$6)</f>
        <v>-1.35467539985E-3</v>
      </c>
      <c r="AQ254" s="168">
        <v>3.4739349302999999E-3</v>
      </c>
      <c r="AR254" s="168">
        <f>IF(AQ254="","",AQ254-AQ$6)</f>
        <v>3.69144168326E-3</v>
      </c>
      <c r="AS254" s="168"/>
      <c r="AT254" s="168" t="str">
        <f>IF(AS254="","",AS254-AS$6)</f>
        <v/>
      </c>
      <c r="AU254" s="168">
        <v>-2.2751184806999999E-2</v>
      </c>
      <c r="AV254" s="168">
        <f>IF(AU254="","",AU254-AU$6)</f>
        <v>-9.6826022109999989E-3</v>
      </c>
      <c r="AW254" s="168"/>
      <c r="AX254" s="168" t="str">
        <f>IF(AW254="","",AW254-AW$6)</f>
        <v/>
      </c>
      <c r="AY254" s="168"/>
      <c r="AZ254" s="168" t="str">
        <f>IF(AY254="","",AY254-AY$6)</f>
        <v/>
      </c>
      <c r="BA254" s="168"/>
      <c r="BB254" s="168" t="str">
        <f>IF(BA254="","",BA254-BA$6)</f>
        <v/>
      </c>
      <c r="BC254" s="168"/>
      <c r="BD254" s="168" t="str">
        <f>IF(BC254="","",BC254-BC$6)</f>
        <v/>
      </c>
      <c r="BE254" s="168"/>
      <c r="BF254" s="168" t="str">
        <f>IF(BE254="","",BE254-BE$6)</f>
        <v/>
      </c>
      <c r="BG254" s="168"/>
      <c r="BH254" s="168" t="str">
        <f>IF(BG254="","",BG254-BG$6)</f>
        <v/>
      </c>
      <c r="BI254" s="168"/>
      <c r="BJ254" s="168" t="str">
        <f>IF(BI254="","",BI254-BI$6)</f>
        <v/>
      </c>
      <c r="BK254" s="169"/>
      <c r="BL254" s="115"/>
      <c r="BM254" s="170">
        <v>1.6256701780999999E-2</v>
      </c>
      <c r="BN254" s="163">
        <v>-9.2195541110000005E-3</v>
      </c>
      <c r="BO254" s="163">
        <v>1.7325523749999999E-2</v>
      </c>
      <c r="BP254" s="163">
        <v>3.4739349302999999E-3</v>
      </c>
      <c r="BQ254" s="171"/>
      <c r="BR254" s="171"/>
      <c r="BS254" s="171"/>
      <c r="BT254" s="171"/>
      <c r="BU254" s="172"/>
      <c r="BV254" s="172"/>
      <c r="BW254" s="163"/>
      <c r="BX254" s="163">
        <v>7.0549180940999998E-3</v>
      </c>
      <c r="BY254" s="161"/>
      <c r="BZ254" s="163">
        <v>-4.6622451941999996E-3</v>
      </c>
      <c r="CA254" s="163">
        <v>-3.0446977185000001E-2</v>
      </c>
      <c r="CB254" s="154">
        <v>45519</v>
      </c>
      <c r="CC254" s="154">
        <v>45534</v>
      </c>
      <c r="CD254" s="173"/>
      <c r="CE254" s="174"/>
      <c r="CF254" s="116"/>
    </row>
    <row r="255" spans="2:84" ht="15.6" x14ac:dyDescent="0.3">
      <c r="B255" s="98" t="s">
        <v>2280</v>
      </c>
      <c r="C255" s="175" t="s">
        <v>2665</v>
      </c>
      <c r="D255" s="176" t="s">
        <v>2803</v>
      </c>
      <c r="E255" s="176" t="s">
        <v>226</v>
      </c>
      <c r="F255" s="177">
        <v>13017462000163</v>
      </c>
      <c r="G255" s="177" t="s">
        <v>2415</v>
      </c>
      <c r="H255" s="177" t="s">
        <v>388</v>
      </c>
      <c r="I255" s="178">
        <v>11</v>
      </c>
      <c r="J255" s="179" t="s">
        <v>107</v>
      </c>
      <c r="K255" s="179" t="s">
        <v>128</v>
      </c>
      <c r="L255" s="179" t="s">
        <v>1252</v>
      </c>
      <c r="M255" s="179" t="s">
        <v>128</v>
      </c>
      <c r="N255" s="179" t="s">
        <v>109</v>
      </c>
      <c r="O255" s="180">
        <v>68000</v>
      </c>
      <c r="P255" s="181">
        <v>68000000</v>
      </c>
      <c r="Q255" s="181">
        <v>1000</v>
      </c>
      <c r="R255" s="182">
        <v>44576</v>
      </c>
      <c r="S255" s="182">
        <v>46583</v>
      </c>
      <c r="T255" s="183" t="s">
        <v>1973</v>
      </c>
      <c r="U255" s="183" t="s">
        <v>113</v>
      </c>
      <c r="V255" s="182" t="s">
        <v>105</v>
      </c>
      <c r="W255" s="182" t="s">
        <v>102</v>
      </c>
      <c r="X255" s="182" t="s">
        <v>2538</v>
      </c>
      <c r="Y255" s="182">
        <v>46522</v>
      </c>
      <c r="Z255" s="184">
        <f>IFERROR(INDEX(Base!G:G,MATCH('Debêntures IPCA-Spread'!Y255,Base!F:F,0)),"")</f>
        <v>6.391</v>
      </c>
      <c r="AA255" s="115"/>
      <c r="AB255" s="185">
        <v>45552</v>
      </c>
      <c r="AC255" s="186">
        <v>6.6146000000000003</v>
      </c>
      <c r="AD255" s="187">
        <f t="shared" si="13"/>
        <v>0.22360000000000024</v>
      </c>
      <c r="AE255" s="188">
        <v>0.11</v>
      </c>
      <c r="AF255" s="189">
        <v>6.7663000000000002</v>
      </c>
      <c r="AG255" s="189">
        <v>6.5923999999999996</v>
      </c>
      <c r="AH255" s="190">
        <v>1120.243608</v>
      </c>
      <c r="AI255" s="190"/>
      <c r="AJ255" s="191" t="str">
        <f t="shared" ref="AJ255:AJ318" si="14">IFERROR(AH255/AI255,"")</f>
        <v/>
      </c>
      <c r="AK255" s="192"/>
      <c r="AL255" s="193">
        <v>97.87</v>
      </c>
      <c r="AM255" s="194">
        <v>657</v>
      </c>
      <c r="AN255" s="115"/>
      <c r="AO255" s="195">
        <v>2.1691026194999999E-3</v>
      </c>
      <c r="AP255" s="196">
        <f>IF(AO255="","",AO255-AO$6)</f>
        <v>1.6889577345699999E-3</v>
      </c>
      <c r="AQ255" s="196">
        <v>5.2866768801000004E-3</v>
      </c>
      <c r="AR255" s="196">
        <f>IF(AQ255="","",AQ255-AQ$6)</f>
        <v>5.5041836330600004E-3</v>
      </c>
      <c r="AS255" s="196">
        <v>6.3309307654000002E-2</v>
      </c>
      <c r="AT255" s="196">
        <f>IF(AS255="","",AS255-AS$6)</f>
        <v>4.8583472599000005E-2</v>
      </c>
      <c r="AU255" s="196">
        <v>4.4106435744000003E-3</v>
      </c>
      <c r="AV255" s="196">
        <f>IF(AU255="","",AU255-AU$6)</f>
        <v>1.74792261704E-2</v>
      </c>
      <c r="AW255" s="196">
        <v>2.9227907936999999E-2</v>
      </c>
      <c r="AX255" s="196">
        <f>IF(AW255="","",AW255-AW$6)</f>
        <v>5.2328401489999989E-3</v>
      </c>
      <c r="AY255" s="196">
        <v>3.2475822752999997E-2</v>
      </c>
      <c r="AZ255" s="196">
        <f>IF(AY255="","",AY255-AY$6)</f>
        <v>1.8233567962999998E-2</v>
      </c>
      <c r="BA255" s="196"/>
      <c r="BB255" s="196" t="str">
        <f>IF(BA255="","",BA255-BA$6)</f>
        <v/>
      </c>
      <c r="BC255" s="196"/>
      <c r="BD255" s="196" t="str">
        <f>IF(BC255="","",BC255-BC$6)</f>
        <v/>
      </c>
      <c r="BE255" s="196"/>
      <c r="BF255" s="196" t="str">
        <f>IF(BE255="","",BE255-BE$6)</f>
        <v/>
      </c>
      <c r="BG255" s="196"/>
      <c r="BH255" s="196" t="str">
        <f>IF(BG255="","",BG255-BG$6)</f>
        <v/>
      </c>
      <c r="BI255" s="196"/>
      <c r="BJ255" s="196" t="str">
        <f>IF(BI255="","",BI255-BI$6)</f>
        <v/>
      </c>
      <c r="BK255" s="197"/>
      <c r="BL255" s="115"/>
      <c r="BM255" s="198">
        <v>6.6901332647999997E-3</v>
      </c>
      <c r="BN255" s="191">
        <v>-4.9782707810999997E-3</v>
      </c>
      <c r="BO255" s="191">
        <v>1.7047139409999999E-2</v>
      </c>
      <c r="BP255" s="191">
        <v>-8.6012261835999998E-3</v>
      </c>
      <c r="BQ255" s="199"/>
      <c r="BR255" s="199"/>
      <c r="BS255" s="199"/>
      <c r="BT255" s="199"/>
      <c r="BU255" s="200"/>
      <c r="BV255" s="200"/>
      <c r="BW255" s="191"/>
      <c r="BX255" s="191">
        <v>2.3665789209000002E-3</v>
      </c>
      <c r="BY255" s="189"/>
      <c r="BZ255" s="191">
        <v>-1.3632551654E-2</v>
      </c>
      <c r="CA255" s="191">
        <v>-1.3632551654E-2</v>
      </c>
      <c r="CB255" s="182">
        <v>45391</v>
      </c>
      <c r="CC255" s="182">
        <v>45399</v>
      </c>
      <c r="CD255" s="201">
        <v>25</v>
      </c>
      <c r="CE255" s="202">
        <v>45427</v>
      </c>
      <c r="CF255" s="116"/>
    </row>
    <row r="256" spans="2:84" ht="15.6" x14ac:dyDescent="0.3">
      <c r="B256" s="110" t="s">
        <v>537</v>
      </c>
      <c r="C256" s="147" t="s">
        <v>702</v>
      </c>
      <c r="D256" s="148" t="s">
        <v>632</v>
      </c>
      <c r="E256" s="148" t="s">
        <v>226</v>
      </c>
      <c r="F256" s="149">
        <v>7282377000120</v>
      </c>
      <c r="G256" s="149" t="s">
        <v>857</v>
      </c>
      <c r="H256" s="149" t="s">
        <v>388</v>
      </c>
      <c r="I256" s="150">
        <v>4</v>
      </c>
      <c r="J256" s="151" t="s">
        <v>107</v>
      </c>
      <c r="K256" s="151" t="s">
        <v>126</v>
      </c>
      <c r="L256" s="151" t="s">
        <v>112</v>
      </c>
      <c r="M256" s="151" t="s">
        <v>106</v>
      </c>
      <c r="N256" s="151" t="s">
        <v>109</v>
      </c>
      <c r="O256" s="152">
        <v>70000</v>
      </c>
      <c r="P256" s="153">
        <v>70000000</v>
      </c>
      <c r="Q256" s="153">
        <v>1000</v>
      </c>
      <c r="R256" s="154">
        <v>43358</v>
      </c>
      <c r="S256" s="154">
        <v>45915</v>
      </c>
      <c r="T256" s="155" t="s">
        <v>782</v>
      </c>
      <c r="U256" s="155" t="s">
        <v>933</v>
      </c>
      <c r="V256" s="154" t="s">
        <v>105</v>
      </c>
      <c r="W256" s="154" t="s">
        <v>102</v>
      </c>
      <c r="X256" s="154" t="s">
        <v>977</v>
      </c>
      <c r="Y256" s="154">
        <v>45792</v>
      </c>
      <c r="Z256" s="156">
        <f>IFERROR(INDEX(Base!G:G,MATCH('Debêntures IPCA-Spread'!Y256,Base!F:F,0)),"")</f>
        <v>5.73</v>
      </c>
      <c r="AA256" s="115"/>
      <c r="AB256" s="157">
        <v>45552</v>
      </c>
      <c r="AC256" s="158">
        <v>5.8179999999999996</v>
      </c>
      <c r="AD256" s="159">
        <f t="shared" si="13"/>
        <v>8.799999999999919E-2</v>
      </c>
      <c r="AE256" s="160">
        <v>0.2</v>
      </c>
      <c r="AF256" s="161">
        <v>6.1082000000000001</v>
      </c>
      <c r="AG256" s="161"/>
      <c r="AH256" s="162">
        <v>453.794152</v>
      </c>
      <c r="AI256" s="162">
        <v>453.794152</v>
      </c>
      <c r="AJ256" s="163">
        <f t="shared" si="14"/>
        <v>1</v>
      </c>
      <c r="AK256" s="164">
        <v>45552</v>
      </c>
      <c r="AL256" s="165">
        <v>99.32</v>
      </c>
      <c r="AM256" s="166">
        <v>246</v>
      </c>
      <c r="AN256" s="115"/>
      <c r="AO256" s="167">
        <v>1.4753590547999999E-3</v>
      </c>
      <c r="AP256" s="168">
        <f>IF(AO256="","",AO256-AO$6)</f>
        <v>9.9521416986999992E-4</v>
      </c>
      <c r="AQ256" s="168">
        <v>4.8736995232000003E-3</v>
      </c>
      <c r="AR256" s="168">
        <f>IF(AQ256="","",AQ256-AQ$6)</f>
        <v>5.0912062761600003E-3</v>
      </c>
      <c r="AS256" s="168">
        <v>7.8719004832000006E-2</v>
      </c>
      <c r="AT256" s="168">
        <f>IF(AS256="","",AS256-AS$6)</f>
        <v>6.3993169777000009E-2</v>
      </c>
      <c r="AU256" s="168">
        <v>7.8708531418999993E-3</v>
      </c>
      <c r="AV256" s="168">
        <f>IF(AU256="","",AU256-AU$6)</f>
        <v>2.0939435737899997E-2</v>
      </c>
      <c r="AW256" s="168">
        <v>2.7111797524E-2</v>
      </c>
      <c r="AX256" s="168">
        <f>IF(AW256="","",AW256-AW$6)</f>
        <v>3.1167297359999992E-3</v>
      </c>
      <c r="AY256" s="168">
        <v>4.8378011133999997E-2</v>
      </c>
      <c r="AZ256" s="168">
        <f>IF(AY256="","",AY256-AY$6)</f>
        <v>3.4135756343999998E-2</v>
      </c>
      <c r="BA256" s="168">
        <v>0.11033087512</v>
      </c>
      <c r="BB256" s="168">
        <f>IF(BA256="","",BA256-BA$6)</f>
        <v>5.6843910562000007E-2</v>
      </c>
      <c r="BC256" s="168">
        <v>0.24997776158000001</v>
      </c>
      <c r="BD256" s="168">
        <f>IF(BC256="","",BC256-BC$6)</f>
        <v>5.5669195090000012E-2</v>
      </c>
      <c r="BE256" s="168">
        <v>0.37015758167000001</v>
      </c>
      <c r="BF256" s="168">
        <f>IF(BE256="","",BE256-BE$6)</f>
        <v>0.10843824213000003</v>
      </c>
      <c r="BG256" s="168">
        <v>0.49316532828999998</v>
      </c>
      <c r="BH256" s="168">
        <f>IF(BG256="","",BG256-BG$6)</f>
        <v>0.18424867947999995</v>
      </c>
      <c r="BI256" s="168"/>
      <c r="BJ256" s="168" t="str">
        <f>IF(BI256="","",BI256-BI$6)</f>
        <v/>
      </c>
      <c r="BK256" s="169">
        <v>1.2085026423</v>
      </c>
      <c r="BL256" s="115"/>
      <c r="BM256" s="170">
        <v>3.4456152279999999E-3</v>
      </c>
      <c r="BN256" s="163">
        <v>-2.2629131044999999E-3</v>
      </c>
      <c r="BO256" s="163">
        <v>1.2513415682E-2</v>
      </c>
      <c r="BP256" s="163">
        <v>1.7650839417999999E-3</v>
      </c>
      <c r="BQ256" s="171">
        <v>12</v>
      </c>
      <c r="BR256" s="171">
        <v>0</v>
      </c>
      <c r="BS256" s="171">
        <v>8</v>
      </c>
      <c r="BT256" s="171">
        <v>4</v>
      </c>
      <c r="BU256" s="172">
        <v>-0.1014448803</v>
      </c>
      <c r="BV256" s="172">
        <v>-0.23849430532999999</v>
      </c>
      <c r="BW256" s="163">
        <v>1.2490036294E-3</v>
      </c>
      <c r="BX256" s="163">
        <v>7.9693103853000001E-4</v>
      </c>
      <c r="BY256" s="161">
        <v>-0.27718497633</v>
      </c>
      <c r="BZ256" s="163">
        <v>-2.9835444491000001E-3</v>
      </c>
      <c r="CA256" s="163">
        <v>-2.9835444491000001E-3</v>
      </c>
      <c r="CB256" s="154">
        <v>45408</v>
      </c>
      <c r="CC256" s="154">
        <v>45412</v>
      </c>
      <c r="CD256" s="173">
        <v>6</v>
      </c>
      <c r="CE256" s="174">
        <v>45419</v>
      </c>
      <c r="CF256" s="116"/>
    </row>
    <row r="257" spans="2:84" ht="15.6" x14ac:dyDescent="0.3">
      <c r="B257" s="98" t="s">
        <v>1449</v>
      </c>
      <c r="C257" s="175" t="s">
        <v>2095</v>
      </c>
      <c r="D257" s="176" t="s">
        <v>632</v>
      </c>
      <c r="E257" s="176" t="s">
        <v>226</v>
      </c>
      <c r="F257" s="177">
        <v>7282377000120</v>
      </c>
      <c r="G257" s="177" t="s">
        <v>1808</v>
      </c>
      <c r="H257" s="177" t="s">
        <v>388</v>
      </c>
      <c r="I257" s="178">
        <v>7</v>
      </c>
      <c r="J257" s="179" t="s">
        <v>107</v>
      </c>
      <c r="K257" s="179" t="s">
        <v>128</v>
      </c>
      <c r="L257" s="179" t="s">
        <v>1252</v>
      </c>
      <c r="M257" s="179" t="s">
        <v>128</v>
      </c>
      <c r="N257" s="179" t="s">
        <v>109</v>
      </c>
      <c r="O257" s="180">
        <v>81000</v>
      </c>
      <c r="P257" s="181">
        <v>81000000</v>
      </c>
      <c r="Q257" s="181">
        <v>1000</v>
      </c>
      <c r="R257" s="182">
        <v>44576</v>
      </c>
      <c r="S257" s="182">
        <v>48228</v>
      </c>
      <c r="T257" s="183" t="s">
        <v>1973</v>
      </c>
      <c r="U257" s="183" t="s">
        <v>1691</v>
      </c>
      <c r="V257" s="182" t="s">
        <v>105</v>
      </c>
      <c r="W257" s="182" t="s">
        <v>102</v>
      </c>
      <c r="X257" s="182" t="s">
        <v>1580</v>
      </c>
      <c r="Y257" s="182">
        <v>47710</v>
      </c>
      <c r="Z257" s="184">
        <f>IFERROR(INDEX(Base!G:G,MATCH('Debêntures IPCA-Spread'!Y257,Base!F:F,0)),"")</f>
        <v>6.3273999999999999</v>
      </c>
      <c r="AA257" s="115"/>
      <c r="AB257" s="185">
        <v>45552</v>
      </c>
      <c r="AC257" s="186">
        <v>6.4433999999999996</v>
      </c>
      <c r="AD257" s="187">
        <f t="shared" si="13"/>
        <v>0.11599999999999966</v>
      </c>
      <c r="AE257" s="188">
        <v>0.14000000000000001</v>
      </c>
      <c r="AF257" s="189">
        <v>6.6864999999999997</v>
      </c>
      <c r="AG257" s="189">
        <v>6.2995000000000001</v>
      </c>
      <c r="AH257" s="190">
        <v>1126.1066989999999</v>
      </c>
      <c r="AI257" s="190">
        <v>1135.7588679999999</v>
      </c>
      <c r="AJ257" s="191">
        <f t="shared" si="14"/>
        <v>0.9915015684473617</v>
      </c>
      <c r="AK257" s="192">
        <v>45517</v>
      </c>
      <c r="AL257" s="193">
        <v>98.32</v>
      </c>
      <c r="AM257" s="194">
        <v>1321</v>
      </c>
      <c r="AN257" s="115"/>
      <c r="AO257" s="195">
        <v>2.27531163E-3</v>
      </c>
      <c r="AP257" s="196">
        <f>IF(AO257="","",AO257-AO$6)</f>
        <v>1.79516674507E-3</v>
      </c>
      <c r="AQ257" s="196">
        <v>5.8932092888000004E-3</v>
      </c>
      <c r="AR257" s="196">
        <f>IF(AQ257="","",AQ257-AQ$6)</f>
        <v>6.1107160417600004E-3</v>
      </c>
      <c r="AS257" s="196">
        <v>6.8276619883999995E-2</v>
      </c>
      <c r="AT257" s="196">
        <f>IF(AS257="","",AS257-AS$6)</f>
        <v>5.3550784828999998E-2</v>
      </c>
      <c r="AU257" s="196">
        <v>-6.5796149365000001E-3</v>
      </c>
      <c r="AV257" s="196">
        <f>IF(AU257="","",AU257-AU$6)</f>
        <v>6.4889676594999997E-3</v>
      </c>
      <c r="AW257" s="196">
        <v>4.0847661472000002E-2</v>
      </c>
      <c r="AX257" s="196">
        <f>IF(AW257="","",AW257-AW$6)</f>
        <v>1.6852593684000002E-2</v>
      </c>
      <c r="AY257" s="196">
        <v>1.9537266671E-2</v>
      </c>
      <c r="AZ257" s="196">
        <f>IF(AY257="","",AY257-AY$6)</f>
        <v>5.2950118809999992E-3</v>
      </c>
      <c r="BA257" s="196">
        <v>0.10302918545</v>
      </c>
      <c r="BB257" s="196">
        <f>IF(BA257="","",BA257-BA$6)</f>
        <v>4.9542220892000007E-2</v>
      </c>
      <c r="BC257" s="196"/>
      <c r="BD257" s="196" t="str">
        <f>IF(BC257="","",BC257-BC$6)</f>
        <v/>
      </c>
      <c r="BE257" s="196"/>
      <c r="BF257" s="196" t="str">
        <f>IF(BE257="","",BE257-BE$6)</f>
        <v/>
      </c>
      <c r="BG257" s="196"/>
      <c r="BH257" s="196" t="str">
        <f>IF(BG257="","",BG257-BG$6)</f>
        <v/>
      </c>
      <c r="BI257" s="196"/>
      <c r="BJ257" s="196" t="str">
        <f>IF(BI257="","",BI257-BI$6)</f>
        <v/>
      </c>
      <c r="BK257" s="197">
        <v>6.2755713319000002</v>
      </c>
      <c r="BL257" s="115"/>
      <c r="BM257" s="198">
        <v>1.8767902706000001E-2</v>
      </c>
      <c r="BN257" s="191">
        <v>-1.974771069E-2</v>
      </c>
      <c r="BO257" s="191">
        <v>3.0273146833E-2</v>
      </c>
      <c r="BP257" s="191">
        <v>-2.2684602849E-2</v>
      </c>
      <c r="BQ257" s="199">
        <v>9</v>
      </c>
      <c r="BR257" s="199">
        <v>3</v>
      </c>
      <c r="BS257" s="199">
        <v>8</v>
      </c>
      <c r="BT257" s="199">
        <v>4</v>
      </c>
      <c r="BU257" s="200">
        <v>-9.4327200700999994E-2</v>
      </c>
      <c r="BV257" s="200"/>
      <c r="BW257" s="191">
        <v>6.4798706164E-3</v>
      </c>
      <c r="BX257" s="191">
        <v>5.2228426328999999E-3</v>
      </c>
      <c r="BY257" s="189">
        <v>-1.4116241998000001</v>
      </c>
      <c r="BZ257" s="191">
        <v>-2.8532390099E-2</v>
      </c>
      <c r="CA257" s="191">
        <v>-2.8532390099E-2</v>
      </c>
      <c r="CB257" s="182">
        <v>45391</v>
      </c>
      <c r="CC257" s="182">
        <v>45474</v>
      </c>
      <c r="CD257" s="201">
        <v>80</v>
      </c>
      <c r="CE257" s="202">
        <v>45505</v>
      </c>
      <c r="CF257" s="116"/>
    </row>
    <row r="258" spans="2:84" ht="15.6" x14ac:dyDescent="0.3">
      <c r="B258" s="110" t="s">
        <v>538</v>
      </c>
      <c r="C258" s="147" t="s">
        <v>703</v>
      </c>
      <c r="D258" s="148" t="s">
        <v>633</v>
      </c>
      <c r="E258" s="148" t="s">
        <v>226</v>
      </c>
      <c r="F258" s="149">
        <v>25086034000171</v>
      </c>
      <c r="G258" s="149" t="s">
        <v>858</v>
      </c>
      <c r="H258" s="149" t="s">
        <v>388</v>
      </c>
      <c r="I258" s="150">
        <v>4</v>
      </c>
      <c r="J258" s="151" t="s">
        <v>107</v>
      </c>
      <c r="K258" s="151" t="s">
        <v>126</v>
      </c>
      <c r="L258" s="151" t="s">
        <v>112</v>
      </c>
      <c r="M258" s="151" t="s">
        <v>106</v>
      </c>
      <c r="N258" s="151" t="s">
        <v>109</v>
      </c>
      <c r="O258" s="152">
        <v>240000</v>
      </c>
      <c r="P258" s="153">
        <v>240000000</v>
      </c>
      <c r="Q258" s="153">
        <v>1000</v>
      </c>
      <c r="R258" s="154">
        <v>43358</v>
      </c>
      <c r="S258" s="154">
        <v>45915</v>
      </c>
      <c r="T258" s="155" t="s">
        <v>783</v>
      </c>
      <c r="U258" s="155" t="s">
        <v>934</v>
      </c>
      <c r="V258" s="154" t="s">
        <v>105</v>
      </c>
      <c r="W258" s="154" t="s">
        <v>102</v>
      </c>
      <c r="X258" s="154" t="s">
        <v>977</v>
      </c>
      <c r="Y258" s="154">
        <v>45792</v>
      </c>
      <c r="Z258" s="156">
        <f>IFERROR(INDEX(Base!G:G,MATCH('Debêntures IPCA-Spread'!Y258,Base!F:F,0)),"")</f>
        <v>5.73</v>
      </c>
      <c r="AA258" s="115"/>
      <c r="AB258" s="157">
        <v>45552</v>
      </c>
      <c r="AC258" s="158">
        <v>5.7850000000000001</v>
      </c>
      <c r="AD258" s="159">
        <f t="shared" si="13"/>
        <v>5.4999999999999716E-2</v>
      </c>
      <c r="AE258" s="160">
        <v>0.2</v>
      </c>
      <c r="AF258" s="161">
        <v>6.0744999999999996</v>
      </c>
      <c r="AG258" s="161"/>
      <c r="AH258" s="162">
        <v>453.93231800000001</v>
      </c>
      <c r="AI258" s="162">
        <v>453.93231800000001</v>
      </c>
      <c r="AJ258" s="163">
        <f t="shared" si="14"/>
        <v>1</v>
      </c>
      <c r="AK258" s="164">
        <v>45552</v>
      </c>
      <c r="AL258" s="165">
        <v>99.35</v>
      </c>
      <c r="AM258" s="166">
        <v>246</v>
      </c>
      <c r="AN258" s="115"/>
      <c r="AO258" s="167">
        <v>1.0249178776E-3</v>
      </c>
      <c r="AP258" s="168">
        <f>IF(AO258="","",AO258-AO$6)</f>
        <v>5.4477299267000003E-4</v>
      </c>
      <c r="AQ258" s="168">
        <v>5.0190699039000001E-3</v>
      </c>
      <c r="AR258" s="168">
        <f>IF(AQ258="","",AQ258-AQ$6)</f>
        <v>5.2365766568600002E-3</v>
      </c>
      <c r="AS258" s="168">
        <v>8.0419503857999994E-2</v>
      </c>
      <c r="AT258" s="168">
        <f>IF(AS258="","",AS258-AS$6)</f>
        <v>6.5693668802999997E-2</v>
      </c>
      <c r="AU258" s="168">
        <v>8.4026125369000004E-3</v>
      </c>
      <c r="AV258" s="168">
        <f>IF(AU258="","",AU258-AU$6)</f>
        <v>2.1471195132900002E-2</v>
      </c>
      <c r="AW258" s="168">
        <v>2.7463504465999999E-2</v>
      </c>
      <c r="AX258" s="168">
        <f>IF(AW258="","",AW258-AW$6)</f>
        <v>3.4684366779999982E-3</v>
      </c>
      <c r="AY258" s="168">
        <v>4.9005156563000002E-2</v>
      </c>
      <c r="AZ258" s="168">
        <f>IF(AY258="","",AY258-AY$6)</f>
        <v>3.4762901773000003E-2</v>
      </c>
      <c r="BA258" s="168">
        <v>0.10650487451</v>
      </c>
      <c r="BB258" s="168">
        <f>IF(BA258="","",BA258-BA$6)</f>
        <v>5.3017909952000002E-2</v>
      </c>
      <c r="BC258" s="168">
        <v>0.25309206681000002</v>
      </c>
      <c r="BD258" s="168">
        <f>IF(BC258="","",BC258-BC$6)</f>
        <v>5.8783500320000015E-2</v>
      </c>
      <c r="BE258" s="168">
        <v>0.39411935768</v>
      </c>
      <c r="BF258" s="168">
        <f>IF(BE258="","",BE258-BE$6)</f>
        <v>0.13240001814000002</v>
      </c>
      <c r="BG258" s="168">
        <v>0.49399295426000001</v>
      </c>
      <c r="BH258" s="168">
        <f>IF(BG258="","",BG258-BG$6)</f>
        <v>0.18507630544999998</v>
      </c>
      <c r="BI258" s="168"/>
      <c r="BJ258" s="168" t="str">
        <f>IF(BI258="","",BI258-BI$6)</f>
        <v/>
      </c>
      <c r="BK258" s="169">
        <v>2.118544108</v>
      </c>
      <c r="BL258" s="115"/>
      <c r="BM258" s="170">
        <v>5.6202394971E-3</v>
      </c>
      <c r="BN258" s="163">
        <v>-6.1041976677999998E-3</v>
      </c>
      <c r="BO258" s="163">
        <v>1.4480168910999999E-2</v>
      </c>
      <c r="BP258" s="163">
        <v>1.9861395739999999E-3</v>
      </c>
      <c r="BQ258" s="171">
        <v>12</v>
      </c>
      <c r="BR258" s="171">
        <v>0</v>
      </c>
      <c r="BS258" s="171">
        <v>8</v>
      </c>
      <c r="BT258" s="171">
        <v>4</v>
      </c>
      <c r="BU258" s="172">
        <v>-0.21316413889999999</v>
      </c>
      <c r="BV258" s="172">
        <v>4.0105345712000001E-3</v>
      </c>
      <c r="BW258" s="163">
        <v>2.1892775438000001E-3</v>
      </c>
      <c r="BX258" s="163">
        <v>6.6810374428000001E-4</v>
      </c>
      <c r="BY258" s="161">
        <v>-0.66539158141999999</v>
      </c>
      <c r="BZ258" s="163">
        <v>-8.0852203947000007E-3</v>
      </c>
      <c r="CA258" s="163">
        <v>-8.0852203947000007E-3</v>
      </c>
      <c r="CB258" s="154">
        <v>45209</v>
      </c>
      <c r="CC258" s="154">
        <v>45216</v>
      </c>
      <c r="CD258" s="173">
        <v>11</v>
      </c>
      <c r="CE258" s="174">
        <v>45225</v>
      </c>
      <c r="CF258" s="116"/>
    </row>
    <row r="259" spans="2:84" ht="15.6" x14ac:dyDescent="0.3">
      <c r="B259" s="98" t="s">
        <v>539</v>
      </c>
      <c r="C259" s="175" t="s">
        <v>704</v>
      </c>
      <c r="D259" s="176" t="s">
        <v>634</v>
      </c>
      <c r="E259" s="176" t="s">
        <v>226</v>
      </c>
      <c r="F259" s="177">
        <v>28201130000101</v>
      </c>
      <c r="G259" s="177" t="s">
        <v>859</v>
      </c>
      <c r="H259" s="177" t="s">
        <v>388</v>
      </c>
      <c r="I259" s="178">
        <v>1</v>
      </c>
      <c r="J259" s="179">
        <v>1</v>
      </c>
      <c r="K259" s="179" t="s">
        <v>126</v>
      </c>
      <c r="L259" s="179" t="s">
        <v>112</v>
      </c>
      <c r="M259" s="179" t="s">
        <v>114</v>
      </c>
      <c r="N259" s="179" t="s">
        <v>109</v>
      </c>
      <c r="O259" s="180">
        <v>75500</v>
      </c>
      <c r="P259" s="181">
        <v>75500000</v>
      </c>
      <c r="Q259" s="181">
        <v>1000</v>
      </c>
      <c r="R259" s="182">
        <v>43449</v>
      </c>
      <c r="S259" s="182">
        <v>46006</v>
      </c>
      <c r="T259" s="183" t="s">
        <v>784</v>
      </c>
      <c r="U259" s="183" t="s">
        <v>161</v>
      </c>
      <c r="V259" s="182" t="s">
        <v>105</v>
      </c>
      <c r="W259" s="182" t="s">
        <v>102</v>
      </c>
      <c r="X259" s="182" t="s">
        <v>1338</v>
      </c>
      <c r="Y259" s="182">
        <v>45792</v>
      </c>
      <c r="Z259" s="184">
        <f>IFERROR(INDEX(Base!G:G,MATCH('Debêntures IPCA-Spread'!Y259,Base!F:F,0)),"")</f>
        <v>5.73</v>
      </c>
      <c r="AA259" s="115"/>
      <c r="AB259" s="185">
        <v>45552</v>
      </c>
      <c r="AC259" s="186">
        <v>5.9512</v>
      </c>
      <c r="AD259" s="187">
        <f t="shared" si="13"/>
        <v>0.22119999999999962</v>
      </c>
      <c r="AE259" s="188">
        <v>0.15</v>
      </c>
      <c r="AF259" s="189">
        <v>6.3053999999999997</v>
      </c>
      <c r="AG259" s="189">
        <v>5.9184000000000001</v>
      </c>
      <c r="AH259" s="190">
        <v>1368.613006</v>
      </c>
      <c r="AI259" s="190">
        <v>1369.1801089999999</v>
      </c>
      <c r="AJ259" s="191">
        <f t="shared" si="14"/>
        <v>0.99958580832698918</v>
      </c>
      <c r="AK259" s="192">
        <v>45551</v>
      </c>
      <c r="AL259" s="193">
        <v>98.83</v>
      </c>
      <c r="AM259" s="194">
        <v>304</v>
      </c>
      <c r="AN259" s="115"/>
      <c r="AO259" s="195">
        <v>-4.1419167337000001E-4</v>
      </c>
      <c r="AP259" s="196">
        <f>IF(AO259="","",AO259-AO$6)</f>
        <v>-8.9433655830000001E-4</v>
      </c>
      <c r="AQ259" s="196">
        <v>5.9959893078000001E-3</v>
      </c>
      <c r="AR259" s="196">
        <f>IF(AQ259="","",AQ259-AQ$6)</f>
        <v>6.2134960607600001E-3</v>
      </c>
      <c r="AS259" s="196">
        <v>7.3672372377000001E-2</v>
      </c>
      <c r="AT259" s="196">
        <f>IF(AS259="","",AS259-AS$6)</f>
        <v>5.8946537322000003E-2</v>
      </c>
      <c r="AU259" s="196">
        <v>1.2173563334E-2</v>
      </c>
      <c r="AV259" s="196">
        <f>IF(AU259="","",AU259-AU$6)</f>
        <v>2.5242145930000001E-2</v>
      </c>
      <c r="AW259" s="196">
        <v>3.2316941202000002E-2</v>
      </c>
      <c r="AX259" s="196">
        <f>IF(AW259="","",AW259-AW$6)</f>
        <v>8.3218734140000014E-3</v>
      </c>
      <c r="AY259" s="196">
        <v>4.5771426830000003E-2</v>
      </c>
      <c r="AZ259" s="196">
        <f>IF(AY259="","",AY259-AY$6)</f>
        <v>3.1529172040000004E-2</v>
      </c>
      <c r="BA259" s="196">
        <v>0.1064682493</v>
      </c>
      <c r="BB259" s="196">
        <f>IF(BA259="","",BA259-BA$6)</f>
        <v>5.2981284742E-2</v>
      </c>
      <c r="BC259" s="196">
        <v>0.23074966489000001</v>
      </c>
      <c r="BD259" s="196">
        <f>IF(BC259="","",BC259-BC$6)</f>
        <v>3.644109840000001E-2</v>
      </c>
      <c r="BE259" s="196">
        <v>0.34966661810999999</v>
      </c>
      <c r="BF259" s="196">
        <f>IF(BE259="","",BE259-BE$6)</f>
        <v>8.7947278570000009E-2</v>
      </c>
      <c r="BG259" s="196">
        <v>0.45222027013999999</v>
      </c>
      <c r="BH259" s="196">
        <f>IF(BG259="","",BG259-BG$6)</f>
        <v>0.14330362132999996</v>
      </c>
      <c r="BI259" s="196">
        <v>0.53707502819999997</v>
      </c>
      <c r="BJ259" s="196">
        <f>IF(BI259="","",BI259-BI$6)</f>
        <v>0.16413201811999995</v>
      </c>
      <c r="BK259" s="197">
        <v>1.9990613356</v>
      </c>
      <c r="BL259" s="115"/>
      <c r="BM259" s="198">
        <v>4.2547562225000004E-3</v>
      </c>
      <c r="BN259" s="191">
        <v>-3.8253639441E-3</v>
      </c>
      <c r="BO259" s="191">
        <v>1.9462405466000001E-2</v>
      </c>
      <c r="BP259" s="191">
        <v>-2.2247698726000002E-3</v>
      </c>
      <c r="BQ259" s="199">
        <v>10</v>
      </c>
      <c r="BR259" s="199">
        <v>2</v>
      </c>
      <c r="BS259" s="199">
        <v>8</v>
      </c>
      <c r="BT259" s="199">
        <v>4</v>
      </c>
      <c r="BU259" s="200">
        <v>-0.22877125517999999</v>
      </c>
      <c r="BV259" s="200">
        <v>-0.29678629754000002</v>
      </c>
      <c r="BW259" s="191">
        <v>2.0658111835000002E-3</v>
      </c>
      <c r="BX259" s="191">
        <v>1.5070406224000001E-3</v>
      </c>
      <c r="BY259" s="189">
        <v>-0.74511249294000004</v>
      </c>
      <c r="BZ259" s="191">
        <v>-1.0243059232E-2</v>
      </c>
      <c r="CA259" s="191">
        <v>-1.0243059232E-2</v>
      </c>
      <c r="CB259" s="182">
        <v>45189</v>
      </c>
      <c r="CC259" s="182">
        <v>45212</v>
      </c>
      <c r="CD259" s="201">
        <v>25</v>
      </c>
      <c r="CE259" s="202">
        <v>45225</v>
      </c>
      <c r="CF259" s="116"/>
    </row>
    <row r="260" spans="2:84" ht="15.6" x14ac:dyDescent="0.3">
      <c r="B260" s="110" t="s">
        <v>540</v>
      </c>
      <c r="C260" s="147" t="s">
        <v>705</v>
      </c>
      <c r="D260" s="148" t="s">
        <v>634</v>
      </c>
      <c r="E260" s="148" t="s">
        <v>226</v>
      </c>
      <c r="F260" s="149">
        <v>28201130000101</v>
      </c>
      <c r="G260" s="149" t="s">
        <v>860</v>
      </c>
      <c r="H260" s="149" t="s">
        <v>388</v>
      </c>
      <c r="I260" s="150">
        <v>1</v>
      </c>
      <c r="J260" s="151">
        <v>2</v>
      </c>
      <c r="K260" s="151" t="s">
        <v>126</v>
      </c>
      <c r="L260" s="151" t="s">
        <v>112</v>
      </c>
      <c r="M260" s="151" t="s">
        <v>114</v>
      </c>
      <c r="N260" s="151" t="s">
        <v>109</v>
      </c>
      <c r="O260" s="152">
        <v>51462</v>
      </c>
      <c r="P260" s="153">
        <v>51462000</v>
      </c>
      <c r="Q260" s="153">
        <v>1000</v>
      </c>
      <c r="R260" s="154">
        <v>43449</v>
      </c>
      <c r="S260" s="154">
        <v>47102</v>
      </c>
      <c r="T260" s="155" t="s">
        <v>785</v>
      </c>
      <c r="U260" s="155" t="s">
        <v>935</v>
      </c>
      <c r="V260" s="154" t="s">
        <v>105</v>
      </c>
      <c r="W260" s="154" t="s">
        <v>102</v>
      </c>
      <c r="X260" s="154" t="s">
        <v>978</v>
      </c>
      <c r="Y260" s="154">
        <v>46522</v>
      </c>
      <c r="Z260" s="156">
        <f>IFERROR(INDEX(Base!G:G,MATCH('Debêntures IPCA-Spread'!Y260,Base!F:F,0)),"")</f>
        <v>6.391</v>
      </c>
      <c r="AA260" s="115"/>
      <c r="AB260" s="157">
        <v>45552</v>
      </c>
      <c r="AC260" s="158">
        <v>6.4128999999999996</v>
      </c>
      <c r="AD260" s="159">
        <f t="shared" si="13"/>
        <v>2.1899999999999586E-2</v>
      </c>
      <c r="AE260" s="160">
        <v>0.1</v>
      </c>
      <c r="AF260" s="161">
        <v>6.6223000000000001</v>
      </c>
      <c r="AG260" s="161">
        <v>6.2666000000000004</v>
      </c>
      <c r="AH260" s="162">
        <v>1337.164996</v>
      </c>
      <c r="AI260" s="162">
        <v>1337.164996</v>
      </c>
      <c r="AJ260" s="163">
        <f t="shared" si="14"/>
        <v>1</v>
      </c>
      <c r="AK260" s="164">
        <v>45552</v>
      </c>
      <c r="AL260" s="165">
        <v>96.51</v>
      </c>
      <c r="AM260" s="166">
        <v>743</v>
      </c>
      <c r="AN260" s="115"/>
      <c r="AO260" s="167">
        <v>2.7106628786E-3</v>
      </c>
      <c r="AP260" s="168">
        <f>IF(AO260="","",AO260-AO$6)</f>
        <v>2.23051799367E-3</v>
      </c>
      <c r="AQ260" s="168">
        <v>8.7614256808999993E-3</v>
      </c>
      <c r="AR260" s="168">
        <f>IF(AQ260="","",AQ260-AQ$6)</f>
        <v>8.9789324338599985E-3</v>
      </c>
      <c r="AS260" s="168">
        <v>6.5115969460999998E-2</v>
      </c>
      <c r="AT260" s="168">
        <f>IF(AS260="","",AS260-AS$6)</f>
        <v>5.0390134406000001E-2</v>
      </c>
      <c r="AU260" s="168">
        <v>7.9022403187999999E-3</v>
      </c>
      <c r="AV260" s="168">
        <f>IF(AU260="","",AU260-AU$6)</f>
        <v>2.09708229148E-2</v>
      </c>
      <c r="AW260" s="168">
        <v>3.6284900983000003E-2</v>
      </c>
      <c r="AX260" s="168">
        <f>IF(AW260="","",AW260-AW$6)</f>
        <v>1.2289833195000002E-2</v>
      </c>
      <c r="AY260" s="168">
        <v>4.1727722575000001E-2</v>
      </c>
      <c r="AZ260" s="168">
        <f>IF(AY260="","",AY260-AY$6)</f>
        <v>2.7485467785000002E-2</v>
      </c>
      <c r="BA260" s="168">
        <v>9.8967638651000001E-2</v>
      </c>
      <c r="BB260" s="168">
        <f>IF(BA260="","",BA260-BA$6)</f>
        <v>4.5480674093000002E-2</v>
      </c>
      <c r="BC260" s="168">
        <v>0.23880182428999999</v>
      </c>
      <c r="BD260" s="168">
        <f>IF(BC260="","",BC260-BC$6)</f>
        <v>4.4493257799999991E-2</v>
      </c>
      <c r="BE260" s="168">
        <v>0.37300032191999999</v>
      </c>
      <c r="BF260" s="168">
        <f>IF(BE260="","",BE260-BE$6)</f>
        <v>0.11128098238</v>
      </c>
      <c r="BG260" s="168">
        <v>0.45152568746999999</v>
      </c>
      <c r="BH260" s="168">
        <f>IF(BG260="","",BG260-BG$6)</f>
        <v>0.14260903865999996</v>
      </c>
      <c r="BI260" s="168"/>
      <c r="BJ260" s="168" t="str">
        <f>IF(BI260="","",BI260-BI$6)</f>
        <v/>
      </c>
      <c r="BK260" s="169">
        <v>3.9880207689999998</v>
      </c>
      <c r="BL260" s="115"/>
      <c r="BM260" s="170">
        <v>6.2240030256000001E-3</v>
      </c>
      <c r="BN260" s="163">
        <v>-8.7755804815999993E-3</v>
      </c>
      <c r="BO260" s="163">
        <v>2.9623004633000001E-2</v>
      </c>
      <c r="BP260" s="163">
        <v>-1.1211462258E-2</v>
      </c>
      <c r="BQ260" s="171">
        <v>10</v>
      </c>
      <c r="BR260" s="171">
        <v>2</v>
      </c>
      <c r="BS260" s="171">
        <v>7</v>
      </c>
      <c r="BT260" s="171">
        <v>5</v>
      </c>
      <c r="BU260" s="172">
        <v>-0.26934332822000001</v>
      </c>
      <c r="BV260" s="172">
        <v>-9.5256014028999997E-2</v>
      </c>
      <c r="BW260" s="163">
        <v>4.1180601172000003E-3</v>
      </c>
      <c r="BX260" s="163">
        <v>3.1279262070000001E-3</v>
      </c>
      <c r="BY260" s="161">
        <v>-1.7420207747000001</v>
      </c>
      <c r="BZ260" s="163">
        <v>-2.0278400116E-2</v>
      </c>
      <c r="CA260" s="163">
        <v>-2.0278400116E-2</v>
      </c>
      <c r="CB260" s="154">
        <v>45187</v>
      </c>
      <c r="CC260" s="154">
        <v>45202</v>
      </c>
      <c r="CD260" s="173">
        <v>41</v>
      </c>
      <c r="CE260" s="174">
        <v>45247</v>
      </c>
      <c r="CF260" s="116"/>
    </row>
    <row r="261" spans="2:84" ht="15.6" x14ac:dyDescent="0.3">
      <c r="B261" s="98" t="s">
        <v>541</v>
      </c>
      <c r="C261" s="175" t="s">
        <v>706</v>
      </c>
      <c r="D261" s="176" t="s">
        <v>634</v>
      </c>
      <c r="E261" s="176" t="s">
        <v>226</v>
      </c>
      <c r="F261" s="177">
        <v>28201130000101</v>
      </c>
      <c r="G261" s="177" t="s">
        <v>861</v>
      </c>
      <c r="H261" s="177" t="s">
        <v>388</v>
      </c>
      <c r="I261" s="178">
        <v>1</v>
      </c>
      <c r="J261" s="179">
        <v>3</v>
      </c>
      <c r="K261" s="179" t="s">
        <v>126</v>
      </c>
      <c r="L261" s="179" t="s">
        <v>112</v>
      </c>
      <c r="M261" s="179" t="s">
        <v>114</v>
      </c>
      <c r="N261" s="179" t="s">
        <v>109</v>
      </c>
      <c r="O261" s="180">
        <v>123038</v>
      </c>
      <c r="P261" s="181">
        <v>123038000</v>
      </c>
      <c r="Q261" s="181">
        <v>1000</v>
      </c>
      <c r="R261" s="182">
        <v>43449</v>
      </c>
      <c r="S261" s="182">
        <v>46006</v>
      </c>
      <c r="T261" s="183" t="s">
        <v>786</v>
      </c>
      <c r="U261" s="183" t="s">
        <v>166</v>
      </c>
      <c r="V261" s="182" t="s">
        <v>105</v>
      </c>
      <c r="W261" s="182" t="s">
        <v>102</v>
      </c>
      <c r="X261" s="182" t="s">
        <v>979</v>
      </c>
      <c r="Y261" s="182">
        <v>45792</v>
      </c>
      <c r="Z261" s="184">
        <f>IFERROR(INDEX(Base!G:G,MATCH('Debêntures IPCA-Spread'!Y261,Base!F:F,0)),"")</f>
        <v>5.73</v>
      </c>
      <c r="AA261" s="115"/>
      <c r="AB261" s="185">
        <v>45552</v>
      </c>
      <c r="AC261" s="186">
        <v>5.9065000000000003</v>
      </c>
      <c r="AD261" s="187">
        <f t="shared" si="13"/>
        <v>0.17649999999999988</v>
      </c>
      <c r="AE261" s="188">
        <v>0.09</v>
      </c>
      <c r="AF261" s="189">
        <v>6.0795000000000003</v>
      </c>
      <c r="AG261" s="189">
        <v>5.7160000000000002</v>
      </c>
      <c r="AH261" s="190">
        <v>1403.5969640000001</v>
      </c>
      <c r="AI261" s="190">
        <v>1403.5969640000001</v>
      </c>
      <c r="AJ261" s="191">
        <f t="shared" si="14"/>
        <v>1</v>
      </c>
      <c r="AK261" s="192">
        <v>45552</v>
      </c>
      <c r="AL261" s="193">
        <v>98.95</v>
      </c>
      <c r="AM261" s="194">
        <v>301</v>
      </c>
      <c r="AN261" s="115"/>
      <c r="AO261" s="195">
        <v>6.6953189161999996E-5</v>
      </c>
      <c r="AP261" s="196">
        <f>IF(AO261="","",AO261-AO$6)</f>
        <v>-4.13191695768E-4</v>
      </c>
      <c r="AQ261" s="196">
        <v>7.3270108150999998E-3</v>
      </c>
      <c r="AR261" s="196">
        <f>IF(AQ261="","",AQ261-AQ$6)</f>
        <v>7.5445175680599998E-3</v>
      </c>
      <c r="AS261" s="196">
        <v>7.2697290538000003E-2</v>
      </c>
      <c r="AT261" s="196">
        <f>IF(AS261="","",AS261-AS$6)</f>
        <v>5.7971455483000006E-2</v>
      </c>
      <c r="AU261" s="196">
        <v>1.1609030087E-2</v>
      </c>
      <c r="AV261" s="196">
        <f>IF(AU261="","",AU261-AU$6)</f>
        <v>2.4677612682999998E-2</v>
      </c>
      <c r="AW261" s="196">
        <v>2.8484166549E-2</v>
      </c>
      <c r="AX261" s="196">
        <f>IF(AW261="","",AW261-AW$6)</f>
        <v>4.4890987609999995E-3</v>
      </c>
      <c r="AY261" s="196">
        <v>4.4026434858000001E-2</v>
      </c>
      <c r="AZ261" s="196">
        <f>IF(AY261="","",AY261-AY$6)</f>
        <v>2.9784180068000002E-2</v>
      </c>
      <c r="BA261" s="196">
        <v>0.10303522571</v>
      </c>
      <c r="BB261" s="196">
        <f>IF(BA261="","",BA261-BA$6)</f>
        <v>4.9548261151999999E-2</v>
      </c>
      <c r="BC261" s="196">
        <v>0.23815190191999999</v>
      </c>
      <c r="BD261" s="196">
        <f>IF(BC261="","",BC261-BC$6)</f>
        <v>4.3843335429999991E-2</v>
      </c>
      <c r="BE261" s="196">
        <v>0.34193229859000002</v>
      </c>
      <c r="BF261" s="196">
        <f>IF(BE261="","",BE261-BE$6)</f>
        <v>8.0212959050000032E-2</v>
      </c>
      <c r="BG261" s="196">
        <v>0.45273626712999998</v>
      </c>
      <c r="BH261" s="196">
        <f>IF(BG261="","",BG261-BG$6)</f>
        <v>0.14381961831999995</v>
      </c>
      <c r="BI261" s="196">
        <v>0.55207325568999999</v>
      </c>
      <c r="BJ261" s="196">
        <f>IF(BI261="","",BI261-BI$6)</f>
        <v>0.17913024560999996</v>
      </c>
      <c r="BK261" s="197">
        <v>2.0472405326000001</v>
      </c>
      <c r="BL261" s="115"/>
      <c r="BM261" s="198">
        <v>8.1473445916000007E-3</v>
      </c>
      <c r="BN261" s="191">
        <v>-4.1444154257999997E-3</v>
      </c>
      <c r="BO261" s="191">
        <v>1.8022550479000001E-2</v>
      </c>
      <c r="BP261" s="191">
        <v>-2.8723919086000001E-3</v>
      </c>
      <c r="BQ261" s="199">
        <v>10</v>
      </c>
      <c r="BR261" s="199">
        <v>2</v>
      </c>
      <c r="BS261" s="199">
        <v>8</v>
      </c>
      <c r="BT261" s="199">
        <v>4</v>
      </c>
      <c r="BU261" s="200">
        <v>-0.37351537839999999</v>
      </c>
      <c r="BV261" s="200">
        <v>-0.37420568411999999</v>
      </c>
      <c r="BW261" s="191">
        <v>2.1163847811E-3</v>
      </c>
      <c r="BX261" s="191">
        <v>1.1942854503E-3</v>
      </c>
      <c r="BY261" s="189">
        <v>-1.1278051728</v>
      </c>
      <c r="BZ261" s="191">
        <v>-9.6377995468000001E-3</v>
      </c>
      <c r="CA261" s="191">
        <v>-9.6377995468000001E-3</v>
      </c>
      <c r="CB261" s="182">
        <v>45189</v>
      </c>
      <c r="CC261" s="182">
        <v>45217</v>
      </c>
      <c r="CD261" s="201">
        <v>37</v>
      </c>
      <c r="CE261" s="202">
        <v>45244</v>
      </c>
      <c r="CF261" s="116"/>
    </row>
    <row r="262" spans="2:84" ht="15.6" x14ac:dyDescent="0.3">
      <c r="B262" s="110" t="s">
        <v>542</v>
      </c>
      <c r="C262" s="147" t="s">
        <v>707</v>
      </c>
      <c r="D262" s="148" t="s">
        <v>634</v>
      </c>
      <c r="E262" s="148" t="s">
        <v>226</v>
      </c>
      <c r="F262" s="149">
        <v>28201130000101</v>
      </c>
      <c r="G262" s="149" t="s">
        <v>862</v>
      </c>
      <c r="H262" s="149" t="s">
        <v>388</v>
      </c>
      <c r="I262" s="150">
        <v>2</v>
      </c>
      <c r="J262" s="151">
        <v>1</v>
      </c>
      <c r="K262" s="151" t="s">
        <v>126</v>
      </c>
      <c r="L262" s="151" t="s">
        <v>116</v>
      </c>
      <c r="M262" s="151" t="s">
        <v>114</v>
      </c>
      <c r="N262" s="151" t="s">
        <v>109</v>
      </c>
      <c r="O262" s="152">
        <v>57400</v>
      </c>
      <c r="P262" s="153">
        <v>57400000</v>
      </c>
      <c r="Q262" s="153">
        <v>1000</v>
      </c>
      <c r="R262" s="154">
        <v>44119</v>
      </c>
      <c r="S262" s="154">
        <v>46675</v>
      </c>
      <c r="T262" s="155" t="s">
        <v>787</v>
      </c>
      <c r="U262" s="155" t="s">
        <v>166</v>
      </c>
      <c r="V262" s="154" t="s">
        <v>105</v>
      </c>
      <c r="W262" s="154" t="s">
        <v>102</v>
      </c>
      <c r="X262" s="154" t="s">
        <v>975</v>
      </c>
      <c r="Y262" s="154">
        <v>46522</v>
      </c>
      <c r="Z262" s="156">
        <f>IFERROR(INDEX(Base!G:G,MATCH('Debêntures IPCA-Spread'!Y262,Base!F:F,0)),"")</f>
        <v>6.391</v>
      </c>
      <c r="AA262" s="115"/>
      <c r="AB262" s="157">
        <v>45552</v>
      </c>
      <c r="AC262" s="158">
        <v>6.5682999999999998</v>
      </c>
      <c r="AD262" s="159">
        <f t="shared" si="13"/>
        <v>0.17729999999999979</v>
      </c>
      <c r="AE262" s="160">
        <v>0.12</v>
      </c>
      <c r="AF262" s="161">
        <v>6.6985999999999999</v>
      </c>
      <c r="AG262" s="161">
        <v>6.5026000000000002</v>
      </c>
      <c r="AH262" s="162">
        <v>1231.1827599999999</v>
      </c>
      <c r="AI262" s="162">
        <v>1231.1827599999999</v>
      </c>
      <c r="AJ262" s="163">
        <f t="shared" si="14"/>
        <v>1</v>
      </c>
      <c r="AK262" s="164">
        <v>45552</v>
      </c>
      <c r="AL262" s="165">
        <v>93.88</v>
      </c>
      <c r="AM262" s="166">
        <v>716</v>
      </c>
      <c r="AN262" s="115"/>
      <c r="AO262" s="167">
        <v>7.4036316073000001E-4</v>
      </c>
      <c r="AP262" s="168">
        <f>IF(AO262="","",AO262-AO$6)</f>
        <v>2.6021827580000002E-4</v>
      </c>
      <c r="AQ262" s="168">
        <v>7.2921396039999998E-3</v>
      </c>
      <c r="AR262" s="168">
        <f>IF(AQ262="","",AQ262-AQ$6)</f>
        <v>7.5096463569599998E-3</v>
      </c>
      <c r="AS262" s="168">
        <v>5.9768036383000003E-2</v>
      </c>
      <c r="AT262" s="168">
        <f>IF(AS262="","",AS262-AS$6)</f>
        <v>4.5042201328000006E-2</v>
      </c>
      <c r="AU262" s="168">
        <v>8.1036406100000007E-3</v>
      </c>
      <c r="AV262" s="168">
        <f>IF(AU262="","",AU262-AU$6)</f>
        <v>2.1172223205999999E-2</v>
      </c>
      <c r="AW262" s="168">
        <v>3.3245675522000001E-2</v>
      </c>
      <c r="AX262" s="168">
        <f>IF(AW262="","",AW262-AW$6)</f>
        <v>9.2506077340000006E-3</v>
      </c>
      <c r="AY262" s="168">
        <v>3.3956767479999997E-2</v>
      </c>
      <c r="AZ262" s="168">
        <f>IF(AY262="","",AY262-AY$6)</f>
        <v>1.9714512689999998E-2</v>
      </c>
      <c r="BA262" s="168">
        <v>8.7423604503999996E-2</v>
      </c>
      <c r="BB262" s="168">
        <f>IF(BA262="","",BA262-BA$6)</f>
        <v>3.3936639945999998E-2</v>
      </c>
      <c r="BC262" s="168">
        <v>0.22761980742999999</v>
      </c>
      <c r="BD262" s="168">
        <f>IF(BC262="","",BC262-BC$6)</f>
        <v>3.3311240939999986E-2</v>
      </c>
      <c r="BE262" s="168">
        <v>0.33805260492</v>
      </c>
      <c r="BF262" s="168">
        <f>IF(BE262="","",BE262-BE$6)</f>
        <v>7.6333265380000015E-2</v>
      </c>
      <c r="BG262" s="168"/>
      <c r="BH262" s="168" t="str">
        <f>IF(BG262="","",BG262-BG$6)</f>
        <v/>
      </c>
      <c r="BI262" s="168"/>
      <c r="BJ262" s="168" t="str">
        <f>IF(BI262="","",BI262-BI$6)</f>
        <v/>
      </c>
      <c r="BK262" s="169">
        <v>3.6082476633999998</v>
      </c>
      <c r="BL262" s="115"/>
      <c r="BM262" s="170">
        <v>6.9289532112E-3</v>
      </c>
      <c r="BN262" s="163">
        <v>-6.1499618731999999E-3</v>
      </c>
      <c r="BO262" s="163">
        <v>2.9984093688000001E-2</v>
      </c>
      <c r="BP262" s="163">
        <v>-1.3359924885000001E-2</v>
      </c>
      <c r="BQ262" s="171">
        <v>9</v>
      </c>
      <c r="BR262" s="171">
        <v>3</v>
      </c>
      <c r="BS262" s="171">
        <v>7</v>
      </c>
      <c r="BT262" s="171">
        <v>5</v>
      </c>
      <c r="BU262" s="172">
        <v>-0.58956069937</v>
      </c>
      <c r="BV262" s="172">
        <v>-0.27974037939000002</v>
      </c>
      <c r="BW262" s="163">
        <v>3.7270803817E-3</v>
      </c>
      <c r="BX262" s="163">
        <v>2.4842900914000001E-3</v>
      </c>
      <c r="BY262" s="161">
        <v>-2.8802092012</v>
      </c>
      <c r="BZ262" s="163">
        <v>-2.1000025674999999E-2</v>
      </c>
      <c r="CA262" s="163">
        <v>-2.1000025674999999E-2</v>
      </c>
      <c r="CB262" s="154">
        <v>45188</v>
      </c>
      <c r="CC262" s="154">
        <v>45230</v>
      </c>
      <c r="CD262" s="173">
        <v>40</v>
      </c>
      <c r="CE262" s="174">
        <v>45247</v>
      </c>
      <c r="CF262" s="116"/>
    </row>
    <row r="263" spans="2:84" ht="15.6" x14ac:dyDescent="0.3">
      <c r="B263" s="98" t="s">
        <v>543</v>
      </c>
      <c r="C263" s="175" t="s">
        <v>708</v>
      </c>
      <c r="D263" s="176" t="s">
        <v>634</v>
      </c>
      <c r="E263" s="176" t="s">
        <v>226</v>
      </c>
      <c r="F263" s="177">
        <v>28201130000101</v>
      </c>
      <c r="G263" s="177" t="s">
        <v>863</v>
      </c>
      <c r="H263" s="177" t="s">
        <v>388</v>
      </c>
      <c r="I263" s="178">
        <v>2</v>
      </c>
      <c r="J263" s="179">
        <v>2</v>
      </c>
      <c r="K263" s="179" t="s">
        <v>126</v>
      </c>
      <c r="L263" s="179" t="s">
        <v>116</v>
      </c>
      <c r="M263" s="179" t="s">
        <v>114</v>
      </c>
      <c r="N263" s="179" t="s">
        <v>109</v>
      </c>
      <c r="O263" s="180">
        <v>82600</v>
      </c>
      <c r="P263" s="181">
        <v>82600000</v>
      </c>
      <c r="Q263" s="181">
        <v>1000</v>
      </c>
      <c r="R263" s="182">
        <v>44119</v>
      </c>
      <c r="S263" s="182">
        <v>47771</v>
      </c>
      <c r="T263" s="183" t="s">
        <v>780</v>
      </c>
      <c r="U263" s="183" t="s">
        <v>931</v>
      </c>
      <c r="V263" s="182" t="s">
        <v>105</v>
      </c>
      <c r="W263" s="182" t="s">
        <v>102</v>
      </c>
      <c r="X263" s="182" t="s">
        <v>976</v>
      </c>
      <c r="Y263" s="182">
        <v>47253</v>
      </c>
      <c r="Z263" s="184">
        <f>IFERROR(INDEX(Base!G:G,MATCH('Debêntures IPCA-Spread'!Y263,Base!F:F,0)),"")</f>
        <v>6.41</v>
      </c>
      <c r="AA263" s="115"/>
      <c r="AB263" s="185">
        <v>45552</v>
      </c>
      <c r="AC263" s="186">
        <v>6.4909999999999997</v>
      </c>
      <c r="AD263" s="187">
        <f t="shared" si="13"/>
        <v>8.0999999999999517E-2</v>
      </c>
      <c r="AE263" s="188">
        <v>0.18</v>
      </c>
      <c r="AF263" s="189">
        <v>6.6943000000000001</v>
      </c>
      <c r="AG263" s="189">
        <v>6.3535000000000004</v>
      </c>
      <c r="AH263" s="190">
        <v>1205.5727260000001</v>
      </c>
      <c r="AI263" s="190">
        <v>1211.3109899999999</v>
      </c>
      <c r="AJ263" s="191">
        <f t="shared" si="14"/>
        <v>0.99526276567506433</v>
      </c>
      <c r="AK263" s="192">
        <v>45518</v>
      </c>
      <c r="AL263" s="193">
        <v>91.83</v>
      </c>
      <c r="AM263" s="194">
        <v>1118</v>
      </c>
      <c r="AN263" s="115"/>
      <c r="AO263" s="195">
        <v>5.4481295956000002E-4</v>
      </c>
      <c r="AP263" s="196">
        <f>IF(AO263="","",AO263-AO$6)</f>
        <v>6.4668074630000027E-5</v>
      </c>
      <c r="AQ263" s="196">
        <v>8.6435158282000008E-3</v>
      </c>
      <c r="AR263" s="196">
        <f>IF(AQ263="","",AQ263-AQ$6)</f>
        <v>8.86102258116E-3</v>
      </c>
      <c r="AS263" s="196">
        <v>6.1369551802000002E-2</v>
      </c>
      <c r="AT263" s="196">
        <f>IF(AS263="","",AS263-AS$6)</f>
        <v>4.6643716747000005E-2</v>
      </c>
      <c r="AU263" s="196">
        <v>-1.213567054E-3</v>
      </c>
      <c r="AV263" s="196">
        <f>IF(AU263="","",AU263-AU$6)</f>
        <v>1.1855015542E-2</v>
      </c>
      <c r="AW263" s="196">
        <v>3.7250562365000003E-2</v>
      </c>
      <c r="AX263" s="196">
        <f>IF(AW263="","",AW263-AW$6)</f>
        <v>1.3255494577000003E-2</v>
      </c>
      <c r="AY263" s="196">
        <v>1.9671413522000001E-2</v>
      </c>
      <c r="AZ263" s="196">
        <f>IF(AY263="","",AY263-AY$6)</f>
        <v>5.4291587320000004E-3</v>
      </c>
      <c r="BA263" s="196">
        <v>9.4228660212999998E-2</v>
      </c>
      <c r="BB263" s="196">
        <f>IF(BA263="","",BA263-BA$6)</f>
        <v>4.0741695655E-2</v>
      </c>
      <c r="BC263" s="196">
        <v>0.23005072870000001</v>
      </c>
      <c r="BD263" s="196">
        <f>IF(BC263="","",BC263-BC$6)</f>
        <v>3.5742162210000011E-2</v>
      </c>
      <c r="BE263" s="196">
        <v>0.31537491648999999</v>
      </c>
      <c r="BF263" s="196">
        <f>IF(BE263="","",BE263-BE$6)</f>
        <v>5.3655576950000006E-2</v>
      </c>
      <c r="BG263" s="196"/>
      <c r="BH263" s="196" t="str">
        <f>IF(BG263="","",BG263-BG$6)</f>
        <v/>
      </c>
      <c r="BI263" s="196"/>
      <c r="BJ263" s="196" t="str">
        <f>IF(BI263="","",BI263-BI$6)</f>
        <v/>
      </c>
      <c r="BK263" s="197">
        <v>4.7815226110999998</v>
      </c>
      <c r="BL263" s="115"/>
      <c r="BM263" s="198">
        <v>1.1697912309999999E-2</v>
      </c>
      <c r="BN263" s="191">
        <v>-9.6673230163999996E-3</v>
      </c>
      <c r="BO263" s="191">
        <v>2.7637410683000001E-2</v>
      </c>
      <c r="BP263" s="191">
        <v>-2.0234428539E-2</v>
      </c>
      <c r="BQ263" s="199">
        <v>9</v>
      </c>
      <c r="BR263" s="199">
        <v>3</v>
      </c>
      <c r="BS263" s="199">
        <v>7</v>
      </c>
      <c r="BT263" s="199">
        <v>5</v>
      </c>
      <c r="BU263" s="200">
        <v>-0.30662274967000003</v>
      </c>
      <c r="BV263" s="200">
        <v>-0.33146345267999999</v>
      </c>
      <c r="BW263" s="191">
        <v>4.9411177086999998E-3</v>
      </c>
      <c r="BX263" s="191">
        <v>4.2787429205000003E-3</v>
      </c>
      <c r="BY263" s="189">
        <v>-2.2340316823999999</v>
      </c>
      <c r="BZ263" s="191">
        <v>-2.5258630269E-2</v>
      </c>
      <c r="CA263" s="191">
        <v>-2.5258630269E-2</v>
      </c>
      <c r="CB263" s="182">
        <v>45391</v>
      </c>
      <c r="CC263" s="182">
        <v>45412</v>
      </c>
      <c r="CD263" s="201">
        <v>81</v>
      </c>
      <c r="CE263" s="202">
        <v>45506</v>
      </c>
      <c r="CF263" s="116"/>
    </row>
    <row r="264" spans="2:84" ht="15.6" x14ac:dyDescent="0.3">
      <c r="B264" s="110" t="s">
        <v>544</v>
      </c>
      <c r="C264" s="147" t="s">
        <v>709</v>
      </c>
      <c r="D264" s="148" t="s">
        <v>635</v>
      </c>
      <c r="E264" s="148" t="s">
        <v>226</v>
      </c>
      <c r="F264" s="149">
        <v>15413826000150</v>
      </c>
      <c r="G264" s="149" t="s">
        <v>864</v>
      </c>
      <c r="H264" s="149" t="s">
        <v>388</v>
      </c>
      <c r="I264" s="150">
        <v>11</v>
      </c>
      <c r="J264" s="151" t="s">
        <v>107</v>
      </c>
      <c r="K264" s="151" t="s">
        <v>126</v>
      </c>
      <c r="L264" s="151" t="s">
        <v>112</v>
      </c>
      <c r="M264" s="151" t="s">
        <v>106</v>
      </c>
      <c r="N264" s="151" t="s">
        <v>109</v>
      </c>
      <c r="O264" s="152">
        <v>155000</v>
      </c>
      <c r="P264" s="153">
        <v>155000000</v>
      </c>
      <c r="Q264" s="153">
        <v>1000</v>
      </c>
      <c r="R264" s="154">
        <v>43358</v>
      </c>
      <c r="S264" s="154">
        <v>45915</v>
      </c>
      <c r="T264" s="155" t="s">
        <v>788</v>
      </c>
      <c r="U264" s="155" t="s">
        <v>936</v>
      </c>
      <c r="V264" s="154" t="s">
        <v>105</v>
      </c>
      <c r="W264" s="154" t="s">
        <v>102</v>
      </c>
      <c r="X264" s="154" t="s">
        <v>977</v>
      </c>
      <c r="Y264" s="154">
        <v>45792</v>
      </c>
      <c r="Z264" s="156">
        <f>IFERROR(INDEX(Base!G:G,MATCH('Debêntures IPCA-Spread'!Y264,Base!F:F,0)),"")</f>
        <v>5.73</v>
      </c>
      <c r="AA264" s="115"/>
      <c r="AB264" s="157">
        <v>45552</v>
      </c>
      <c r="AC264" s="158">
        <v>5.8287000000000004</v>
      </c>
      <c r="AD264" s="159">
        <f t="shared" si="13"/>
        <v>9.870000000000001E-2</v>
      </c>
      <c r="AE264" s="160">
        <v>7.0000000000000007E-2</v>
      </c>
      <c r="AF264" s="161">
        <v>6.0442</v>
      </c>
      <c r="AG264" s="161">
        <v>5.6775000000000002</v>
      </c>
      <c r="AH264" s="162">
        <v>453.749371</v>
      </c>
      <c r="AI264" s="162">
        <v>453.749371</v>
      </c>
      <c r="AJ264" s="163">
        <f t="shared" si="14"/>
        <v>1</v>
      </c>
      <c r="AK264" s="164">
        <v>45552</v>
      </c>
      <c r="AL264" s="165">
        <v>99.31</v>
      </c>
      <c r="AM264" s="166">
        <v>246</v>
      </c>
      <c r="AN264" s="115"/>
      <c r="AO264" s="167">
        <v>4.9269951341999996E-4</v>
      </c>
      <c r="AP264" s="168">
        <f>IF(AO264="","",AO264-AO$6)</f>
        <v>1.2554628489999968E-5</v>
      </c>
      <c r="AQ264" s="168">
        <v>4.3572315572000002E-3</v>
      </c>
      <c r="AR264" s="168">
        <f>IF(AQ264="","",AQ264-AQ$6)</f>
        <v>4.5747383101600002E-3</v>
      </c>
      <c r="AS264" s="168">
        <v>7.7068623736E-2</v>
      </c>
      <c r="AT264" s="168">
        <f>IF(AS264="","",AS264-AS$6)</f>
        <v>6.2342788681000003E-2</v>
      </c>
      <c r="AU264" s="168">
        <v>7.9320490803999992E-3</v>
      </c>
      <c r="AV264" s="168">
        <f>IF(AU264="","",AU264-AU$6)</f>
        <v>2.1000631676399997E-2</v>
      </c>
      <c r="AW264" s="168">
        <v>2.6681372275999999E-2</v>
      </c>
      <c r="AX264" s="168">
        <f>IF(AW264="","",AW264-AW$6)</f>
        <v>2.6863044879999985E-3</v>
      </c>
      <c r="AY264" s="168">
        <v>4.8587493484000002E-2</v>
      </c>
      <c r="AZ264" s="168">
        <f>IF(AY264="","",AY264-AY$6)</f>
        <v>3.4345238694000003E-2</v>
      </c>
      <c r="BA264" s="168">
        <v>0.10393461999</v>
      </c>
      <c r="BB264" s="168">
        <f>IF(BA264="","",BA264-BA$6)</f>
        <v>5.0447655432000006E-2</v>
      </c>
      <c r="BC264" s="168">
        <v>0.24349199156000001</v>
      </c>
      <c r="BD264" s="168">
        <f>IF(BC264="","",BC264-BC$6)</f>
        <v>4.9183425070000009E-2</v>
      </c>
      <c r="BE264" s="168">
        <v>0.36423090486999998</v>
      </c>
      <c r="BF264" s="168">
        <f>IF(BE264="","",BE264-BE$6)</f>
        <v>0.10251156533</v>
      </c>
      <c r="BG264" s="168">
        <v>0.48736567385000001</v>
      </c>
      <c r="BH264" s="168">
        <f>IF(BG264="","",BG264-BG$6)</f>
        <v>0.17844902503999999</v>
      </c>
      <c r="BI264" s="168">
        <v>0.58186697990000003</v>
      </c>
      <c r="BJ264" s="168">
        <f>IF(BI264="","",BI264-BI$6)</f>
        <v>0.20892396982</v>
      </c>
      <c r="BK264" s="169">
        <v>1.1583951872</v>
      </c>
      <c r="BL264" s="115"/>
      <c r="BM264" s="170">
        <v>3.8590220938E-3</v>
      </c>
      <c r="BN264" s="163">
        <v>-2.3874904645999999E-3</v>
      </c>
      <c r="BO264" s="163">
        <v>1.4021620705E-2</v>
      </c>
      <c r="BP264" s="163">
        <v>1.9615512464999998E-3</v>
      </c>
      <c r="BQ264" s="171">
        <v>12</v>
      </c>
      <c r="BR264" s="171">
        <v>0</v>
      </c>
      <c r="BS264" s="171">
        <v>7</v>
      </c>
      <c r="BT264" s="171">
        <v>5</v>
      </c>
      <c r="BU264" s="172">
        <v>-0.60117571929000002</v>
      </c>
      <c r="BV264" s="172">
        <v>-0.30589018136000001</v>
      </c>
      <c r="BW264" s="163">
        <v>1.1971196506999999E-3</v>
      </c>
      <c r="BX264" s="163">
        <v>5.7073591900999999E-4</v>
      </c>
      <c r="BY264" s="161">
        <v>-0.94101051442000005</v>
      </c>
      <c r="BZ264" s="163">
        <v>-4.1674134783000003E-3</v>
      </c>
      <c r="CA264" s="163">
        <v>-4.1674134783000003E-3</v>
      </c>
      <c r="CB264" s="154">
        <v>45187</v>
      </c>
      <c r="CC264" s="154">
        <v>45202</v>
      </c>
      <c r="CD264" s="173">
        <v>16</v>
      </c>
      <c r="CE264" s="174">
        <v>45209</v>
      </c>
      <c r="CF264" s="116"/>
    </row>
    <row r="265" spans="2:84" ht="15.6" x14ac:dyDescent="0.3">
      <c r="B265" s="98" t="s">
        <v>1450</v>
      </c>
      <c r="C265" s="175" t="s">
        <v>2096</v>
      </c>
      <c r="D265" s="176" t="s">
        <v>635</v>
      </c>
      <c r="E265" s="176" t="s">
        <v>226</v>
      </c>
      <c r="F265" s="177">
        <v>15413826000150</v>
      </c>
      <c r="G265" s="177" t="s">
        <v>1809</v>
      </c>
      <c r="H265" s="177" t="s">
        <v>388</v>
      </c>
      <c r="I265" s="178">
        <v>16</v>
      </c>
      <c r="J265" s="179">
        <v>1</v>
      </c>
      <c r="K265" s="179" t="s">
        <v>126</v>
      </c>
      <c r="L265" s="179" t="s">
        <v>112</v>
      </c>
      <c r="M265" s="179" t="s">
        <v>106</v>
      </c>
      <c r="N265" s="179" t="s">
        <v>109</v>
      </c>
      <c r="O265" s="180">
        <v>320000</v>
      </c>
      <c r="P265" s="181">
        <v>320000000</v>
      </c>
      <c r="Q265" s="181">
        <v>1000</v>
      </c>
      <c r="R265" s="182">
        <v>44484</v>
      </c>
      <c r="S265" s="182">
        <v>48136</v>
      </c>
      <c r="T265" s="183" t="s">
        <v>1199</v>
      </c>
      <c r="U265" s="183" t="s">
        <v>1672</v>
      </c>
      <c r="V265" s="182" t="s">
        <v>105</v>
      </c>
      <c r="W265" s="182" t="s">
        <v>102</v>
      </c>
      <c r="X265" s="182" t="s">
        <v>1577</v>
      </c>
      <c r="Y265" s="182">
        <v>47710</v>
      </c>
      <c r="Z265" s="184">
        <f>IFERROR(INDEX(Base!G:G,MATCH('Debêntures IPCA-Spread'!Y265,Base!F:F,0)),"")</f>
        <v>6.3273999999999999</v>
      </c>
      <c r="AA265" s="115"/>
      <c r="AB265" s="185">
        <v>45552</v>
      </c>
      <c r="AC265" s="186">
        <v>6.5781000000000001</v>
      </c>
      <c r="AD265" s="187">
        <f t="shared" si="13"/>
        <v>0.25070000000000014</v>
      </c>
      <c r="AE265" s="188">
        <v>0.12</v>
      </c>
      <c r="AF265" s="189">
        <v>6.7042999999999999</v>
      </c>
      <c r="AG265" s="189">
        <v>6.4546999999999999</v>
      </c>
      <c r="AH265" s="190">
        <v>1167.9198080000001</v>
      </c>
      <c r="AI265" s="190">
        <v>1183.975171</v>
      </c>
      <c r="AJ265" s="191">
        <f t="shared" si="14"/>
        <v>0.98643944282510643</v>
      </c>
      <c r="AK265" s="192">
        <v>45518</v>
      </c>
      <c r="AL265" s="193">
        <v>97.72</v>
      </c>
      <c r="AM265" s="194">
        <v>1258</v>
      </c>
      <c r="AN265" s="115"/>
      <c r="AO265" s="195">
        <v>-7.7498129758000003E-4</v>
      </c>
      <c r="AP265" s="196">
        <f>IF(AO265="","",AO265-AO$6)</f>
        <v>-1.25512618251E-3</v>
      </c>
      <c r="AQ265" s="196">
        <v>2.7803643570000001E-4</v>
      </c>
      <c r="AR265" s="196">
        <f>IF(AQ265="","",AQ265-AQ$6)</f>
        <v>4.9554318866000004E-4</v>
      </c>
      <c r="AS265" s="196">
        <v>5.1861152803999999E-2</v>
      </c>
      <c r="AT265" s="196">
        <f>IF(AS265="","",AS265-AS$6)</f>
        <v>3.7135317749000002E-2</v>
      </c>
      <c r="AU265" s="196">
        <v>-1.0634202462E-2</v>
      </c>
      <c r="AV265" s="196">
        <f>IF(AU265="","",AU265-AU$6)</f>
        <v>2.4343801340000002E-3</v>
      </c>
      <c r="AW265" s="196">
        <v>2.8270886916E-2</v>
      </c>
      <c r="AX265" s="196">
        <f>IF(AW265="","",AW265-AW$6)</f>
        <v>4.2758191279999996E-3</v>
      </c>
      <c r="AY265" s="196">
        <v>1.6519019026999999E-2</v>
      </c>
      <c r="AZ265" s="196">
        <f>IF(AY265="","",AY265-AY$6)</f>
        <v>2.2767642369999983E-3</v>
      </c>
      <c r="BA265" s="196">
        <v>7.9897480504000001E-2</v>
      </c>
      <c r="BB265" s="196">
        <f>IF(BA265="","",BA265-BA$6)</f>
        <v>2.6410515946000003E-2</v>
      </c>
      <c r="BC265" s="196">
        <v>0.23550151390999999</v>
      </c>
      <c r="BD265" s="196">
        <f>IF(BC265="","",BC265-BC$6)</f>
        <v>4.1192947419999987E-2</v>
      </c>
      <c r="BE265" s="196"/>
      <c r="BF265" s="196" t="str">
        <f>IF(BE265="","",BE265-BE$6)</f>
        <v/>
      </c>
      <c r="BG265" s="196"/>
      <c r="BH265" s="196" t="str">
        <f>IF(BG265="","",BG265-BG$6)</f>
        <v/>
      </c>
      <c r="BI265" s="196"/>
      <c r="BJ265" s="196" t="str">
        <f>IF(BI265="","",BI265-BI$6)</f>
        <v/>
      </c>
      <c r="BK265" s="197">
        <v>4.8076025046000002</v>
      </c>
      <c r="BL265" s="115"/>
      <c r="BM265" s="198">
        <v>1.0016724809E-2</v>
      </c>
      <c r="BN265" s="191">
        <v>-1.2860209839999999E-2</v>
      </c>
      <c r="BO265" s="191">
        <v>2.6407166738999999E-2</v>
      </c>
      <c r="BP265" s="191">
        <v>-1.9843842798999999E-2</v>
      </c>
      <c r="BQ265" s="199">
        <v>8</v>
      </c>
      <c r="BR265" s="199">
        <v>4</v>
      </c>
      <c r="BS265" s="199">
        <v>6</v>
      </c>
      <c r="BT265" s="199">
        <v>6</v>
      </c>
      <c r="BU265" s="200">
        <v>-0.57330088714000005</v>
      </c>
      <c r="BV265" s="200"/>
      <c r="BW265" s="191">
        <v>4.9664781945000002E-3</v>
      </c>
      <c r="BX265" s="191">
        <v>4.2030808960000004E-3</v>
      </c>
      <c r="BY265" s="189">
        <v>-3.7448863769999998</v>
      </c>
      <c r="BZ265" s="191">
        <v>-2.5797776590000002E-2</v>
      </c>
      <c r="CA265" s="191">
        <v>-2.5797776590000002E-2</v>
      </c>
      <c r="CB265" s="182">
        <v>45364</v>
      </c>
      <c r="CC265" s="182">
        <v>45412</v>
      </c>
      <c r="CD265" s="201">
        <v>83</v>
      </c>
      <c r="CE265" s="202">
        <v>45484</v>
      </c>
      <c r="CF265" s="116"/>
    </row>
    <row r="266" spans="2:84" ht="15.6" x14ac:dyDescent="0.3">
      <c r="B266" s="110" t="s">
        <v>2281</v>
      </c>
      <c r="C266" s="147" t="s">
        <v>2666</v>
      </c>
      <c r="D266" s="148" t="s">
        <v>635</v>
      </c>
      <c r="E266" s="148" t="s">
        <v>226</v>
      </c>
      <c r="F266" s="149">
        <v>15413826000150</v>
      </c>
      <c r="G266" s="149" t="s">
        <v>2416</v>
      </c>
      <c r="H266" s="149" t="s">
        <v>388</v>
      </c>
      <c r="I266" s="150">
        <v>21</v>
      </c>
      <c r="J266" s="151" t="s">
        <v>107</v>
      </c>
      <c r="K266" s="151" t="s">
        <v>126</v>
      </c>
      <c r="L266" s="151" t="s">
        <v>112</v>
      </c>
      <c r="M266" s="151" t="s">
        <v>114</v>
      </c>
      <c r="N266" s="151" t="s">
        <v>109</v>
      </c>
      <c r="O266" s="152">
        <v>400000</v>
      </c>
      <c r="P266" s="153">
        <v>400000000</v>
      </c>
      <c r="Q266" s="153">
        <v>1000</v>
      </c>
      <c r="R266" s="154">
        <v>45329</v>
      </c>
      <c r="S266" s="154">
        <v>47894</v>
      </c>
      <c r="T266" s="155" t="s">
        <v>2829</v>
      </c>
      <c r="U266" s="155" t="s">
        <v>2754</v>
      </c>
      <c r="V266" s="154" t="s">
        <v>105</v>
      </c>
      <c r="W266" s="154" t="s">
        <v>102</v>
      </c>
      <c r="X266" s="154" t="s">
        <v>1622</v>
      </c>
      <c r="Y266" s="154">
        <v>47710</v>
      </c>
      <c r="Z266" s="156">
        <f>IFERROR(INDEX(Base!G:G,MATCH('Debêntures IPCA-Spread'!Y266,Base!F:F,0)),"")</f>
        <v>6.3273999999999999</v>
      </c>
      <c r="AA266" s="115"/>
      <c r="AB266" s="157">
        <v>45552</v>
      </c>
      <c r="AC266" s="158">
        <v>6.4500999999999999</v>
      </c>
      <c r="AD266" s="159">
        <f t="shared" si="13"/>
        <v>0.12270000000000003</v>
      </c>
      <c r="AE266" s="160">
        <v>0.13</v>
      </c>
      <c r="AF266" s="161">
        <v>6.7074999999999996</v>
      </c>
      <c r="AG266" s="161">
        <v>6.2183000000000002</v>
      </c>
      <c r="AH266" s="162">
        <v>1014.411063</v>
      </c>
      <c r="AI266" s="162"/>
      <c r="AJ266" s="163" t="str">
        <f t="shared" si="14"/>
        <v/>
      </c>
      <c r="AK266" s="164"/>
      <c r="AL266" s="165">
        <v>98.4</v>
      </c>
      <c r="AM266" s="166">
        <v>1258</v>
      </c>
      <c r="AN266" s="115"/>
      <c r="AO266" s="167">
        <v>-6.3135194249999997E-4</v>
      </c>
      <c r="AP266" s="168">
        <f>IF(AO266="","",AO266-AO$6)</f>
        <v>-1.11149682743E-3</v>
      </c>
      <c r="AQ266" s="168">
        <v>5.0646930413000002E-3</v>
      </c>
      <c r="AR266" s="168">
        <f>IF(AQ266="","",AQ266-AQ$6)</f>
        <v>5.2821997942600002E-3</v>
      </c>
      <c r="AS266" s="168"/>
      <c r="AT266" s="168" t="str">
        <f>IF(AS266="","",AS266-AS$6)</f>
        <v/>
      </c>
      <c r="AU266" s="168">
        <v>-8.9943150305999992E-3</v>
      </c>
      <c r="AV266" s="168">
        <f>IF(AU266="","",AU266-AU$6)</f>
        <v>4.0742675654000006E-3</v>
      </c>
      <c r="AW266" s="168">
        <v>3.4455719843999998E-2</v>
      </c>
      <c r="AX266" s="168">
        <f>IF(AW266="","",AW266-AW$6)</f>
        <v>1.0460652055999997E-2</v>
      </c>
      <c r="AY266" s="168"/>
      <c r="AZ266" s="168" t="str">
        <f>IF(AY266="","",AY266-AY$6)</f>
        <v/>
      </c>
      <c r="BA266" s="168"/>
      <c r="BB266" s="168" t="str">
        <f>IF(BA266="","",BA266-BA$6)</f>
        <v/>
      </c>
      <c r="BC266" s="168"/>
      <c r="BD266" s="168" t="str">
        <f>IF(BC266="","",BC266-BC$6)</f>
        <v/>
      </c>
      <c r="BE266" s="168"/>
      <c r="BF266" s="168" t="str">
        <f>IF(BE266="","",BE266-BE$6)</f>
        <v/>
      </c>
      <c r="BG266" s="168"/>
      <c r="BH266" s="168" t="str">
        <f>IF(BG266="","",BG266-BG$6)</f>
        <v/>
      </c>
      <c r="BI266" s="168"/>
      <c r="BJ266" s="168" t="str">
        <f>IF(BI266="","",BI266-BI$6)</f>
        <v/>
      </c>
      <c r="BK266" s="169"/>
      <c r="BL266" s="115"/>
      <c r="BM266" s="170">
        <v>7.1427928960000001E-3</v>
      </c>
      <c r="BN266" s="163">
        <v>-9.0737797690999995E-3</v>
      </c>
      <c r="BO266" s="163">
        <v>2.5325880506000001E-2</v>
      </c>
      <c r="BP266" s="163">
        <v>-1.0008823817000001E-2</v>
      </c>
      <c r="BQ266" s="171"/>
      <c r="BR266" s="171"/>
      <c r="BS266" s="171"/>
      <c r="BT266" s="171"/>
      <c r="BU266" s="172"/>
      <c r="BV266" s="172"/>
      <c r="BW266" s="163"/>
      <c r="BX266" s="163">
        <v>4.2649517535999996E-3</v>
      </c>
      <c r="BY266" s="161"/>
      <c r="BZ266" s="163">
        <v>-1.6574881029999999E-2</v>
      </c>
      <c r="CA266" s="163">
        <v>-1.6574881029999999E-2</v>
      </c>
      <c r="CB266" s="154">
        <v>45440</v>
      </c>
      <c r="CC266" s="154">
        <v>45455</v>
      </c>
      <c r="CD266" s="173">
        <v>27</v>
      </c>
      <c r="CE266" s="174">
        <v>45478</v>
      </c>
      <c r="CF266" s="116"/>
    </row>
    <row r="267" spans="2:84" ht="15.6" x14ac:dyDescent="0.3">
      <c r="B267" s="98" t="s">
        <v>545</v>
      </c>
      <c r="C267" s="175" t="s">
        <v>710</v>
      </c>
      <c r="D267" s="176" t="s">
        <v>636</v>
      </c>
      <c r="E267" s="176" t="s">
        <v>226</v>
      </c>
      <c r="F267" s="177">
        <v>4423567000121</v>
      </c>
      <c r="G267" s="177" t="s">
        <v>865</v>
      </c>
      <c r="H267" s="177" t="s">
        <v>388</v>
      </c>
      <c r="I267" s="178">
        <v>2</v>
      </c>
      <c r="J267" s="179">
        <v>3</v>
      </c>
      <c r="K267" s="179" t="s">
        <v>126</v>
      </c>
      <c r="L267" s="179" t="s">
        <v>112</v>
      </c>
      <c r="M267" s="179" t="s">
        <v>106</v>
      </c>
      <c r="N267" s="179" t="s">
        <v>109</v>
      </c>
      <c r="O267" s="180">
        <v>500000</v>
      </c>
      <c r="P267" s="181">
        <v>500000000</v>
      </c>
      <c r="Q267" s="181">
        <v>1000</v>
      </c>
      <c r="R267" s="182">
        <v>43600</v>
      </c>
      <c r="S267" s="182">
        <v>47253</v>
      </c>
      <c r="T267" s="183" t="s">
        <v>776</v>
      </c>
      <c r="U267" s="183" t="s">
        <v>929</v>
      </c>
      <c r="V267" s="182" t="s">
        <v>105</v>
      </c>
      <c r="W267" s="182" t="s">
        <v>102</v>
      </c>
      <c r="X267" s="182" t="s">
        <v>1339</v>
      </c>
      <c r="Y267" s="182">
        <v>46980</v>
      </c>
      <c r="Z267" s="184">
        <f>IFERROR(INDEX(Base!G:G,MATCH('Debêntures IPCA-Spread'!Y267,Base!F:F,0)),"")</f>
        <v>6.4702000000000002</v>
      </c>
      <c r="AA267" s="115"/>
      <c r="AB267" s="185">
        <v>45552</v>
      </c>
      <c r="AC267" s="186">
        <v>6.5697000000000001</v>
      </c>
      <c r="AD267" s="187">
        <f t="shared" si="13"/>
        <v>9.9499999999999922E-2</v>
      </c>
      <c r="AE267" s="188">
        <v>0.14000000000000001</v>
      </c>
      <c r="AF267" s="189">
        <v>6.6733000000000002</v>
      </c>
      <c r="AG267" s="189">
        <v>6.5114999999999998</v>
      </c>
      <c r="AH267" s="190">
        <v>1297.8472569999999</v>
      </c>
      <c r="AI267" s="190">
        <v>1299.3215889999999</v>
      </c>
      <c r="AJ267" s="191">
        <f t="shared" si="14"/>
        <v>0.99886530631640258</v>
      </c>
      <c r="AK267" s="192">
        <v>45540</v>
      </c>
      <c r="AL267" s="193">
        <v>95.39</v>
      </c>
      <c r="AM267" s="194">
        <v>826</v>
      </c>
      <c r="AN267" s="115"/>
      <c r="AO267" s="195">
        <v>-1.6517012136E-4</v>
      </c>
      <c r="AP267" s="196">
        <f>IF(AO267="","",AO267-AO$6)</f>
        <v>-6.4531500629000003E-4</v>
      </c>
      <c r="AQ267" s="196">
        <v>5.9010449003999996E-3</v>
      </c>
      <c r="AR267" s="196">
        <f>IF(AQ267="","",AQ267-AQ$6)</f>
        <v>6.1185516533599996E-3</v>
      </c>
      <c r="AS267" s="196">
        <v>6.1247401526999999E-2</v>
      </c>
      <c r="AT267" s="196">
        <f>IF(AS267="","",AS267-AS$6)</f>
        <v>4.6521566471999995E-2</v>
      </c>
      <c r="AU267" s="196">
        <v>3.5719946681999999E-3</v>
      </c>
      <c r="AV267" s="196">
        <f>IF(AU267="","",AU267-AU$6)</f>
        <v>1.6640577264199999E-2</v>
      </c>
      <c r="AW267" s="196">
        <v>3.4439119539000002E-2</v>
      </c>
      <c r="AX267" s="196">
        <f>IF(AW267="","",AW267-AW$6)</f>
        <v>1.0444051751000001E-2</v>
      </c>
      <c r="AY267" s="196">
        <v>2.5811031532000001E-2</v>
      </c>
      <c r="AZ267" s="196">
        <f>IF(AY267="","",AY267-AY$6)</f>
        <v>1.1568776742000001E-2</v>
      </c>
      <c r="BA267" s="196">
        <v>9.1276478216999996E-2</v>
      </c>
      <c r="BB267" s="196">
        <f>IF(BA267="","",BA267-BA$6)</f>
        <v>3.7789513658999997E-2</v>
      </c>
      <c r="BC267" s="196">
        <v>0.22568554004999999</v>
      </c>
      <c r="BD267" s="196">
        <f>IF(BC267="","",BC267-BC$6)</f>
        <v>3.1376973559999993E-2</v>
      </c>
      <c r="BE267" s="196">
        <v>0.32655802840999998</v>
      </c>
      <c r="BF267" s="196">
        <f>IF(BE267="","",BE267-BE$6)</f>
        <v>6.4838688869999994E-2</v>
      </c>
      <c r="BG267" s="196">
        <v>0.44319075562999999</v>
      </c>
      <c r="BH267" s="196">
        <f>IF(BG267="","",BG267-BG$6)</f>
        <v>0.13427410681999996</v>
      </c>
      <c r="BI267" s="196"/>
      <c r="BJ267" s="196" t="str">
        <f>IF(BI267="","",BI267-BI$6)</f>
        <v/>
      </c>
      <c r="BK267" s="197">
        <v>3.7298214384000001</v>
      </c>
      <c r="BL267" s="115"/>
      <c r="BM267" s="198">
        <v>7.9945942780000005E-3</v>
      </c>
      <c r="BN267" s="191">
        <v>-6.7327358911000003E-3</v>
      </c>
      <c r="BO267" s="191">
        <v>2.3636134074E-2</v>
      </c>
      <c r="BP267" s="191">
        <v>-1.5945437820000002E-2</v>
      </c>
      <c r="BQ267" s="199">
        <v>9</v>
      </c>
      <c r="BR267" s="199">
        <v>3</v>
      </c>
      <c r="BS267" s="199">
        <v>7</v>
      </c>
      <c r="BT267" s="199">
        <v>5</v>
      </c>
      <c r="BU267" s="200">
        <v>-0.47613159248999998</v>
      </c>
      <c r="BV267" s="200">
        <v>-0.32847020859999998</v>
      </c>
      <c r="BW267" s="191">
        <v>3.8537661643999999E-3</v>
      </c>
      <c r="BX267" s="191">
        <v>2.9570351856E-3</v>
      </c>
      <c r="BY267" s="189">
        <v>-2.4818216142999998</v>
      </c>
      <c r="BZ267" s="191">
        <v>-1.8122641115000001E-2</v>
      </c>
      <c r="CA267" s="191">
        <v>-1.8122641115000001E-2</v>
      </c>
      <c r="CB267" s="182">
        <v>45187</v>
      </c>
      <c r="CC267" s="182">
        <v>45222</v>
      </c>
      <c r="CD267" s="201">
        <v>46</v>
      </c>
      <c r="CE267" s="202">
        <v>45254</v>
      </c>
      <c r="CF267" s="116"/>
    </row>
    <row r="268" spans="2:84" ht="15.6" x14ac:dyDescent="0.3">
      <c r="B268" s="110" t="s">
        <v>546</v>
      </c>
      <c r="C268" s="147" t="s">
        <v>711</v>
      </c>
      <c r="D268" s="148" t="s">
        <v>636</v>
      </c>
      <c r="E268" s="148" t="s">
        <v>226</v>
      </c>
      <c r="F268" s="149">
        <v>4423567000121</v>
      </c>
      <c r="G268" s="149" t="s">
        <v>866</v>
      </c>
      <c r="H268" s="149" t="s">
        <v>388</v>
      </c>
      <c r="I268" s="150">
        <v>3</v>
      </c>
      <c r="J268" s="151" t="s">
        <v>107</v>
      </c>
      <c r="K268" s="151" t="s">
        <v>126</v>
      </c>
      <c r="L268" s="151" t="s">
        <v>112</v>
      </c>
      <c r="M268" s="151" t="s">
        <v>106</v>
      </c>
      <c r="N268" s="151" t="s">
        <v>109</v>
      </c>
      <c r="O268" s="152">
        <v>650000</v>
      </c>
      <c r="P268" s="153">
        <v>650000000</v>
      </c>
      <c r="Q268" s="153">
        <v>1000</v>
      </c>
      <c r="R268" s="154">
        <v>43814</v>
      </c>
      <c r="S268" s="154">
        <v>46736</v>
      </c>
      <c r="T268" s="155" t="s">
        <v>789</v>
      </c>
      <c r="U268" s="155" t="s">
        <v>937</v>
      </c>
      <c r="V268" s="154" t="s">
        <v>105</v>
      </c>
      <c r="W268" s="154" t="s">
        <v>102</v>
      </c>
      <c r="X268" s="154" t="s">
        <v>980</v>
      </c>
      <c r="Y268" s="154">
        <v>46249</v>
      </c>
      <c r="Z268" s="156">
        <f>IFERROR(INDEX(Base!G:G,MATCH('Debêntures IPCA-Spread'!Y268,Base!F:F,0)),"")</f>
        <v>6.5365000000000002</v>
      </c>
      <c r="AA268" s="115"/>
      <c r="AB268" s="157">
        <v>45552</v>
      </c>
      <c r="AC268" s="158">
        <v>6.3337000000000003</v>
      </c>
      <c r="AD268" s="159">
        <f t="shared" si="13"/>
        <v>-0.20279999999999987</v>
      </c>
      <c r="AE268" s="160">
        <v>0.27</v>
      </c>
      <c r="AF268" s="161">
        <v>6.7256</v>
      </c>
      <c r="AG268" s="161">
        <v>6.0522999999999998</v>
      </c>
      <c r="AH268" s="162">
        <v>1280.897111</v>
      </c>
      <c r="AI268" s="162">
        <v>1280.897111</v>
      </c>
      <c r="AJ268" s="163">
        <f t="shared" si="14"/>
        <v>1</v>
      </c>
      <c r="AK268" s="164">
        <v>45552</v>
      </c>
      <c r="AL268" s="165">
        <v>95.86</v>
      </c>
      <c r="AM268" s="166">
        <v>530</v>
      </c>
      <c r="AN268" s="115"/>
      <c r="AO268" s="167">
        <v>1.5277511884E-3</v>
      </c>
      <c r="AP268" s="168">
        <f>IF(AO268="","",AO268-AO$6)</f>
        <v>1.04760630347E-3</v>
      </c>
      <c r="AQ268" s="168">
        <v>7.9579700613999996E-3</v>
      </c>
      <c r="AR268" s="168">
        <f>IF(AQ268="","",AQ268-AQ$6)</f>
        <v>8.1754768143599988E-3</v>
      </c>
      <c r="AS268" s="168">
        <v>6.9996336512999996E-2</v>
      </c>
      <c r="AT268" s="168">
        <f>IF(AS268="","",AS268-AS$6)</f>
        <v>5.5270501457999999E-2</v>
      </c>
      <c r="AU268" s="168">
        <v>6.3973371451999999E-3</v>
      </c>
      <c r="AV268" s="168">
        <f>IF(AU268="","",AU268-AU$6)</f>
        <v>1.9465919741199999E-2</v>
      </c>
      <c r="AW268" s="168">
        <v>3.3185656956000002E-2</v>
      </c>
      <c r="AX268" s="168">
        <f>IF(AW268="","",AW268-AW$6)</f>
        <v>9.1905891680000018E-3</v>
      </c>
      <c r="AY268" s="168">
        <v>3.8121717595E-2</v>
      </c>
      <c r="AZ268" s="168">
        <f>IF(AY268="","",AY268-AY$6)</f>
        <v>2.3879462805000001E-2</v>
      </c>
      <c r="BA268" s="168">
        <v>9.7679330225E-2</v>
      </c>
      <c r="BB268" s="168">
        <f>IF(BA268="","",BA268-BA$6)</f>
        <v>4.4192365667000001E-2</v>
      </c>
      <c r="BC268" s="168">
        <v>0.23166609908999999</v>
      </c>
      <c r="BD268" s="168">
        <f>IF(BC268="","",BC268-BC$6)</f>
        <v>3.7357532599999993E-2</v>
      </c>
      <c r="BE268" s="168">
        <v>0.33677023035999998</v>
      </c>
      <c r="BF268" s="168">
        <f>IF(BE268="","",BE268-BE$6)</f>
        <v>7.5050890819999994E-2</v>
      </c>
      <c r="BG268" s="168">
        <v>0.46096499712</v>
      </c>
      <c r="BH268" s="168">
        <f>IF(BG268="","",BG268-BG$6)</f>
        <v>0.15204834830999997</v>
      </c>
      <c r="BI268" s="168"/>
      <c r="BJ268" s="168" t="str">
        <f>IF(BI268="","",BI268-BI$6)</f>
        <v/>
      </c>
      <c r="BK268" s="169">
        <v>3.3714371573999999</v>
      </c>
      <c r="BL268" s="115"/>
      <c r="BM268" s="170">
        <v>8.0109731170999992E-3</v>
      </c>
      <c r="BN268" s="163">
        <v>-5.6995893555999997E-3</v>
      </c>
      <c r="BO268" s="163">
        <v>2.2983555861999998E-2</v>
      </c>
      <c r="BP268" s="163">
        <v>-1.0785048433000001E-2</v>
      </c>
      <c r="BQ268" s="171">
        <v>10</v>
      </c>
      <c r="BR268" s="171">
        <v>2</v>
      </c>
      <c r="BS268" s="171">
        <v>8</v>
      </c>
      <c r="BT268" s="171">
        <v>4</v>
      </c>
      <c r="BU268" s="172">
        <v>-0.35930631964999998</v>
      </c>
      <c r="BV268" s="172">
        <v>-0.32243755127000001</v>
      </c>
      <c r="BW268" s="163">
        <v>3.4851339269999998E-3</v>
      </c>
      <c r="BX268" s="163">
        <v>2.4003695052000002E-3</v>
      </c>
      <c r="BY268" s="161">
        <v>-1.7634988042999999</v>
      </c>
      <c r="BZ268" s="163">
        <v>-1.8154898995000002E-2</v>
      </c>
      <c r="CA268" s="163">
        <v>-1.8154898995000002E-2</v>
      </c>
      <c r="CB268" s="154">
        <v>45188</v>
      </c>
      <c r="CC268" s="154">
        <v>45222</v>
      </c>
      <c r="CD268" s="173">
        <v>38</v>
      </c>
      <c r="CE268" s="174">
        <v>45244</v>
      </c>
      <c r="CF268" s="116"/>
    </row>
    <row r="269" spans="2:84" ht="15.6" x14ac:dyDescent="0.3">
      <c r="B269" s="98" t="s">
        <v>547</v>
      </c>
      <c r="C269" s="175" t="s">
        <v>712</v>
      </c>
      <c r="D269" s="176" t="s">
        <v>636</v>
      </c>
      <c r="E269" s="176" t="s">
        <v>226</v>
      </c>
      <c r="F269" s="177">
        <v>4423567000121</v>
      </c>
      <c r="G269" s="177" t="s">
        <v>867</v>
      </c>
      <c r="H269" s="177" t="s">
        <v>388</v>
      </c>
      <c r="I269" s="178">
        <v>5</v>
      </c>
      <c r="J269" s="179" t="s">
        <v>107</v>
      </c>
      <c r="K269" s="179" t="s">
        <v>126</v>
      </c>
      <c r="L269" s="179" t="s">
        <v>112</v>
      </c>
      <c r="M269" s="179" t="s">
        <v>106</v>
      </c>
      <c r="N269" s="179" t="s">
        <v>109</v>
      </c>
      <c r="O269" s="180">
        <v>650000</v>
      </c>
      <c r="P269" s="181">
        <v>650000000</v>
      </c>
      <c r="Q269" s="181">
        <v>1000</v>
      </c>
      <c r="R269" s="182">
        <v>43997</v>
      </c>
      <c r="S269" s="182">
        <v>47649</v>
      </c>
      <c r="T269" s="183" t="s">
        <v>751</v>
      </c>
      <c r="U269" s="183" t="s">
        <v>938</v>
      </c>
      <c r="V269" s="182" t="s">
        <v>105</v>
      </c>
      <c r="W269" s="182" t="s">
        <v>102</v>
      </c>
      <c r="X269" s="182" t="s">
        <v>1340</v>
      </c>
      <c r="Y269" s="182">
        <v>47253</v>
      </c>
      <c r="Z269" s="184">
        <f>IFERROR(INDEX(Base!G:G,MATCH('Debêntures IPCA-Spread'!Y269,Base!F:F,0)),"")</f>
        <v>6.41</v>
      </c>
      <c r="AA269" s="115"/>
      <c r="AB269" s="185">
        <v>45552</v>
      </c>
      <c r="AC269" s="186">
        <v>6.5709999999999997</v>
      </c>
      <c r="AD269" s="187">
        <f t="shared" si="13"/>
        <v>0.16099999999999959</v>
      </c>
      <c r="AE269" s="188">
        <v>0.1</v>
      </c>
      <c r="AF269" s="189">
        <v>6.6997999999999998</v>
      </c>
      <c r="AG269" s="189">
        <v>6.4612999999999996</v>
      </c>
      <c r="AH269" s="190">
        <v>1274.4675480000001</v>
      </c>
      <c r="AI269" s="190">
        <v>1280.123861</v>
      </c>
      <c r="AJ269" s="191">
        <f t="shared" si="14"/>
        <v>0.99558143303759572</v>
      </c>
      <c r="AK269" s="192">
        <v>45540</v>
      </c>
      <c r="AL269" s="193">
        <v>95.91</v>
      </c>
      <c r="AM269" s="194">
        <v>1040</v>
      </c>
      <c r="AN269" s="115"/>
      <c r="AO269" s="195">
        <v>8.1339734605999998E-4</v>
      </c>
      <c r="AP269" s="196">
        <f>IF(AO269="","",AO269-AO$6)</f>
        <v>3.3325246112999999E-4</v>
      </c>
      <c r="AQ269" s="196">
        <v>5.7732777240999998E-3</v>
      </c>
      <c r="AR269" s="196">
        <f>IF(AQ269="","",AQ269-AQ$6)</f>
        <v>5.9907844770599999E-3</v>
      </c>
      <c r="AS269" s="196">
        <v>6.1396530052999998E-2</v>
      </c>
      <c r="AT269" s="196">
        <f>IF(AS269="","",AS269-AS$6)</f>
        <v>4.6670694998000001E-2</v>
      </c>
      <c r="AU269" s="196">
        <v>-5.6679461067999997E-4</v>
      </c>
      <c r="AV269" s="196">
        <f>IF(AU269="","",AU269-AU$6)</f>
        <v>1.250178798532E-2</v>
      </c>
      <c r="AW269" s="196">
        <v>3.5804339157000001E-2</v>
      </c>
      <c r="AX269" s="196">
        <f>IF(AW269="","",AW269-AW$6)</f>
        <v>1.1809271369E-2</v>
      </c>
      <c r="AY269" s="196">
        <v>2.2874719294E-2</v>
      </c>
      <c r="AZ269" s="196">
        <f>IF(AY269="","",AY269-AY$6)</f>
        <v>8.6324645039999991E-3</v>
      </c>
      <c r="BA269" s="196">
        <v>9.5519599058999996E-2</v>
      </c>
      <c r="BB269" s="196">
        <f>IF(BA269="","",BA269-BA$6)</f>
        <v>4.2032634500999998E-2</v>
      </c>
      <c r="BC269" s="196">
        <v>0.23048901091999999</v>
      </c>
      <c r="BD269" s="196">
        <f>IF(BC269="","",BC269-BC$6)</f>
        <v>3.6180444429999986E-2</v>
      </c>
      <c r="BE269" s="196">
        <v>0.30149815702999999</v>
      </c>
      <c r="BF269" s="196">
        <f>IF(BE269="","",BE269-BE$6)</f>
        <v>3.9778817490000007E-2</v>
      </c>
      <c r="BG269" s="196">
        <v>0.41405529268000002</v>
      </c>
      <c r="BH269" s="196">
        <f>IF(BG269="","",BG269-BG$6)</f>
        <v>0.10513864386999999</v>
      </c>
      <c r="BI269" s="196"/>
      <c r="BJ269" s="196" t="str">
        <f>IF(BI269="","",BI269-BI$6)</f>
        <v/>
      </c>
      <c r="BK269" s="197">
        <v>4.6058058476000001</v>
      </c>
      <c r="BL269" s="115"/>
      <c r="BM269" s="198">
        <v>1.1081091097E-2</v>
      </c>
      <c r="BN269" s="191">
        <v>-9.13569979E-3</v>
      </c>
      <c r="BO269" s="191">
        <v>2.8862145653E-2</v>
      </c>
      <c r="BP269" s="191">
        <v>-1.7613181132999998E-2</v>
      </c>
      <c r="BQ269" s="199">
        <v>9</v>
      </c>
      <c r="BR269" s="199">
        <v>3</v>
      </c>
      <c r="BS269" s="199">
        <v>8</v>
      </c>
      <c r="BT269" s="199">
        <v>4</v>
      </c>
      <c r="BU269" s="200">
        <v>-0.29479108221</v>
      </c>
      <c r="BV269" s="200">
        <v>-0.39633080969000001</v>
      </c>
      <c r="BW269" s="191">
        <v>4.7600050633000001E-3</v>
      </c>
      <c r="BX269" s="191">
        <v>4.0769389794999998E-3</v>
      </c>
      <c r="BY269" s="189">
        <v>-2.0884153375999999</v>
      </c>
      <c r="BZ269" s="191">
        <v>-1.9608202309000001E-2</v>
      </c>
      <c r="CA269" s="191">
        <v>-1.9608202309000001E-2</v>
      </c>
      <c r="CB269" s="182">
        <v>45371</v>
      </c>
      <c r="CC269" s="182">
        <v>45407</v>
      </c>
      <c r="CD269" s="201">
        <v>77</v>
      </c>
      <c r="CE269" s="202">
        <v>45483</v>
      </c>
      <c r="CF269" s="116"/>
    </row>
    <row r="270" spans="2:84" ht="15.6" x14ac:dyDescent="0.3">
      <c r="B270" s="110" t="s">
        <v>548</v>
      </c>
      <c r="C270" s="147" t="s">
        <v>713</v>
      </c>
      <c r="D270" s="148" t="s">
        <v>636</v>
      </c>
      <c r="E270" s="148" t="s">
        <v>226</v>
      </c>
      <c r="F270" s="149">
        <v>4423567000121</v>
      </c>
      <c r="G270" s="149" t="s">
        <v>868</v>
      </c>
      <c r="H270" s="149" t="s">
        <v>388</v>
      </c>
      <c r="I270" s="150">
        <v>6</v>
      </c>
      <c r="J270" s="151">
        <v>1</v>
      </c>
      <c r="K270" s="151" t="s">
        <v>126</v>
      </c>
      <c r="L270" s="151" t="s">
        <v>112</v>
      </c>
      <c r="M270" s="151" t="s">
        <v>106</v>
      </c>
      <c r="N270" s="151" t="s">
        <v>109</v>
      </c>
      <c r="O270" s="152">
        <v>373999</v>
      </c>
      <c r="P270" s="153">
        <v>373999000</v>
      </c>
      <c r="Q270" s="153">
        <v>1000</v>
      </c>
      <c r="R270" s="154">
        <v>44089</v>
      </c>
      <c r="S270" s="154">
        <v>47741</v>
      </c>
      <c r="T270" s="155" t="s">
        <v>790</v>
      </c>
      <c r="U270" s="155" t="s">
        <v>939</v>
      </c>
      <c r="V270" s="154" t="s">
        <v>105</v>
      </c>
      <c r="W270" s="154" t="s">
        <v>102</v>
      </c>
      <c r="X270" s="154" t="s">
        <v>1341</v>
      </c>
      <c r="Y270" s="154">
        <v>47253</v>
      </c>
      <c r="Z270" s="156">
        <f>IFERROR(INDEX(Base!G:G,MATCH('Debêntures IPCA-Spread'!Y270,Base!F:F,0)),"")</f>
        <v>6.41</v>
      </c>
      <c r="AA270" s="115"/>
      <c r="AB270" s="157">
        <v>45552</v>
      </c>
      <c r="AC270" s="158">
        <v>6.7450999999999999</v>
      </c>
      <c r="AD270" s="159">
        <f t="shared" si="13"/>
        <v>0.33509999999999973</v>
      </c>
      <c r="AE270" s="160">
        <v>0.08</v>
      </c>
      <c r="AF270" s="161">
        <v>6.9092000000000002</v>
      </c>
      <c r="AG270" s="161">
        <v>6.6201999999999996</v>
      </c>
      <c r="AH270" s="162">
        <v>1159.5284710000001</v>
      </c>
      <c r="AI270" s="162">
        <v>1172.8853148999999</v>
      </c>
      <c r="AJ270" s="163">
        <f t="shared" si="14"/>
        <v>0.98861197788878563</v>
      </c>
      <c r="AK270" s="164">
        <v>45518</v>
      </c>
      <c r="AL270" s="165">
        <v>89.4</v>
      </c>
      <c r="AM270" s="166">
        <v>1131</v>
      </c>
      <c r="AN270" s="115"/>
      <c r="AO270" s="167">
        <v>-1.5914233335E-3</v>
      </c>
      <c r="AP270" s="168">
        <f>IF(AO270="","",AO270-AO$6)</f>
        <v>-2.07156821843E-3</v>
      </c>
      <c r="AQ270" s="168">
        <v>-8.2091467356999997E-4</v>
      </c>
      <c r="AR270" s="168">
        <f>IF(AQ270="","",AQ270-AQ$6)</f>
        <v>-6.0340792060999994E-4</v>
      </c>
      <c r="AS270" s="168">
        <v>5.5434191560999997E-2</v>
      </c>
      <c r="AT270" s="168">
        <f>IF(AS270="","",AS270-AS$6)</f>
        <v>4.0708356505999993E-2</v>
      </c>
      <c r="AU270" s="168">
        <v>-8.9010708260999997E-3</v>
      </c>
      <c r="AV270" s="168">
        <f>IF(AU270="","",AU270-AU$6)</f>
        <v>4.1675117699000001E-3</v>
      </c>
      <c r="AW270" s="168">
        <v>3.0559939538E-2</v>
      </c>
      <c r="AX270" s="168">
        <f>IF(AW270="","",AW270-AW$6)</f>
        <v>6.5648717499999995E-3</v>
      </c>
      <c r="AY270" s="168">
        <v>1.7607934472999999E-2</v>
      </c>
      <c r="AZ270" s="168">
        <f>IF(AY270="","",AY270-AY$6)</f>
        <v>3.3656796829999985E-3</v>
      </c>
      <c r="BA270" s="168">
        <v>9.1470326679E-2</v>
      </c>
      <c r="BB270" s="168">
        <f>IF(BA270="","",BA270-BA$6)</f>
        <v>3.7983362121000001E-2</v>
      </c>
      <c r="BC270" s="168">
        <v>0.21920171174</v>
      </c>
      <c r="BD270" s="168">
        <f>IF(BC270="","",BC270-BC$6)</f>
        <v>2.4893145249999998E-2</v>
      </c>
      <c r="BE270" s="168">
        <v>0.29289945790999999</v>
      </c>
      <c r="BF270" s="168">
        <f>IF(BE270="","",BE270-BE$6)</f>
        <v>3.118011837000001E-2</v>
      </c>
      <c r="BG270" s="168"/>
      <c r="BH270" s="168" t="str">
        <f>IF(BG270="","",BG270-BG$6)</f>
        <v/>
      </c>
      <c r="BI270" s="168"/>
      <c r="BJ270" s="168" t="str">
        <f>IF(BI270="","",BI270-BI$6)</f>
        <v/>
      </c>
      <c r="BK270" s="169">
        <v>4.5524268642000001</v>
      </c>
      <c r="BL270" s="115"/>
      <c r="BM270" s="170">
        <v>1.0801384334E-2</v>
      </c>
      <c r="BN270" s="163">
        <v>-9.0286750183000003E-3</v>
      </c>
      <c r="BO270" s="163">
        <v>2.8178978324000001E-2</v>
      </c>
      <c r="BP270" s="163">
        <v>-1.5249385246000001E-2</v>
      </c>
      <c r="BQ270" s="171">
        <v>8</v>
      </c>
      <c r="BR270" s="171">
        <v>4</v>
      </c>
      <c r="BS270" s="171">
        <v>6</v>
      </c>
      <c r="BT270" s="171">
        <v>6</v>
      </c>
      <c r="BU270" s="172">
        <v>-0.37876926444999998</v>
      </c>
      <c r="BV270" s="172">
        <v>-0.43419706294999999</v>
      </c>
      <c r="BW270" s="163">
        <v>4.7065509600999998E-3</v>
      </c>
      <c r="BX270" s="163">
        <v>3.4173924016000002E-3</v>
      </c>
      <c r="BY270" s="161">
        <v>-2.5913550108000001</v>
      </c>
      <c r="BZ270" s="163">
        <v>-2.0821709149000001E-2</v>
      </c>
      <c r="CA270" s="163">
        <v>-2.0821709149000001E-2</v>
      </c>
      <c r="CB270" s="154">
        <v>45364</v>
      </c>
      <c r="CC270" s="154">
        <v>45455</v>
      </c>
      <c r="CD270" s="173">
        <v>82</v>
      </c>
      <c r="CE270" s="174">
        <v>45483</v>
      </c>
      <c r="CF270" s="116"/>
    </row>
    <row r="271" spans="2:84" ht="15.6" x14ac:dyDescent="0.3">
      <c r="B271" s="98" t="s">
        <v>549</v>
      </c>
      <c r="C271" s="175" t="s">
        <v>714</v>
      </c>
      <c r="D271" s="176" t="s">
        <v>636</v>
      </c>
      <c r="E271" s="176" t="s">
        <v>226</v>
      </c>
      <c r="F271" s="177">
        <v>4423567000121</v>
      </c>
      <c r="G271" s="177" t="s">
        <v>869</v>
      </c>
      <c r="H271" s="177" t="s">
        <v>388</v>
      </c>
      <c r="I271" s="178">
        <v>6</v>
      </c>
      <c r="J271" s="179">
        <v>2</v>
      </c>
      <c r="K271" s="179" t="s">
        <v>126</v>
      </c>
      <c r="L271" s="179" t="s">
        <v>112</v>
      </c>
      <c r="M271" s="179" t="s">
        <v>106</v>
      </c>
      <c r="N271" s="179" t="s">
        <v>109</v>
      </c>
      <c r="O271" s="180">
        <v>573969</v>
      </c>
      <c r="P271" s="181">
        <v>573969000</v>
      </c>
      <c r="Q271" s="181">
        <v>1000</v>
      </c>
      <c r="R271" s="182">
        <v>44089</v>
      </c>
      <c r="S271" s="182">
        <v>49567</v>
      </c>
      <c r="T271" s="183" t="s">
        <v>791</v>
      </c>
      <c r="U271" s="183" t="s">
        <v>940</v>
      </c>
      <c r="V271" s="182" t="s">
        <v>105</v>
      </c>
      <c r="W271" s="182" t="s">
        <v>102</v>
      </c>
      <c r="X271" s="182" t="s">
        <v>981</v>
      </c>
      <c r="Y271" s="182">
        <v>49444</v>
      </c>
      <c r="Z271" s="184">
        <f>IFERROR(INDEX(Base!G:G,MATCH('Debêntures IPCA-Spread'!Y271,Base!F:F,0)),"")</f>
        <v>6.3137999999999996</v>
      </c>
      <c r="AA271" s="115"/>
      <c r="AB271" s="185">
        <v>45552</v>
      </c>
      <c r="AC271" s="186">
        <v>6.8539000000000003</v>
      </c>
      <c r="AD271" s="187">
        <f t="shared" si="13"/>
        <v>0.54010000000000069</v>
      </c>
      <c r="AE271" s="188">
        <v>0.11</v>
      </c>
      <c r="AF271" s="189">
        <v>7.0355999999999996</v>
      </c>
      <c r="AG271" s="189">
        <v>6.6858000000000004</v>
      </c>
      <c r="AH271" s="190">
        <v>1084.9831220000001</v>
      </c>
      <c r="AI271" s="190">
        <v>1116.4021236999999</v>
      </c>
      <c r="AJ271" s="191">
        <f t="shared" si="14"/>
        <v>0.97185691335316482</v>
      </c>
      <c r="AK271" s="192">
        <v>45518</v>
      </c>
      <c r="AL271" s="193">
        <v>83.66</v>
      </c>
      <c r="AM271" s="194">
        <v>1995</v>
      </c>
      <c r="AN271" s="115"/>
      <c r="AO271" s="195">
        <v>-5.8630573458000003E-3</v>
      </c>
      <c r="AP271" s="196">
        <f>IF(AO271="","",AO271-AO$6)</f>
        <v>-6.3432022307300003E-3</v>
      </c>
      <c r="AQ271" s="196">
        <v>-8.6417420233999998E-3</v>
      </c>
      <c r="AR271" s="196">
        <f>IF(AQ271="","",AQ271-AQ$6)</f>
        <v>-8.4242352704400007E-3</v>
      </c>
      <c r="AS271" s="196">
        <v>4.9535381498999997E-2</v>
      </c>
      <c r="AT271" s="196">
        <f>IF(AS271="","",AS271-AS$6)</f>
        <v>3.4809546444E-2</v>
      </c>
      <c r="AU271" s="196">
        <v>-2.1717159167999999E-2</v>
      </c>
      <c r="AV271" s="196">
        <f>IF(AU271="","",AU271-AU$6)</f>
        <v>-8.6485765719999993E-3</v>
      </c>
      <c r="AW271" s="196">
        <v>3.7802252948999998E-2</v>
      </c>
      <c r="AX271" s="196">
        <f>IF(AW271="","",AW271-AW$6)</f>
        <v>1.3807185160999998E-2</v>
      </c>
      <c r="AY271" s="196">
        <v>1.0279091515E-2</v>
      </c>
      <c r="AZ271" s="196">
        <f>IF(AY271="","",AY271-AY$6)</f>
        <v>-3.9631632750000007E-3</v>
      </c>
      <c r="BA271" s="196">
        <v>9.3181655165999994E-2</v>
      </c>
      <c r="BB271" s="196">
        <f>IF(BA271="","",BA271-BA$6)</f>
        <v>3.9694690607999995E-2</v>
      </c>
      <c r="BC271" s="196">
        <v>0.21102747485000001</v>
      </c>
      <c r="BD271" s="196">
        <f>IF(BC271="","",BC271-BC$6)</f>
        <v>1.6718908360000007E-2</v>
      </c>
      <c r="BE271" s="196">
        <v>0.23593373159</v>
      </c>
      <c r="BF271" s="196">
        <f>IF(BE271="","",BE271-BE$6)</f>
        <v>-2.5785607949999984E-2</v>
      </c>
      <c r="BG271" s="196"/>
      <c r="BH271" s="196" t="str">
        <f>IF(BG271="","",BG271-BG$6)</f>
        <v/>
      </c>
      <c r="BI271" s="196"/>
      <c r="BJ271" s="196" t="str">
        <f>IF(BI271="","",BI271-BI$6)</f>
        <v/>
      </c>
      <c r="BK271" s="197">
        <v>7.1039263840000002</v>
      </c>
      <c r="BL271" s="115"/>
      <c r="BM271" s="198">
        <v>1.6964532827999999E-2</v>
      </c>
      <c r="BN271" s="191">
        <v>-1.4730432761000001E-2</v>
      </c>
      <c r="BO271" s="191">
        <v>3.9466700028999997E-2</v>
      </c>
      <c r="BP271" s="191">
        <v>-3.1461437020000003E-2</v>
      </c>
      <c r="BQ271" s="199">
        <v>8</v>
      </c>
      <c r="BR271" s="199">
        <v>4</v>
      </c>
      <c r="BS271" s="199">
        <v>5</v>
      </c>
      <c r="BT271" s="199">
        <v>7</v>
      </c>
      <c r="BU271" s="200">
        <v>-0.20044692799</v>
      </c>
      <c r="BV271" s="200">
        <v>-0.49957297421000002</v>
      </c>
      <c r="BW271" s="191">
        <v>7.3431832104999999E-3</v>
      </c>
      <c r="BX271" s="191">
        <v>6.8645856204999998E-3</v>
      </c>
      <c r="BY271" s="189">
        <v>-2.5401698669999999</v>
      </c>
      <c r="BZ271" s="191">
        <v>-4.5263938719000002E-2</v>
      </c>
      <c r="CA271" s="191">
        <v>-4.5263938719000002E-2</v>
      </c>
      <c r="CB271" s="182">
        <v>45378</v>
      </c>
      <c r="CC271" s="182">
        <v>45471</v>
      </c>
      <c r="CD271" s="201">
        <v>89</v>
      </c>
      <c r="CE271" s="202">
        <v>45506</v>
      </c>
      <c r="CF271" s="116"/>
    </row>
    <row r="272" spans="2:84" ht="15.6" x14ac:dyDescent="0.3">
      <c r="B272" s="110" t="s">
        <v>1451</v>
      </c>
      <c r="C272" s="147" t="s">
        <v>2097</v>
      </c>
      <c r="D272" s="148" t="s">
        <v>636</v>
      </c>
      <c r="E272" s="148" t="s">
        <v>226</v>
      </c>
      <c r="F272" s="149">
        <v>4423567000121</v>
      </c>
      <c r="G272" s="149" t="s">
        <v>1810</v>
      </c>
      <c r="H272" s="149" t="s">
        <v>388</v>
      </c>
      <c r="I272" s="150">
        <v>8</v>
      </c>
      <c r="J272" s="151">
        <v>1</v>
      </c>
      <c r="K272" s="151" t="s">
        <v>126</v>
      </c>
      <c r="L272" s="151" t="s">
        <v>112</v>
      </c>
      <c r="M272" s="151" t="s">
        <v>106</v>
      </c>
      <c r="N272" s="151" t="s">
        <v>109</v>
      </c>
      <c r="O272" s="152">
        <v>718491</v>
      </c>
      <c r="P272" s="153">
        <v>718491000</v>
      </c>
      <c r="Q272" s="153">
        <v>1000</v>
      </c>
      <c r="R272" s="154">
        <v>44757</v>
      </c>
      <c r="S272" s="154">
        <v>48410</v>
      </c>
      <c r="T272" s="155" t="s">
        <v>1992</v>
      </c>
      <c r="U272" s="155" t="s">
        <v>1692</v>
      </c>
      <c r="V272" s="154" t="s">
        <v>105</v>
      </c>
      <c r="W272" s="154" t="s">
        <v>102</v>
      </c>
      <c r="X272" s="154" t="s">
        <v>1581</v>
      </c>
      <c r="Y272" s="154">
        <v>47710</v>
      </c>
      <c r="Z272" s="156">
        <f>IFERROR(INDEX(Base!G:G,MATCH('Debêntures IPCA-Spread'!Y272,Base!F:F,0)),"")</f>
        <v>6.3273999999999999</v>
      </c>
      <c r="AA272" s="115"/>
      <c r="AB272" s="157">
        <v>45552</v>
      </c>
      <c r="AC272" s="158">
        <v>6.6302000000000003</v>
      </c>
      <c r="AD272" s="159">
        <f t="shared" si="13"/>
        <v>0.3028000000000004</v>
      </c>
      <c r="AE272" s="160">
        <v>0.12</v>
      </c>
      <c r="AF272" s="161">
        <v>6.7712000000000003</v>
      </c>
      <c r="AG272" s="161">
        <v>6.5114000000000001</v>
      </c>
      <c r="AH272" s="162">
        <v>1087.4157</v>
      </c>
      <c r="AI272" s="162">
        <v>1098.6885400000001</v>
      </c>
      <c r="AJ272" s="163">
        <f t="shared" si="14"/>
        <v>0.98973973097052592</v>
      </c>
      <c r="AK272" s="164">
        <v>45527</v>
      </c>
      <c r="AL272" s="165">
        <v>99.46</v>
      </c>
      <c r="AM272" s="166">
        <v>1390</v>
      </c>
      <c r="AN272" s="115"/>
      <c r="AO272" s="167">
        <v>2.0485691493000001E-4</v>
      </c>
      <c r="AP272" s="168">
        <f>IF(AO272="","",AO272-AO$6)</f>
        <v>-2.7528796999999995E-4</v>
      </c>
      <c r="AQ272" s="168">
        <v>2.4187626494999999E-3</v>
      </c>
      <c r="AR272" s="168">
        <f>IF(AQ272="","",AQ272-AQ$6)</f>
        <v>2.6362694024599999E-3</v>
      </c>
      <c r="AS272" s="168">
        <v>5.8603187245999999E-2</v>
      </c>
      <c r="AT272" s="168">
        <f>IF(AS272="","",AS272-AS$6)</f>
        <v>4.3877352191000002E-2</v>
      </c>
      <c r="AU272" s="168">
        <v>-8.4034026776999993E-3</v>
      </c>
      <c r="AV272" s="168">
        <f>IF(AU272="","",AU272-AU$6)</f>
        <v>4.6651799183000005E-3</v>
      </c>
      <c r="AW272" s="168">
        <v>4.1217344751000001E-2</v>
      </c>
      <c r="AX272" s="168">
        <f>IF(AW272="","",AW272-AW$6)</f>
        <v>1.7222276963000001E-2</v>
      </c>
      <c r="AY272" s="168">
        <v>1.8550240310999999E-2</v>
      </c>
      <c r="AZ272" s="168">
        <f>IF(AY272="","",AY272-AY$6)</f>
        <v>4.3079855209999986E-3</v>
      </c>
      <c r="BA272" s="168">
        <v>9.4692559918000005E-2</v>
      </c>
      <c r="BB272" s="168">
        <f>IF(BA272="","",BA272-BA$6)</f>
        <v>4.1205595360000007E-2</v>
      </c>
      <c r="BC272" s="168">
        <v>0.23235512930999999</v>
      </c>
      <c r="BD272" s="168">
        <f>IF(BC272="","",BC272-BC$6)</f>
        <v>3.8046562819999991E-2</v>
      </c>
      <c r="BE272" s="168"/>
      <c r="BF272" s="168" t="str">
        <f>IF(BE272="","",BE272-BE$6)</f>
        <v/>
      </c>
      <c r="BG272" s="168"/>
      <c r="BH272" s="168" t="str">
        <f>IF(BG272="","",BG272-BG$6)</f>
        <v/>
      </c>
      <c r="BI272" s="168"/>
      <c r="BJ272" s="168" t="str">
        <f>IF(BI272="","",BI272-BI$6)</f>
        <v/>
      </c>
      <c r="BK272" s="169">
        <v>5.6408919956999997</v>
      </c>
      <c r="BL272" s="115"/>
      <c r="BM272" s="170">
        <v>1.2217985997000001E-2</v>
      </c>
      <c r="BN272" s="163">
        <v>-9.4298405092999998E-3</v>
      </c>
      <c r="BO272" s="163">
        <v>2.8341368289999998E-2</v>
      </c>
      <c r="BP272" s="163">
        <v>-2.4267980878999999E-2</v>
      </c>
      <c r="BQ272" s="171">
        <v>9</v>
      </c>
      <c r="BR272" s="171">
        <v>3</v>
      </c>
      <c r="BS272" s="171">
        <v>6</v>
      </c>
      <c r="BT272" s="171">
        <v>6</v>
      </c>
      <c r="BU272" s="172">
        <v>-0.24454296783999999</v>
      </c>
      <c r="BV272" s="172"/>
      <c r="BW272" s="163">
        <v>5.8317557704999998E-3</v>
      </c>
      <c r="BX272" s="163">
        <v>4.4020204688000001E-3</v>
      </c>
      <c r="BY272" s="161">
        <v>-2.2589812974000001</v>
      </c>
      <c r="BZ272" s="163">
        <v>-3.3421521040999998E-2</v>
      </c>
      <c r="CA272" s="163">
        <v>-3.3421521040999998E-2</v>
      </c>
      <c r="CB272" s="154">
        <v>45362</v>
      </c>
      <c r="CC272" s="154">
        <v>45474</v>
      </c>
      <c r="CD272" s="173">
        <v>100</v>
      </c>
      <c r="CE272" s="174">
        <v>45505</v>
      </c>
      <c r="CF272" s="116"/>
    </row>
    <row r="273" spans="2:84" ht="15.6" x14ac:dyDescent="0.3">
      <c r="B273" s="98" t="s">
        <v>1452</v>
      </c>
      <c r="C273" s="175" t="s">
        <v>2098</v>
      </c>
      <c r="D273" s="176" t="s">
        <v>636</v>
      </c>
      <c r="E273" s="176" t="s">
        <v>226</v>
      </c>
      <c r="F273" s="177">
        <v>4423567000121</v>
      </c>
      <c r="G273" s="177" t="s">
        <v>1811</v>
      </c>
      <c r="H273" s="177" t="s">
        <v>388</v>
      </c>
      <c r="I273" s="178">
        <v>8</v>
      </c>
      <c r="J273" s="179">
        <v>2</v>
      </c>
      <c r="K273" s="179" t="s">
        <v>126</v>
      </c>
      <c r="L273" s="179" t="s">
        <v>112</v>
      </c>
      <c r="M273" s="179" t="s">
        <v>106</v>
      </c>
      <c r="N273" s="179" t="s">
        <v>109</v>
      </c>
      <c r="O273" s="180">
        <v>471509</v>
      </c>
      <c r="P273" s="181">
        <v>471509000</v>
      </c>
      <c r="Q273" s="181">
        <v>1000</v>
      </c>
      <c r="R273" s="182">
        <v>44757</v>
      </c>
      <c r="S273" s="182">
        <v>50236</v>
      </c>
      <c r="T273" s="183" t="s">
        <v>1992</v>
      </c>
      <c r="U273" s="183" t="s">
        <v>1683</v>
      </c>
      <c r="V273" s="182" t="s">
        <v>105</v>
      </c>
      <c r="W273" s="182" t="s">
        <v>102</v>
      </c>
      <c r="X273" s="182" t="s">
        <v>1582</v>
      </c>
      <c r="Y273" s="182">
        <v>49444</v>
      </c>
      <c r="Z273" s="184">
        <f>IFERROR(INDEX(Base!G:G,MATCH('Debêntures IPCA-Spread'!Y273,Base!F:F,0)),"")</f>
        <v>6.3137999999999996</v>
      </c>
      <c r="AA273" s="115"/>
      <c r="AB273" s="185">
        <v>45552</v>
      </c>
      <c r="AC273" s="186">
        <v>6.8277000000000001</v>
      </c>
      <c r="AD273" s="187">
        <f t="shared" si="13"/>
        <v>0.51390000000000047</v>
      </c>
      <c r="AE273" s="188">
        <v>0.09</v>
      </c>
      <c r="AF273" s="189">
        <v>6.9478999999999997</v>
      </c>
      <c r="AG273" s="189">
        <v>6.6981999999999999</v>
      </c>
      <c r="AH273" s="190">
        <v>1073.409545</v>
      </c>
      <c r="AI273" s="190">
        <v>1106.760029</v>
      </c>
      <c r="AJ273" s="191">
        <f t="shared" si="14"/>
        <v>0.96986656264580362</v>
      </c>
      <c r="AK273" s="192">
        <v>45517</v>
      </c>
      <c r="AL273" s="193">
        <v>98.17</v>
      </c>
      <c r="AM273" s="194">
        <v>2080</v>
      </c>
      <c r="AN273" s="115"/>
      <c r="AO273" s="195">
        <v>-1.9219322103E-3</v>
      </c>
      <c r="AP273" s="196">
        <f>IF(AO273="","",AO273-AO$6)</f>
        <v>-2.40207709523E-3</v>
      </c>
      <c r="AQ273" s="196">
        <v>-5.2776086814000003E-3</v>
      </c>
      <c r="AR273" s="196">
        <f>IF(AQ273="","",AQ273-AQ$6)</f>
        <v>-5.0601019284400002E-3</v>
      </c>
      <c r="AS273" s="196">
        <v>5.5360756493999998E-2</v>
      </c>
      <c r="AT273" s="196">
        <f>IF(AS273="","",AS273-AS$6)</f>
        <v>4.0634921438999994E-2</v>
      </c>
      <c r="AU273" s="196">
        <v>-2.2583211672E-2</v>
      </c>
      <c r="AV273" s="196">
        <f>IF(AU273="","",AU273-AU$6)</f>
        <v>-9.5146290759999998E-3</v>
      </c>
      <c r="AW273" s="196">
        <v>4.1921157815999997E-2</v>
      </c>
      <c r="AX273" s="196">
        <f>IF(AW273="","",AW273-AW$6)</f>
        <v>1.7926090027999997E-2</v>
      </c>
      <c r="AY273" s="196">
        <v>1.1184500829999999E-2</v>
      </c>
      <c r="AZ273" s="196">
        <f>IF(AY273="","",AY273-AY$6)</f>
        <v>-3.0577539600000012E-3</v>
      </c>
      <c r="BA273" s="196">
        <v>0.10481654139</v>
      </c>
      <c r="BB273" s="196">
        <f>IF(BA273="","",BA273-BA$6)</f>
        <v>5.1329576832000005E-2</v>
      </c>
      <c r="BC273" s="196">
        <v>0.2060693733</v>
      </c>
      <c r="BD273" s="196">
        <f>IF(BC273="","",BC273-BC$6)</f>
        <v>1.1760806809999996E-2</v>
      </c>
      <c r="BE273" s="196"/>
      <c r="BF273" s="196" t="str">
        <f>IF(BE273="","",BE273-BE$6)</f>
        <v/>
      </c>
      <c r="BG273" s="196"/>
      <c r="BH273" s="196" t="str">
        <f>IF(BG273="","",BG273-BG$6)</f>
        <v/>
      </c>
      <c r="BI273" s="196"/>
      <c r="BJ273" s="196" t="str">
        <f>IF(BI273="","",BI273-BI$6)</f>
        <v/>
      </c>
      <c r="BK273" s="197">
        <v>7.5498946762000001</v>
      </c>
      <c r="BL273" s="115"/>
      <c r="BM273" s="198">
        <v>2.1921065859999998E-2</v>
      </c>
      <c r="BN273" s="191">
        <v>-1.7981568792E-2</v>
      </c>
      <c r="BO273" s="191">
        <v>4.4636276021000003E-2</v>
      </c>
      <c r="BP273" s="191">
        <v>-3.1658972286000002E-2</v>
      </c>
      <c r="BQ273" s="199">
        <v>7</v>
      </c>
      <c r="BR273" s="199">
        <v>5</v>
      </c>
      <c r="BS273" s="199">
        <v>6</v>
      </c>
      <c r="BT273" s="199">
        <v>6</v>
      </c>
      <c r="BU273" s="200">
        <v>-4.5303059203999997E-2</v>
      </c>
      <c r="BV273" s="200"/>
      <c r="BW273" s="191">
        <v>7.8092798399999998E-3</v>
      </c>
      <c r="BX273" s="191">
        <v>5.6662369789E-3</v>
      </c>
      <c r="BY273" s="189">
        <v>-1.309204152</v>
      </c>
      <c r="BZ273" s="191">
        <v>-4.6777416114999998E-2</v>
      </c>
      <c r="CA273" s="191">
        <v>-4.6777416114999998E-2</v>
      </c>
      <c r="CB273" s="182">
        <v>45364</v>
      </c>
      <c r="CC273" s="182">
        <v>45474</v>
      </c>
      <c r="CD273" s="201">
        <v>98</v>
      </c>
      <c r="CE273" s="202">
        <v>45505</v>
      </c>
      <c r="CF273" s="116"/>
    </row>
    <row r="274" spans="2:84" ht="15.6" x14ac:dyDescent="0.3">
      <c r="B274" s="110" t="s">
        <v>1453</v>
      </c>
      <c r="C274" s="147" t="s">
        <v>2099</v>
      </c>
      <c r="D274" s="148" t="s">
        <v>636</v>
      </c>
      <c r="E274" s="148" t="s">
        <v>226</v>
      </c>
      <c r="F274" s="149">
        <v>4423567000121</v>
      </c>
      <c r="G274" s="149" t="s">
        <v>1812</v>
      </c>
      <c r="H274" s="149" t="s">
        <v>388</v>
      </c>
      <c r="I274" s="150">
        <v>9</v>
      </c>
      <c r="J274" s="151">
        <v>1</v>
      </c>
      <c r="K274" s="151" t="s">
        <v>126</v>
      </c>
      <c r="L274" s="151" t="s">
        <v>112</v>
      </c>
      <c r="M274" s="151" t="s">
        <v>106</v>
      </c>
      <c r="N274" s="151" t="s">
        <v>109</v>
      </c>
      <c r="O274" s="152">
        <v>755000</v>
      </c>
      <c r="P274" s="153">
        <v>755000000</v>
      </c>
      <c r="Q274" s="153">
        <v>1000</v>
      </c>
      <c r="R274" s="154">
        <v>44819</v>
      </c>
      <c r="S274" s="154">
        <v>48472</v>
      </c>
      <c r="T274" s="155" t="s">
        <v>1997</v>
      </c>
      <c r="U274" s="155" t="s">
        <v>1693</v>
      </c>
      <c r="V274" s="154" t="s">
        <v>105</v>
      </c>
      <c r="W274" s="154" t="s">
        <v>102</v>
      </c>
      <c r="X274" s="154" t="s">
        <v>1331</v>
      </c>
      <c r="Y274" s="154">
        <v>47710</v>
      </c>
      <c r="Z274" s="156">
        <f>IFERROR(INDEX(Base!G:G,MATCH('Debêntures IPCA-Spread'!Y274,Base!F:F,0)),"")</f>
        <v>6.3273999999999999</v>
      </c>
      <c r="AA274" s="115"/>
      <c r="AB274" s="157">
        <v>45552</v>
      </c>
      <c r="AC274" s="158">
        <v>6.6265999999999998</v>
      </c>
      <c r="AD274" s="159">
        <f t="shared" si="13"/>
        <v>0.29919999999999991</v>
      </c>
      <c r="AE274" s="160">
        <v>0.06</v>
      </c>
      <c r="AF274" s="161">
        <v>6.8287000000000004</v>
      </c>
      <c r="AG274" s="161">
        <v>6.5186000000000002</v>
      </c>
      <c r="AH274" s="162">
        <v>1108.096865</v>
      </c>
      <c r="AI274" s="162">
        <v>1118.5731986000001</v>
      </c>
      <c r="AJ274" s="163">
        <f t="shared" si="14"/>
        <v>0.9906341993415253</v>
      </c>
      <c r="AK274" s="164">
        <v>45527</v>
      </c>
      <c r="AL274" s="165">
        <v>101.46</v>
      </c>
      <c r="AM274" s="166">
        <v>1424</v>
      </c>
      <c r="AN274" s="115"/>
      <c r="AO274" s="167">
        <v>-1.5679095376999999E-3</v>
      </c>
      <c r="AP274" s="168">
        <f>IF(AO274="","",AO274-AO$6)</f>
        <v>-2.0480544226300001E-3</v>
      </c>
      <c r="AQ274" s="168">
        <v>-3.8060301294999999E-3</v>
      </c>
      <c r="AR274" s="168">
        <f>IF(AQ274="","",AQ274-AQ$6)</f>
        <v>-3.5885233765399998E-3</v>
      </c>
      <c r="AS274" s="168">
        <v>5.9518713591E-2</v>
      </c>
      <c r="AT274" s="168">
        <f>IF(AS274="","",AS274-AS$6)</f>
        <v>4.4792878536000003E-2</v>
      </c>
      <c r="AU274" s="168">
        <v>-8.8176962681000004E-3</v>
      </c>
      <c r="AV274" s="168">
        <f>IF(AU274="","",AU274-AU$6)</f>
        <v>4.2508863278999994E-3</v>
      </c>
      <c r="AW274" s="168">
        <v>4.1465741501999998E-2</v>
      </c>
      <c r="AX274" s="168">
        <f>IF(AW274="","",AW274-AW$6)</f>
        <v>1.7470673713999997E-2</v>
      </c>
      <c r="AY274" s="168">
        <v>2.0450077192E-2</v>
      </c>
      <c r="AZ274" s="168">
        <f>IF(AY274="","",AY274-AY$6)</f>
        <v>6.2078224019999993E-3</v>
      </c>
      <c r="BA274" s="168">
        <v>9.459944495E-2</v>
      </c>
      <c r="BB274" s="168">
        <f>IF(BA274="","",BA274-BA$6)</f>
        <v>4.1112480392000002E-2</v>
      </c>
      <c r="BC274" s="168"/>
      <c r="BD274" s="168" t="str">
        <f>IF(BC274="","",BC274-BC$6)</f>
        <v/>
      </c>
      <c r="BE274" s="168"/>
      <c r="BF274" s="168" t="str">
        <f>IF(BE274="","",BE274-BE$6)</f>
        <v/>
      </c>
      <c r="BG274" s="168"/>
      <c r="BH274" s="168" t="str">
        <f>IF(BG274="","",BG274-BG$6)</f>
        <v/>
      </c>
      <c r="BI274" s="168"/>
      <c r="BJ274" s="168" t="str">
        <f>IF(BI274="","",BI274-BI$6)</f>
        <v/>
      </c>
      <c r="BK274" s="169">
        <v>5.5055329430000004</v>
      </c>
      <c r="BL274" s="115"/>
      <c r="BM274" s="170">
        <v>1.0596642833999999E-2</v>
      </c>
      <c r="BN274" s="163">
        <v>-9.0374206929000004E-3</v>
      </c>
      <c r="BO274" s="163">
        <v>3.0232444829000001E-2</v>
      </c>
      <c r="BP274" s="163">
        <v>-2.4747451005000001E-2</v>
      </c>
      <c r="BQ274" s="171">
        <v>8</v>
      </c>
      <c r="BR274" s="171">
        <v>4</v>
      </c>
      <c r="BS274" s="171">
        <v>6</v>
      </c>
      <c r="BT274" s="171">
        <v>6</v>
      </c>
      <c r="BU274" s="172">
        <v>-0.25347652779000002</v>
      </c>
      <c r="BV274" s="172"/>
      <c r="BW274" s="163">
        <v>5.6905893391000001E-3</v>
      </c>
      <c r="BX274" s="163">
        <v>4.9465399396999999E-3</v>
      </c>
      <c r="BY274" s="161">
        <v>-2.3808157846000002</v>
      </c>
      <c r="BZ274" s="163">
        <v>-3.2013450988999999E-2</v>
      </c>
      <c r="CA274" s="163">
        <v>-3.2013450988999999E-2</v>
      </c>
      <c r="CB274" s="154">
        <v>45371</v>
      </c>
      <c r="CC274" s="154">
        <v>45474</v>
      </c>
      <c r="CD274" s="173">
        <v>93</v>
      </c>
      <c r="CE274" s="174">
        <v>45505</v>
      </c>
      <c r="CF274" s="116"/>
    </row>
    <row r="275" spans="2:84" ht="15.6" x14ac:dyDescent="0.3">
      <c r="B275" s="98" t="s">
        <v>1454</v>
      </c>
      <c r="C275" s="175" t="s">
        <v>2100</v>
      </c>
      <c r="D275" s="176" t="s">
        <v>636</v>
      </c>
      <c r="E275" s="176" t="s">
        <v>226</v>
      </c>
      <c r="F275" s="177">
        <v>4423567000121</v>
      </c>
      <c r="G275" s="177" t="s">
        <v>1813</v>
      </c>
      <c r="H275" s="177" t="s">
        <v>388</v>
      </c>
      <c r="I275" s="178">
        <v>9</v>
      </c>
      <c r="J275" s="179">
        <v>2</v>
      </c>
      <c r="K275" s="179" t="s">
        <v>126</v>
      </c>
      <c r="L275" s="179" t="s">
        <v>112</v>
      </c>
      <c r="M275" s="179" t="s">
        <v>106</v>
      </c>
      <c r="N275" s="179" t="s">
        <v>109</v>
      </c>
      <c r="O275" s="180">
        <v>570000</v>
      </c>
      <c r="P275" s="181">
        <v>570000000</v>
      </c>
      <c r="Q275" s="181">
        <v>1000</v>
      </c>
      <c r="R275" s="182">
        <v>44819</v>
      </c>
      <c r="S275" s="182">
        <v>50298</v>
      </c>
      <c r="T275" s="183" t="s">
        <v>1997</v>
      </c>
      <c r="U275" s="183" t="s">
        <v>1694</v>
      </c>
      <c r="V275" s="182" t="s">
        <v>105</v>
      </c>
      <c r="W275" s="182" t="s">
        <v>102</v>
      </c>
      <c r="X275" s="182" t="s">
        <v>1583</v>
      </c>
      <c r="Y275" s="182">
        <v>49444</v>
      </c>
      <c r="Z275" s="184">
        <f>IFERROR(INDEX(Base!G:G,MATCH('Debêntures IPCA-Spread'!Y275,Base!F:F,0)),"")</f>
        <v>6.3137999999999996</v>
      </c>
      <c r="AA275" s="115"/>
      <c r="AB275" s="185">
        <v>45552</v>
      </c>
      <c r="AC275" s="186">
        <v>6.8129999999999997</v>
      </c>
      <c r="AD275" s="187">
        <f t="shared" si="13"/>
        <v>0.49920000000000009</v>
      </c>
      <c r="AE275" s="188">
        <v>0.1</v>
      </c>
      <c r="AF275" s="189">
        <v>6.9621000000000004</v>
      </c>
      <c r="AG275" s="189">
        <v>6.6943000000000001</v>
      </c>
      <c r="AH275" s="190">
        <v>1108.220057</v>
      </c>
      <c r="AI275" s="190">
        <v>1135.1285283</v>
      </c>
      <c r="AJ275" s="191">
        <f t="shared" si="14"/>
        <v>0.97629478016881588</v>
      </c>
      <c r="AK275" s="192">
        <v>45518</v>
      </c>
      <c r="AL275" s="193">
        <v>101.47</v>
      </c>
      <c r="AM275" s="194">
        <v>2101</v>
      </c>
      <c r="AN275" s="115"/>
      <c r="AO275" s="195">
        <v>-1.2061528758999999E-3</v>
      </c>
      <c r="AP275" s="196">
        <f>IF(AO275="","",AO275-AO$6)</f>
        <v>-1.6862977608299999E-3</v>
      </c>
      <c r="AQ275" s="196">
        <v>-3.9575233986000003E-3</v>
      </c>
      <c r="AR275" s="196">
        <f>IF(AQ275="","",AQ275-AQ$6)</f>
        <v>-3.7400166456400003E-3</v>
      </c>
      <c r="AS275" s="196">
        <v>5.4787628110999999E-2</v>
      </c>
      <c r="AT275" s="196">
        <f>IF(AS275="","",AS275-AS$6)</f>
        <v>4.0061793055999995E-2</v>
      </c>
      <c r="AU275" s="196">
        <v>-1.6927968636999999E-2</v>
      </c>
      <c r="AV275" s="196">
        <f>IF(AU275="","",AU275-AU$6)</f>
        <v>-3.8593860409999996E-3</v>
      </c>
      <c r="AW275" s="196">
        <v>4.2898354573000001E-2</v>
      </c>
      <c r="AX275" s="196">
        <f>IF(AW275="","",AW275-AW$6)</f>
        <v>1.8903286785000001E-2</v>
      </c>
      <c r="AY275" s="196">
        <v>4.3608595479E-4</v>
      </c>
      <c r="AZ275" s="196">
        <f>IF(AY275="","",AY275-AY$6)</f>
        <v>-1.3806168835210001E-2</v>
      </c>
      <c r="BA275" s="196">
        <v>9.8462524410999994E-2</v>
      </c>
      <c r="BB275" s="196">
        <f>IF(BA275="","",BA275-BA$6)</f>
        <v>4.4975559852999995E-2</v>
      </c>
      <c r="BC275" s="196"/>
      <c r="BD275" s="196" t="str">
        <f>IF(BC275="","",BC275-BC$6)</f>
        <v/>
      </c>
      <c r="BE275" s="196"/>
      <c r="BF275" s="196" t="str">
        <f>IF(BE275="","",BE275-BE$6)</f>
        <v/>
      </c>
      <c r="BG275" s="196"/>
      <c r="BH275" s="196" t="str">
        <f>IF(BG275="","",BG275-BG$6)</f>
        <v/>
      </c>
      <c r="BI275" s="196"/>
      <c r="BJ275" s="196" t="str">
        <f>IF(BI275="","",BI275-BI$6)</f>
        <v/>
      </c>
      <c r="BK275" s="197">
        <v>8.0265389685000006</v>
      </c>
      <c r="BL275" s="115"/>
      <c r="BM275" s="198">
        <v>2.1479746569000001E-2</v>
      </c>
      <c r="BN275" s="191">
        <v>-1.7057552177000002E-2</v>
      </c>
      <c r="BO275" s="191">
        <v>4.2318749715999998E-2</v>
      </c>
      <c r="BP275" s="191">
        <v>-3.3626044544999997E-2</v>
      </c>
      <c r="BQ275" s="199">
        <v>8</v>
      </c>
      <c r="BR275" s="199">
        <v>4</v>
      </c>
      <c r="BS275" s="199">
        <v>6</v>
      </c>
      <c r="BT275" s="199">
        <v>6</v>
      </c>
      <c r="BU275" s="200">
        <v>-0.10945176683000001</v>
      </c>
      <c r="BV275" s="200"/>
      <c r="BW275" s="191">
        <v>8.2980347064000003E-3</v>
      </c>
      <c r="BX275" s="191">
        <v>6.4285944778000002E-3</v>
      </c>
      <c r="BY275" s="189">
        <v>-2.0617436301000001</v>
      </c>
      <c r="BZ275" s="191">
        <v>-5.0593082142E-2</v>
      </c>
      <c r="CA275" s="191">
        <v>-5.0593082142E-2</v>
      </c>
      <c r="CB275" s="182">
        <v>45366</v>
      </c>
      <c r="CC275" s="182">
        <v>45474</v>
      </c>
      <c r="CD275" s="201">
        <v>97</v>
      </c>
      <c r="CE275" s="202">
        <v>45506</v>
      </c>
      <c r="CF275" s="116"/>
    </row>
    <row r="276" spans="2:84" ht="15.6" x14ac:dyDescent="0.3">
      <c r="B276" s="110" t="s">
        <v>1455</v>
      </c>
      <c r="C276" s="147" t="s">
        <v>2101</v>
      </c>
      <c r="D276" s="148" t="s">
        <v>636</v>
      </c>
      <c r="E276" s="148" t="s">
        <v>226</v>
      </c>
      <c r="F276" s="149">
        <v>4423567000121</v>
      </c>
      <c r="G276" s="149" t="s">
        <v>1814</v>
      </c>
      <c r="H276" s="149" t="s">
        <v>388</v>
      </c>
      <c r="I276" s="150">
        <v>9</v>
      </c>
      <c r="J276" s="151">
        <v>3</v>
      </c>
      <c r="K276" s="151" t="s">
        <v>126</v>
      </c>
      <c r="L276" s="151" t="s">
        <v>112</v>
      </c>
      <c r="M276" s="151" t="s">
        <v>106</v>
      </c>
      <c r="N276" s="151" t="s">
        <v>109</v>
      </c>
      <c r="O276" s="152">
        <v>575000</v>
      </c>
      <c r="P276" s="153">
        <v>575000000</v>
      </c>
      <c r="Q276" s="153">
        <v>1000</v>
      </c>
      <c r="R276" s="154">
        <v>44819</v>
      </c>
      <c r="S276" s="154">
        <v>52124</v>
      </c>
      <c r="T276" s="155" t="s">
        <v>1997</v>
      </c>
      <c r="U276" s="155" t="s">
        <v>166</v>
      </c>
      <c r="V276" s="154" t="s">
        <v>105</v>
      </c>
      <c r="W276" s="154" t="s">
        <v>102</v>
      </c>
      <c r="X276" s="154" t="s">
        <v>1363</v>
      </c>
      <c r="Y276" s="154">
        <v>51363</v>
      </c>
      <c r="Z276" s="156">
        <f>IFERROR(INDEX(Base!G:G,MATCH('Debêntures IPCA-Spread'!Y276,Base!F:F,0)),"")</f>
        <v>6.2279</v>
      </c>
      <c r="AA276" s="115"/>
      <c r="AB276" s="157">
        <v>45552</v>
      </c>
      <c r="AC276" s="158">
        <v>6.8396999999999997</v>
      </c>
      <c r="AD276" s="159">
        <f t="shared" si="13"/>
        <v>0.61179999999999968</v>
      </c>
      <c r="AE276" s="160">
        <v>0.03</v>
      </c>
      <c r="AF276" s="161">
        <v>7.0201000000000002</v>
      </c>
      <c r="AG276" s="161">
        <v>6.6380999999999997</v>
      </c>
      <c r="AH276" s="162">
        <v>1125.9905819999999</v>
      </c>
      <c r="AI276" s="162">
        <v>1157.9456908</v>
      </c>
      <c r="AJ276" s="163">
        <f t="shared" si="14"/>
        <v>0.97240362043411299</v>
      </c>
      <c r="AK276" s="164">
        <v>45518</v>
      </c>
      <c r="AL276" s="165">
        <v>103.09</v>
      </c>
      <c r="AM276" s="166">
        <v>2662</v>
      </c>
      <c r="AN276" s="115"/>
      <c r="AO276" s="167">
        <v>-1.3306236596E-3</v>
      </c>
      <c r="AP276" s="168">
        <f>IF(AO276="","",AO276-AO$6)</f>
        <v>-1.81076854453E-3</v>
      </c>
      <c r="AQ276" s="168">
        <v>-2.1791104199999998E-3</v>
      </c>
      <c r="AR276" s="168">
        <f>IF(AQ276="","",AQ276-AQ$6)</f>
        <v>-1.9616036670399998E-3</v>
      </c>
      <c r="AS276" s="168">
        <v>5.052115553E-2</v>
      </c>
      <c r="AT276" s="168">
        <f>IF(AS276="","",AS276-AS$6)</f>
        <v>3.5795320475000003E-2</v>
      </c>
      <c r="AU276" s="168">
        <v>-2.2795578601999999E-2</v>
      </c>
      <c r="AV276" s="168">
        <f>IF(AU276="","",AU276-AU$6)</f>
        <v>-9.726996005999999E-3</v>
      </c>
      <c r="AW276" s="168">
        <v>5.0263286093000001E-2</v>
      </c>
      <c r="AX276" s="168">
        <f>IF(AW276="","",AW276-AW$6)</f>
        <v>2.6268218305E-2</v>
      </c>
      <c r="AY276" s="168">
        <v>8.9600269494000007E-3</v>
      </c>
      <c r="AZ276" s="168">
        <f>IF(AY276="","",AY276-AY$6)</f>
        <v>-5.2822278405999998E-3</v>
      </c>
      <c r="BA276" s="168">
        <v>9.3608258398999999E-2</v>
      </c>
      <c r="BB276" s="168">
        <f>IF(BA276="","",BA276-BA$6)</f>
        <v>4.0121293841000001E-2</v>
      </c>
      <c r="BC276" s="168"/>
      <c r="BD276" s="168" t="str">
        <f>IF(BC276="","",BC276-BC$6)</f>
        <v/>
      </c>
      <c r="BE276" s="168"/>
      <c r="BF276" s="168" t="str">
        <f>IF(BE276="","",BE276-BE$6)</f>
        <v/>
      </c>
      <c r="BG276" s="168"/>
      <c r="BH276" s="168" t="str">
        <f>IF(BG276="","",BG276-BG$6)</f>
        <v/>
      </c>
      <c r="BI276" s="168"/>
      <c r="BJ276" s="168" t="str">
        <f>IF(BI276="","",BI276-BI$6)</f>
        <v/>
      </c>
      <c r="BK276" s="169">
        <v>10.308927263999999</v>
      </c>
      <c r="BL276" s="115"/>
      <c r="BM276" s="170">
        <v>2.7250081092999999E-2</v>
      </c>
      <c r="BN276" s="163">
        <v>-2.1683192481999999E-2</v>
      </c>
      <c r="BO276" s="163">
        <v>5.1399984946000003E-2</v>
      </c>
      <c r="BP276" s="163">
        <v>-3.3347745902999999E-2</v>
      </c>
      <c r="BQ276" s="171">
        <v>6</v>
      </c>
      <c r="BR276" s="171">
        <v>6</v>
      </c>
      <c r="BS276" s="171">
        <v>5</v>
      </c>
      <c r="BT276" s="171">
        <v>7</v>
      </c>
      <c r="BU276" s="172">
        <v>-0.10749840676</v>
      </c>
      <c r="BV276" s="172"/>
      <c r="BW276" s="163">
        <v>1.0668540331000001E-2</v>
      </c>
      <c r="BX276" s="163">
        <v>6.3154060572999998E-3</v>
      </c>
      <c r="BY276" s="161">
        <v>-2.2418102470000001</v>
      </c>
      <c r="BZ276" s="163">
        <v>-8.1833981826000005E-2</v>
      </c>
      <c r="CA276" s="163">
        <v>-8.1833981826000005E-2</v>
      </c>
      <c r="CB276" s="154">
        <v>45345</v>
      </c>
      <c r="CC276" s="154">
        <v>45455</v>
      </c>
      <c r="CD276" s="173">
        <v>112</v>
      </c>
      <c r="CE276" s="174">
        <v>45506</v>
      </c>
      <c r="CF276" s="116"/>
    </row>
    <row r="277" spans="2:84" ht="15.6" x14ac:dyDescent="0.3">
      <c r="B277" s="98" t="s">
        <v>2282</v>
      </c>
      <c r="C277" s="175" t="s">
        <v>2667</v>
      </c>
      <c r="D277" s="176" t="s">
        <v>636</v>
      </c>
      <c r="E277" s="176" t="s">
        <v>226</v>
      </c>
      <c r="F277" s="177">
        <v>4423567000121</v>
      </c>
      <c r="G277" s="177" t="s">
        <v>2417</v>
      </c>
      <c r="H277" s="177" t="s">
        <v>388</v>
      </c>
      <c r="I277" s="178">
        <v>10</v>
      </c>
      <c r="J277" s="179">
        <v>1</v>
      </c>
      <c r="K277" s="179" t="s">
        <v>126</v>
      </c>
      <c r="L277" s="179" t="s">
        <v>112</v>
      </c>
      <c r="M277" s="179" t="s">
        <v>114</v>
      </c>
      <c r="N277" s="179" t="s">
        <v>109</v>
      </c>
      <c r="O277" s="180">
        <v>633334</v>
      </c>
      <c r="P277" s="181">
        <v>633334000</v>
      </c>
      <c r="Q277" s="181">
        <v>1000</v>
      </c>
      <c r="R277" s="182">
        <v>45397</v>
      </c>
      <c r="S277" s="182">
        <v>49049</v>
      </c>
      <c r="T277" s="183" t="s">
        <v>2816</v>
      </c>
      <c r="U277" s="183" t="s">
        <v>2712</v>
      </c>
      <c r="V277" s="182" t="s">
        <v>105</v>
      </c>
      <c r="W277" s="182" t="s">
        <v>102</v>
      </c>
      <c r="X277" s="182" t="s">
        <v>2539</v>
      </c>
      <c r="Y277" s="182">
        <v>48441</v>
      </c>
      <c r="Z277" s="184">
        <f>IFERROR(INDEX(Base!G:G,MATCH('Debêntures IPCA-Spread'!Y277,Base!F:F,0)),"")</f>
        <v>6.3467000000000002</v>
      </c>
      <c r="AA277" s="115"/>
      <c r="AB277" s="185">
        <v>45552</v>
      </c>
      <c r="AC277" s="186">
        <v>6.6806999999999999</v>
      </c>
      <c r="AD277" s="187">
        <f t="shared" si="13"/>
        <v>0.33399999999999963</v>
      </c>
      <c r="AE277" s="188">
        <v>0.12</v>
      </c>
      <c r="AF277" s="189">
        <v>6.8640999999999996</v>
      </c>
      <c r="AG277" s="189">
        <v>6.5326000000000004</v>
      </c>
      <c r="AH277" s="190">
        <v>1027.7424510000001</v>
      </c>
      <c r="AI277" s="190"/>
      <c r="AJ277" s="191" t="str">
        <f t="shared" si="14"/>
        <v/>
      </c>
      <c r="AK277" s="192"/>
      <c r="AL277" s="193">
        <v>99.29</v>
      </c>
      <c r="AM277" s="194">
        <v>1642</v>
      </c>
      <c r="AN277" s="115"/>
      <c r="AO277" s="195">
        <v>-2.0853845081E-3</v>
      </c>
      <c r="AP277" s="196">
        <f>IF(AO277="","",AO277-AO$6)</f>
        <v>-2.56552939303E-3</v>
      </c>
      <c r="AQ277" s="196">
        <v>-2.8231794331000002E-3</v>
      </c>
      <c r="AR277" s="196">
        <f>IF(AQ277="","",AQ277-AQ$6)</f>
        <v>-2.6056726801400002E-3</v>
      </c>
      <c r="AS277" s="196"/>
      <c r="AT277" s="196" t="str">
        <f>IF(AS277="","",AS277-AS$6)</f>
        <v/>
      </c>
      <c r="AU277" s="196">
        <v>-1.7403814116000001E-2</v>
      </c>
      <c r="AV277" s="196">
        <f>IF(AU277="","",AU277-AU$6)</f>
        <v>-4.3352315200000015E-3</v>
      </c>
      <c r="AW277" s="196">
        <v>5.6058579254999998E-2</v>
      </c>
      <c r="AX277" s="196">
        <f>IF(AW277="","",AW277-AW$6)</f>
        <v>3.2063511466999997E-2</v>
      </c>
      <c r="AY277" s="196"/>
      <c r="AZ277" s="196" t="str">
        <f>IF(AY277="","",AY277-AY$6)</f>
        <v/>
      </c>
      <c r="BA277" s="196"/>
      <c r="BB277" s="196" t="str">
        <f>IF(BA277="","",BA277-BA$6)</f>
        <v/>
      </c>
      <c r="BC277" s="196"/>
      <c r="BD277" s="196" t="str">
        <f>IF(BC277="","",BC277-BC$6)</f>
        <v/>
      </c>
      <c r="BE277" s="196"/>
      <c r="BF277" s="196" t="str">
        <f>IF(BE277="","",BE277-BE$6)</f>
        <v/>
      </c>
      <c r="BG277" s="196"/>
      <c r="BH277" s="196" t="str">
        <f>IF(BG277="","",BG277-BG$6)</f>
        <v/>
      </c>
      <c r="BI277" s="196"/>
      <c r="BJ277" s="196" t="str">
        <f>IF(BI277="","",BI277-BI$6)</f>
        <v/>
      </c>
      <c r="BK277" s="197"/>
      <c r="BL277" s="115"/>
      <c r="BM277" s="198">
        <v>1.5813939615000001E-2</v>
      </c>
      <c r="BN277" s="191">
        <v>-9.9924667792999997E-3</v>
      </c>
      <c r="BO277" s="191">
        <v>3.5642912711000001E-2</v>
      </c>
      <c r="BP277" s="191">
        <v>-5.2880773027999999E-3</v>
      </c>
      <c r="BQ277" s="199"/>
      <c r="BR277" s="199"/>
      <c r="BS277" s="199"/>
      <c r="BT277" s="199"/>
      <c r="BU277" s="200"/>
      <c r="BV277" s="200"/>
      <c r="BW277" s="191"/>
      <c r="BX277" s="191">
        <v>5.2762673925999997E-3</v>
      </c>
      <c r="BY277" s="189"/>
      <c r="BZ277" s="191">
        <v>-2.2494626350000001E-2</v>
      </c>
      <c r="CA277" s="191">
        <v>-2.2494626350000001E-2</v>
      </c>
      <c r="CB277" s="182">
        <v>45468</v>
      </c>
      <c r="CC277" s="182">
        <v>45475</v>
      </c>
      <c r="CD277" s="201">
        <v>11</v>
      </c>
      <c r="CE277" s="202">
        <v>45483</v>
      </c>
      <c r="CF277" s="116"/>
    </row>
    <row r="278" spans="2:84" ht="15.6" x14ac:dyDescent="0.3">
      <c r="B278" s="110" t="s">
        <v>2283</v>
      </c>
      <c r="C278" s="147" t="s">
        <v>2668</v>
      </c>
      <c r="D278" s="148" t="s">
        <v>636</v>
      </c>
      <c r="E278" s="148" t="s">
        <v>226</v>
      </c>
      <c r="F278" s="149">
        <v>4423567000121</v>
      </c>
      <c r="G278" s="149" t="s">
        <v>2418</v>
      </c>
      <c r="H278" s="149" t="s">
        <v>388</v>
      </c>
      <c r="I278" s="150">
        <v>10</v>
      </c>
      <c r="J278" s="151">
        <v>2</v>
      </c>
      <c r="K278" s="151" t="s">
        <v>126</v>
      </c>
      <c r="L278" s="151" t="s">
        <v>112</v>
      </c>
      <c r="M278" s="151" t="s">
        <v>114</v>
      </c>
      <c r="N278" s="151" t="s">
        <v>109</v>
      </c>
      <c r="O278" s="152">
        <v>866669</v>
      </c>
      <c r="P278" s="153">
        <v>866669000</v>
      </c>
      <c r="Q278" s="153">
        <v>1000</v>
      </c>
      <c r="R278" s="154">
        <v>45397</v>
      </c>
      <c r="S278" s="154">
        <v>50875</v>
      </c>
      <c r="T278" s="155" t="s">
        <v>2816</v>
      </c>
      <c r="U278" s="155" t="s">
        <v>2713</v>
      </c>
      <c r="V278" s="154" t="s">
        <v>105</v>
      </c>
      <c r="W278" s="154" t="s">
        <v>102</v>
      </c>
      <c r="X278" s="154" t="s">
        <v>2540</v>
      </c>
      <c r="Y278" s="154">
        <v>49444</v>
      </c>
      <c r="Z278" s="156">
        <f>IFERROR(INDEX(Base!G:G,MATCH('Debêntures IPCA-Spread'!Y278,Base!F:F,0)),"")</f>
        <v>6.3137999999999996</v>
      </c>
      <c r="AA278" s="115"/>
      <c r="AB278" s="157">
        <v>45552</v>
      </c>
      <c r="AC278" s="158">
        <v>6.8121999999999998</v>
      </c>
      <c r="AD278" s="159">
        <f t="shared" si="13"/>
        <v>0.49840000000000018</v>
      </c>
      <c r="AE278" s="160">
        <v>0.11</v>
      </c>
      <c r="AF278" s="161">
        <v>6.8964999999999996</v>
      </c>
      <c r="AG278" s="161">
        <v>6.6401000000000003</v>
      </c>
      <c r="AH278" s="162">
        <v>1023.565396</v>
      </c>
      <c r="AI278" s="162"/>
      <c r="AJ278" s="163" t="str">
        <f t="shared" si="14"/>
        <v/>
      </c>
      <c r="AK278" s="164"/>
      <c r="AL278" s="165">
        <v>98.85</v>
      </c>
      <c r="AM278" s="166">
        <v>2242</v>
      </c>
      <c r="AN278" s="115"/>
      <c r="AO278" s="167">
        <v>-3.3698911002000001E-3</v>
      </c>
      <c r="AP278" s="168">
        <f>IF(AO278="","",AO278-AO$6)</f>
        <v>-3.8500359851300001E-3</v>
      </c>
      <c r="AQ278" s="168">
        <v>-8.4016158679999994E-3</v>
      </c>
      <c r="AR278" s="168">
        <f>IF(AQ278="","",AQ278-AQ$6)</f>
        <v>-8.1841091150400003E-3</v>
      </c>
      <c r="AS278" s="168"/>
      <c r="AT278" s="168" t="str">
        <f>IF(AS278="","",AS278-AS$6)</f>
        <v/>
      </c>
      <c r="AU278" s="168">
        <v>-2.4461580776999999E-2</v>
      </c>
      <c r="AV278" s="168">
        <f>IF(AU278="","",AU278-AU$6)</f>
        <v>-1.1392998180999999E-2</v>
      </c>
      <c r="AW278" s="168">
        <v>5.2529517951999997E-2</v>
      </c>
      <c r="AX278" s="168">
        <f>IF(AW278="","",AW278-AW$6)</f>
        <v>2.8534450163999997E-2</v>
      </c>
      <c r="AY278" s="168"/>
      <c r="AZ278" s="168" t="str">
        <f>IF(AY278="","",AY278-AY$6)</f>
        <v/>
      </c>
      <c r="BA278" s="168"/>
      <c r="BB278" s="168" t="str">
        <f>IF(BA278="","",BA278-BA$6)</f>
        <v/>
      </c>
      <c r="BC278" s="168"/>
      <c r="BD278" s="168" t="str">
        <f>IF(BC278="","",BC278-BC$6)</f>
        <v/>
      </c>
      <c r="BE278" s="168"/>
      <c r="BF278" s="168" t="str">
        <f>IF(BE278="","",BE278-BE$6)</f>
        <v/>
      </c>
      <c r="BG278" s="168"/>
      <c r="BH278" s="168" t="str">
        <f>IF(BG278="","",BG278-BG$6)</f>
        <v/>
      </c>
      <c r="BI278" s="168"/>
      <c r="BJ278" s="168" t="str">
        <f>IF(BI278="","",BI278-BI$6)</f>
        <v/>
      </c>
      <c r="BK278" s="169"/>
      <c r="BL278" s="115"/>
      <c r="BM278" s="170">
        <v>2.3736858156999999E-2</v>
      </c>
      <c r="BN278" s="163">
        <v>-2.2377904632000001E-2</v>
      </c>
      <c r="BO278" s="163">
        <v>4.3740449133000001E-2</v>
      </c>
      <c r="BP278" s="163">
        <v>-2.5034508652999998E-2</v>
      </c>
      <c r="BQ278" s="171"/>
      <c r="BR278" s="171"/>
      <c r="BS278" s="171"/>
      <c r="BT278" s="171"/>
      <c r="BU278" s="172"/>
      <c r="BV278" s="172"/>
      <c r="BW278" s="163"/>
      <c r="BX278" s="163">
        <v>1.111290497E-2</v>
      </c>
      <c r="BY278" s="161"/>
      <c r="BZ278" s="163">
        <v>-4.7165445918000003E-2</v>
      </c>
      <c r="CA278" s="163">
        <v>-4.7165445918000003E-2</v>
      </c>
      <c r="CB278" s="154">
        <v>45449</v>
      </c>
      <c r="CC278" s="154">
        <v>45474</v>
      </c>
      <c r="CD278" s="173">
        <v>39</v>
      </c>
      <c r="CE278" s="174">
        <v>45504</v>
      </c>
      <c r="CF278" s="116"/>
    </row>
    <row r="279" spans="2:84" ht="15.6" x14ac:dyDescent="0.3">
      <c r="B279" s="98" t="s">
        <v>47</v>
      </c>
      <c r="C279" s="175" t="s">
        <v>306</v>
      </c>
      <c r="D279" s="176" t="s">
        <v>19</v>
      </c>
      <c r="E279" s="176" t="s">
        <v>226</v>
      </c>
      <c r="F279" s="177">
        <v>2474103000119</v>
      </c>
      <c r="G279" s="177" t="s">
        <v>2419</v>
      </c>
      <c r="H279" s="177" t="s">
        <v>388</v>
      </c>
      <c r="I279" s="178">
        <v>5</v>
      </c>
      <c r="J279" s="179" t="s">
        <v>107</v>
      </c>
      <c r="K279" s="179" t="s">
        <v>126</v>
      </c>
      <c r="L279" s="179" t="s">
        <v>112</v>
      </c>
      <c r="M279" s="179" t="s">
        <v>115</v>
      </c>
      <c r="N279" s="179" t="s">
        <v>109</v>
      </c>
      <c r="O279" s="180">
        <v>165000</v>
      </c>
      <c r="P279" s="181">
        <v>165000000</v>
      </c>
      <c r="Q279" s="181">
        <v>1000</v>
      </c>
      <c r="R279" s="182">
        <v>41988</v>
      </c>
      <c r="S279" s="182">
        <v>45641</v>
      </c>
      <c r="T279" s="183" t="s">
        <v>144</v>
      </c>
      <c r="U279" s="183" t="s">
        <v>179</v>
      </c>
      <c r="V279" s="182" t="s">
        <v>105</v>
      </c>
      <c r="W279" s="182" t="s">
        <v>102</v>
      </c>
      <c r="X279" s="182" t="s">
        <v>1342</v>
      </c>
      <c r="Y279" s="182">
        <v>45792</v>
      </c>
      <c r="Z279" s="184">
        <f>IFERROR(INDEX(Base!G:G,MATCH('Debêntures IPCA-Spread'!Y279,Base!F:F,0)),"")</f>
        <v>5.73</v>
      </c>
      <c r="AA279" s="115"/>
      <c r="AB279" s="185">
        <v>45552</v>
      </c>
      <c r="AC279" s="186">
        <v>5.8494999999999999</v>
      </c>
      <c r="AD279" s="187">
        <f t="shared" si="13"/>
        <v>0.1194999999999995</v>
      </c>
      <c r="AE279" s="188">
        <v>0.27</v>
      </c>
      <c r="AF279" s="189">
        <v>6.1074999999999999</v>
      </c>
      <c r="AG279" s="189">
        <v>5.6087999999999996</v>
      </c>
      <c r="AH279" s="190">
        <v>604.53010300000005</v>
      </c>
      <c r="AI279" s="190">
        <v>604.53010300000005</v>
      </c>
      <c r="AJ279" s="191">
        <f t="shared" si="14"/>
        <v>1</v>
      </c>
      <c r="AK279" s="192">
        <v>45552</v>
      </c>
      <c r="AL279" s="193">
        <v>100.1</v>
      </c>
      <c r="AM279" s="194">
        <v>62</v>
      </c>
      <c r="AN279" s="115"/>
      <c r="AO279" s="195">
        <v>6.8698333962000004E-4</v>
      </c>
      <c r="AP279" s="196">
        <f>IF(AO279="","",AO279-AO$6)</f>
        <v>2.0683845469000005E-4</v>
      </c>
      <c r="AQ279" s="196">
        <v>4.1021801698999999E-3</v>
      </c>
      <c r="AR279" s="196">
        <f>IF(AQ279="","",AQ279-AQ$6)</f>
        <v>4.3196869228599999E-3</v>
      </c>
      <c r="AS279" s="196">
        <v>8.6980136415000006E-2</v>
      </c>
      <c r="AT279" s="196">
        <f>IF(AS279="","",AS279-AS$6)</f>
        <v>7.2254301360000009E-2</v>
      </c>
      <c r="AU279" s="196">
        <v>7.3487187128000002E-3</v>
      </c>
      <c r="AV279" s="196">
        <f>IF(AU279="","",AU279-AU$6)</f>
        <v>2.0417301308799998E-2</v>
      </c>
      <c r="AW279" s="196">
        <v>2.8054258073E-2</v>
      </c>
      <c r="AX279" s="196">
        <f>IF(AW279="","",AW279-AW$6)</f>
        <v>4.059190285E-3</v>
      </c>
      <c r="AY279" s="196">
        <v>5.1290540869999998E-2</v>
      </c>
      <c r="AZ279" s="196">
        <f>IF(AY279="","",AY279-AY$6)</f>
        <v>3.7048286079999999E-2</v>
      </c>
      <c r="BA279" s="196">
        <v>0.12186853055999999</v>
      </c>
      <c r="BB279" s="196">
        <f>IF(BA279="","",BA279-BA$6)</f>
        <v>6.8381566001999988E-2</v>
      </c>
      <c r="BC279" s="196">
        <v>0.2541166802</v>
      </c>
      <c r="BD279" s="196">
        <f>IF(BC279="","",BC279-BC$6)</f>
        <v>5.9808113709999999E-2</v>
      </c>
      <c r="BE279" s="196">
        <v>0.36549113163000002</v>
      </c>
      <c r="BF279" s="196">
        <f>IF(BE279="","",BE279-BE$6)</f>
        <v>0.10377179209000004</v>
      </c>
      <c r="BG279" s="196">
        <v>0.47710856974999999</v>
      </c>
      <c r="BH279" s="196">
        <f>IF(BG279="","",BG279-BG$6)</f>
        <v>0.16819192093999996</v>
      </c>
      <c r="BI279" s="196">
        <v>0.58885264249000002</v>
      </c>
      <c r="BJ279" s="196">
        <f>IF(BI279="","",BI279-BI$6)</f>
        <v>0.21590963241</v>
      </c>
      <c r="BK279" s="197">
        <v>0.91432983955000002</v>
      </c>
      <c r="BL279" s="115"/>
      <c r="BM279" s="198">
        <v>3.7006897272999998E-3</v>
      </c>
      <c r="BN279" s="191">
        <v>-8.8345059976000005E-4</v>
      </c>
      <c r="BO279" s="191">
        <v>1.4551341355000001E-2</v>
      </c>
      <c r="BP279" s="191">
        <v>4.1021801698999999E-3</v>
      </c>
      <c r="BQ279" s="199">
        <v>12</v>
      </c>
      <c r="BR279" s="199">
        <v>0</v>
      </c>
      <c r="BS279" s="199">
        <v>7</v>
      </c>
      <c r="BT279" s="199">
        <v>5</v>
      </c>
      <c r="BU279" s="200">
        <v>0.99703420140999999</v>
      </c>
      <c r="BV279" s="200">
        <v>-0.31119388629</v>
      </c>
      <c r="BW279" s="191">
        <v>9.4533740510999999E-4</v>
      </c>
      <c r="BX279" s="191">
        <v>4.1598795736999999E-4</v>
      </c>
      <c r="BY279" s="189">
        <v>0.91562171436999995</v>
      </c>
      <c r="BZ279" s="191">
        <v>-1.2620324695E-3</v>
      </c>
      <c r="CA279" s="191">
        <v>-1.2620324695E-3</v>
      </c>
      <c r="CB279" s="182">
        <v>45198</v>
      </c>
      <c r="CC279" s="182">
        <v>45204</v>
      </c>
      <c r="CD279" s="201">
        <v>6</v>
      </c>
      <c r="CE279" s="202">
        <v>45208</v>
      </c>
      <c r="CF279" s="116"/>
    </row>
    <row r="280" spans="2:84" ht="15.6" x14ac:dyDescent="0.3">
      <c r="B280" s="110" t="s">
        <v>48</v>
      </c>
      <c r="C280" s="147" t="s">
        <v>307</v>
      </c>
      <c r="D280" s="148" t="s">
        <v>19</v>
      </c>
      <c r="E280" s="148" t="s">
        <v>226</v>
      </c>
      <c r="F280" s="149">
        <v>2474103000119</v>
      </c>
      <c r="G280" s="149" t="s">
        <v>363</v>
      </c>
      <c r="H280" s="149" t="s">
        <v>388</v>
      </c>
      <c r="I280" s="150">
        <v>6</v>
      </c>
      <c r="J280" s="151">
        <v>2</v>
      </c>
      <c r="K280" s="151" t="s">
        <v>126</v>
      </c>
      <c r="L280" s="151" t="s">
        <v>121</v>
      </c>
      <c r="M280" s="151" t="s">
        <v>116</v>
      </c>
      <c r="N280" s="151" t="s">
        <v>109</v>
      </c>
      <c r="O280" s="152">
        <v>353400</v>
      </c>
      <c r="P280" s="153">
        <v>353400000</v>
      </c>
      <c r="Q280" s="153">
        <v>1000</v>
      </c>
      <c r="R280" s="154">
        <v>42566</v>
      </c>
      <c r="S280" s="154">
        <v>46218</v>
      </c>
      <c r="T280" s="155" t="s">
        <v>149</v>
      </c>
      <c r="U280" s="155" t="s">
        <v>180</v>
      </c>
      <c r="V280" s="154" t="s">
        <v>105</v>
      </c>
      <c r="W280" s="154" t="s">
        <v>102</v>
      </c>
      <c r="X280" s="154" t="s">
        <v>204</v>
      </c>
      <c r="Y280" s="154">
        <v>46249</v>
      </c>
      <c r="Z280" s="156">
        <f>IFERROR(INDEX(Base!G:G,MATCH('Debêntures IPCA-Spread'!Y280,Base!F:F,0)),"")</f>
        <v>6.5365000000000002</v>
      </c>
      <c r="AA280" s="115"/>
      <c r="AB280" s="157">
        <v>45552</v>
      </c>
      <c r="AC280" s="158">
        <v>6.2083000000000004</v>
      </c>
      <c r="AD280" s="159">
        <f t="shared" si="13"/>
        <v>-0.32819999999999983</v>
      </c>
      <c r="AE280" s="160">
        <v>0.31</v>
      </c>
      <c r="AF280" s="161">
        <v>6.4455999999999998</v>
      </c>
      <c r="AG280" s="161">
        <v>5.9745999999999997</v>
      </c>
      <c r="AH280" s="162">
        <v>999.75714000000005</v>
      </c>
      <c r="AI280" s="162">
        <v>999.75714000000005</v>
      </c>
      <c r="AJ280" s="163">
        <f t="shared" si="14"/>
        <v>1</v>
      </c>
      <c r="AK280" s="164">
        <v>45552</v>
      </c>
      <c r="AL280" s="165">
        <v>100.05</v>
      </c>
      <c r="AM280" s="166">
        <v>324</v>
      </c>
      <c r="AN280" s="115"/>
      <c r="AO280" s="167">
        <v>1.07544825E-3</v>
      </c>
      <c r="AP280" s="168">
        <f>IF(AO280="","",AO280-AO$6)</f>
        <v>5.9530336506999999E-4</v>
      </c>
      <c r="AQ280" s="168">
        <v>6.2750592787999999E-3</v>
      </c>
      <c r="AR280" s="168">
        <f>IF(AQ280="","",AQ280-AQ$6)</f>
        <v>6.49256603176E-3</v>
      </c>
      <c r="AS280" s="168">
        <v>7.2419787871999999E-2</v>
      </c>
      <c r="AT280" s="168">
        <f>IF(AS280="","",AS280-AS$6)</f>
        <v>5.7693952817000002E-2</v>
      </c>
      <c r="AU280" s="168">
        <v>7.9476652753999993E-3</v>
      </c>
      <c r="AV280" s="168">
        <f>IF(AU280="","",AU280-AU$6)</f>
        <v>2.1016247871399999E-2</v>
      </c>
      <c r="AW280" s="168">
        <v>2.2027162603999999E-2</v>
      </c>
      <c r="AX280" s="168">
        <f>IF(AW280="","",AW280-AW$6)</f>
        <v>-1.9679051840000017E-3</v>
      </c>
      <c r="AY280" s="168">
        <v>4.4240587342000003E-2</v>
      </c>
      <c r="AZ280" s="168">
        <f>IF(AY280="","",AY280-AY$6)</f>
        <v>2.9998332552000004E-2</v>
      </c>
      <c r="BA280" s="168">
        <v>0.10218342705</v>
      </c>
      <c r="BB280" s="168">
        <f>IF(BA280="","",BA280-BA$6)</f>
        <v>4.8696462491999999E-2</v>
      </c>
      <c r="BC280" s="168">
        <v>0.22583527068000001</v>
      </c>
      <c r="BD280" s="168">
        <f>IF(BC280="","",BC280-BC$6)</f>
        <v>3.1526704190000004E-2</v>
      </c>
      <c r="BE280" s="168">
        <v>0.35122101492000002</v>
      </c>
      <c r="BF280" s="168">
        <f>IF(BE280="","",BE280-BE$6)</f>
        <v>8.9501675380000034E-2</v>
      </c>
      <c r="BG280" s="168">
        <v>0.45198032297000001</v>
      </c>
      <c r="BH280" s="168">
        <f>IF(BG280="","",BG280-BG$6)</f>
        <v>0.14306367415999999</v>
      </c>
      <c r="BI280" s="168">
        <v>0.52849123664999997</v>
      </c>
      <c r="BJ280" s="168">
        <f>IF(BI280="","",BI280-BI$6)</f>
        <v>0.15554822656999995</v>
      </c>
      <c r="BK280" s="169">
        <v>1.4238986696</v>
      </c>
      <c r="BL280" s="115"/>
      <c r="BM280" s="170">
        <v>3.3569118405000001E-3</v>
      </c>
      <c r="BN280" s="163">
        <v>-2.4307164266999999E-3</v>
      </c>
      <c r="BO280" s="163">
        <v>1.3699660610000001E-2</v>
      </c>
      <c r="BP280" s="163">
        <v>6.7527139798999997E-4</v>
      </c>
      <c r="BQ280" s="171">
        <v>12</v>
      </c>
      <c r="BR280" s="171">
        <v>0</v>
      </c>
      <c r="BS280" s="171">
        <v>7</v>
      </c>
      <c r="BT280" s="171">
        <v>5</v>
      </c>
      <c r="BU280" s="172">
        <v>-0.59864699518999998</v>
      </c>
      <c r="BV280" s="172">
        <v>-0.34971772801000001</v>
      </c>
      <c r="BW280" s="163">
        <v>1.4714105804E-3</v>
      </c>
      <c r="BX280" s="163">
        <v>1.2691355511000001E-3</v>
      </c>
      <c r="BY280" s="161">
        <v>-1.149711175</v>
      </c>
      <c r="BZ280" s="163">
        <v>-4.7103353020000001E-3</v>
      </c>
      <c r="CA280" s="163">
        <v>-4.7103353020000001E-3</v>
      </c>
      <c r="CB280" s="154">
        <v>45190</v>
      </c>
      <c r="CC280" s="154">
        <v>45212</v>
      </c>
      <c r="CD280" s="173">
        <v>23</v>
      </c>
      <c r="CE280" s="174">
        <v>45224</v>
      </c>
      <c r="CF280" s="116"/>
    </row>
    <row r="281" spans="2:84" ht="15.6" x14ac:dyDescent="0.3">
      <c r="B281" s="98" t="s">
        <v>262</v>
      </c>
      <c r="C281" s="175" t="s">
        <v>308</v>
      </c>
      <c r="D281" s="176" t="s">
        <v>19</v>
      </c>
      <c r="E281" s="176" t="s">
        <v>226</v>
      </c>
      <c r="F281" s="177">
        <v>2474103000119</v>
      </c>
      <c r="G281" s="177" t="s">
        <v>364</v>
      </c>
      <c r="H281" s="177" t="s">
        <v>388</v>
      </c>
      <c r="I281" s="178">
        <v>7</v>
      </c>
      <c r="J281" s="179">
        <v>1</v>
      </c>
      <c r="K281" s="179" t="s">
        <v>130</v>
      </c>
      <c r="L281" s="179" t="s">
        <v>119</v>
      </c>
      <c r="M281" s="179" t="s">
        <v>106</v>
      </c>
      <c r="N281" s="179" t="s">
        <v>109</v>
      </c>
      <c r="O281" s="180">
        <v>515353</v>
      </c>
      <c r="P281" s="181">
        <v>515353000</v>
      </c>
      <c r="Q281" s="181">
        <v>1000</v>
      </c>
      <c r="R281" s="182">
        <v>43296</v>
      </c>
      <c r="S281" s="182">
        <v>45853</v>
      </c>
      <c r="T281" s="183" t="s">
        <v>275</v>
      </c>
      <c r="U281" s="183" t="s">
        <v>280</v>
      </c>
      <c r="V281" s="182" t="s">
        <v>105</v>
      </c>
      <c r="W281" s="182" t="s">
        <v>102</v>
      </c>
      <c r="X281" s="182" t="s">
        <v>1343</v>
      </c>
      <c r="Y281" s="182">
        <v>45792</v>
      </c>
      <c r="Z281" s="184">
        <f>IFERROR(INDEX(Base!G:G,MATCH('Debêntures IPCA-Spread'!Y281,Base!F:F,0)),"")</f>
        <v>5.73</v>
      </c>
      <c r="AA281" s="115"/>
      <c r="AB281" s="185">
        <v>45552</v>
      </c>
      <c r="AC281" s="186">
        <v>5.6333000000000002</v>
      </c>
      <c r="AD281" s="187">
        <f t="shared" si="13"/>
        <v>-9.670000000000023E-2</v>
      </c>
      <c r="AE281" s="188">
        <v>0.09</v>
      </c>
      <c r="AF281" s="189">
        <v>5.8788999999999998</v>
      </c>
      <c r="AG281" s="189">
        <v>5.4364999999999997</v>
      </c>
      <c r="AH281" s="190">
        <v>697.06819599999994</v>
      </c>
      <c r="AI281" s="190">
        <v>697.06819599999994</v>
      </c>
      <c r="AJ281" s="191">
        <f t="shared" si="14"/>
        <v>1</v>
      </c>
      <c r="AK281" s="192">
        <v>45552</v>
      </c>
      <c r="AL281" s="193">
        <v>100.02</v>
      </c>
      <c r="AM281" s="194">
        <v>205</v>
      </c>
      <c r="AN281" s="115"/>
      <c r="AO281" s="195">
        <v>7.7074204818999999E-4</v>
      </c>
      <c r="AP281" s="196">
        <f>IF(AO281="","",AO281-AO$6)</f>
        <v>2.9059716326E-4</v>
      </c>
      <c r="AQ281" s="196">
        <v>6.7630686881000003E-3</v>
      </c>
      <c r="AR281" s="196">
        <f>IF(AQ281="","",AQ281-AQ$6)</f>
        <v>6.9805754410600003E-3</v>
      </c>
      <c r="AS281" s="196">
        <v>8.0832563876999997E-2</v>
      </c>
      <c r="AT281" s="196">
        <f>IF(AS281="","",AS281-AS$6)</f>
        <v>6.6106728821999999E-2</v>
      </c>
      <c r="AU281" s="196">
        <v>8.8645859449999996E-3</v>
      </c>
      <c r="AV281" s="196">
        <f>IF(AU281="","",AU281-AU$6)</f>
        <v>2.1933168540999998E-2</v>
      </c>
      <c r="AW281" s="196">
        <v>2.7784956640999999E-2</v>
      </c>
      <c r="AX281" s="196">
        <f>IF(AW281="","",AW281-AW$6)</f>
        <v>3.7898888529999987E-3</v>
      </c>
      <c r="AY281" s="196">
        <v>5.1559201009000001E-2</v>
      </c>
      <c r="AZ281" s="196">
        <f>IF(AY281="","",AY281-AY$6)</f>
        <v>3.7316946219000002E-2</v>
      </c>
      <c r="BA281" s="196">
        <v>0.11042844537</v>
      </c>
      <c r="BB281" s="196">
        <f>IF(BA281="","",BA281-BA$6)</f>
        <v>5.6941480812000005E-2</v>
      </c>
      <c r="BC281" s="196">
        <v>0.23111623553999999</v>
      </c>
      <c r="BD281" s="196">
        <f>IF(BC281="","",BC281-BC$6)</f>
        <v>3.6807669049999991E-2</v>
      </c>
      <c r="BE281" s="196">
        <v>0.35645499789000001</v>
      </c>
      <c r="BF281" s="196">
        <f>IF(BE281="","",BE281-BE$6)</f>
        <v>9.4735658350000029E-2</v>
      </c>
      <c r="BG281" s="196">
        <v>0.46570852458000001</v>
      </c>
      <c r="BH281" s="196">
        <f>IF(BG281="","",BG281-BG$6)</f>
        <v>0.15679187576999998</v>
      </c>
      <c r="BI281" s="196">
        <v>0.56404362656999996</v>
      </c>
      <c r="BJ281" s="196">
        <f>IF(BI281="","",BI281-BI$6)</f>
        <v>0.19110061648999993</v>
      </c>
      <c r="BK281" s="197">
        <v>0.96522704940000004</v>
      </c>
      <c r="BL281" s="115"/>
      <c r="BM281" s="198">
        <v>2.4041443521000002E-3</v>
      </c>
      <c r="BN281" s="191">
        <v>-2.4032472265E-3</v>
      </c>
      <c r="BO281" s="191">
        <v>1.1820290132E-2</v>
      </c>
      <c r="BP281" s="191">
        <v>1.9711008354E-3</v>
      </c>
      <c r="BQ281" s="199">
        <v>12</v>
      </c>
      <c r="BR281" s="199">
        <v>0</v>
      </c>
      <c r="BS281" s="199">
        <v>7</v>
      </c>
      <c r="BT281" s="199">
        <v>5</v>
      </c>
      <c r="BU281" s="200">
        <v>-0.12051322272999999</v>
      </c>
      <c r="BV281" s="200">
        <v>-0.29745500186000001</v>
      </c>
      <c r="BW281" s="191">
        <v>9.9741721525999994E-4</v>
      </c>
      <c r="BX281" s="191">
        <v>1.0220551038000001E-3</v>
      </c>
      <c r="BY281" s="189">
        <v>-0.26180464816999999</v>
      </c>
      <c r="BZ281" s="191">
        <v>-3.2816800219E-3</v>
      </c>
      <c r="CA281" s="191">
        <v>-3.2816800219E-3</v>
      </c>
      <c r="CB281" s="182">
        <v>45194</v>
      </c>
      <c r="CC281" s="182">
        <v>45212</v>
      </c>
      <c r="CD281" s="201">
        <v>20</v>
      </c>
      <c r="CE281" s="202">
        <v>45223</v>
      </c>
      <c r="CF281" s="116"/>
    </row>
    <row r="282" spans="2:84" ht="15.6" x14ac:dyDescent="0.3">
      <c r="B282" s="110" t="s">
        <v>263</v>
      </c>
      <c r="C282" s="147" t="s">
        <v>309</v>
      </c>
      <c r="D282" s="148" t="s">
        <v>19</v>
      </c>
      <c r="E282" s="148" t="s">
        <v>226</v>
      </c>
      <c r="F282" s="149">
        <v>2474103000119</v>
      </c>
      <c r="G282" s="149" t="s">
        <v>365</v>
      </c>
      <c r="H282" s="149" t="s">
        <v>388</v>
      </c>
      <c r="I282" s="150">
        <v>7</v>
      </c>
      <c r="J282" s="151">
        <v>2</v>
      </c>
      <c r="K282" s="151" t="s">
        <v>130</v>
      </c>
      <c r="L282" s="151" t="s">
        <v>119</v>
      </c>
      <c r="M282" s="151" t="s">
        <v>106</v>
      </c>
      <c r="N282" s="151" t="s">
        <v>109</v>
      </c>
      <c r="O282" s="152">
        <v>231257</v>
      </c>
      <c r="P282" s="153">
        <v>231257000</v>
      </c>
      <c r="Q282" s="153">
        <v>1000</v>
      </c>
      <c r="R282" s="154">
        <v>43296</v>
      </c>
      <c r="S282" s="154">
        <v>46949</v>
      </c>
      <c r="T282" s="155" t="s">
        <v>276</v>
      </c>
      <c r="U282" s="155" t="s">
        <v>281</v>
      </c>
      <c r="V282" s="154" t="s">
        <v>105</v>
      </c>
      <c r="W282" s="154" t="s">
        <v>102</v>
      </c>
      <c r="X282" s="154" t="s">
        <v>1344</v>
      </c>
      <c r="Y282" s="154">
        <v>46522</v>
      </c>
      <c r="Z282" s="156">
        <f>IFERROR(INDEX(Base!G:G,MATCH('Debêntures IPCA-Spread'!Y282,Base!F:F,0)),"")</f>
        <v>6.391</v>
      </c>
      <c r="AA282" s="115"/>
      <c r="AB282" s="157">
        <v>45552</v>
      </c>
      <c r="AC282" s="158">
        <v>6.3962000000000003</v>
      </c>
      <c r="AD282" s="159">
        <f t="shared" si="13"/>
        <v>5.2000000000003155E-3</v>
      </c>
      <c r="AE282" s="160">
        <v>0.15</v>
      </c>
      <c r="AF282" s="161">
        <v>6.5587</v>
      </c>
      <c r="AG282" s="161">
        <v>6.1764999999999999</v>
      </c>
      <c r="AH282" s="162">
        <v>1378.1540170000001</v>
      </c>
      <c r="AI282" s="162">
        <v>1378.606137</v>
      </c>
      <c r="AJ282" s="163">
        <f t="shared" si="14"/>
        <v>0.99967204556264067</v>
      </c>
      <c r="AK282" s="164">
        <v>45548</v>
      </c>
      <c r="AL282" s="165">
        <v>98.83</v>
      </c>
      <c r="AM282" s="166">
        <v>638</v>
      </c>
      <c r="AN282" s="115"/>
      <c r="AO282" s="167">
        <v>-7.6850525146999994E-5</v>
      </c>
      <c r="AP282" s="168">
        <f>IF(AO282="","",AO282-AO$6)</f>
        <v>-5.5699541007699993E-4</v>
      </c>
      <c r="AQ282" s="168">
        <v>4.1383187126E-3</v>
      </c>
      <c r="AR282" s="168">
        <f>IF(AQ282="","",AQ282-AQ$6)</f>
        <v>4.3558254655600001E-3</v>
      </c>
      <c r="AS282" s="168">
        <v>6.2104812517999999E-2</v>
      </c>
      <c r="AT282" s="168">
        <f>IF(AS282="","",AS282-AS$6)</f>
        <v>4.7378977463000002E-2</v>
      </c>
      <c r="AU282" s="168">
        <v>3.6838048744999999E-3</v>
      </c>
      <c r="AV282" s="168">
        <f>IF(AU282="","",AU282-AU$6)</f>
        <v>1.6752387470500001E-2</v>
      </c>
      <c r="AW282" s="168">
        <v>2.8312959451999999E-2</v>
      </c>
      <c r="AX282" s="168">
        <f>IF(AW282="","",AW282-AW$6)</f>
        <v>4.3178916639999981E-3</v>
      </c>
      <c r="AY282" s="168">
        <v>3.1475315072E-2</v>
      </c>
      <c r="AZ282" s="168">
        <f>IF(AY282="","",AY282-AY$6)</f>
        <v>1.7233060282000001E-2</v>
      </c>
      <c r="BA282" s="168">
        <v>9.3177747490999996E-2</v>
      </c>
      <c r="BB282" s="168">
        <f>IF(BA282="","",BA282-BA$6)</f>
        <v>3.9690782932999998E-2</v>
      </c>
      <c r="BC282" s="168">
        <v>0.21319713544999999</v>
      </c>
      <c r="BD282" s="168">
        <f>IF(BC282="","",BC282-BC$6)</f>
        <v>1.8888568959999991E-2</v>
      </c>
      <c r="BE282" s="168">
        <v>0.31286836694999998</v>
      </c>
      <c r="BF282" s="168">
        <f>IF(BE282="","",BE282-BE$6)</f>
        <v>5.1149027409999992E-2</v>
      </c>
      <c r="BG282" s="168">
        <v>0.41060164618</v>
      </c>
      <c r="BH282" s="168">
        <f>IF(BG282="","",BG282-BG$6)</f>
        <v>0.10168499736999997</v>
      </c>
      <c r="BI282" s="168">
        <v>0.4898160419</v>
      </c>
      <c r="BJ282" s="168">
        <f>IF(BI282="","",BI282-BI$6)</f>
        <v>0.11687303181999997</v>
      </c>
      <c r="BK282" s="169">
        <v>3.0196545770999998</v>
      </c>
      <c r="BL282" s="115"/>
      <c r="BM282" s="170">
        <v>5.1828808446000001E-3</v>
      </c>
      <c r="BN282" s="163">
        <v>-8.8041085700999999E-3</v>
      </c>
      <c r="BO282" s="163">
        <v>2.4219386579999998E-2</v>
      </c>
      <c r="BP282" s="163">
        <v>-8.7289846841999991E-3</v>
      </c>
      <c r="BQ282" s="171">
        <v>10</v>
      </c>
      <c r="BR282" s="171">
        <v>2</v>
      </c>
      <c r="BS282" s="171">
        <v>8</v>
      </c>
      <c r="BT282" s="171">
        <v>4</v>
      </c>
      <c r="BU282" s="172">
        <v>-0.53953760267999995</v>
      </c>
      <c r="BV282" s="172">
        <v>-0.45305890586999997</v>
      </c>
      <c r="BW282" s="163">
        <v>3.1183563198999998E-3</v>
      </c>
      <c r="BX282" s="163">
        <v>2.1844822237000001E-3</v>
      </c>
      <c r="BY282" s="161">
        <v>-2.2488343282000001</v>
      </c>
      <c r="BZ282" s="163">
        <v>-1.3339947214E-2</v>
      </c>
      <c r="CA282" s="163">
        <v>-1.3339947214E-2</v>
      </c>
      <c r="CB282" s="154">
        <v>45391</v>
      </c>
      <c r="CC282" s="154">
        <v>45399</v>
      </c>
      <c r="CD282" s="173">
        <v>25</v>
      </c>
      <c r="CE282" s="174">
        <v>45427</v>
      </c>
      <c r="CF282" s="116"/>
    </row>
    <row r="283" spans="2:84" ht="15.6" x14ac:dyDescent="0.3">
      <c r="B283" s="98" t="s">
        <v>550</v>
      </c>
      <c r="C283" s="175" t="s">
        <v>715</v>
      </c>
      <c r="D283" s="176" t="s">
        <v>19</v>
      </c>
      <c r="E283" s="176" t="s">
        <v>226</v>
      </c>
      <c r="F283" s="177">
        <v>2474103000119</v>
      </c>
      <c r="G283" s="177" t="s">
        <v>870</v>
      </c>
      <c r="H283" s="177" t="s">
        <v>388</v>
      </c>
      <c r="I283" s="178">
        <v>9</v>
      </c>
      <c r="J283" s="179">
        <v>1</v>
      </c>
      <c r="K283" s="179" t="s">
        <v>130</v>
      </c>
      <c r="L283" s="179" t="s">
        <v>122</v>
      </c>
      <c r="M283" s="179" t="s">
        <v>106</v>
      </c>
      <c r="N283" s="179" t="s">
        <v>109</v>
      </c>
      <c r="O283" s="180">
        <v>576095</v>
      </c>
      <c r="P283" s="181">
        <v>576095000</v>
      </c>
      <c r="Q283" s="181">
        <v>1000</v>
      </c>
      <c r="R283" s="182">
        <v>43661</v>
      </c>
      <c r="S283" s="182">
        <v>46218</v>
      </c>
      <c r="T283" s="183" t="s">
        <v>792</v>
      </c>
      <c r="U283" s="183" t="s">
        <v>941</v>
      </c>
      <c r="V283" s="182" t="s">
        <v>105</v>
      </c>
      <c r="W283" s="182" t="s">
        <v>102</v>
      </c>
      <c r="X283" s="182" t="s">
        <v>1335</v>
      </c>
      <c r="Y283" s="182">
        <v>46249</v>
      </c>
      <c r="Z283" s="184">
        <f>IFERROR(INDEX(Base!G:G,MATCH('Debêntures IPCA-Spread'!Y283,Base!F:F,0)),"")</f>
        <v>6.5365000000000002</v>
      </c>
      <c r="AA283" s="115"/>
      <c r="AB283" s="185">
        <v>45552</v>
      </c>
      <c r="AC283" s="186">
        <v>6.2908999999999997</v>
      </c>
      <c r="AD283" s="187">
        <f t="shared" si="13"/>
        <v>-0.24560000000000048</v>
      </c>
      <c r="AE283" s="188">
        <v>0.24</v>
      </c>
      <c r="AF283" s="189">
        <v>6.4916999999999998</v>
      </c>
      <c r="AG283" s="189">
        <v>5.9946999999999999</v>
      </c>
      <c r="AH283" s="190">
        <v>1301.2284970000001</v>
      </c>
      <c r="AI283" s="190">
        <v>1301.3988240000001</v>
      </c>
      <c r="AJ283" s="191">
        <f t="shared" si="14"/>
        <v>0.99986912006000084</v>
      </c>
      <c r="AK283" s="192">
        <v>45548</v>
      </c>
      <c r="AL283" s="193">
        <v>96.86</v>
      </c>
      <c r="AM283" s="194">
        <v>325</v>
      </c>
      <c r="AN283" s="115"/>
      <c r="AO283" s="195">
        <v>9.1732505098000001E-5</v>
      </c>
      <c r="AP283" s="196">
        <f>IF(AO283="","",AO283-AO$6)</f>
        <v>-3.8841237983199998E-4</v>
      </c>
      <c r="AQ283" s="196">
        <v>5.4698960776000003E-3</v>
      </c>
      <c r="AR283" s="196">
        <f>IF(AQ283="","",AQ283-AQ$6)</f>
        <v>5.6874028305600004E-3</v>
      </c>
      <c r="AS283" s="196">
        <v>6.7698340516000002E-2</v>
      </c>
      <c r="AT283" s="196">
        <f>IF(AS283="","",AS283-AS$6)</f>
        <v>5.2972505461000005E-2</v>
      </c>
      <c r="AU283" s="196">
        <v>4.5619826123999997E-3</v>
      </c>
      <c r="AV283" s="196">
        <f>IF(AU283="","",AU283-AU$6)</f>
        <v>1.7630565208399999E-2</v>
      </c>
      <c r="AW283" s="196">
        <v>2.5353052788E-2</v>
      </c>
      <c r="AX283" s="196">
        <f>IF(AW283="","",AW283-AW$6)</f>
        <v>1.3579849999999991E-3</v>
      </c>
      <c r="AY283" s="196">
        <v>3.9547848968000003E-2</v>
      </c>
      <c r="AZ283" s="196">
        <f>IF(AY283="","",AY283-AY$6)</f>
        <v>2.5305594178000004E-2</v>
      </c>
      <c r="BA283" s="196">
        <v>9.6513544812999993E-2</v>
      </c>
      <c r="BB283" s="196">
        <f>IF(BA283="","",BA283-BA$6)</f>
        <v>4.3026580254999995E-2</v>
      </c>
      <c r="BC283" s="196">
        <v>0.21958136196</v>
      </c>
      <c r="BD283" s="196">
        <f>IF(BC283="","",BC283-BC$6)</f>
        <v>2.5272795469999998E-2</v>
      </c>
      <c r="BE283" s="196">
        <v>0.33214137177000003</v>
      </c>
      <c r="BF283" s="196">
        <f>IF(BE283="","",BE283-BE$6)</f>
        <v>7.0422032230000042E-2</v>
      </c>
      <c r="BG283" s="196">
        <v>0.44913482850000003</v>
      </c>
      <c r="BH283" s="196">
        <f>IF(BG283="","",BG283-BG$6)</f>
        <v>0.14021817969</v>
      </c>
      <c r="BI283" s="196"/>
      <c r="BJ283" s="196" t="str">
        <f>IF(BI283="","",BI283-BI$6)</f>
        <v/>
      </c>
      <c r="BK283" s="197">
        <v>2.0115562367000002</v>
      </c>
      <c r="BL283" s="115"/>
      <c r="BM283" s="198">
        <v>3.8777451027000001E-3</v>
      </c>
      <c r="BN283" s="191">
        <v>-3.9857372221000003E-3</v>
      </c>
      <c r="BO283" s="191">
        <v>1.8872947663E-2</v>
      </c>
      <c r="BP283" s="191">
        <v>-2.3557443428000001E-3</v>
      </c>
      <c r="BQ283" s="199">
        <v>10</v>
      </c>
      <c r="BR283" s="199">
        <v>2</v>
      </c>
      <c r="BS283" s="199">
        <v>7</v>
      </c>
      <c r="BT283" s="199">
        <v>5</v>
      </c>
      <c r="BU283" s="200">
        <v>-0.67248720801999995</v>
      </c>
      <c r="BV283" s="200">
        <v>-0.45716273640999999</v>
      </c>
      <c r="BW283" s="191">
        <v>2.0782215722999998E-3</v>
      </c>
      <c r="BX283" s="191">
        <v>1.7456882590000001E-3</v>
      </c>
      <c r="BY283" s="189">
        <v>-1.8039102844999999</v>
      </c>
      <c r="BZ283" s="191">
        <v>-8.5515623587000007E-3</v>
      </c>
      <c r="CA283" s="191">
        <v>-8.5515623587000007E-3</v>
      </c>
      <c r="CB283" s="182">
        <v>45187</v>
      </c>
      <c r="CC283" s="182">
        <v>45202</v>
      </c>
      <c r="CD283" s="201">
        <v>37</v>
      </c>
      <c r="CE283" s="202">
        <v>45240</v>
      </c>
      <c r="CF283" s="116"/>
    </row>
    <row r="284" spans="2:84" ht="15.6" x14ac:dyDescent="0.3">
      <c r="B284" s="110" t="s">
        <v>551</v>
      </c>
      <c r="C284" s="147" t="s">
        <v>716</v>
      </c>
      <c r="D284" s="148" t="s">
        <v>19</v>
      </c>
      <c r="E284" s="148" t="s">
        <v>226</v>
      </c>
      <c r="F284" s="149">
        <v>2474103000119</v>
      </c>
      <c r="G284" s="149" t="s">
        <v>871</v>
      </c>
      <c r="H284" s="149" t="s">
        <v>388</v>
      </c>
      <c r="I284" s="150">
        <v>9</v>
      </c>
      <c r="J284" s="151">
        <v>2</v>
      </c>
      <c r="K284" s="151" t="s">
        <v>130</v>
      </c>
      <c r="L284" s="151" t="s">
        <v>122</v>
      </c>
      <c r="M284" s="151" t="s">
        <v>106</v>
      </c>
      <c r="N284" s="151" t="s">
        <v>109</v>
      </c>
      <c r="O284" s="152">
        <v>539678</v>
      </c>
      <c r="P284" s="153">
        <v>539678000</v>
      </c>
      <c r="Q284" s="153">
        <v>1000</v>
      </c>
      <c r="R284" s="154">
        <v>43661</v>
      </c>
      <c r="S284" s="154">
        <v>47314</v>
      </c>
      <c r="T284" s="155" t="s">
        <v>792</v>
      </c>
      <c r="U284" s="155" t="s">
        <v>942</v>
      </c>
      <c r="V284" s="154" t="s">
        <v>105</v>
      </c>
      <c r="W284" s="154" t="s">
        <v>102</v>
      </c>
      <c r="X284" s="154" t="s">
        <v>1326</v>
      </c>
      <c r="Y284" s="154">
        <v>46980</v>
      </c>
      <c r="Z284" s="156">
        <f>IFERROR(INDEX(Base!G:G,MATCH('Debêntures IPCA-Spread'!Y284,Base!F:F,0)),"")</f>
        <v>6.4702000000000002</v>
      </c>
      <c r="AA284" s="115"/>
      <c r="AB284" s="157">
        <v>45552</v>
      </c>
      <c r="AC284" s="158">
        <v>6.5789</v>
      </c>
      <c r="AD284" s="159">
        <f t="shared" si="13"/>
        <v>0.1086999999999998</v>
      </c>
      <c r="AE284" s="160">
        <v>0.11</v>
      </c>
      <c r="AF284" s="161">
        <v>6.6689999999999996</v>
      </c>
      <c r="AG284" s="161">
        <v>6.4051</v>
      </c>
      <c r="AH284" s="162">
        <v>1227.4975449999999</v>
      </c>
      <c r="AI284" s="162">
        <v>1232.21245</v>
      </c>
      <c r="AJ284" s="163">
        <f t="shared" si="14"/>
        <v>0.99617362655279129</v>
      </c>
      <c r="AK284" s="164">
        <v>45531</v>
      </c>
      <c r="AL284" s="165">
        <v>91.34</v>
      </c>
      <c r="AM284" s="166">
        <v>893</v>
      </c>
      <c r="AN284" s="115"/>
      <c r="AO284" s="167">
        <v>-1.8082140095E-3</v>
      </c>
      <c r="AP284" s="168">
        <f>IF(AO284="","",AO284-AO$6)</f>
        <v>-2.28835889443E-3</v>
      </c>
      <c r="AQ284" s="168">
        <v>1.0209977917000001E-3</v>
      </c>
      <c r="AR284" s="168">
        <f>IF(AQ284="","",AQ284-AQ$6)</f>
        <v>1.2385045446600001E-3</v>
      </c>
      <c r="AS284" s="168">
        <v>5.0905478823999997E-2</v>
      </c>
      <c r="AT284" s="168">
        <f>IF(AS284="","",AS284-AS$6)</f>
        <v>3.6179643769E-2</v>
      </c>
      <c r="AU284" s="168">
        <v>-6.5791848101000002E-4</v>
      </c>
      <c r="AV284" s="168">
        <f>IF(AU284="","",AU284-AU$6)</f>
        <v>1.241066411499E-2</v>
      </c>
      <c r="AW284" s="168">
        <v>2.5837934202999999E-2</v>
      </c>
      <c r="AX284" s="168">
        <f>IF(AW284="","",AW284-AW$6)</f>
        <v>1.8428664149999982E-3</v>
      </c>
      <c r="AY284" s="168">
        <v>2.2221849743999999E-2</v>
      </c>
      <c r="AZ284" s="168">
        <f>IF(AY284="","",AY284-AY$6)</f>
        <v>7.9795949539999984E-3</v>
      </c>
      <c r="BA284" s="168">
        <v>8.7827881790999998E-2</v>
      </c>
      <c r="BB284" s="168">
        <f>IF(BA284="","",BA284-BA$6)</f>
        <v>3.4340917233E-2</v>
      </c>
      <c r="BC284" s="168">
        <v>0.20510851626000001</v>
      </c>
      <c r="BD284" s="168">
        <f>IF(BC284="","",BC284-BC$6)</f>
        <v>1.0799949770000011E-2</v>
      </c>
      <c r="BE284" s="168">
        <v>0.30495678134999998</v>
      </c>
      <c r="BF284" s="168">
        <f>IF(BE284="","",BE284-BE$6)</f>
        <v>4.3237441809999999E-2</v>
      </c>
      <c r="BG284" s="168">
        <v>0.40673269014000002</v>
      </c>
      <c r="BH284" s="168">
        <f>IF(BG284="","",BG284-BG$6)</f>
        <v>9.7816041329999992E-2</v>
      </c>
      <c r="BI284" s="168"/>
      <c r="BJ284" s="168" t="str">
        <f>IF(BI284="","",BI284-BI$6)</f>
        <v/>
      </c>
      <c r="BK284" s="169">
        <v>3.6032581108000001</v>
      </c>
      <c r="BL284" s="115"/>
      <c r="BM284" s="170">
        <v>7.9611690234999994E-3</v>
      </c>
      <c r="BN284" s="163">
        <v>-7.1275444942999998E-3</v>
      </c>
      <c r="BO284" s="163">
        <v>2.4189968985000001E-2</v>
      </c>
      <c r="BP284" s="163">
        <v>-1.5036177986E-2</v>
      </c>
      <c r="BQ284" s="171">
        <v>9</v>
      </c>
      <c r="BR284" s="171">
        <v>3</v>
      </c>
      <c r="BS284" s="171">
        <v>7</v>
      </c>
      <c r="BT284" s="171">
        <v>5</v>
      </c>
      <c r="BU284" s="172">
        <v>-0.58037492546000002</v>
      </c>
      <c r="BV284" s="172">
        <v>-0.43732082453999999</v>
      </c>
      <c r="BW284" s="163">
        <v>3.7230925814000001E-3</v>
      </c>
      <c r="BX284" s="163">
        <v>2.983155306E-3</v>
      </c>
      <c r="BY284" s="161">
        <v>-2.8430600739999998</v>
      </c>
      <c r="BZ284" s="163">
        <v>-1.7264105251E-2</v>
      </c>
      <c r="CA284" s="163">
        <v>-1.7264105251E-2</v>
      </c>
      <c r="CB284" s="154">
        <v>45379</v>
      </c>
      <c r="CC284" s="154">
        <v>45399</v>
      </c>
      <c r="CD284" s="173">
        <v>70</v>
      </c>
      <c r="CE284" s="174">
        <v>45482</v>
      </c>
      <c r="CF284" s="116"/>
    </row>
    <row r="285" spans="2:84" ht="15.6" x14ac:dyDescent="0.3">
      <c r="B285" s="98" t="s">
        <v>552</v>
      </c>
      <c r="C285" s="175" t="s">
        <v>717</v>
      </c>
      <c r="D285" s="176" t="s">
        <v>19</v>
      </c>
      <c r="E285" s="176" t="s">
        <v>226</v>
      </c>
      <c r="F285" s="177">
        <v>2474103000119</v>
      </c>
      <c r="G285" s="177" t="s">
        <v>872</v>
      </c>
      <c r="H285" s="177" t="s">
        <v>388</v>
      </c>
      <c r="I285" s="178">
        <v>9</v>
      </c>
      <c r="J285" s="179">
        <v>3</v>
      </c>
      <c r="K285" s="179" t="s">
        <v>130</v>
      </c>
      <c r="L285" s="179" t="s">
        <v>122</v>
      </c>
      <c r="M285" s="179" t="s">
        <v>106</v>
      </c>
      <c r="N285" s="179" t="s">
        <v>109</v>
      </c>
      <c r="O285" s="180">
        <v>378827</v>
      </c>
      <c r="P285" s="181">
        <v>378827000</v>
      </c>
      <c r="Q285" s="181">
        <v>1000</v>
      </c>
      <c r="R285" s="182">
        <v>43661</v>
      </c>
      <c r="S285" s="182">
        <v>46218</v>
      </c>
      <c r="T285" s="183" t="s">
        <v>793</v>
      </c>
      <c r="U285" s="183" t="s">
        <v>941</v>
      </c>
      <c r="V285" s="182" t="s">
        <v>105</v>
      </c>
      <c r="W285" s="182" t="s">
        <v>102</v>
      </c>
      <c r="X285" s="182" t="s">
        <v>1345</v>
      </c>
      <c r="Y285" s="182">
        <v>46249</v>
      </c>
      <c r="Z285" s="184">
        <f>IFERROR(INDEX(Base!G:G,MATCH('Debêntures IPCA-Spread'!Y285,Base!F:F,0)),"")</f>
        <v>6.5365000000000002</v>
      </c>
      <c r="AA285" s="115"/>
      <c r="AB285" s="185">
        <v>45552</v>
      </c>
      <c r="AC285" s="186">
        <v>6.2506000000000004</v>
      </c>
      <c r="AD285" s="187">
        <f t="shared" si="13"/>
        <v>-0.28589999999999982</v>
      </c>
      <c r="AE285" s="188">
        <v>0.26</v>
      </c>
      <c r="AF285" s="189">
        <v>6.5449999999999999</v>
      </c>
      <c r="AG285" s="189">
        <v>5.8959999999999999</v>
      </c>
      <c r="AH285" s="190">
        <v>1300.43067</v>
      </c>
      <c r="AI285" s="190">
        <v>1300.43067</v>
      </c>
      <c r="AJ285" s="191">
        <f t="shared" si="14"/>
        <v>1</v>
      </c>
      <c r="AK285" s="192">
        <v>45552</v>
      </c>
      <c r="AL285" s="193">
        <v>96.82</v>
      </c>
      <c r="AM285" s="194">
        <v>322</v>
      </c>
      <c r="AN285" s="115"/>
      <c r="AO285" s="195">
        <v>6.8150158949999997E-4</v>
      </c>
      <c r="AP285" s="196">
        <f>IF(AO285="","",AO285-AO$6)</f>
        <v>2.0135670456999997E-4</v>
      </c>
      <c r="AQ285" s="196">
        <v>5.2093731682999996E-3</v>
      </c>
      <c r="AR285" s="196">
        <f>IF(AQ285="","",AQ285-AQ$6)</f>
        <v>5.4268799212599996E-3</v>
      </c>
      <c r="AS285" s="196">
        <v>6.8386261170000004E-2</v>
      </c>
      <c r="AT285" s="196">
        <f>IF(AS285="","",AS285-AS$6)</f>
        <v>5.3660426115000007E-2</v>
      </c>
      <c r="AU285" s="196">
        <v>8.2395706794999996E-3</v>
      </c>
      <c r="AV285" s="196">
        <f>IF(AU285="","",AU285-AU$6)</f>
        <v>2.1308153275500001E-2</v>
      </c>
      <c r="AW285" s="196">
        <v>2.6874341271E-2</v>
      </c>
      <c r="AX285" s="196">
        <f>IF(AW285="","",AW285-AW$6)</f>
        <v>2.8792734829999993E-3</v>
      </c>
      <c r="AY285" s="196">
        <v>4.2515031081999999E-2</v>
      </c>
      <c r="AZ285" s="196">
        <f>IF(AY285="","",AY285-AY$6)</f>
        <v>2.8272776292E-2</v>
      </c>
      <c r="BA285" s="196">
        <v>9.7974703208999994E-2</v>
      </c>
      <c r="BB285" s="196">
        <f>IF(BA285="","",BA285-BA$6)</f>
        <v>4.4487738650999996E-2</v>
      </c>
      <c r="BC285" s="196">
        <v>0.21882107703000001</v>
      </c>
      <c r="BD285" s="196">
        <f>IF(BC285="","",BC285-BC$6)</f>
        <v>2.4512510540000004E-2</v>
      </c>
      <c r="BE285" s="196">
        <v>0.33459369580999998</v>
      </c>
      <c r="BF285" s="196">
        <f>IF(BE285="","",BE285-BE$6)</f>
        <v>7.2874356269999996E-2</v>
      </c>
      <c r="BG285" s="196">
        <v>0.45404677197999999</v>
      </c>
      <c r="BH285" s="196">
        <f>IF(BG285="","",BG285-BG$6)</f>
        <v>0.14513012316999996</v>
      </c>
      <c r="BI285" s="196"/>
      <c r="BJ285" s="196" t="str">
        <f>IF(BI285="","",BI285-BI$6)</f>
        <v/>
      </c>
      <c r="BK285" s="197">
        <v>2.1067267814999999</v>
      </c>
      <c r="BL285" s="115"/>
      <c r="BM285" s="198">
        <v>4.8312047384000004E-3</v>
      </c>
      <c r="BN285" s="191">
        <v>-3.5670756042000002E-3</v>
      </c>
      <c r="BO285" s="191">
        <v>1.7424251973000002E-2</v>
      </c>
      <c r="BP285" s="191">
        <v>-3.0925590754E-3</v>
      </c>
      <c r="BQ285" s="199">
        <v>10</v>
      </c>
      <c r="BR285" s="199">
        <v>2</v>
      </c>
      <c r="BS285" s="199">
        <v>7</v>
      </c>
      <c r="BT285" s="199">
        <v>5</v>
      </c>
      <c r="BU285" s="200">
        <v>-0.57868868458</v>
      </c>
      <c r="BV285" s="200">
        <v>-0.45360744845000001</v>
      </c>
      <c r="BW285" s="191">
        <v>2.1768151192999999E-3</v>
      </c>
      <c r="BX285" s="191">
        <v>1.4620156409000001E-3</v>
      </c>
      <c r="BY285" s="189">
        <v>-1.6736489463999999</v>
      </c>
      <c r="BZ285" s="191">
        <v>-8.3245505694999992E-3</v>
      </c>
      <c r="CA285" s="191">
        <v>-8.3245505694999992E-3</v>
      </c>
      <c r="CB285" s="182">
        <v>45189</v>
      </c>
      <c r="CC285" s="182">
        <v>45218</v>
      </c>
      <c r="CD285" s="201">
        <v>35</v>
      </c>
      <c r="CE285" s="202">
        <v>45240</v>
      </c>
      <c r="CF285" s="116"/>
    </row>
    <row r="286" spans="2:84" ht="15.6" x14ac:dyDescent="0.3">
      <c r="B286" s="110" t="s">
        <v>553</v>
      </c>
      <c r="C286" s="147" t="s">
        <v>718</v>
      </c>
      <c r="D286" s="148" t="s">
        <v>19</v>
      </c>
      <c r="E286" s="148" t="s">
        <v>226</v>
      </c>
      <c r="F286" s="149">
        <v>2474103000119</v>
      </c>
      <c r="G286" s="149" t="s">
        <v>873</v>
      </c>
      <c r="H286" s="149" t="s">
        <v>388</v>
      </c>
      <c r="I286" s="150">
        <v>9</v>
      </c>
      <c r="J286" s="151">
        <v>4</v>
      </c>
      <c r="K286" s="151" t="s">
        <v>130</v>
      </c>
      <c r="L286" s="151" t="s">
        <v>122</v>
      </c>
      <c r="M286" s="151" t="s">
        <v>106</v>
      </c>
      <c r="N286" s="151" t="s">
        <v>109</v>
      </c>
      <c r="O286" s="152">
        <v>105400</v>
      </c>
      <c r="P286" s="153">
        <v>105400000</v>
      </c>
      <c r="Q286" s="153">
        <v>1000</v>
      </c>
      <c r="R286" s="154">
        <v>43661</v>
      </c>
      <c r="S286" s="154">
        <v>47314</v>
      </c>
      <c r="T286" s="155" t="s">
        <v>793</v>
      </c>
      <c r="U286" s="155" t="s">
        <v>942</v>
      </c>
      <c r="V286" s="154" t="s">
        <v>105</v>
      </c>
      <c r="W286" s="154" t="s">
        <v>102</v>
      </c>
      <c r="X286" s="154" t="s">
        <v>1335</v>
      </c>
      <c r="Y286" s="154">
        <v>46980</v>
      </c>
      <c r="Z286" s="156">
        <f>IFERROR(INDEX(Base!G:G,MATCH('Debêntures IPCA-Spread'!Y286,Base!F:F,0)),"")</f>
        <v>6.4702000000000002</v>
      </c>
      <c r="AA286" s="115"/>
      <c r="AB286" s="157">
        <v>45552</v>
      </c>
      <c r="AC286" s="158">
        <v>6.5948000000000002</v>
      </c>
      <c r="AD286" s="159">
        <f t="shared" si="13"/>
        <v>0.12460000000000004</v>
      </c>
      <c r="AE286" s="160">
        <v>0.11</v>
      </c>
      <c r="AF286" s="161">
        <v>6.6981999999999999</v>
      </c>
      <c r="AG286" s="161">
        <v>6.4340999999999999</v>
      </c>
      <c r="AH286" s="162">
        <v>1218.873949</v>
      </c>
      <c r="AI286" s="162">
        <v>1221.152902</v>
      </c>
      <c r="AJ286" s="163">
        <f t="shared" si="14"/>
        <v>0.99813376932874864</v>
      </c>
      <c r="AK286" s="164">
        <v>45544</v>
      </c>
      <c r="AL286" s="165">
        <v>90.73</v>
      </c>
      <c r="AM286" s="166">
        <v>886</v>
      </c>
      <c r="AN286" s="115"/>
      <c r="AO286" s="167">
        <v>-9.1116816020000004E-4</v>
      </c>
      <c r="AP286" s="168">
        <f>IF(AO286="","",AO286-AO$6)</f>
        <v>-1.3913130451299999E-3</v>
      </c>
      <c r="AQ286" s="168">
        <v>2.7234498319999999E-3</v>
      </c>
      <c r="AR286" s="168">
        <f>IF(AQ286="","",AQ286-AQ$6)</f>
        <v>2.9409565849599999E-3</v>
      </c>
      <c r="AS286" s="168">
        <v>5.0793575849000003E-2</v>
      </c>
      <c r="AT286" s="168">
        <f>IF(AS286="","",AS286-AS$6)</f>
        <v>3.6067740794000006E-2</v>
      </c>
      <c r="AU286" s="168">
        <v>1.3385954371E-3</v>
      </c>
      <c r="AV286" s="168">
        <f>IF(AU286="","",AU286-AU$6)</f>
        <v>1.44071780331E-2</v>
      </c>
      <c r="AW286" s="168">
        <v>2.6887202248000001E-2</v>
      </c>
      <c r="AX286" s="168">
        <f>IF(AW286="","",AW286-AW$6)</f>
        <v>2.892134460000001E-3</v>
      </c>
      <c r="AY286" s="168">
        <v>2.2457755598E-2</v>
      </c>
      <c r="AZ286" s="168">
        <f>IF(AY286="","",AY286-AY$6)</f>
        <v>8.2155008079999991E-3</v>
      </c>
      <c r="BA286" s="168">
        <v>8.8668922043999995E-2</v>
      </c>
      <c r="BB286" s="168">
        <f>IF(BA286="","",BA286-BA$6)</f>
        <v>3.5181957485999997E-2</v>
      </c>
      <c r="BC286" s="168">
        <v>0.20503201022</v>
      </c>
      <c r="BD286" s="168">
        <f>IF(BC286="","",BC286-BC$6)</f>
        <v>1.0723443730000004E-2</v>
      </c>
      <c r="BE286" s="168">
        <v>0.30945206957999999</v>
      </c>
      <c r="BF286" s="168">
        <f>IF(BE286="","",BE286-BE$6)</f>
        <v>4.7732730040000004E-2</v>
      </c>
      <c r="BG286" s="168">
        <v>0.41071429228</v>
      </c>
      <c r="BH286" s="168">
        <f>IF(BG286="","",BG286-BG$6)</f>
        <v>0.10179764346999998</v>
      </c>
      <c r="BI286" s="168"/>
      <c r="BJ286" s="168" t="str">
        <f>IF(BI286="","",BI286-BI$6)</f>
        <v/>
      </c>
      <c r="BK286" s="169">
        <v>3.7983426028</v>
      </c>
      <c r="BL286" s="115"/>
      <c r="BM286" s="170">
        <v>8.5688991148000007E-3</v>
      </c>
      <c r="BN286" s="163">
        <v>-8.1310811255999992E-3</v>
      </c>
      <c r="BO286" s="163">
        <v>2.4925781376E-2</v>
      </c>
      <c r="BP286" s="163">
        <v>-1.5040585057999999E-2</v>
      </c>
      <c r="BQ286" s="171">
        <v>9</v>
      </c>
      <c r="BR286" s="171">
        <v>3</v>
      </c>
      <c r="BS286" s="171">
        <v>6</v>
      </c>
      <c r="BT286" s="171">
        <v>6</v>
      </c>
      <c r="BU286" s="172">
        <v>-0.52888523477000005</v>
      </c>
      <c r="BV286" s="172">
        <v>-0.40178778704000001</v>
      </c>
      <c r="BW286" s="163">
        <v>3.9238227135999998E-3</v>
      </c>
      <c r="BX286" s="163">
        <v>2.3994488741000001E-3</v>
      </c>
      <c r="BY286" s="161">
        <v>-2.7562551047000001</v>
      </c>
      <c r="BZ286" s="163">
        <v>-1.7386603805000001E-2</v>
      </c>
      <c r="CA286" s="163">
        <v>-1.7386603805000001E-2</v>
      </c>
      <c r="CB286" s="154">
        <v>45189</v>
      </c>
      <c r="CC286" s="154">
        <v>45202</v>
      </c>
      <c r="CD286" s="173">
        <v>37</v>
      </c>
      <c r="CE286" s="174">
        <v>45244</v>
      </c>
      <c r="CF286" s="116"/>
    </row>
    <row r="287" spans="2:84" ht="15.6" x14ac:dyDescent="0.3">
      <c r="B287" s="98" t="s">
        <v>1456</v>
      </c>
      <c r="C287" s="175" t="s">
        <v>2102</v>
      </c>
      <c r="D287" s="176" t="s">
        <v>19</v>
      </c>
      <c r="E287" s="176" t="s">
        <v>226</v>
      </c>
      <c r="F287" s="177">
        <v>2474103000119</v>
      </c>
      <c r="G287" s="177" t="s">
        <v>1815</v>
      </c>
      <c r="H287" s="177" t="s">
        <v>388</v>
      </c>
      <c r="I287" s="178">
        <v>10</v>
      </c>
      <c r="J287" s="179" t="s">
        <v>107</v>
      </c>
      <c r="K287" s="179" t="s">
        <v>126</v>
      </c>
      <c r="L287" s="179" t="s">
        <v>118</v>
      </c>
      <c r="M287" s="179" t="s">
        <v>106</v>
      </c>
      <c r="N287" s="179" t="s">
        <v>109</v>
      </c>
      <c r="O287" s="180">
        <v>400000</v>
      </c>
      <c r="P287" s="181">
        <v>400000000</v>
      </c>
      <c r="Q287" s="181">
        <v>1000</v>
      </c>
      <c r="R287" s="182">
        <v>44454</v>
      </c>
      <c r="S287" s="182">
        <v>53585</v>
      </c>
      <c r="T287" s="183" t="s">
        <v>1988</v>
      </c>
      <c r="U287" s="183" t="s">
        <v>934</v>
      </c>
      <c r="V287" s="182" t="s">
        <v>105</v>
      </c>
      <c r="W287" s="182" t="s">
        <v>102</v>
      </c>
      <c r="X287" s="182" t="s">
        <v>1584</v>
      </c>
      <c r="Y287" s="182">
        <v>51363</v>
      </c>
      <c r="Z287" s="184">
        <f>IFERROR(INDEX(Base!G:G,MATCH('Debêntures IPCA-Spread'!Y287,Base!F:F,0)),"")</f>
        <v>6.2279</v>
      </c>
      <c r="AA287" s="115"/>
      <c r="AB287" s="185">
        <v>45552</v>
      </c>
      <c r="AC287" s="186">
        <v>6.3928000000000003</v>
      </c>
      <c r="AD287" s="187">
        <f t="shared" si="13"/>
        <v>0.16490000000000027</v>
      </c>
      <c r="AE287" s="188">
        <v>0.08</v>
      </c>
      <c r="AF287" s="189">
        <v>6.5677000000000003</v>
      </c>
      <c r="AG287" s="189">
        <v>6.2351999999999999</v>
      </c>
      <c r="AH287" s="190">
        <v>1030.7823559999999</v>
      </c>
      <c r="AI287" s="190">
        <v>1043.9620465999999</v>
      </c>
      <c r="AJ287" s="191">
        <f t="shared" si="14"/>
        <v>0.98737531633173459</v>
      </c>
      <c r="AK287" s="192">
        <v>45518</v>
      </c>
      <c r="AL287" s="193">
        <v>93.76</v>
      </c>
      <c r="AM287" s="194">
        <v>2510</v>
      </c>
      <c r="AN287" s="115"/>
      <c r="AO287" s="195">
        <v>-1.5484023442E-3</v>
      </c>
      <c r="AP287" s="196">
        <f>IF(AO287="","",AO287-AO$6)</f>
        <v>-2.02854722913E-3</v>
      </c>
      <c r="AQ287" s="196">
        <v>8.9481755457999999E-4</v>
      </c>
      <c r="AR287" s="196">
        <f>IF(AQ287="","",AQ287-AQ$6)</f>
        <v>1.11232430754E-3</v>
      </c>
      <c r="AS287" s="196">
        <v>5.9496830738000002E-2</v>
      </c>
      <c r="AT287" s="196">
        <f>IF(AS287="","",AS287-AS$6)</f>
        <v>4.4770995682999998E-2</v>
      </c>
      <c r="AU287" s="196">
        <v>-5.6492271378000003E-3</v>
      </c>
      <c r="AV287" s="196">
        <f>IF(AU287="","",AU287-AU$6)</f>
        <v>7.4193554581999995E-3</v>
      </c>
      <c r="AW287" s="196">
        <v>5.5800131920000003E-2</v>
      </c>
      <c r="AX287" s="196">
        <f>IF(AW287="","",AW287-AW$6)</f>
        <v>3.1805064132000002E-2</v>
      </c>
      <c r="AY287" s="196">
        <v>3.7809114849999999E-2</v>
      </c>
      <c r="AZ287" s="196">
        <f>IF(AY287="","",AY287-AY$6)</f>
        <v>2.356686006E-2</v>
      </c>
      <c r="BA287" s="196">
        <v>0.11031722435999999</v>
      </c>
      <c r="BB287" s="196">
        <f>IF(BA287="","",BA287-BA$6)</f>
        <v>5.6830259801999995E-2</v>
      </c>
      <c r="BC287" s="196">
        <v>0.26385255996000001</v>
      </c>
      <c r="BD287" s="196">
        <f>IF(BC287="","",BC287-BC$6)</f>
        <v>6.954399347000001E-2</v>
      </c>
      <c r="BE287" s="196"/>
      <c r="BF287" s="196" t="str">
        <f>IF(BE287="","",BE287-BE$6)</f>
        <v/>
      </c>
      <c r="BG287" s="196"/>
      <c r="BH287" s="196" t="str">
        <f>IF(BG287="","",BG287-BG$6)</f>
        <v/>
      </c>
      <c r="BI287" s="196"/>
      <c r="BJ287" s="196" t="str">
        <f>IF(BI287="","",BI287-BI$6)</f>
        <v/>
      </c>
      <c r="BK287" s="197">
        <v>8.7331111125999996</v>
      </c>
      <c r="BL287" s="115"/>
      <c r="BM287" s="198">
        <v>2.2989400811999999E-2</v>
      </c>
      <c r="BN287" s="191">
        <v>-1.5749250632E-2</v>
      </c>
      <c r="BO287" s="191">
        <v>4.7510903387000002E-2</v>
      </c>
      <c r="BP287" s="191">
        <v>-3.0897838592000001E-2</v>
      </c>
      <c r="BQ287" s="199">
        <v>8</v>
      </c>
      <c r="BR287" s="199">
        <v>4</v>
      </c>
      <c r="BS287" s="199">
        <v>6</v>
      </c>
      <c r="BT287" s="199">
        <v>6</v>
      </c>
      <c r="BU287" s="200">
        <v>2.8658784032E-2</v>
      </c>
      <c r="BV287" s="200"/>
      <c r="BW287" s="191">
        <v>9.0296959103999992E-3</v>
      </c>
      <c r="BX287" s="191">
        <v>5.8820955517000003E-3</v>
      </c>
      <c r="BY287" s="189">
        <v>-0.67803840635000001</v>
      </c>
      <c r="BZ287" s="191">
        <v>-5.0232086794999999E-2</v>
      </c>
      <c r="CA287" s="191">
        <v>-5.0232086794999999E-2</v>
      </c>
      <c r="CB287" s="182">
        <v>45385</v>
      </c>
      <c r="CC287" s="182">
        <v>45474</v>
      </c>
      <c r="CD287" s="201">
        <v>83</v>
      </c>
      <c r="CE287" s="202">
        <v>45504</v>
      </c>
      <c r="CF287" s="116"/>
    </row>
    <row r="288" spans="2:84" ht="15.6" x14ac:dyDescent="0.3">
      <c r="B288" s="110" t="s">
        <v>2284</v>
      </c>
      <c r="C288" s="147" t="s">
        <v>2669</v>
      </c>
      <c r="D288" s="148" t="s">
        <v>19</v>
      </c>
      <c r="E288" s="148" t="s">
        <v>226</v>
      </c>
      <c r="F288" s="149">
        <v>2474103000119</v>
      </c>
      <c r="G288" s="149" t="s">
        <v>2420</v>
      </c>
      <c r="H288" s="149" t="s">
        <v>388</v>
      </c>
      <c r="I288" s="150">
        <v>11</v>
      </c>
      <c r="J288" s="151">
        <v>1</v>
      </c>
      <c r="K288" s="151" t="s">
        <v>126</v>
      </c>
      <c r="L288" s="151" t="s">
        <v>112</v>
      </c>
      <c r="M288" s="151" t="s">
        <v>114</v>
      </c>
      <c r="N288" s="151" t="s">
        <v>109</v>
      </c>
      <c r="O288" s="152">
        <v>1085600</v>
      </c>
      <c r="P288" s="153">
        <v>1085600000</v>
      </c>
      <c r="Q288" s="153">
        <v>1000</v>
      </c>
      <c r="R288" s="154">
        <v>45245</v>
      </c>
      <c r="S288" s="154">
        <v>48898</v>
      </c>
      <c r="T288" s="155" t="s">
        <v>2776</v>
      </c>
      <c r="U288" s="155" t="s">
        <v>2756</v>
      </c>
      <c r="V288" s="154" t="s">
        <v>105</v>
      </c>
      <c r="W288" s="154" t="s">
        <v>102</v>
      </c>
      <c r="X288" s="154" t="s">
        <v>2541</v>
      </c>
      <c r="Y288" s="154">
        <v>48441</v>
      </c>
      <c r="Z288" s="156">
        <f>IFERROR(INDEX(Base!G:G,MATCH('Debêntures IPCA-Spread'!Y288,Base!F:F,0)),"")</f>
        <v>6.3467000000000002</v>
      </c>
      <c r="AA288" s="115"/>
      <c r="AB288" s="157">
        <v>45552</v>
      </c>
      <c r="AC288" s="158">
        <v>6.4145000000000003</v>
      </c>
      <c r="AD288" s="159">
        <f t="shared" si="13"/>
        <v>6.7800000000000082E-2</v>
      </c>
      <c r="AE288" s="160">
        <v>0.06</v>
      </c>
      <c r="AF288" s="161">
        <v>6.5563000000000002</v>
      </c>
      <c r="AG288" s="161">
        <v>6.3083999999999998</v>
      </c>
      <c r="AH288" s="162">
        <v>1052.079978</v>
      </c>
      <c r="AI288" s="162"/>
      <c r="AJ288" s="163" t="str">
        <f t="shared" si="14"/>
        <v/>
      </c>
      <c r="AK288" s="164"/>
      <c r="AL288" s="165">
        <v>97.16</v>
      </c>
      <c r="AM288" s="166">
        <v>1596</v>
      </c>
      <c r="AN288" s="115"/>
      <c r="AO288" s="167">
        <v>7.2731174805E-4</v>
      </c>
      <c r="AP288" s="168">
        <f>IF(AO288="","",AO288-AO$6)</f>
        <v>2.4716686312E-4</v>
      </c>
      <c r="AQ288" s="168">
        <v>-4.4941014676000001E-4</v>
      </c>
      <c r="AR288" s="168">
        <f>IF(AQ288="","",AQ288-AQ$6)</f>
        <v>-2.3190339380000001E-4</v>
      </c>
      <c r="AS288" s="168">
        <v>4.4237846795999999E-2</v>
      </c>
      <c r="AT288" s="168">
        <f>IF(AS288="","",AS288-AS$6)</f>
        <v>2.9512011740999999E-2</v>
      </c>
      <c r="AU288" s="168">
        <v>-1.4769107522999999E-2</v>
      </c>
      <c r="AV288" s="168">
        <f>IF(AU288="","",AU288-AU$6)</f>
        <v>-1.7005249269999995E-3</v>
      </c>
      <c r="AW288" s="168">
        <v>3.7970000646999999E-2</v>
      </c>
      <c r="AX288" s="168">
        <f>IF(AW288="","",AW288-AW$6)</f>
        <v>1.3974932858999999E-2</v>
      </c>
      <c r="AY288" s="168">
        <v>1.5094849953999999E-2</v>
      </c>
      <c r="AZ288" s="168">
        <f>IF(AY288="","",AY288-AY$6)</f>
        <v>8.5259516399999874E-4</v>
      </c>
      <c r="BA288" s="168"/>
      <c r="BB288" s="168" t="str">
        <f>IF(BA288="","",BA288-BA$6)</f>
        <v/>
      </c>
      <c r="BC288" s="168"/>
      <c r="BD288" s="168" t="str">
        <f>IF(BC288="","",BC288-BC$6)</f>
        <v/>
      </c>
      <c r="BE288" s="168"/>
      <c r="BF288" s="168" t="str">
        <f>IF(BE288="","",BE288-BE$6)</f>
        <v/>
      </c>
      <c r="BG288" s="168"/>
      <c r="BH288" s="168" t="str">
        <f>IF(BG288="","",BG288-BG$6)</f>
        <v/>
      </c>
      <c r="BI288" s="168"/>
      <c r="BJ288" s="168" t="str">
        <f>IF(BI288="","",BI288-BI$6)</f>
        <v/>
      </c>
      <c r="BK288" s="169"/>
      <c r="BL288" s="115"/>
      <c r="BM288" s="170">
        <v>9.0662378225E-3</v>
      </c>
      <c r="BN288" s="163">
        <v>-1.1392146035E-2</v>
      </c>
      <c r="BO288" s="163">
        <v>3.2114015524999998E-2</v>
      </c>
      <c r="BP288" s="163">
        <v>-2.1239002973E-2</v>
      </c>
      <c r="BQ288" s="171"/>
      <c r="BR288" s="171"/>
      <c r="BS288" s="171"/>
      <c r="BT288" s="171"/>
      <c r="BU288" s="172"/>
      <c r="BV288" s="172"/>
      <c r="BW288" s="163"/>
      <c r="BX288" s="163">
        <v>4.3209959134999998E-3</v>
      </c>
      <c r="BY288" s="161"/>
      <c r="BZ288" s="163">
        <v>-3.4479177478999999E-2</v>
      </c>
      <c r="CA288" s="163">
        <v>-3.4479177478999999E-2</v>
      </c>
      <c r="CB288" s="154">
        <v>45364</v>
      </c>
      <c r="CC288" s="154">
        <v>45455</v>
      </c>
      <c r="CD288" s="173">
        <v>97</v>
      </c>
      <c r="CE288" s="174">
        <v>45504</v>
      </c>
      <c r="CF288" s="116"/>
    </row>
    <row r="289" spans="2:84" ht="15.6" x14ac:dyDescent="0.3">
      <c r="B289" s="98" t="s">
        <v>2285</v>
      </c>
      <c r="C289" s="175" t="s">
        <v>2670</v>
      </c>
      <c r="D289" s="176" t="s">
        <v>19</v>
      </c>
      <c r="E289" s="176" t="s">
        <v>226</v>
      </c>
      <c r="F289" s="177">
        <v>2474103000119</v>
      </c>
      <c r="G289" s="177" t="s">
        <v>2421</v>
      </c>
      <c r="H289" s="177" t="s">
        <v>388</v>
      </c>
      <c r="I289" s="178">
        <v>11</v>
      </c>
      <c r="J289" s="179">
        <v>2</v>
      </c>
      <c r="K289" s="179" t="s">
        <v>126</v>
      </c>
      <c r="L289" s="179" t="s">
        <v>112</v>
      </c>
      <c r="M289" s="179" t="s">
        <v>114</v>
      </c>
      <c r="N289" s="179" t="s">
        <v>109</v>
      </c>
      <c r="O289" s="180">
        <v>96278</v>
      </c>
      <c r="P289" s="181">
        <v>96278000</v>
      </c>
      <c r="Q289" s="181">
        <v>1000</v>
      </c>
      <c r="R289" s="182">
        <v>45245</v>
      </c>
      <c r="S289" s="182">
        <v>50724</v>
      </c>
      <c r="T289" s="183" t="s">
        <v>2776</v>
      </c>
      <c r="U289" s="183" t="s">
        <v>2757</v>
      </c>
      <c r="V289" s="182" t="s">
        <v>105</v>
      </c>
      <c r="W289" s="182" t="s">
        <v>102</v>
      </c>
      <c r="X289" s="182" t="s">
        <v>2516</v>
      </c>
      <c r="Y289" s="182">
        <v>49444</v>
      </c>
      <c r="Z289" s="184">
        <f>IFERROR(INDEX(Base!G:G,MATCH('Debêntures IPCA-Spread'!Y289,Base!F:F,0)),"")</f>
        <v>6.3137999999999996</v>
      </c>
      <c r="AA289" s="115"/>
      <c r="AB289" s="185">
        <v>45552</v>
      </c>
      <c r="AC289" s="186">
        <v>6.5594999999999999</v>
      </c>
      <c r="AD289" s="187">
        <f t="shared" si="13"/>
        <v>0.24570000000000025</v>
      </c>
      <c r="AE289" s="188">
        <v>0.05</v>
      </c>
      <c r="AF289" s="189">
        <v>6.7295999999999996</v>
      </c>
      <c r="AG289" s="189">
        <v>6.4287000000000001</v>
      </c>
      <c r="AH289" s="190">
        <v>1040.2879849999999</v>
      </c>
      <c r="AI289" s="190"/>
      <c r="AJ289" s="191" t="str">
        <f t="shared" si="14"/>
        <v/>
      </c>
      <c r="AK289" s="192"/>
      <c r="AL289" s="193">
        <v>95.97</v>
      </c>
      <c r="AM289" s="194">
        <v>2233</v>
      </c>
      <c r="AN289" s="115"/>
      <c r="AO289" s="195">
        <v>-2.6996435790000001E-3</v>
      </c>
      <c r="AP289" s="196">
        <f>IF(AO289="","",AO289-AO$6)</f>
        <v>-3.1797884639300001E-3</v>
      </c>
      <c r="AQ289" s="196">
        <v>-1.1072656525000001E-3</v>
      </c>
      <c r="AR289" s="196">
        <f>IF(AQ289="","",AQ289-AQ$6)</f>
        <v>-8.8975889954000004E-4</v>
      </c>
      <c r="AS289" s="196">
        <v>3.0405402846000001E-2</v>
      </c>
      <c r="AT289" s="196">
        <f>IF(AS289="","",AS289-AS$6)</f>
        <v>1.5679567791E-2</v>
      </c>
      <c r="AU289" s="196">
        <v>-2.6478309339E-2</v>
      </c>
      <c r="AV289" s="196">
        <f>IF(AU289="","",AU289-AU$6)</f>
        <v>-1.3409726743E-2</v>
      </c>
      <c r="AW289" s="196">
        <v>3.6138399912999997E-2</v>
      </c>
      <c r="AX289" s="196">
        <f>IF(AW289="","",AW289-AW$6)</f>
        <v>1.2143332124999996E-2</v>
      </c>
      <c r="AY289" s="196">
        <v>5.2289778322999999E-3</v>
      </c>
      <c r="AZ289" s="196">
        <f>IF(AY289="","",AY289-AY$6)</f>
        <v>-9.0132769576999998E-3</v>
      </c>
      <c r="BA289" s="196"/>
      <c r="BB289" s="196" t="str">
        <f>IF(BA289="","",BA289-BA$6)</f>
        <v/>
      </c>
      <c r="BC289" s="196"/>
      <c r="BD289" s="196" t="str">
        <f>IF(BC289="","",BC289-BC$6)</f>
        <v/>
      </c>
      <c r="BE289" s="196"/>
      <c r="BF289" s="196" t="str">
        <f>IF(BE289="","",BE289-BE$6)</f>
        <v/>
      </c>
      <c r="BG289" s="196"/>
      <c r="BH289" s="196" t="str">
        <f>IF(BG289="","",BG289-BG$6)</f>
        <v/>
      </c>
      <c r="BI289" s="196"/>
      <c r="BJ289" s="196" t="str">
        <f>IF(BI289="","",BI289-BI$6)</f>
        <v/>
      </c>
      <c r="BK289" s="197"/>
      <c r="BL289" s="115"/>
      <c r="BM289" s="198">
        <v>1.4272756253999999E-2</v>
      </c>
      <c r="BN289" s="191">
        <v>-1.2899034948E-2</v>
      </c>
      <c r="BO289" s="191">
        <v>3.9379986319999997E-2</v>
      </c>
      <c r="BP289" s="191">
        <v>-2.1584584439999999E-2</v>
      </c>
      <c r="BQ289" s="199"/>
      <c r="BR289" s="199"/>
      <c r="BS289" s="199"/>
      <c r="BT289" s="199"/>
      <c r="BU289" s="200"/>
      <c r="BV289" s="200"/>
      <c r="BW289" s="191"/>
      <c r="BX289" s="191">
        <v>8.6693150231999996E-3</v>
      </c>
      <c r="BY289" s="189"/>
      <c r="BZ289" s="191">
        <v>-5.3174819826000003E-2</v>
      </c>
      <c r="CA289" s="191">
        <v>-5.3174819826000003E-2</v>
      </c>
      <c r="CB289" s="182">
        <v>45364</v>
      </c>
      <c r="CC289" s="182">
        <v>45455</v>
      </c>
      <c r="CD289" s="201">
        <v>98</v>
      </c>
      <c r="CE289" s="202">
        <v>45505</v>
      </c>
      <c r="CF289" s="116"/>
    </row>
    <row r="290" spans="2:84" ht="15.6" x14ac:dyDescent="0.3">
      <c r="B290" s="110" t="s">
        <v>2286</v>
      </c>
      <c r="C290" s="147" t="s">
        <v>2671</v>
      </c>
      <c r="D290" s="148" t="s">
        <v>19</v>
      </c>
      <c r="E290" s="148" t="s">
        <v>226</v>
      </c>
      <c r="F290" s="149">
        <v>2474103000119</v>
      </c>
      <c r="G290" s="149" t="s">
        <v>2422</v>
      </c>
      <c r="H290" s="149" t="s">
        <v>388</v>
      </c>
      <c r="I290" s="150">
        <v>12</v>
      </c>
      <c r="J290" s="151">
        <v>2</v>
      </c>
      <c r="K290" s="151" t="s">
        <v>126</v>
      </c>
      <c r="L290" s="151" t="s">
        <v>112</v>
      </c>
      <c r="M290" s="151" t="s">
        <v>114</v>
      </c>
      <c r="N290" s="151" t="s">
        <v>109</v>
      </c>
      <c r="O290" s="152">
        <v>636761</v>
      </c>
      <c r="P290" s="153">
        <v>636761000</v>
      </c>
      <c r="Q290" s="153">
        <v>1000</v>
      </c>
      <c r="R290" s="154">
        <v>45458</v>
      </c>
      <c r="S290" s="154">
        <v>49110</v>
      </c>
      <c r="T290" s="155" t="s">
        <v>2835</v>
      </c>
      <c r="U290" s="155" t="s">
        <v>2747</v>
      </c>
      <c r="V290" s="154" t="s">
        <v>105</v>
      </c>
      <c r="W290" s="154" t="s">
        <v>102</v>
      </c>
      <c r="X290" s="154" t="s">
        <v>2542</v>
      </c>
      <c r="Y290" s="154">
        <v>48714</v>
      </c>
      <c r="Z290" s="156">
        <f>IFERROR(INDEX(Base!G:G,MATCH('Debêntures IPCA-Spread'!Y290,Base!F:F,0)),"")</f>
        <v>6.3373999999999997</v>
      </c>
      <c r="AA290" s="115"/>
      <c r="AB290" s="157">
        <v>45552</v>
      </c>
      <c r="AC290" s="158">
        <v>6.4261999999999997</v>
      </c>
      <c r="AD290" s="159">
        <f t="shared" si="13"/>
        <v>8.879999999999999E-2</v>
      </c>
      <c r="AE290" s="160">
        <v>0.06</v>
      </c>
      <c r="AF290" s="161">
        <v>6.6055999999999999</v>
      </c>
      <c r="AG290" s="161">
        <v>6.3594999999999997</v>
      </c>
      <c r="AH290" s="162">
        <v>1041.7931819999999</v>
      </c>
      <c r="AI290" s="162"/>
      <c r="AJ290" s="163" t="str">
        <f t="shared" si="14"/>
        <v/>
      </c>
      <c r="AK290" s="164"/>
      <c r="AL290" s="165">
        <v>102.24</v>
      </c>
      <c r="AM290" s="166">
        <v>1705</v>
      </c>
      <c r="AN290" s="115"/>
      <c r="AO290" s="167">
        <v>1.3661566989999999E-3</v>
      </c>
      <c r="AP290" s="168">
        <f>IF(AO290="","",AO290-AO$6)</f>
        <v>8.8601181406999991E-4</v>
      </c>
      <c r="AQ290" s="168">
        <v>3.2306482044E-3</v>
      </c>
      <c r="AR290" s="168">
        <f>IF(AQ290="","",AQ290-AQ$6)</f>
        <v>3.44815495736E-3</v>
      </c>
      <c r="AS290" s="168"/>
      <c r="AT290" s="168" t="str">
        <f>IF(AS290="","",AS290-AS$6)</f>
        <v/>
      </c>
      <c r="AU290" s="168">
        <v>-1.3355722190999999E-2</v>
      </c>
      <c r="AV290" s="168">
        <f>IF(AU290="","",AU290-AU$6)</f>
        <v>-2.8713959499999941E-4</v>
      </c>
      <c r="AW290" s="168"/>
      <c r="AX290" s="168" t="str">
        <f>IF(AW290="","",AW290-AW$6)</f>
        <v/>
      </c>
      <c r="AY290" s="168"/>
      <c r="AZ290" s="168" t="str">
        <f>IF(AY290="","",AY290-AY$6)</f>
        <v/>
      </c>
      <c r="BA290" s="168"/>
      <c r="BB290" s="168" t="str">
        <f>IF(BA290="","",BA290-BA$6)</f>
        <v/>
      </c>
      <c r="BC290" s="168"/>
      <c r="BD290" s="168" t="str">
        <f>IF(BC290="","",BC290-BC$6)</f>
        <v/>
      </c>
      <c r="BE290" s="168"/>
      <c r="BF290" s="168" t="str">
        <f>IF(BE290="","",BE290-BE$6)</f>
        <v/>
      </c>
      <c r="BG290" s="168"/>
      <c r="BH290" s="168" t="str">
        <f>IF(BG290="","",BG290-BG$6)</f>
        <v/>
      </c>
      <c r="BI290" s="168"/>
      <c r="BJ290" s="168" t="str">
        <f>IF(BI290="","",BI290-BI$6)</f>
        <v/>
      </c>
      <c r="BK290" s="169"/>
      <c r="BL290" s="115"/>
      <c r="BM290" s="170">
        <v>1.0721463412999999E-2</v>
      </c>
      <c r="BN290" s="163">
        <v>-5.2760337620999997E-3</v>
      </c>
      <c r="BO290" s="163">
        <v>4.9501071353E-3</v>
      </c>
      <c r="BP290" s="163">
        <v>3.2306482044E-3</v>
      </c>
      <c r="BQ290" s="171"/>
      <c r="BR290" s="171"/>
      <c r="BS290" s="171"/>
      <c r="BT290" s="171"/>
      <c r="BU290" s="172"/>
      <c r="BV290" s="172"/>
      <c r="BW290" s="163"/>
      <c r="BX290" s="163">
        <v>4.4853443563000004E-3</v>
      </c>
      <c r="BY290" s="161"/>
      <c r="BZ290" s="163">
        <v>-4.1225016301999996E-3</v>
      </c>
      <c r="CA290" s="163">
        <v>-2.2029636849000001E-2</v>
      </c>
      <c r="CB290" s="154">
        <v>45518</v>
      </c>
      <c r="CC290" s="154">
        <v>45537</v>
      </c>
      <c r="CD290" s="173"/>
      <c r="CE290" s="174"/>
      <c r="CF290" s="116"/>
    </row>
    <row r="291" spans="2:84" ht="15.6" x14ac:dyDescent="0.3">
      <c r="B291" s="98" t="s">
        <v>2287</v>
      </c>
      <c r="C291" s="175" t="s">
        <v>2672</v>
      </c>
      <c r="D291" s="176" t="s">
        <v>2804</v>
      </c>
      <c r="E291" s="176" t="s">
        <v>2780</v>
      </c>
      <c r="F291" s="177">
        <v>36030967000163</v>
      </c>
      <c r="G291" s="177" t="s">
        <v>2423</v>
      </c>
      <c r="H291" s="177" t="s">
        <v>388</v>
      </c>
      <c r="I291" s="178">
        <v>1</v>
      </c>
      <c r="J291" s="179" t="s">
        <v>107</v>
      </c>
      <c r="K291" s="179" t="s">
        <v>126</v>
      </c>
      <c r="L291" s="179" t="s">
        <v>125</v>
      </c>
      <c r="M291" s="179" t="s">
        <v>106</v>
      </c>
      <c r="N291" s="179" t="s">
        <v>109</v>
      </c>
      <c r="O291" s="180">
        <v>65000</v>
      </c>
      <c r="P291" s="181">
        <v>65000000</v>
      </c>
      <c r="Q291" s="181">
        <v>1000</v>
      </c>
      <c r="R291" s="182">
        <v>44576</v>
      </c>
      <c r="S291" s="182">
        <v>48959</v>
      </c>
      <c r="T291" s="183" t="s">
        <v>1973</v>
      </c>
      <c r="U291" s="183" t="s">
        <v>1973</v>
      </c>
      <c r="V291" s="182" t="s">
        <v>194</v>
      </c>
      <c r="W291" s="182" t="s">
        <v>102</v>
      </c>
      <c r="X291" s="182" t="s">
        <v>2543</v>
      </c>
      <c r="Y291" s="182">
        <v>47253</v>
      </c>
      <c r="Z291" s="184">
        <f>IFERROR(INDEX(Base!G:G,MATCH('Debêntures IPCA-Spread'!Y291,Base!F:F,0)),"")</f>
        <v>6.41</v>
      </c>
      <c r="AA291" s="115"/>
      <c r="AB291" s="185">
        <v>45552</v>
      </c>
      <c r="AC291" s="186">
        <v>6.4539999999999997</v>
      </c>
      <c r="AD291" s="187">
        <f t="shared" si="13"/>
        <v>4.3999999999999595E-2</v>
      </c>
      <c r="AE291" s="188">
        <v>0.1</v>
      </c>
      <c r="AF291" s="189">
        <v>6.6540999999999997</v>
      </c>
      <c r="AG291" s="189">
        <v>6.2911999999999999</v>
      </c>
      <c r="AH291" s="190">
        <v>950.11582199999998</v>
      </c>
      <c r="AI291" s="190"/>
      <c r="AJ291" s="191" t="str">
        <f t="shared" si="14"/>
        <v/>
      </c>
      <c r="AK291" s="192"/>
      <c r="AL291" s="193">
        <v>99.96</v>
      </c>
      <c r="AM291" s="194">
        <v>1074</v>
      </c>
      <c r="AN291" s="115"/>
      <c r="AO291" s="195">
        <v>9.1913628966999999E-4</v>
      </c>
      <c r="AP291" s="196">
        <f>IF(AO291="","",AO291-AO$6)</f>
        <v>4.3899140473999999E-4</v>
      </c>
      <c r="AQ291" s="196">
        <v>4.0305114435000003E-3</v>
      </c>
      <c r="AR291" s="196">
        <f>IF(AQ291="","",AQ291-AQ$6)</f>
        <v>4.2480181964600003E-3</v>
      </c>
      <c r="AS291" s="196"/>
      <c r="AT291" s="196" t="str">
        <f>IF(AS291="","",AS291-AS$6)</f>
        <v/>
      </c>
      <c r="AU291" s="196">
        <v>-8.2897693246000003E-3</v>
      </c>
      <c r="AV291" s="196">
        <f>IF(AU291="","",AU291-AU$6)</f>
        <v>4.7788132713999995E-3</v>
      </c>
      <c r="AW291" s="196">
        <v>3.3855076370000001E-2</v>
      </c>
      <c r="AX291" s="196">
        <f>IF(AW291="","",AW291-AW$6)</f>
        <v>9.8600085820000002E-3</v>
      </c>
      <c r="AY291" s="196">
        <v>2.0933501170999999E-2</v>
      </c>
      <c r="AZ291" s="196">
        <f>IF(AY291="","",AY291-AY$6)</f>
        <v>6.6912463809999986E-3</v>
      </c>
      <c r="BA291" s="196"/>
      <c r="BB291" s="196" t="str">
        <f>IF(BA291="","",BA291-BA$6)</f>
        <v/>
      </c>
      <c r="BC291" s="196"/>
      <c r="BD291" s="196" t="str">
        <f>IF(BC291="","",BC291-BC$6)</f>
        <v/>
      </c>
      <c r="BE291" s="196"/>
      <c r="BF291" s="196" t="str">
        <f>IF(BE291="","",BE291-BE$6)</f>
        <v/>
      </c>
      <c r="BG291" s="196"/>
      <c r="BH291" s="196" t="str">
        <f>IF(BG291="","",BG291-BG$6)</f>
        <v/>
      </c>
      <c r="BI291" s="196"/>
      <c r="BJ291" s="196" t="str">
        <f>IF(BI291="","",BI291-BI$6)</f>
        <v/>
      </c>
      <c r="BK291" s="197"/>
      <c r="BL291" s="115"/>
      <c r="BM291" s="198">
        <v>7.6746331706000004E-3</v>
      </c>
      <c r="BN291" s="191">
        <v>-7.3494463330999998E-3</v>
      </c>
      <c r="BO291" s="191">
        <v>2.0121663210000001E-2</v>
      </c>
      <c r="BP291" s="191">
        <v>-1.8967894712999998E-2</v>
      </c>
      <c r="BQ291" s="199"/>
      <c r="BR291" s="199"/>
      <c r="BS291" s="199"/>
      <c r="BT291" s="199"/>
      <c r="BU291" s="200"/>
      <c r="BV291" s="200"/>
      <c r="BW291" s="191"/>
      <c r="BX291" s="191">
        <v>5.0776915793999998E-3</v>
      </c>
      <c r="BY291" s="189"/>
      <c r="BZ291" s="191">
        <v>-2.3407503384000002E-2</v>
      </c>
      <c r="CA291" s="191">
        <v>-2.3407503384000002E-2</v>
      </c>
      <c r="CB291" s="182">
        <v>45391</v>
      </c>
      <c r="CC291" s="182">
        <v>45412</v>
      </c>
      <c r="CD291" s="201">
        <v>68</v>
      </c>
      <c r="CE291" s="202">
        <v>45489</v>
      </c>
      <c r="CF291" s="116"/>
    </row>
    <row r="292" spans="2:84" ht="15.6" x14ac:dyDescent="0.3">
      <c r="B292" s="110" t="s">
        <v>49</v>
      </c>
      <c r="C292" s="147" t="s">
        <v>310</v>
      </c>
      <c r="D292" s="148" t="s">
        <v>85</v>
      </c>
      <c r="E292" s="148" t="s">
        <v>228</v>
      </c>
      <c r="F292" s="149">
        <v>26664057000189</v>
      </c>
      <c r="G292" s="149" t="s">
        <v>366</v>
      </c>
      <c r="H292" s="149" t="s">
        <v>388</v>
      </c>
      <c r="I292" s="150">
        <v>2</v>
      </c>
      <c r="J292" s="151" t="s">
        <v>108</v>
      </c>
      <c r="K292" s="151" t="s">
        <v>128</v>
      </c>
      <c r="L292" s="151" t="s">
        <v>112</v>
      </c>
      <c r="M292" s="151" t="s">
        <v>114</v>
      </c>
      <c r="N292" s="151" t="s">
        <v>109</v>
      </c>
      <c r="O292" s="152">
        <v>1000000</v>
      </c>
      <c r="P292" s="153">
        <v>1000000000</v>
      </c>
      <c r="Q292" s="153">
        <v>1000</v>
      </c>
      <c r="R292" s="154">
        <v>43146</v>
      </c>
      <c r="S292" s="154">
        <v>47832</v>
      </c>
      <c r="T292" s="155" t="s">
        <v>150</v>
      </c>
      <c r="U292" s="155" t="s">
        <v>150</v>
      </c>
      <c r="V292" s="154" t="s">
        <v>194</v>
      </c>
      <c r="W292" s="154" t="s">
        <v>102</v>
      </c>
      <c r="X292" s="154" t="s">
        <v>1346</v>
      </c>
      <c r="Y292" s="154">
        <v>46980</v>
      </c>
      <c r="Z292" s="156">
        <f>IFERROR(INDEX(Base!G:G,MATCH('Debêntures IPCA-Spread'!Y292,Base!F:F,0)),"")</f>
        <v>6.4702000000000002</v>
      </c>
      <c r="AA292" s="115"/>
      <c r="AB292" s="157">
        <v>45552</v>
      </c>
      <c r="AC292" s="158">
        <v>6.7918000000000003</v>
      </c>
      <c r="AD292" s="159">
        <f t="shared" si="13"/>
        <v>0.32160000000000011</v>
      </c>
      <c r="AE292" s="160">
        <v>0.05</v>
      </c>
      <c r="AF292" s="161">
        <v>6.9086999999999996</v>
      </c>
      <c r="AG292" s="161">
        <v>6.5949</v>
      </c>
      <c r="AH292" s="162">
        <v>1378.482557</v>
      </c>
      <c r="AI292" s="162">
        <v>1382.363638</v>
      </c>
      <c r="AJ292" s="163">
        <f t="shared" si="14"/>
        <v>0.99719243121468737</v>
      </c>
      <c r="AK292" s="164">
        <v>45530</v>
      </c>
      <c r="AL292" s="165">
        <v>103.32</v>
      </c>
      <c r="AM292" s="166">
        <v>926</v>
      </c>
      <c r="AN292" s="115"/>
      <c r="AO292" s="167">
        <v>-4.9973905243000003E-4</v>
      </c>
      <c r="AP292" s="168">
        <f>IF(AO292="","",AO292-AO$6)</f>
        <v>-9.7988393735999992E-4</v>
      </c>
      <c r="AQ292" s="168">
        <v>3.9721296179999997E-3</v>
      </c>
      <c r="AR292" s="168">
        <f>IF(AQ292="","",AQ292-AQ$6)</f>
        <v>4.1896363709599998E-3</v>
      </c>
      <c r="AS292" s="168">
        <v>7.4738008517999999E-2</v>
      </c>
      <c r="AT292" s="168">
        <f>IF(AS292="","",AS292-AS$6)</f>
        <v>6.0012173463000001E-2</v>
      </c>
      <c r="AU292" s="168">
        <v>-1.2220270135999999E-3</v>
      </c>
      <c r="AV292" s="168">
        <f>IF(AU292="","",AU292-AU$6)</f>
        <v>1.18465555824E-2</v>
      </c>
      <c r="AW292" s="168">
        <v>3.3289914543000003E-2</v>
      </c>
      <c r="AX292" s="168">
        <f>IF(AW292="","",AW292-AW$6)</f>
        <v>9.2948467550000025E-3</v>
      </c>
      <c r="AY292" s="168">
        <v>2.6443488356000001E-2</v>
      </c>
      <c r="AZ292" s="168">
        <f>IF(AY292="","",AY292-AY$6)</f>
        <v>1.2201233566000001E-2</v>
      </c>
      <c r="BA292" s="168">
        <v>0.10534785429</v>
      </c>
      <c r="BB292" s="168">
        <f>IF(BA292="","",BA292-BA$6)</f>
        <v>5.1860889732000003E-2</v>
      </c>
      <c r="BC292" s="168">
        <v>0.25992796589</v>
      </c>
      <c r="BD292" s="168">
        <f>IF(BC292="","",BC292-BC$6)</f>
        <v>6.56193994E-2</v>
      </c>
      <c r="BE292" s="168">
        <v>0.34345602146999998</v>
      </c>
      <c r="BF292" s="168">
        <f>IF(BE292="","",BE292-BE$6)</f>
        <v>8.1736681929999999E-2</v>
      </c>
      <c r="BG292" s="168">
        <v>0.47963256388999997</v>
      </c>
      <c r="BH292" s="168">
        <f>IF(BG292="","",BG292-BG$6)</f>
        <v>0.17071591507999995</v>
      </c>
      <c r="BI292" s="168">
        <v>0.52881759726999999</v>
      </c>
      <c r="BJ292" s="168">
        <f>IF(BI292="","",BI292-BI$6)</f>
        <v>0.15587458718999997</v>
      </c>
      <c r="BK292" s="169">
        <v>4.5802433719</v>
      </c>
      <c r="BL292" s="115"/>
      <c r="BM292" s="170">
        <v>1.2243757137000001E-2</v>
      </c>
      <c r="BN292" s="163">
        <v>-2.2145954461000001E-2</v>
      </c>
      <c r="BO292" s="163">
        <v>2.6879517084999999E-2</v>
      </c>
      <c r="BP292" s="163">
        <v>-1.4022179242000001E-2</v>
      </c>
      <c r="BQ292" s="171">
        <v>10</v>
      </c>
      <c r="BR292" s="171">
        <v>2</v>
      </c>
      <c r="BS292" s="171">
        <v>6</v>
      </c>
      <c r="BT292" s="171">
        <v>6</v>
      </c>
      <c r="BU292" s="172">
        <v>-0.10373519394</v>
      </c>
      <c r="BV292" s="172">
        <v>-0.23297616510999999</v>
      </c>
      <c r="BW292" s="163">
        <v>4.7227434704999998E-3</v>
      </c>
      <c r="BX292" s="163">
        <v>3.2388303364000001E-3</v>
      </c>
      <c r="BY292" s="161">
        <v>-1.1097747196000001</v>
      </c>
      <c r="BZ292" s="163">
        <v>-2.2747138029999999E-2</v>
      </c>
      <c r="CA292" s="163">
        <v>-2.2747138029999999E-2</v>
      </c>
      <c r="CB292" s="154">
        <v>45379</v>
      </c>
      <c r="CC292" s="154">
        <v>45386</v>
      </c>
      <c r="CD292" s="173">
        <v>7</v>
      </c>
      <c r="CE292" s="174">
        <v>45391</v>
      </c>
      <c r="CF292" s="116"/>
    </row>
    <row r="293" spans="2:84" ht="15.6" x14ac:dyDescent="0.3">
      <c r="B293" s="98" t="s">
        <v>1457</v>
      </c>
      <c r="C293" s="175" t="s">
        <v>2103</v>
      </c>
      <c r="D293" s="176" t="s">
        <v>637</v>
      </c>
      <c r="E293" s="176" t="s">
        <v>226</v>
      </c>
      <c r="F293" s="177">
        <v>23441056000187</v>
      </c>
      <c r="G293" s="177" t="s">
        <v>1816</v>
      </c>
      <c r="H293" s="177" t="s">
        <v>388</v>
      </c>
      <c r="I293" s="178">
        <v>1</v>
      </c>
      <c r="J293" s="179">
        <v>1</v>
      </c>
      <c r="K293" s="179" t="s">
        <v>2178</v>
      </c>
      <c r="L293" s="179" t="s">
        <v>112</v>
      </c>
      <c r="M293" s="179" t="s">
        <v>106</v>
      </c>
      <c r="N293" s="179" t="s">
        <v>109</v>
      </c>
      <c r="O293" s="180">
        <v>23000</v>
      </c>
      <c r="P293" s="181">
        <v>23000000</v>
      </c>
      <c r="Q293" s="181">
        <v>1000</v>
      </c>
      <c r="R293" s="182">
        <v>42536</v>
      </c>
      <c r="S293" s="182">
        <v>46919</v>
      </c>
      <c r="T293" s="183" t="s">
        <v>1998</v>
      </c>
      <c r="U293" s="183" t="s">
        <v>1695</v>
      </c>
      <c r="V293" s="182" t="s">
        <v>194</v>
      </c>
      <c r="W293" s="182" t="s">
        <v>102</v>
      </c>
      <c r="X293" s="182" t="s">
        <v>1585</v>
      </c>
      <c r="Y293" s="182">
        <v>46249</v>
      </c>
      <c r="Z293" s="184">
        <f>IFERROR(INDEX(Base!G:G,MATCH('Debêntures IPCA-Spread'!Y293,Base!F:F,0)),"")</f>
        <v>6.5365000000000002</v>
      </c>
      <c r="AA293" s="115"/>
      <c r="AB293" s="185">
        <v>45015</v>
      </c>
      <c r="AC293" s="186"/>
      <c r="AD293" s="187" t="str">
        <f t="shared" si="13"/>
        <v/>
      </c>
      <c r="AE293" s="188"/>
      <c r="AF293" s="189"/>
      <c r="AG293" s="189"/>
      <c r="AH293" s="190"/>
      <c r="AI293" s="190"/>
      <c r="AJ293" s="191" t="str">
        <f t="shared" si="14"/>
        <v/>
      </c>
      <c r="AK293" s="192"/>
      <c r="AL293" s="193"/>
      <c r="AM293" s="194"/>
      <c r="AN293" s="115"/>
      <c r="AO293" s="195"/>
      <c r="AP293" s="196" t="str">
        <f>IF(AO293="","",AO293-AO$6)</f>
        <v/>
      </c>
      <c r="AQ293" s="196"/>
      <c r="AR293" s="196" t="str">
        <f>IF(AQ293="","",AQ293-AQ$6)</f>
        <v/>
      </c>
      <c r="AS293" s="196"/>
      <c r="AT293" s="196" t="str">
        <f>IF(AS293="","",AS293-AS$6)</f>
        <v/>
      </c>
      <c r="AU293" s="196"/>
      <c r="AV293" s="196" t="str">
        <f>IF(AU293="","",AU293-AU$6)</f>
        <v/>
      </c>
      <c r="AW293" s="196"/>
      <c r="AX293" s="196" t="str">
        <f>IF(AW293="","",AW293-AW$6)</f>
        <v/>
      </c>
      <c r="AY293" s="196"/>
      <c r="AZ293" s="196" t="str">
        <f>IF(AY293="","",AY293-AY$6)</f>
        <v/>
      </c>
      <c r="BA293" s="196"/>
      <c r="BB293" s="196" t="str">
        <f>IF(BA293="","",BA293-BA$6)</f>
        <v/>
      </c>
      <c r="BC293" s="196"/>
      <c r="BD293" s="196" t="str">
        <f>IF(BC293="","",BC293-BC$6)</f>
        <v/>
      </c>
      <c r="BE293" s="196"/>
      <c r="BF293" s="196" t="str">
        <f>IF(BE293="","",BE293-BE$6)</f>
        <v/>
      </c>
      <c r="BG293" s="196"/>
      <c r="BH293" s="196" t="str">
        <f>IF(BG293="","",BG293-BG$6)</f>
        <v/>
      </c>
      <c r="BI293" s="196"/>
      <c r="BJ293" s="196" t="str">
        <f>IF(BI293="","",BI293-BI$6)</f>
        <v/>
      </c>
      <c r="BK293" s="197"/>
      <c r="BL293" s="115"/>
      <c r="BM293" s="198"/>
      <c r="BN293" s="191"/>
      <c r="BO293" s="191"/>
      <c r="BP293" s="191"/>
      <c r="BQ293" s="199"/>
      <c r="BR293" s="199"/>
      <c r="BS293" s="199"/>
      <c r="BT293" s="199"/>
      <c r="BU293" s="200"/>
      <c r="BV293" s="200"/>
      <c r="BW293" s="191"/>
      <c r="BX293" s="191"/>
      <c r="BY293" s="189"/>
      <c r="BZ293" s="191"/>
      <c r="CA293" s="191"/>
      <c r="CB293" s="182"/>
      <c r="CC293" s="182"/>
      <c r="CD293" s="201"/>
      <c r="CE293" s="202"/>
      <c r="CF293" s="116"/>
    </row>
    <row r="294" spans="2:84" ht="15.6" x14ac:dyDescent="0.3">
      <c r="B294" s="110" t="s">
        <v>554</v>
      </c>
      <c r="C294" s="147" t="s">
        <v>719</v>
      </c>
      <c r="D294" s="148" t="s">
        <v>637</v>
      </c>
      <c r="E294" s="148" t="s">
        <v>226</v>
      </c>
      <c r="F294" s="149">
        <v>23441056000187</v>
      </c>
      <c r="G294" s="149" t="s">
        <v>874</v>
      </c>
      <c r="H294" s="149" t="s">
        <v>388</v>
      </c>
      <c r="I294" s="150">
        <v>1</v>
      </c>
      <c r="J294" s="151">
        <v>2</v>
      </c>
      <c r="K294" s="151" t="s">
        <v>127</v>
      </c>
      <c r="L294" s="151" t="s">
        <v>112</v>
      </c>
      <c r="M294" s="151" t="s">
        <v>106</v>
      </c>
      <c r="N294" s="151" t="s">
        <v>109</v>
      </c>
      <c r="O294" s="152">
        <v>45000</v>
      </c>
      <c r="P294" s="153">
        <v>45000000</v>
      </c>
      <c r="Q294" s="153">
        <v>1000</v>
      </c>
      <c r="R294" s="154">
        <v>42536</v>
      </c>
      <c r="S294" s="154">
        <v>47649</v>
      </c>
      <c r="T294" s="155" t="s">
        <v>161</v>
      </c>
      <c r="U294" s="155" t="s">
        <v>943</v>
      </c>
      <c r="V294" s="154" t="s">
        <v>194</v>
      </c>
      <c r="W294" s="154" t="s">
        <v>102</v>
      </c>
      <c r="X294" s="154" t="s">
        <v>982</v>
      </c>
      <c r="Y294" s="154">
        <v>47253</v>
      </c>
      <c r="Z294" s="156">
        <f>IFERROR(INDEX(Base!G:G,MATCH('Debêntures IPCA-Spread'!Y294,Base!F:F,0)),"")</f>
        <v>6.41</v>
      </c>
      <c r="AA294" s="115"/>
      <c r="AB294" s="157">
        <v>45506</v>
      </c>
      <c r="AC294" s="158"/>
      <c r="AD294" s="159" t="str">
        <f t="shared" si="13"/>
        <v/>
      </c>
      <c r="AE294" s="160"/>
      <c r="AF294" s="161"/>
      <c r="AG294" s="161"/>
      <c r="AH294" s="162"/>
      <c r="AI294" s="162">
        <v>1263.9545989999999</v>
      </c>
      <c r="AJ294" s="163">
        <f t="shared" si="14"/>
        <v>0</v>
      </c>
      <c r="AK294" s="164">
        <v>45506</v>
      </c>
      <c r="AL294" s="165"/>
      <c r="AM294" s="166"/>
      <c r="AN294" s="115"/>
      <c r="AO294" s="167"/>
      <c r="AP294" s="168" t="str">
        <f>IF(AO294="","",AO294-AO$6)</f>
        <v/>
      </c>
      <c r="AQ294" s="168"/>
      <c r="AR294" s="168" t="str">
        <f>IF(AQ294="","",AQ294-AQ$6)</f>
        <v/>
      </c>
      <c r="AS294" s="168"/>
      <c r="AT294" s="168" t="str">
        <f>IF(AS294="","",AS294-AS$6)</f>
        <v/>
      </c>
      <c r="AU294" s="168"/>
      <c r="AV294" s="168" t="str">
        <f>IF(AU294="","",AU294-AU$6)</f>
        <v/>
      </c>
      <c r="AW294" s="168"/>
      <c r="AX294" s="168" t="str">
        <f>IF(AW294="","",AW294-AW$6)</f>
        <v/>
      </c>
      <c r="AY294" s="168"/>
      <c r="AZ294" s="168" t="str">
        <f>IF(AY294="","",AY294-AY$6)</f>
        <v/>
      </c>
      <c r="BA294" s="168"/>
      <c r="BB294" s="168" t="str">
        <f>IF(BA294="","",BA294-BA$6)</f>
        <v/>
      </c>
      <c r="BC294" s="168"/>
      <c r="BD294" s="168" t="str">
        <f>IF(BC294="","",BC294-BC$6)</f>
        <v/>
      </c>
      <c r="BE294" s="168"/>
      <c r="BF294" s="168" t="str">
        <f>IF(BE294="","",BE294-BE$6)</f>
        <v/>
      </c>
      <c r="BG294" s="168"/>
      <c r="BH294" s="168" t="str">
        <f>IF(BG294="","",BG294-BG$6)</f>
        <v/>
      </c>
      <c r="BI294" s="168"/>
      <c r="BJ294" s="168" t="str">
        <f>IF(BI294="","",BI294-BI$6)</f>
        <v/>
      </c>
      <c r="BK294" s="169"/>
      <c r="BL294" s="115"/>
      <c r="BM294" s="170">
        <v>1.8099296462000002E-2</v>
      </c>
      <c r="BN294" s="163">
        <v>-1.5160930971E-2</v>
      </c>
      <c r="BO294" s="163">
        <v>2.3617691210999998E-2</v>
      </c>
      <c r="BP294" s="163">
        <v>-8.5344999616000002E-3</v>
      </c>
      <c r="BQ294" s="171"/>
      <c r="BR294" s="171"/>
      <c r="BS294" s="171"/>
      <c r="BT294" s="171"/>
      <c r="BU294" s="172"/>
      <c r="BV294" s="172">
        <v>4.8342066347000001E-2</v>
      </c>
      <c r="BW294" s="163"/>
      <c r="BX294" s="163"/>
      <c r="BY294" s="161"/>
      <c r="BZ294" s="163">
        <v>-2.2311503779E-2</v>
      </c>
      <c r="CA294" s="163">
        <v>-2.2311503779E-2</v>
      </c>
      <c r="CB294" s="154">
        <v>45209</v>
      </c>
      <c r="CC294" s="154">
        <v>45224</v>
      </c>
      <c r="CD294" s="173">
        <v>25</v>
      </c>
      <c r="CE294" s="174">
        <v>45247</v>
      </c>
      <c r="CF294" s="116"/>
    </row>
    <row r="295" spans="2:84" ht="15.6" x14ac:dyDescent="0.3">
      <c r="B295" s="98" t="s">
        <v>2288</v>
      </c>
      <c r="C295" s="175" t="s">
        <v>2673</v>
      </c>
      <c r="D295" s="176" t="s">
        <v>2857</v>
      </c>
      <c r="E295" s="176" t="s">
        <v>226</v>
      </c>
      <c r="F295" s="177">
        <v>6272793000184</v>
      </c>
      <c r="G295" s="177" t="s">
        <v>2424</v>
      </c>
      <c r="H295" s="177" t="s">
        <v>388</v>
      </c>
      <c r="I295" s="178">
        <v>10</v>
      </c>
      <c r="J295" s="179" t="s">
        <v>107</v>
      </c>
      <c r="K295" s="179" t="s">
        <v>111</v>
      </c>
      <c r="L295" s="179" t="s">
        <v>125</v>
      </c>
      <c r="M295" s="179" t="s">
        <v>114</v>
      </c>
      <c r="N295" s="179" t="s">
        <v>109</v>
      </c>
      <c r="O295" s="180">
        <v>300000</v>
      </c>
      <c r="P295" s="181">
        <v>300000000</v>
      </c>
      <c r="Q295" s="181">
        <v>1000</v>
      </c>
      <c r="R295" s="182">
        <v>45275</v>
      </c>
      <c r="S295" s="182">
        <v>48197</v>
      </c>
      <c r="T295" s="183" t="s">
        <v>2001</v>
      </c>
      <c r="U295" s="183" t="s">
        <v>2758</v>
      </c>
      <c r="V295" s="182" t="s">
        <v>105</v>
      </c>
      <c r="W295" s="182" t="s">
        <v>102</v>
      </c>
      <c r="X295" s="182" t="s">
        <v>1342</v>
      </c>
      <c r="Y295" s="182">
        <v>47710</v>
      </c>
      <c r="Z295" s="184">
        <f>IFERROR(INDEX(Base!G:G,MATCH('Debêntures IPCA-Spread'!Y295,Base!F:F,0)),"")</f>
        <v>6.3273999999999999</v>
      </c>
      <c r="AA295" s="115"/>
      <c r="AB295" s="185">
        <v>45552</v>
      </c>
      <c r="AC295" s="186">
        <v>6.6109</v>
      </c>
      <c r="AD295" s="187">
        <f t="shared" si="13"/>
        <v>0.28350000000000009</v>
      </c>
      <c r="AE295" s="188">
        <v>0.06</v>
      </c>
      <c r="AF295" s="189">
        <v>6.7404999999999999</v>
      </c>
      <c r="AG295" s="189">
        <v>6.5143000000000004</v>
      </c>
      <c r="AH295" s="190">
        <v>1034.064687</v>
      </c>
      <c r="AI295" s="190"/>
      <c r="AJ295" s="191" t="str">
        <f t="shared" si="14"/>
        <v/>
      </c>
      <c r="AK295" s="192"/>
      <c r="AL295" s="193">
        <v>98.51</v>
      </c>
      <c r="AM295" s="194">
        <v>1294</v>
      </c>
      <c r="AN295" s="115"/>
      <c r="AO295" s="195">
        <v>-6.3217561364999997E-4</v>
      </c>
      <c r="AP295" s="196">
        <f>IF(AO295="","",AO295-AO$6)</f>
        <v>-1.11232049858E-3</v>
      </c>
      <c r="AQ295" s="196">
        <v>3.9133297396000003E-3</v>
      </c>
      <c r="AR295" s="196">
        <f>IF(AQ295="","",AQ295-AQ$6)</f>
        <v>4.1308364925600003E-3</v>
      </c>
      <c r="AS295" s="196"/>
      <c r="AT295" s="196" t="str">
        <f>IF(AS295="","",AS295-AS$6)</f>
        <v/>
      </c>
      <c r="AU295" s="196">
        <v>-8.0199695685000006E-3</v>
      </c>
      <c r="AV295" s="196">
        <f>IF(AU295="","",AU295-AU$6)</f>
        <v>5.0486130274999992E-3</v>
      </c>
      <c r="AW295" s="196">
        <v>3.7084413391999999E-2</v>
      </c>
      <c r="AX295" s="196">
        <f>IF(AW295="","",AW295-AW$6)</f>
        <v>1.3089345603999998E-2</v>
      </c>
      <c r="AY295" s="196">
        <v>2.0742283003999998E-2</v>
      </c>
      <c r="AZ295" s="196">
        <f>IF(AY295="","",AY295-AY$6)</f>
        <v>6.500028213999998E-3</v>
      </c>
      <c r="BA295" s="196"/>
      <c r="BB295" s="196" t="str">
        <f>IF(BA295="","",BA295-BA$6)</f>
        <v/>
      </c>
      <c r="BC295" s="196"/>
      <c r="BD295" s="196" t="str">
        <f>IF(BC295="","",BC295-BC$6)</f>
        <v/>
      </c>
      <c r="BE295" s="196"/>
      <c r="BF295" s="196" t="str">
        <f>IF(BE295="","",BE295-BE$6)</f>
        <v/>
      </c>
      <c r="BG295" s="196"/>
      <c r="BH295" s="196" t="str">
        <f>IF(BG295="","",BG295-BG$6)</f>
        <v/>
      </c>
      <c r="BI295" s="196"/>
      <c r="BJ295" s="196" t="str">
        <f>IF(BI295="","",BI295-BI$6)</f>
        <v/>
      </c>
      <c r="BK295" s="197"/>
      <c r="BL295" s="115"/>
      <c r="BM295" s="198">
        <v>1.1223152678E-2</v>
      </c>
      <c r="BN295" s="191">
        <v>-1.0206452624999999E-2</v>
      </c>
      <c r="BO295" s="191">
        <v>2.2675541325999998E-2</v>
      </c>
      <c r="BP295" s="191">
        <v>-2.1464754818E-2</v>
      </c>
      <c r="BQ295" s="199"/>
      <c r="BR295" s="199"/>
      <c r="BS295" s="199"/>
      <c r="BT295" s="199"/>
      <c r="BU295" s="200"/>
      <c r="BV295" s="200"/>
      <c r="BW295" s="191"/>
      <c r="BX295" s="191">
        <v>3.9440666702999999E-3</v>
      </c>
      <c r="BY295" s="189"/>
      <c r="BZ295" s="191">
        <v>-2.9488605330000001E-2</v>
      </c>
      <c r="CA295" s="191">
        <v>-2.9488605330000001E-2</v>
      </c>
      <c r="CB295" s="182">
        <v>45362</v>
      </c>
      <c r="CC295" s="182">
        <v>45455</v>
      </c>
      <c r="CD295" s="201">
        <v>87</v>
      </c>
      <c r="CE295" s="202">
        <v>45488</v>
      </c>
      <c r="CF295" s="116"/>
    </row>
    <row r="296" spans="2:84" ht="15.6" x14ac:dyDescent="0.3">
      <c r="B296" s="110" t="s">
        <v>1113</v>
      </c>
      <c r="C296" s="147" t="s">
        <v>1277</v>
      </c>
      <c r="D296" s="148" t="s">
        <v>1142</v>
      </c>
      <c r="E296" s="148" t="s">
        <v>226</v>
      </c>
      <c r="F296" s="149">
        <v>23520790000131</v>
      </c>
      <c r="G296" s="149" t="s">
        <v>1174</v>
      </c>
      <c r="H296" s="149" t="s">
        <v>388</v>
      </c>
      <c r="I296" s="150">
        <v>1</v>
      </c>
      <c r="J296" s="151" t="s">
        <v>107</v>
      </c>
      <c r="K296" s="151" t="s">
        <v>126</v>
      </c>
      <c r="L296" s="151" t="s">
        <v>121</v>
      </c>
      <c r="M296" s="151" t="s">
        <v>106</v>
      </c>
      <c r="N296" s="151" t="s">
        <v>109</v>
      </c>
      <c r="O296" s="152">
        <v>800000</v>
      </c>
      <c r="P296" s="153">
        <v>800000000</v>
      </c>
      <c r="Q296" s="153">
        <v>1000</v>
      </c>
      <c r="R296" s="154">
        <v>44270</v>
      </c>
      <c r="S296" s="154">
        <v>49749</v>
      </c>
      <c r="T296" s="155" t="s">
        <v>1227</v>
      </c>
      <c r="U296" s="155" t="s">
        <v>1215</v>
      </c>
      <c r="V296" s="154" t="s">
        <v>105</v>
      </c>
      <c r="W296" s="154" t="s">
        <v>102</v>
      </c>
      <c r="X296" s="154" t="s">
        <v>1347</v>
      </c>
      <c r="Y296" s="154">
        <v>47710</v>
      </c>
      <c r="Z296" s="156">
        <f>IFERROR(INDEX(Base!G:G,MATCH('Debêntures IPCA-Spread'!Y296,Base!F:F,0)),"")</f>
        <v>6.3273999999999999</v>
      </c>
      <c r="AA296" s="115"/>
      <c r="AB296" s="157">
        <v>45552</v>
      </c>
      <c r="AC296" s="158">
        <v>6.5317999999999996</v>
      </c>
      <c r="AD296" s="159">
        <f t="shared" si="13"/>
        <v>0.20439999999999969</v>
      </c>
      <c r="AE296" s="160">
        <v>0.1</v>
      </c>
      <c r="AF296" s="161">
        <v>6.7301000000000002</v>
      </c>
      <c r="AG296" s="161">
        <v>6.4093999999999998</v>
      </c>
      <c r="AH296" s="162">
        <v>1142.325922</v>
      </c>
      <c r="AI296" s="162">
        <v>1152.6867279999999</v>
      </c>
      <c r="AJ296" s="163">
        <f t="shared" si="14"/>
        <v>0.99101160293744628</v>
      </c>
      <c r="AK296" s="164">
        <v>45519</v>
      </c>
      <c r="AL296" s="165">
        <v>92.73</v>
      </c>
      <c r="AM296" s="166">
        <v>1224</v>
      </c>
      <c r="AN296" s="115"/>
      <c r="AO296" s="167">
        <v>-2.2432753367000002E-3</v>
      </c>
      <c r="AP296" s="168">
        <f>IF(AO296="","",AO296-AO$6)</f>
        <v>-2.7234202216300002E-3</v>
      </c>
      <c r="AQ296" s="168">
        <v>5.6456271814000003E-3</v>
      </c>
      <c r="AR296" s="168">
        <f>IF(AQ296="","",AQ296-AQ$6)</f>
        <v>5.8631339343600004E-3</v>
      </c>
      <c r="AS296" s="168">
        <v>6.4296234194999996E-2</v>
      </c>
      <c r="AT296" s="168">
        <f>IF(AS296="","",AS296-AS$6)</f>
        <v>4.9570399139999999E-2</v>
      </c>
      <c r="AU296" s="168">
        <v>-5.8737162834999997E-3</v>
      </c>
      <c r="AV296" s="168">
        <f>IF(AU296="","",AU296-AU$6)</f>
        <v>7.1948663125000001E-3</v>
      </c>
      <c r="AW296" s="168">
        <v>3.8751280213999997E-2</v>
      </c>
      <c r="AX296" s="168">
        <f>IF(AW296="","",AW296-AW$6)</f>
        <v>1.4756212425999997E-2</v>
      </c>
      <c r="AY296" s="168">
        <v>2.6218009899999999E-2</v>
      </c>
      <c r="AZ296" s="168">
        <f>IF(AY296="","",AY296-AY$6)</f>
        <v>1.1975755109999998E-2</v>
      </c>
      <c r="BA296" s="168">
        <v>8.8403864703999996E-2</v>
      </c>
      <c r="BB296" s="168">
        <f>IF(BA296="","",BA296-BA$6)</f>
        <v>3.4916900145999998E-2</v>
      </c>
      <c r="BC296" s="168">
        <v>0.23493826444999999</v>
      </c>
      <c r="BD296" s="168">
        <f>IF(BC296="","",BC296-BC$6)</f>
        <v>4.0629697959999989E-2</v>
      </c>
      <c r="BE296" s="168">
        <v>0.33657252269999999</v>
      </c>
      <c r="BF296" s="168">
        <f>IF(BE296="","",BE296-BE$6)</f>
        <v>7.4853183160000003E-2</v>
      </c>
      <c r="BG296" s="168"/>
      <c r="BH296" s="168" t="str">
        <f>IF(BG296="","",BG296-BG$6)</f>
        <v/>
      </c>
      <c r="BI296" s="168"/>
      <c r="BJ296" s="168" t="str">
        <f>IF(BI296="","",BI296-BI$6)</f>
        <v/>
      </c>
      <c r="BK296" s="169">
        <v>4.7184071667999996</v>
      </c>
      <c r="BL296" s="115"/>
      <c r="BM296" s="170">
        <v>1.1278200718E-2</v>
      </c>
      <c r="BN296" s="163">
        <v>-1.0808709354000001E-2</v>
      </c>
      <c r="BO296" s="163">
        <v>2.6728382407000002E-2</v>
      </c>
      <c r="BP296" s="163">
        <v>-1.8018530444000001E-2</v>
      </c>
      <c r="BQ296" s="171">
        <v>9</v>
      </c>
      <c r="BR296" s="171">
        <v>3</v>
      </c>
      <c r="BS296" s="171">
        <v>7</v>
      </c>
      <c r="BT296" s="171">
        <v>5</v>
      </c>
      <c r="BU296" s="172">
        <v>-0.42246145608000002</v>
      </c>
      <c r="BV296" s="172">
        <v>-0.21992314060000001</v>
      </c>
      <c r="BW296" s="163">
        <v>4.8746717242999999E-3</v>
      </c>
      <c r="BX296" s="163">
        <v>4.7284718603000002E-3</v>
      </c>
      <c r="BY296" s="161">
        <v>-2.8016397188000002</v>
      </c>
      <c r="BZ296" s="163">
        <v>-2.5491046521E-2</v>
      </c>
      <c r="CA296" s="163">
        <v>-2.5491046521E-2</v>
      </c>
      <c r="CB296" s="154">
        <v>45365</v>
      </c>
      <c r="CC296" s="154">
        <v>45412</v>
      </c>
      <c r="CD296" s="173">
        <v>85</v>
      </c>
      <c r="CE296" s="174">
        <v>45489</v>
      </c>
      <c r="CF296" s="116"/>
    </row>
    <row r="297" spans="2:84" ht="15.6" x14ac:dyDescent="0.3">
      <c r="B297" s="98" t="s">
        <v>555</v>
      </c>
      <c r="C297" s="175" t="s">
        <v>720</v>
      </c>
      <c r="D297" s="176" t="s">
        <v>638</v>
      </c>
      <c r="E297" s="176" t="s">
        <v>226</v>
      </c>
      <c r="F297" s="177">
        <v>26845650000121</v>
      </c>
      <c r="G297" s="177" t="s">
        <v>875</v>
      </c>
      <c r="H297" s="177" t="s">
        <v>388</v>
      </c>
      <c r="I297" s="178">
        <v>1</v>
      </c>
      <c r="J297" s="179" t="s">
        <v>107</v>
      </c>
      <c r="K297" s="179" t="s">
        <v>126</v>
      </c>
      <c r="L297" s="179" t="s">
        <v>125</v>
      </c>
      <c r="M297" s="179" t="s">
        <v>106</v>
      </c>
      <c r="N297" s="179" t="s">
        <v>109</v>
      </c>
      <c r="O297" s="180">
        <v>55000</v>
      </c>
      <c r="P297" s="181">
        <v>55000000</v>
      </c>
      <c r="Q297" s="181">
        <v>1000</v>
      </c>
      <c r="R297" s="182">
        <v>43480</v>
      </c>
      <c r="S297" s="182">
        <v>48594</v>
      </c>
      <c r="T297" s="183" t="s">
        <v>794</v>
      </c>
      <c r="U297" s="183" t="s">
        <v>918</v>
      </c>
      <c r="V297" s="182" t="s">
        <v>105</v>
      </c>
      <c r="W297" s="182" t="s">
        <v>102</v>
      </c>
      <c r="X297" s="182" t="s">
        <v>1348</v>
      </c>
      <c r="Y297" s="182">
        <v>47253</v>
      </c>
      <c r="Z297" s="184">
        <f>IFERROR(INDEX(Base!G:G,MATCH('Debêntures IPCA-Spread'!Y297,Base!F:F,0)),"")</f>
        <v>6.41</v>
      </c>
      <c r="AA297" s="115"/>
      <c r="AB297" s="185">
        <v>45552</v>
      </c>
      <c r="AC297" s="186">
        <v>6.6677999999999997</v>
      </c>
      <c r="AD297" s="187">
        <f t="shared" ref="AD297:AD360" si="15">IF(AND(Z297&lt;&gt;"",AC297&lt;&gt;""),AC297-Z297,"")</f>
        <v>0.25779999999999959</v>
      </c>
      <c r="AE297" s="188">
        <v>0.06</v>
      </c>
      <c r="AF297" s="189">
        <v>6.7731000000000003</v>
      </c>
      <c r="AG297" s="189">
        <v>6.5012999999999996</v>
      </c>
      <c r="AH297" s="190">
        <v>1130.1290180000001</v>
      </c>
      <c r="AI297" s="190">
        <v>1134.3279070000001</v>
      </c>
      <c r="AJ297" s="191">
        <f t="shared" si="14"/>
        <v>0.99629834638283299</v>
      </c>
      <c r="AK297" s="192">
        <v>45541</v>
      </c>
      <c r="AL297" s="193">
        <v>93.52</v>
      </c>
      <c r="AM297" s="194">
        <v>970</v>
      </c>
      <c r="AN297" s="115"/>
      <c r="AO297" s="195">
        <v>-3.1575800767000002E-4</v>
      </c>
      <c r="AP297" s="196">
        <f>IF(AO297="","",AO297-AO$6)</f>
        <v>-7.9590289260000001E-4</v>
      </c>
      <c r="AQ297" s="196">
        <v>3.7177003031999998E-3</v>
      </c>
      <c r="AR297" s="196">
        <f>IF(AQ297="","",AQ297-AQ$6)</f>
        <v>3.9352070561599999E-3</v>
      </c>
      <c r="AS297" s="196">
        <v>6.6378206378000001E-2</v>
      </c>
      <c r="AT297" s="196">
        <f>IF(AS297="","",AS297-AS$6)</f>
        <v>5.1652371323000004E-2</v>
      </c>
      <c r="AU297" s="196">
        <v>6.5584393760000003E-3</v>
      </c>
      <c r="AV297" s="196">
        <f>IF(AU297="","",AU297-AU$6)</f>
        <v>1.9627021971999999E-2</v>
      </c>
      <c r="AW297" s="196">
        <v>4.3591130428000002E-2</v>
      </c>
      <c r="AX297" s="196">
        <f>IF(AW297="","",AW297-AW$6)</f>
        <v>1.9596062640000002E-2</v>
      </c>
      <c r="AY297" s="196">
        <v>4.6412691648999999E-2</v>
      </c>
      <c r="AZ297" s="196">
        <f>IF(AY297="","",AY297-AY$6)</f>
        <v>3.2170436859E-2</v>
      </c>
      <c r="BA297" s="196">
        <v>0.10272623802</v>
      </c>
      <c r="BB297" s="196">
        <f>IF(BA297="","",BA297-BA$6)</f>
        <v>4.9239273462000001E-2</v>
      </c>
      <c r="BC297" s="196">
        <v>0.21773055895999999</v>
      </c>
      <c r="BD297" s="196">
        <f>IF(BC297="","",BC297-BC$6)</f>
        <v>2.3421992469999986E-2</v>
      </c>
      <c r="BE297" s="196">
        <v>0.33844318047999999</v>
      </c>
      <c r="BF297" s="196">
        <f>IF(BE297="","",BE297-BE$6)</f>
        <v>7.672384094000001E-2</v>
      </c>
      <c r="BG297" s="196">
        <v>0.44661622370999998</v>
      </c>
      <c r="BH297" s="196">
        <f>IF(BG297="","",BG297-BG$6)</f>
        <v>0.13769957489999995</v>
      </c>
      <c r="BI297" s="196"/>
      <c r="BJ297" s="196" t="str">
        <f>IF(BI297="","",BI297-BI$6)</f>
        <v/>
      </c>
      <c r="BK297" s="197">
        <v>5.1832197969999996</v>
      </c>
      <c r="BL297" s="115"/>
      <c r="BM297" s="198">
        <v>1.1053656717E-2</v>
      </c>
      <c r="BN297" s="191">
        <v>-9.4761065583999996E-3</v>
      </c>
      <c r="BO297" s="191">
        <v>2.5045603390000001E-2</v>
      </c>
      <c r="BP297" s="191">
        <v>-1.1569827866E-2</v>
      </c>
      <c r="BQ297" s="199">
        <v>9</v>
      </c>
      <c r="BR297" s="199">
        <v>3</v>
      </c>
      <c r="BS297" s="199">
        <v>7</v>
      </c>
      <c r="BT297" s="199">
        <v>5</v>
      </c>
      <c r="BU297" s="200">
        <v>-0.13134504959000001</v>
      </c>
      <c r="BV297" s="200">
        <v>-0.24796299292000001</v>
      </c>
      <c r="BW297" s="191">
        <v>5.3559632923000002E-3</v>
      </c>
      <c r="BX297" s="191">
        <v>3.1154689336999998E-3</v>
      </c>
      <c r="BY297" s="189">
        <v>-1.3777915605</v>
      </c>
      <c r="BZ297" s="191">
        <v>-1.7334815662E-2</v>
      </c>
      <c r="CA297" s="191">
        <v>-1.7334815662E-2</v>
      </c>
      <c r="CB297" s="182">
        <v>45343</v>
      </c>
      <c r="CC297" s="182">
        <v>45369</v>
      </c>
      <c r="CD297" s="201">
        <v>85</v>
      </c>
      <c r="CE297" s="202">
        <v>45467</v>
      </c>
      <c r="CF297" s="116"/>
    </row>
    <row r="298" spans="2:84" ht="15.6" x14ac:dyDescent="0.3">
      <c r="B298" s="110" t="s">
        <v>556</v>
      </c>
      <c r="C298" s="147" t="s">
        <v>721</v>
      </c>
      <c r="D298" s="148" t="s">
        <v>639</v>
      </c>
      <c r="E298" s="148" t="s">
        <v>226</v>
      </c>
      <c r="F298" s="149">
        <v>26845497000132</v>
      </c>
      <c r="G298" s="149" t="s">
        <v>876</v>
      </c>
      <c r="H298" s="149" t="s">
        <v>388</v>
      </c>
      <c r="I298" s="150">
        <v>1</v>
      </c>
      <c r="J298" s="151" t="s">
        <v>107</v>
      </c>
      <c r="K298" s="151" t="s">
        <v>126</v>
      </c>
      <c r="L298" s="151" t="s">
        <v>125</v>
      </c>
      <c r="M298" s="151" t="s">
        <v>106</v>
      </c>
      <c r="N298" s="151" t="s">
        <v>109</v>
      </c>
      <c r="O298" s="152">
        <v>45000</v>
      </c>
      <c r="P298" s="153">
        <v>45000000</v>
      </c>
      <c r="Q298" s="153">
        <v>1000</v>
      </c>
      <c r="R298" s="154">
        <v>43480</v>
      </c>
      <c r="S298" s="154">
        <v>48594</v>
      </c>
      <c r="T298" s="155" t="s">
        <v>795</v>
      </c>
      <c r="U298" s="155" t="s">
        <v>944</v>
      </c>
      <c r="V298" s="154" t="s">
        <v>105</v>
      </c>
      <c r="W298" s="154" t="s">
        <v>102</v>
      </c>
      <c r="X298" s="154" t="s">
        <v>1348</v>
      </c>
      <c r="Y298" s="154">
        <v>47253</v>
      </c>
      <c r="Z298" s="156">
        <f>IFERROR(INDEX(Base!G:G,MATCH('Debêntures IPCA-Spread'!Y298,Base!F:F,0)),"")</f>
        <v>6.41</v>
      </c>
      <c r="AA298" s="115"/>
      <c r="AB298" s="157">
        <v>45552</v>
      </c>
      <c r="AC298" s="158">
        <v>6.6870000000000003</v>
      </c>
      <c r="AD298" s="159">
        <f t="shared" si="15"/>
        <v>0.27700000000000014</v>
      </c>
      <c r="AE298" s="160">
        <v>0.19</v>
      </c>
      <c r="AF298" s="161"/>
      <c r="AG298" s="161"/>
      <c r="AH298" s="162">
        <v>1153.1302740000001</v>
      </c>
      <c r="AI298" s="162">
        <v>1157.7521099999999</v>
      </c>
      <c r="AJ298" s="163">
        <f t="shared" si="14"/>
        <v>0.99600792262861881</v>
      </c>
      <c r="AK298" s="164">
        <v>45544</v>
      </c>
      <c r="AL298" s="165">
        <v>93.6</v>
      </c>
      <c r="AM298" s="166">
        <v>947</v>
      </c>
      <c r="AN298" s="115"/>
      <c r="AO298" s="167">
        <v>-4.5438734741999999E-4</v>
      </c>
      <c r="AP298" s="168">
        <f>IF(AO298="","",AO298-AO$6)</f>
        <v>-9.3453223234999999E-4</v>
      </c>
      <c r="AQ298" s="168">
        <v>4.2454421782000002E-3</v>
      </c>
      <c r="AR298" s="168">
        <f>IF(AQ298="","",AQ298-AQ$6)</f>
        <v>4.4629489311600002E-3</v>
      </c>
      <c r="AS298" s="168">
        <v>6.4269305799999996E-2</v>
      </c>
      <c r="AT298" s="168">
        <f>IF(AS298="","",AS298-AS$6)</f>
        <v>4.9543470744999998E-2</v>
      </c>
      <c r="AU298" s="168">
        <v>3.6406297330999998E-3</v>
      </c>
      <c r="AV298" s="168">
        <f>IF(AU298="","",AU298-AU$6)</f>
        <v>1.6709212329099998E-2</v>
      </c>
      <c r="AW298" s="168">
        <v>4.0989594629000002E-2</v>
      </c>
      <c r="AX298" s="168">
        <f>IF(AW298="","",AW298-AW$6)</f>
        <v>1.6994526841000002E-2</v>
      </c>
      <c r="AY298" s="168">
        <v>3.2506290174000002E-2</v>
      </c>
      <c r="AZ298" s="168">
        <f>IF(AY298="","",AY298-AY$6)</f>
        <v>1.8264035384000003E-2</v>
      </c>
      <c r="BA298" s="168">
        <v>8.9806585196000002E-2</v>
      </c>
      <c r="BB298" s="168">
        <f>IF(BA298="","",BA298-BA$6)</f>
        <v>3.6319620638000004E-2</v>
      </c>
      <c r="BC298" s="168">
        <v>0.21242494255</v>
      </c>
      <c r="BD298" s="168">
        <f>IF(BC298="","",BC298-BC$6)</f>
        <v>1.8116376059999995E-2</v>
      </c>
      <c r="BE298" s="168">
        <v>0.33450418345999999</v>
      </c>
      <c r="BF298" s="168">
        <f>IF(BE298="","",BE298-BE$6)</f>
        <v>7.2784843920000009E-2</v>
      </c>
      <c r="BG298" s="168">
        <v>0.43994179712999998</v>
      </c>
      <c r="BH298" s="168">
        <f>IF(BG298="","",BG298-BG$6)</f>
        <v>0.13102514831999995</v>
      </c>
      <c r="BI298" s="168">
        <v>0.49810390267999999</v>
      </c>
      <c r="BJ298" s="168">
        <f>IF(BI298="","",BI298-BI$6)</f>
        <v>0.12516089259999996</v>
      </c>
      <c r="BK298" s="169">
        <v>4.2723735455999998</v>
      </c>
      <c r="BL298" s="115"/>
      <c r="BM298" s="170">
        <v>8.8327143112E-3</v>
      </c>
      <c r="BN298" s="163">
        <v>-9.7109693452000004E-3</v>
      </c>
      <c r="BO298" s="163">
        <v>2.3567895894000001E-2</v>
      </c>
      <c r="BP298" s="163">
        <v>-1.1067147960999999E-2</v>
      </c>
      <c r="BQ298" s="171">
        <v>10</v>
      </c>
      <c r="BR298" s="171">
        <v>2</v>
      </c>
      <c r="BS298" s="171">
        <v>6</v>
      </c>
      <c r="BT298" s="171">
        <v>6</v>
      </c>
      <c r="BU298" s="172">
        <v>-0.44164134058999999</v>
      </c>
      <c r="BV298" s="172">
        <v>-0.27813072380999998</v>
      </c>
      <c r="BW298" s="163">
        <v>4.4135655890000002E-3</v>
      </c>
      <c r="BX298" s="163">
        <v>2.9807234824999998E-3</v>
      </c>
      <c r="BY298" s="161">
        <v>-2.6459157576000001</v>
      </c>
      <c r="BZ298" s="163">
        <v>-1.9933591273000002E-2</v>
      </c>
      <c r="CA298" s="163">
        <v>-1.9933591273000002E-2</v>
      </c>
      <c r="CB298" s="154">
        <v>45189</v>
      </c>
      <c r="CC298" s="154">
        <v>45238</v>
      </c>
      <c r="CD298" s="173">
        <v>37</v>
      </c>
      <c r="CE298" s="174">
        <v>45244</v>
      </c>
      <c r="CF298" s="116"/>
    </row>
    <row r="299" spans="2:84" ht="15.6" x14ac:dyDescent="0.3">
      <c r="B299" s="98" t="s">
        <v>557</v>
      </c>
      <c r="C299" s="175" t="s">
        <v>722</v>
      </c>
      <c r="D299" s="176" t="s">
        <v>640</v>
      </c>
      <c r="E299" s="176" t="s">
        <v>226</v>
      </c>
      <c r="F299" s="177">
        <v>26845460000104</v>
      </c>
      <c r="G299" s="177" t="s">
        <v>877</v>
      </c>
      <c r="H299" s="177" t="s">
        <v>388</v>
      </c>
      <c r="I299" s="178">
        <v>1</v>
      </c>
      <c r="J299" s="179">
        <v>1</v>
      </c>
      <c r="K299" s="179" t="s">
        <v>126</v>
      </c>
      <c r="L299" s="179" t="s">
        <v>125</v>
      </c>
      <c r="M299" s="179" t="s">
        <v>106</v>
      </c>
      <c r="N299" s="179" t="s">
        <v>109</v>
      </c>
      <c r="O299" s="180">
        <v>45000</v>
      </c>
      <c r="P299" s="181">
        <v>45000000</v>
      </c>
      <c r="Q299" s="181">
        <v>1000</v>
      </c>
      <c r="R299" s="182">
        <v>43480</v>
      </c>
      <c r="S299" s="182">
        <v>48594</v>
      </c>
      <c r="T299" s="183" t="s">
        <v>794</v>
      </c>
      <c r="U299" s="183" t="s">
        <v>918</v>
      </c>
      <c r="V299" s="182" t="s">
        <v>105</v>
      </c>
      <c r="W299" s="182" t="s">
        <v>102</v>
      </c>
      <c r="X299" s="182" t="s">
        <v>1349</v>
      </c>
      <c r="Y299" s="182">
        <v>47253</v>
      </c>
      <c r="Z299" s="184">
        <f>IFERROR(INDEX(Base!G:G,MATCH('Debêntures IPCA-Spread'!Y299,Base!F:F,0)),"")</f>
        <v>6.41</v>
      </c>
      <c r="AA299" s="115"/>
      <c r="AB299" s="185">
        <v>45552</v>
      </c>
      <c r="AC299" s="186">
        <v>6.7085999999999997</v>
      </c>
      <c r="AD299" s="187">
        <f t="shared" si="15"/>
        <v>0.29859999999999953</v>
      </c>
      <c r="AE299" s="188">
        <v>0.04</v>
      </c>
      <c r="AF299" s="189">
        <v>7.0842999999999998</v>
      </c>
      <c r="AG299" s="189">
        <v>6.5891000000000002</v>
      </c>
      <c r="AH299" s="190">
        <v>1093.32528</v>
      </c>
      <c r="AI299" s="190">
        <v>1102.10178</v>
      </c>
      <c r="AJ299" s="191">
        <f t="shared" si="14"/>
        <v>0.99203657941646739</v>
      </c>
      <c r="AK299" s="192">
        <v>45518</v>
      </c>
      <c r="AL299" s="193">
        <v>92.97</v>
      </c>
      <c r="AM299" s="194">
        <v>1005</v>
      </c>
      <c r="AN299" s="115"/>
      <c r="AO299" s="195">
        <v>-1.3050876832E-3</v>
      </c>
      <c r="AP299" s="196">
        <f>IF(AO299="","",AO299-AO$6)</f>
        <v>-1.78523256813E-3</v>
      </c>
      <c r="AQ299" s="196">
        <v>2.0706629075000001E-3</v>
      </c>
      <c r="AR299" s="196">
        <f>IF(AQ299="","",AQ299-AQ$6)</f>
        <v>2.2881696604600001E-3</v>
      </c>
      <c r="AS299" s="196">
        <v>7.8965222503000004E-2</v>
      </c>
      <c r="AT299" s="196">
        <f>IF(AS299="","",AS299-AS$6)</f>
        <v>6.4239387448000007E-2</v>
      </c>
      <c r="AU299" s="196">
        <v>-4.8191961122999996E-3</v>
      </c>
      <c r="AV299" s="196">
        <f>IF(AU299="","",AU299-AU$6)</f>
        <v>8.2493864837000011E-3</v>
      </c>
      <c r="AW299" s="196">
        <v>5.5978665958000003E-2</v>
      </c>
      <c r="AX299" s="196">
        <f>IF(AW299="","",AW299-AW$6)</f>
        <v>3.1983598170000002E-2</v>
      </c>
      <c r="AY299" s="196">
        <v>4.2849571248999997E-2</v>
      </c>
      <c r="AZ299" s="196">
        <f>IF(AY299="","",AY299-AY$6)</f>
        <v>2.8607316458999998E-2</v>
      </c>
      <c r="BA299" s="196">
        <v>0.10775352145</v>
      </c>
      <c r="BB299" s="196">
        <f>IF(BA299="","",BA299-BA$6)</f>
        <v>5.4266556892000002E-2</v>
      </c>
      <c r="BC299" s="196">
        <v>0.23852791476999999</v>
      </c>
      <c r="BD299" s="196">
        <f>IF(BC299="","",BC299-BC$6)</f>
        <v>4.4219348279999987E-2</v>
      </c>
      <c r="BE299" s="196">
        <v>0.34250501035999997</v>
      </c>
      <c r="BF299" s="196">
        <f>IF(BE299="","",BE299-BE$6)</f>
        <v>8.0785670819999988E-2</v>
      </c>
      <c r="BG299" s="196">
        <v>0.46773721365999998</v>
      </c>
      <c r="BH299" s="196">
        <f>IF(BG299="","",BG299-BG$6)</f>
        <v>0.15882056484999996</v>
      </c>
      <c r="BI299" s="196"/>
      <c r="BJ299" s="196" t="str">
        <f>IF(BI299="","",BI299-BI$6)</f>
        <v/>
      </c>
      <c r="BK299" s="197">
        <v>5.0216358984999996</v>
      </c>
      <c r="BL299" s="115"/>
      <c r="BM299" s="198">
        <v>2.1957685054E-2</v>
      </c>
      <c r="BN299" s="191">
        <v>-1.0743562577E-2</v>
      </c>
      <c r="BO299" s="191">
        <v>3.9074423545999999E-2</v>
      </c>
      <c r="BP299" s="191">
        <v>-1.1315005245000001E-2</v>
      </c>
      <c r="BQ299" s="199">
        <v>9</v>
      </c>
      <c r="BR299" s="199">
        <v>3</v>
      </c>
      <c r="BS299" s="199">
        <v>6</v>
      </c>
      <c r="BT299" s="199">
        <v>6</v>
      </c>
      <c r="BU299" s="200">
        <v>-4.6934197889000003E-2</v>
      </c>
      <c r="BV299" s="200">
        <v>-0.23505930242</v>
      </c>
      <c r="BW299" s="191">
        <v>5.1966372544999997E-3</v>
      </c>
      <c r="BX299" s="191">
        <v>3.9679618107999999E-3</v>
      </c>
      <c r="BY299" s="189">
        <v>-0.92311254428</v>
      </c>
      <c r="BZ299" s="191">
        <v>-2.1570734110999999E-2</v>
      </c>
      <c r="CA299" s="191">
        <v>-2.1570734110999999E-2</v>
      </c>
      <c r="CB299" s="182">
        <v>45189</v>
      </c>
      <c r="CC299" s="182">
        <v>45229</v>
      </c>
      <c r="CD299" s="201">
        <v>44</v>
      </c>
      <c r="CE299" s="202">
        <v>45254</v>
      </c>
      <c r="CF299" s="116"/>
    </row>
    <row r="300" spans="2:84" ht="15.6" x14ac:dyDescent="0.3">
      <c r="B300" s="110" t="s">
        <v>558</v>
      </c>
      <c r="C300" s="147" t="s">
        <v>723</v>
      </c>
      <c r="D300" s="148" t="s">
        <v>640</v>
      </c>
      <c r="E300" s="148" t="s">
        <v>226</v>
      </c>
      <c r="F300" s="149">
        <v>26845460000104</v>
      </c>
      <c r="G300" s="149" t="s">
        <v>878</v>
      </c>
      <c r="H300" s="149" t="s">
        <v>388</v>
      </c>
      <c r="I300" s="150">
        <v>1</v>
      </c>
      <c r="J300" s="151">
        <v>2</v>
      </c>
      <c r="K300" s="151" t="s">
        <v>126</v>
      </c>
      <c r="L300" s="151" t="s">
        <v>125</v>
      </c>
      <c r="M300" s="151" t="s">
        <v>106</v>
      </c>
      <c r="N300" s="151" t="s">
        <v>109</v>
      </c>
      <c r="O300" s="152">
        <v>45000</v>
      </c>
      <c r="P300" s="153">
        <v>45000000</v>
      </c>
      <c r="Q300" s="153">
        <v>1000</v>
      </c>
      <c r="R300" s="154">
        <v>43480</v>
      </c>
      <c r="S300" s="154">
        <v>48959</v>
      </c>
      <c r="T300" s="155" t="s">
        <v>795</v>
      </c>
      <c r="U300" s="155" t="s">
        <v>944</v>
      </c>
      <c r="V300" s="154" t="s">
        <v>105</v>
      </c>
      <c r="W300" s="154" t="s">
        <v>102</v>
      </c>
      <c r="X300" s="154" t="s">
        <v>1350</v>
      </c>
      <c r="Y300" s="154">
        <v>47253</v>
      </c>
      <c r="Z300" s="156">
        <f>IFERROR(INDEX(Base!G:G,MATCH('Debêntures IPCA-Spread'!Y300,Base!F:F,0)),"")</f>
        <v>6.41</v>
      </c>
      <c r="AA300" s="115"/>
      <c r="AB300" s="157">
        <v>45552</v>
      </c>
      <c r="AC300" s="158">
        <v>6.5490000000000004</v>
      </c>
      <c r="AD300" s="159">
        <f t="shared" si="15"/>
        <v>0.13900000000000023</v>
      </c>
      <c r="AE300" s="160">
        <v>0.06</v>
      </c>
      <c r="AF300" s="161">
        <v>6.7362000000000002</v>
      </c>
      <c r="AG300" s="161">
        <v>6.4244000000000003</v>
      </c>
      <c r="AH300" s="162">
        <v>1069.5379359999999</v>
      </c>
      <c r="AI300" s="162">
        <v>1075.0125829999999</v>
      </c>
      <c r="AJ300" s="163">
        <f t="shared" si="14"/>
        <v>0.99490736472616714</v>
      </c>
      <c r="AK300" s="164">
        <v>45517</v>
      </c>
      <c r="AL300" s="165">
        <v>92.95</v>
      </c>
      <c r="AM300" s="166">
        <v>1007</v>
      </c>
      <c r="AN300" s="115"/>
      <c r="AO300" s="167">
        <v>9.7231810287000004E-5</v>
      </c>
      <c r="AP300" s="168">
        <f>IF(AO300="","",AO300-AO$6)</f>
        <v>-3.8291307464299998E-4</v>
      </c>
      <c r="AQ300" s="168">
        <v>8.6403756321999994E-3</v>
      </c>
      <c r="AR300" s="168">
        <f>IF(AQ300="","",AQ300-AQ$6)</f>
        <v>8.8578823851599986E-3</v>
      </c>
      <c r="AS300" s="168">
        <v>6.6564486495000005E-2</v>
      </c>
      <c r="AT300" s="168">
        <f>IF(AS300="","",AS300-AS$6)</f>
        <v>5.1838651440000008E-2</v>
      </c>
      <c r="AU300" s="168">
        <v>-3.3388251058999998E-3</v>
      </c>
      <c r="AV300" s="168">
        <f>IF(AU300="","",AU300-AU$6)</f>
        <v>9.7297574901000008E-3</v>
      </c>
      <c r="AW300" s="168">
        <v>3.6887256147000003E-2</v>
      </c>
      <c r="AX300" s="168">
        <f>IF(AW300="","",AW300-AW$6)</f>
        <v>1.2892188359000002E-2</v>
      </c>
      <c r="AY300" s="168">
        <v>2.3769233136E-2</v>
      </c>
      <c r="AZ300" s="168">
        <f>IF(AY300="","",AY300-AY$6)</f>
        <v>9.5269783459999997E-3</v>
      </c>
      <c r="BA300" s="168">
        <v>8.9585541369000002E-2</v>
      </c>
      <c r="BB300" s="168">
        <f>IF(BA300="","",BA300-BA$6)</f>
        <v>3.6098576811000004E-2</v>
      </c>
      <c r="BC300" s="168">
        <v>0.22640342330999999</v>
      </c>
      <c r="BD300" s="168">
        <f>IF(BC300="","",BC300-BC$6)</f>
        <v>3.209485681999999E-2</v>
      </c>
      <c r="BE300" s="168">
        <v>0.3344289063</v>
      </c>
      <c r="BF300" s="168">
        <f>IF(BE300="","",BE300-BE$6)</f>
        <v>7.2709566760000011E-2</v>
      </c>
      <c r="BG300" s="168">
        <v>0.45139948010999997</v>
      </c>
      <c r="BH300" s="168">
        <f>IF(BG300="","",BG300-BG$6)</f>
        <v>0.14248283129999995</v>
      </c>
      <c r="BI300" s="168">
        <v>0.50241527913999995</v>
      </c>
      <c r="BJ300" s="168">
        <f>IF(BI300="","",BI300-BI$6)</f>
        <v>0.12947226905999992</v>
      </c>
      <c r="BK300" s="169">
        <v>4.3622791591999999</v>
      </c>
      <c r="BL300" s="115"/>
      <c r="BM300" s="170">
        <v>9.8524979712000006E-3</v>
      </c>
      <c r="BN300" s="163">
        <v>-7.5324009449000001E-3</v>
      </c>
      <c r="BO300" s="163">
        <v>2.6162320752E-2</v>
      </c>
      <c r="BP300" s="163">
        <v>-1.3409602183E-2</v>
      </c>
      <c r="BQ300" s="171">
        <v>8</v>
      </c>
      <c r="BR300" s="171">
        <v>4</v>
      </c>
      <c r="BS300" s="171">
        <v>7</v>
      </c>
      <c r="BT300" s="171">
        <v>5</v>
      </c>
      <c r="BU300" s="172">
        <v>-0.43608636144000001</v>
      </c>
      <c r="BV300" s="172">
        <v>-0.29010010388000002</v>
      </c>
      <c r="BW300" s="163">
        <v>4.5088411722000003E-3</v>
      </c>
      <c r="BX300" s="163">
        <v>4.4177964746999997E-3</v>
      </c>
      <c r="BY300" s="161">
        <v>-2.6381000461999999</v>
      </c>
      <c r="BZ300" s="163">
        <v>-1.8419293153000001E-2</v>
      </c>
      <c r="CA300" s="163">
        <v>-1.8419293153000001E-2</v>
      </c>
      <c r="CB300" s="154">
        <v>45189</v>
      </c>
      <c r="CC300" s="154">
        <v>45229</v>
      </c>
      <c r="CD300" s="173">
        <v>45</v>
      </c>
      <c r="CE300" s="174">
        <v>45257</v>
      </c>
      <c r="CF300" s="116"/>
    </row>
    <row r="301" spans="2:84" ht="15.6" x14ac:dyDescent="0.3">
      <c r="B301" s="98" t="s">
        <v>559</v>
      </c>
      <c r="C301" s="175" t="s">
        <v>724</v>
      </c>
      <c r="D301" s="176" t="s">
        <v>641</v>
      </c>
      <c r="E301" s="176" t="s">
        <v>226</v>
      </c>
      <c r="F301" s="177">
        <v>26845283000166</v>
      </c>
      <c r="G301" s="177" t="s">
        <v>879</v>
      </c>
      <c r="H301" s="177" t="s">
        <v>388</v>
      </c>
      <c r="I301" s="178">
        <v>1</v>
      </c>
      <c r="J301" s="179" t="s">
        <v>107</v>
      </c>
      <c r="K301" s="179" t="s">
        <v>126</v>
      </c>
      <c r="L301" s="179" t="s">
        <v>118</v>
      </c>
      <c r="M301" s="179" t="s">
        <v>106</v>
      </c>
      <c r="N301" s="179" t="s">
        <v>109</v>
      </c>
      <c r="O301" s="180">
        <v>66000</v>
      </c>
      <c r="P301" s="181">
        <v>66000000</v>
      </c>
      <c r="Q301" s="181">
        <v>1000</v>
      </c>
      <c r="R301" s="182">
        <v>43570</v>
      </c>
      <c r="S301" s="182">
        <v>50875</v>
      </c>
      <c r="T301" s="183" t="s">
        <v>787</v>
      </c>
      <c r="U301" s="183" t="s">
        <v>927</v>
      </c>
      <c r="V301" s="182" t="s">
        <v>105</v>
      </c>
      <c r="W301" s="182" t="s">
        <v>102</v>
      </c>
      <c r="X301" s="182" t="s">
        <v>1348</v>
      </c>
      <c r="Y301" s="182">
        <v>48714</v>
      </c>
      <c r="Z301" s="184">
        <f>IFERROR(INDEX(Base!G:G,MATCH('Debêntures IPCA-Spread'!Y301,Base!F:F,0)),"")</f>
        <v>6.3373999999999997</v>
      </c>
      <c r="AA301" s="115"/>
      <c r="AB301" s="185">
        <v>45552</v>
      </c>
      <c r="AC301" s="186">
        <v>6.7725</v>
      </c>
      <c r="AD301" s="187">
        <f t="shared" si="15"/>
        <v>0.43510000000000026</v>
      </c>
      <c r="AE301" s="188">
        <v>0.12</v>
      </c>
      <c r="AF301" s="189"/>
      <c r="AG301" s="189"/>
      <c r="AH301" s="190">
        <v>1185.4661490000001</v>
      </c>
      <c r="AI301" s="190">
        <v>1209.6446960000001</v>
      </c>
      <c r="AJ301" s="191">
        <f t="shared" si="14"/>
        <v>0.98001186044137378</v>
      </c>
      <c r="AK301" s="192">
        <v>45520</v>
      </c>
      <c r="AL301" s="193">
        <v>87.69</v>
      </c>
      <c r="AM301" s="194">
        <v>1777</v>
      </c>
      <c r="AN301" s="115"/>
      <c r="AO301" s="195">
        <v>-5.0504476257999997E-4</v>
      </c>
      <c r="AP301" s="196">
        <f>IF(AO301="","",AO301-AO$6)</f>
        <v>-9.8518964751000008E-4</v>
      </c>
      <c r="AQ301" s="196">
        <v>7.6205964796999997E-4</v>
      </c>
      <c r="AR301" s="196">
        <f>IF(AQ301="","",AQ301-AQ$6)</f>
        <v>9.7956640092999999E-4</v>
      </c>
      <c r="AS301" s="196">
        <v>5.9432115302000002E-2</v>
      </c>
      <c r="AT301" s="196">
        <f>IF(AS301="","",AS301-AS$6)</f>
        <v>4.4706280247000005E-2</v>
      </c>
      <c r="AU301" s="196">
        <v>-1.9988139557E-2</v>
      </c>
      <c r="AV301" s="196">
        <f>IF(AU301="","",AU301-AU$6)</f>
        <v>-6.9195569610000004E-3</v>
      </c>
      <c r="AW301" s="196">
        <v>5.0426704683999998E-2</v>
      </c>
      <c r="AX301" s="196">
        <f>IF(AW301="","",AW301-AW$6)</f>
        <v>2.6431636895999998E-2</v>
      </c>
      <c r="AY301" s="196">
        <v>2.2605173490000002E-2</v>
      </c>
      <c r="AZ301" s="196">
        <f>IF(AY301="","",AY301-AY$6)</f>
        <v>8.3629187000000011E-3</v>
      </c>
      <c r="BA301" s="196">
        <v>0.11354456723</v>
      </c>
      <c r="BB301" s="196">
        <f>IF(BA301="","",BA301-BA$6)</f>
        <v>6.0057602672000006E-2</v>
      </c>
      <c r="BC301" s="196">
        <v>0.26305839644000001</v>
      </c>
      <c r="BD301" s="196">
        <f>IF(BC301="","",BC301-BC$6)</f>
        <v>6.8749829950000008E-2</v>
      </c>
      <c r="BE301" s="196">
        <v>0.32367299799999999</v>
      </c>
      <c r="BF301" s="196">
        <f>IF(BE301="","",BE301-BE$6)</f>
        <v>6.1953658460000005E-2</v>
      </c>
      <c r="BG301" s="196">
        <v>0.55262888103999996</v>
      </c>
      <c r="BH301" s="196">
        <f>IF(BG301="","",BG301-BG$6)</f>
        <v>0.24371223222999994</v>
      </c>
      <c r="BI301" s="196"/>
      <c r="BJ301" s="196" t="str">
        <f>IF(BI301="","",BI301-BI$6)</f>
        <v/>
      </c>
      <c r="BK301" s="197">
        <v>7.9356578235999997</v>
      </c>
      <c r="BL301" s="115"/>
      <c r="BM301" s="198">
        <v>1.6421464949E-2</v>
      </c>
      <c r="BN301" s="191">
        <v>-1.6287190661000001E-2</v>
      </c>
      <c r="BO301" s="191">
        <v>3.3674363914999998E-2</v>
      </c>
      <c r="BP301" s="191">
        <v>-2.7638824124000001E-2</v>
      </c>
      <c r="BQ301" s="199">
        <v>10</v>
      </c>
      <c r="BR301" s="199">
        <v>2</v>
      </c>
      <c r="BS301" s="199">
        <v>6</v>
      </c>
      <c r="BT301" s="199">
        <v>6</v>
      </c>
      <c r="BU301" s="200">
        <v>5.9823372941999998E-2</v>
      </c>
      <c r="BV301" s="200">
        <v>-0.17427607735</v>
      </c>
      <c r="BW301" s="191">
        <v>8.2070766362999995E-3</v>
      </c>
      <c r="BX301" s="191">
        <v>5.0631729600999998E-3</v>
      </c>
      <c r="BY301" s="189">
        <v>-0.32683488741</v>
      </c>
      <c r="BZ301" s="191">
        <v>-4.3946382625000002E-2</v>
      </c>
      <c r="CA301" s="191">
        <v>-4.3946382625000002E-2</v>
      </c>
      <c r="CB301" s="182">
        <v>45362</v>
      </c>
      <c r="CC301" s="182">
        <v>45474</v>
      </c>
      <c r="CD301" s="201">
        <v>101</v>
      </c>
      <c r="CE301" s="202">
        <v>45506</v>
      </c>
      <c r="CF301" s="116"/>
    </row>
    <row r="302" spans="2:84" ht="15.6" x14ac:dyDescent="0.3">
      <c r="B302" s="110" t="s">
        <v>560</v>
      </c>
      <c r="C302" s="147" t="s">
        <v>725</v>
      </c>
      <c r="D302" s="148" t="s">
        <v>642</v>
      </c>
      <c r="E302" s="148" t="s">
        <v>226</v>
      </c>
      <c r="F302" s="149">
        <v>26845702000160</v>
      </c>
      <c r="G302" s="149" t="s">
        <v>880</v>
      </c>
      <c r="H302" s="149" t="s">
        <v>388</v>
      </c>
      <c r="I302" s="150">
        <v>2</v>
      </c>
      <c r="J302" s="151" t="s">
        <v>107</v>
      </c>
      <c r="K302" s="151" t="s">
        <v>126</v>
      </c>
      <c r="L302" s="151" t="s">
        <v>118</v>
      </c>
      <c r="M302" s="151" t="s">
        <v>106</v>
      </c>
      <c r="N302" s="151" t="s">
        <v>109</v>
      </c>
      <c r="O302" s="152">
        <v>130000</v>
      </c>
      <c r="P302" s="153">
        <v>130000000</v>
      </c>
      <c r="Q302" s="153">
        <v>1000</v>
      </c>
      <c r="R302" s="154">
        <v>43570</v>
      </c>
      <c r="S302" s="154">
        <v>50875</v>
      </c>
      <c r="T302" s="155" t="s">
        <v>796</v>
      </c>
      <c r="U302" s="155" t="s">
        <v>945</v>
      </c>
      <c r="V302" s="154" t="s">
        <v>105</v>
      </c>
      <c r="W302" s="154" t="s">
        <v>102</v>
      </c>
      <c r="X302" s="154" t="s">
        <v>1348</v>
      </c>
      <c r="Y302" s="154">
        <v>48714</v>
      </c>
      <c r="Z302" s="156">
        <f>IFERROR(INDEX(Base!G:G,MATCH('Debêntures IPCA-Spread'!Y302,Base!F:F,0)),"")</f>
        <v>6.3373999999999997</v>
      </c>
      <c r="AA302" s="115"/>
      <c r="AB302" s="157">
        <v>45552</v>
      </c>
      <c r="AC302" s="158">
        <v>7.0132000000000003</v>
      </c>
      <c r="AD302" s="159">
        <f t="shared" si="15"/>
        <v>0.67580000000000062</v>
      </c>
      <c r="AE302" s="160">
        <v>0.03</v>
      </c>
      <c r="AF302" s="161">
        <v>7.2842000000000002</v>
      </c>
      <c r="AG302" s="161">
        <v>6.7419000000000002</v>
      </c>
      <c r="AH302" s="162">
        <v>1166.8486949999999</v>
      </c>
      <c r="AI302" s="162">
        <v>1206.492426</v>
      </c>
      <c r="AJ302" s="163">
        <f t="shared" si="14"/>
        <v>0.967141334544938</v>
      </c>
      <c r="AK302" s="164">
        <v>45517</v>
      </c>
      <c r="AL302" s="165">
        <v>86.31</v>
      </c>
      <c r="AM302" s="166">
        <v>1766</v>
      </c>
      <c r="AN302" s="115"/>
      <c r="AO302" s="167">
        <v>-2.3803205668000002E-3</v>
      </c>
      <c r="AP302" s="168">
        <f>IF(AO302="","",AO302-AO$6)</f>
        <v>-2.8604654517300002E-3</v>
      </c>
      <c r="AQ302" s="168">
        <v>-1.0549833301000001E-2</v>
      </c>
      <c r="AR302" s="168">
        <f>IF(AQ302="","",AQ302-AQ$6)</f>
        <v>-1.0332326548040002E-2</v>
      </c>
      <c r="AS302" s="168">
        <v>3.9545912261000002E-2</v>
      </c>
      <c r="AT302" s="168">
        <f>IF(AS302="","",AS302-AS$6)</f>
        <v>2.4820077206000001E-2</v>
      </c>
      <c r="AU302" s="168">
        <v>-2.7709751455000001E-2</v>
      </c>
      <c r="AV302" s="168">
        <f>IF(AU302="","",AU302-AU$6)</f>
        <v>-1.4641168859000001E-2</v>
      </c>
      <c r="AW302" s="168">
        <v>3.1163969824999999E-2</v>
      </c>
      <c r="AX302" s="168">
        <f>IF(AW302="","",AW302-AW$6)</f>
        <v>7.1689020369999981E-3</v>
      </c>
      <c r="AY302" s="168">
        <v>7.9900013115999993E-3</v>
      </c>
      <c r="AZ302" s="168">
        <f>IF(AY302="","",AY302-AY$6)</f>
        <v>-6.2522534784000012E-3</v>
      </c>
      <c r="BA302" s="168">
        <v>6.9808154987000007E-2</v>
      </c>
      <c r="BB302" s="168">
        <f>IF(BA302="","",BA302-BA$6)</f>
        <v>1.6321190429000008E-2</v>
      </c>
      <c r="BC302" s="168">
        <v>0.20664511496999999</v>
      </c>
      <c r="BD302" s="168">
        <f>IF(BC302="","",BC302-BC$6)</f>
        <v>1.2336548479999987E-2</v>
      </c>
      <c r="BE302" s="168">
        <v>0.28745428294999997</v>
      </c>
      <c r="BF302" s="168">
        <f>IF(BE302="","",BE302-BE$6)</f>
        <v>2.5734943409999989E-2</v>
      </c>
      <c r="BG302" s="168">
        <v>0.40621145771</v>
      </c>
      <c r="BH302" s="168">
        <f>IF(BG302="","",BG302-BG$6)</f>
        <v>9.7294808899999974E-2</v>
      </c>
      <c r="BI302" s="168"/>
      <c r="BJ302" s="168" t="str">
        <f>IF(BI302="","",BI302-BI$6)</f>
        <v/>
      </c>
      <c r="BK302" s="169">
        <v>6.5890171774999997</v>
      </c>
      <c r="BL302" s="115"/>
      <c r="BM302" s="170">
        <v>1.6432402847999999E-2</v>
      </c>
      <c r="BN302" s="163">
        <v>-1.4655343289000001E-2</v>
      </c>
      <c r="BO302" s="163">
        <v>3.1325343843000002E-2</v>
      </c>
      <c r="BP302" s="163">
        <v>-2.6460421998999999E-2</v>
      </c>
      <c r="BQ302" s="171">
        <v>7</v>
      </c>
      <c r="BR302" s="171">
        <v>5</v>
      </c>
      <c r="BS302" s="171">
        <v>6</v>
      </c>
      <c r="BT302" s="171">
        <v>6</v>
      </c>
      <c r="BU302" s="172">
        <v>-0.54113282411999997</v>
      </c>
      <c r="BV302" s="172">
        <v>-0.34575046794999997</v>
      </c>
      <c r="BW302" s="163">
        <v>6.8102452157999998E-3</v>
      </c>
      <c r="BX302" s="163">
        <v>6.5421612189999999E-3</v>
      </c>
      <c r="BY302" s="161">
        <v>-4.7685844697000004</v>
      </c>
      <c r="BZ302" s="163">
        <v>-3.6370270906E-2</v>
      </c>
      <c r="CA302" s="163">
        <v>-3.6370270906E-2</v>
      </c>
      <c r="CB302" s="154">
        <v>45364</v>
      </c>
      <c r="CC302" s="154">
        <v>45474</v>
      </c>
      <c r="CD302" s="173">
        <v>98</v>
      </c>
      <c r="CE302" s="174">
        <v>45505</v>
      </c>
      <c r="CF302" s="116"/>
    </row>
    <row r="303" spans="2:84" ht="15.6" x14ac:dyDescent="0.3">
      <c r="B303" s="98" t="s">
        <v>561</v>
      </c>
      <c r="C303" s="175" t="s">
        <v>726</v>
      </c>
      <c r="D303" s="176" t="s">
        <v>643</v>
      </c>
      <c r="E303" s="176" t="s">
        <v>226</v>
      </c>
      <c r="F303" s="177">
        <v>27967244000102</v>
      </c>
      <c r="G303" s="177" t="s">
        <v>881</v>
      </c>
      <c r="H303" s="177" t="s">
        <v>388</v>
      </c>
      <c r="I303" s="178">
        <v>1</v>
      </c>
      <c r="J303" s="179">
        <v>1</v>
      </c>
      <c r="K303" s="179" t="s">
        <v>126</v>
      </c>
      <c r="L303" s="179" t="s">
        <v>118</v>
      </c>
      <c r="M303" s="179" t="s">
        <v>106</v>
      </c>
      <c r="N303" s="179" t="s">
        <v>109</v>
      </c>
      <c r="O303" s="180">
        <v>102000</v>
      </c>
      <c r="P303" s="181">
        <v>102000000</v>
      </c>
      <c r="Q303" s="181">
        <v>1000</v>
      </c>
      <c r="R303" s="182">
        <v>43570</v>
      </c>
      <c r="S303" s="182">
        <v>50875</v>
      </c>
      <c r="T303" s="183" t="s">
        <v>797</v>
      </c>
      <c r="U303" s="183" t="s">
        <v>946</v>
      </c>
      <c r="V303" s="182" t="s">
        <v>105</v>
      </c>
      <c r="W303" s="182" t="s">
        <v>102</v>
      </c>
      <c r="X303" s="182" t="s">
        <v>1348</v>
      </c>
      <c r="Y303" s="182">
        <v>48714</v>
      </c>
      <c r="Z303" s="184">
        <f>IFERROR(INDEX(Base!G:G,MATCH('Debêntures IPCA-Spread'!Y303,Base!F:F,0)),"")</f>
        <v>6.3373999999999997</v>
      </c>
      <c r="AA303" s="115"/>
      <c r="AB303" s="185">
        <v>45552</v>
      </c>
      <c r="AC303" s="186">
        <v>6.9031000000000002</v>
      </c>
      <c r="AD303" s="187">
        <f t="shared" si="15"/>
        <v>0.56570000000000054</v>
      </c>
      <c r="AE303" s="188">
        <v>0.03</v>
      </c>
      <c r="AF303" s="189">
        <v>7.0620000000000003</v>
      </c>
      <c r="AG303" s="189">
        <v>6.7088999999999999</v>
      </c>
      <c r="AH303" s="190">
        <v>1175.308495</v>
      </c>
      <c r="AI303" s="190">
        <v>1210.4709740000001</v>
      </c>
      <c r="AJ303" s="191">
        <f t="shared" si="14"/>
        <v>0.97095140672080249</v>
      </c>
      <c r="AK303" s="192">
        <v>45517</v>
      </c>
      <c r="AL303" s="193">
        <v>86.94</v>
      </c>
      <c r="AM303" s="194">
        <v>1771</v>
      </c>
      <c r="AN303" s="115"/>
      <c r="AO303" s="195">
        <v>-2.6454288745000002E-3</v>
      </c>
      <c r="AP303" s="196">
        <f>IF(AO303="","",AO303-AO$6)</f>
        <v>-3.1255737594300002E-3</v>
      </c>
      <c r="AQ303" s="196">
        <v>-1.1774921504E-3</v>
      </c>
      <c r="AR303" s="196">
        <f>IF(AQ303="","",AQ303-AQ$6)</f>
        <v>-9.5998539743999997E-4</v>
      </c>
      <c r="AS303" s="196">
        <v>4.7222047469000002E-2</v>
      </c>
      <c r="AT303" s="196">
        <f>IF(AS303="","",AS303-AS$6)</f>
        <v>3.2496212413999997E-2</v>
      </c>
      <c r="AU303" s="196">
        <v>-2.5862058954999999E-2</v>
      </c>
      <c r="AV303" s="196">
        <f>IF(AU303="","",AU303-AU$6)</f>
        <v>-1.2793476359E-2</v>
      </c>
      <c r="AW303" s="196">
        <v>3.6229800457E-2</v>
      </c>
      <c r="AX303" s="196">
        <f>IF(AW303="","",AW303-AW$6)</f>
        <v>1.2234732668999999E-2</v>
      </c>
      <c r="AY303" s="196">
        <v>9.2746833670000004E-3</v>
      </c>
      <c r="AZ303" s="196">
        <f>IF(AY303="","",AY303-AY$6)</f>
        <v>-4.9675714230000001E-3</v>
      </c>
      <c r="BA303" s="196">
        <v>8.8217457094000001E-2</v>
      </c>
      <c r="BB303" s="196">
        <f>IF(BA303="","",BA303-BA$6)</f>
        <v>3.4730492536000003E-2</v>
      </c>
      <c r="BC303" s="196">
        <v>0.20559898292000001</v>
      </c>
      <c r="BD303" s="196">
        <f>IF(BC303="","",BC303-BC$6)</f>
        <v>1.1290416430000005E-2</v>
      </c>
      <c r="BE303" s="196">
        <v>0.28759738948000002</v>
      </c>
      <c r="BF303" s="196">
        <f>IF(BE303="","",BE303-BE$6)</f>
        <v>2.5878049940000036E-2</v>
      </c>
      <c r="BG303" s="196">
        <v>0.38909694851999999</v>
      </c>
      <c r="BH303" s="196">
        <f>IF(BG303="","",BG303-BG$6)</f>
        <v>8.0180299709999958E-2</v>
      </c>
      <c r="BI303" s="196"/>
      <c r="BJ303" s="196" t="str">
        <f>IF(BI303="","",BI303-BI$6)</f>
        <v/>
      </c>
      <c r="BK303" s="197">
        <v>6.7008254214000003</v>
      </c>
      <c r="BL303" s="115"/>
      <c r="BM303" s="198">
        <v>2.1224430575000001E-2</v>
      </c>
      <c r="BN303" s="191">
        <v>-1.4684134865E-2</v>
      </c>
      <c r="BO303" s="191">
        <v>3.9059754245000002E-2</v>
      </c>
      <c r="BP303" s="191">
        <v>-2.3415492417999999E-2</v>
      </c>
      <c r="BQ303" s="199">
        <v>7</v>
      </c>
      <c r="BR303" s="199">
        <v>5</v>
      </c>
      <c r="BS303" s="199">
        <v>5</v>
      </c>
      <c r="BT303" s="199">
        <v>7</v>
      </c>
      <c r="BU303" s="200">
        <v>-0.28311909042</v>
      </c>
      <c r="BV303" s="200">
        <v>-0.34782537992000001</v>
      </c>
      <c r="BW303" s="191">
        <v>6.9323591023E-3</v>
      </c>
      <c r="BX303" s="191">
        <v>5.4631485763E-3</v>
      </c>
      <c r="BY303" s="189">
        <v>-2.9900873215999999</v>
      </c>
      <c r="BZ303" s="191">
        <v>-3.8763748532E-2</v>
      </c>
      <c r="CA303" s="191">
        <v>-3.8763748532E-2</v>
      </c>
      <c r="CB303" s="182">
        <v>45364</v>
      </c>
      <c r="CC303" s="182">
        <v>45455</v>
      </c>
      <c r="CD303" s="201">
        <v>97</v>
      </c>
      <c r="CE303" s="202">
        <v>45504</v>
      </c>
      <c r="CF303" s="116"/>
    </row>
    <row r="304" spans="2:84" ht="15.6" x14ac:dyDescent="0.3">
      <c r="B304" s="110" t="s">
        <v>562</v>
      </c>
      <c r="C304" s="147" t="s">
        <v>727</v>
      </c>
      <c r="D304" s="148" t="s">
        <v>643</v>
      </c>
      <c r="E304" s="148" t="s">
        <v>226</v>
      </c>
      <c r="F304" s="149">
        <v>27967244000102</v>
      </c>
      <c r="G304" s="149" t="s">
        <v>882</v>
      </c>
      <c r="H304" s="149" t="s">
        <v>388</v>
      </c>
      <c r="I304" s="150">
        <v>1</v>
      </c>
      <c r="J304" s="151">
        <v>2</v>
      </c>
      <c r="K304" s="151" t="s">
        <v>126</v>
      </c>
      <c r="L304" s="151" t="s">
        <v>118</v>
      </c>
      <c r="M304" s="151" t="s">
        <v>106</v>
      </c>
      <c r="N304" s="151" t="s">
        <v>109</v>
      </c>
      <c r="O304" s="152">
        <v>87000</v>
      </c>
      <c r="P304" s="153">
        <v>87000000</v>
      </c>
      <c r="Q304" s="153">
        <v>1000</v>
      </c>
      <c r="R304" s="154">
        <v>43570</v>
      </c>
      <c r="S304" s="154">
        <v>50875</v>
      </c>
      <c r="T304" s="155" t="s">
        <v>797</v>
      </c>
      <c r="U304" s="155" t="s">
        <v>946</v>
      </c>
      <c r="V304" s="154" t="s">
        <v>105</v>
      </c>
      <c r="W304" s="154" t="s">
        <v>102</v>
      </c>
      <c r="X304" s="154" t="s">
        <v>1348</v>
      </c>
      <c r="Y304" s="154">
        <v>48714</v>
      </c>
      <c r="Z304" s="156">
        <f>IFERROR(INDEX(Base!G:G,MATCH('Debêntures IPCA-Spread'!Y304,Base!F:F,0)),"")</f>
        <v>6.3373999999999997</v>
      </c>
      <c r="AA304" s="115"/>
      <c r="AB304" s="157">
        <v>45552</v>
      </c>
      <c r="AC304" s="158">
        <v>6.9065000000000003</v>
      </c>
      <c r="AD304" s="159">
        <f t="shared" si="15"/>
        <v>0.56910000000000061</v>
      </c>
      <c r="AE304" s="160">
        <v>0.08</v>
      </c>
      <c r="AF304" s="161">
        <v>7.0782999999999996</v>
      </c>
      <c r="AG304" s="161">
        <v>6.6951999999999998</v>
      </c>
      <c r="AH304" s="162">
        <v>1175.045842</v>
      </c>
      <c r="AI304" s="162">
        <v>1208.5613499999999</v>
      </c>
      <c r="AJ304" s="163">
        <f t="shared" si="14"/>
        <v>0.97226826093685692</v>
      </c>
      <c r="AK304" s="164">
        <v>45518</v>
      </c>
      <c r="AL304" s="165">
        <v>86.92</v>
      </c>
      <c r="AM304" s="166">
        <v>1771</v>
      </c>
      <c r="AN304" s="115"/>
      <c r="AO304" s="167">
        <v>-4.1490802241000001E-3</v>
      </c>
      <c r="AP304" s="168">
        <f>IF(AO304="","",AO304-AO$6)</f>
        <v>-4.6292251090300001E-3</v>
      </c>
      <c r="AQ304" s="168">
        <v>-1.8113851101999999E-3</v>
      </c>
      <c r="AR304" s="168">
        <f>IF(AQ304="","",AQ304-AQ$6)</f>
        <v>-1.5938783572399999E-3</v>
      </c>
      <c r="AS304" s="168">
        <v>5.0189608147999998E-2</v>
      </c>
      <c r="AT304" s="168">
        <f>IF(AS304="","",AS304-AS$6)</f>
        <v>3.5463773093000001E-2</v>
      </c>
      <c r="AU304" s="168">
        <v>-1.7685206528E-2</v>
      </c>
      <c r="AV304" s="168">
        <f>IF(AU304="","",AU304-AU$6)</f>
        <v>-4.616623932E-3</v>
      </c>
      <c r="AW304" s="168">
        <v>3.5928015867999999E-2</v>
      </c>
      <c r="AX304" s="168">
        <f>IF(AW304="","",AW304-AW$6)</f>
        <v>1.1932948079999998E-2</v>
      </c>
      <c r="AY304" s="168">
        <v>1.2988752589999999E-2</v>
      </c>
      <c r="AZ304" s="168">
        <f>IF(AY304="","",AY304-AY$6)</f>
        <v>-1.253502200000001E-3</v>
      </c>
      <c r="BA304" s="168">
        <v>8.8593845069999996E-2</v>
      </c>
      <c r="BB304" s="168">
        <f>IF(BA304="","",BA304-BA$6)</f>
        <v>3.5106880511999998E-2</v>
      </c>
      <c r="BC304" s="168">
        <v>0.21190124759000001</v>
      </c>
      <c r="BD304" s="168">
        <f>IF(BC304="","",BC304-BC$6)</f>
        <v>1.7592681100000007E-2</v>
      </c>
      <c r="BE304" s="168">
        <v>0.28791485652999999</v>
      </c>
      <c r="BF304" s="168">
        <f>IF(BE304="","",BE304-BE$6)</f>
        <v>2.6195516990000001E-2</v>
      </c>
      <c r="BG304" s="168">
        <v>0.39356276252</v>
      </c>
      <c r="BH304" s="168">
        <f>IF(BG304="","",BG304-BG$6)</f>
        <v>8.4646113709999971E-2</v>
      </c>
      <c r="BI304" s="168"/>
      <c r="BJ304" s="168" t="str">
        <f>IF(BI304="","",BI304-BI$6)</f>
        <v/>
      </c>
      <c r="BK304" s="169">
        <v>6.5492931323999999</v>
      </c>
      <c r="BL304" s="115"/>
      <c r="BM304" s="170">
        <v>1.4543512192000001E-2</v>
      </c>
      <c r="BN304" s="163">
        <v>-1.4075162162999999E-2</v>
      </c>
      <c r="BO304" s="163">
        <v>3.5016544656000001E-2</v>
      </c>
      <c r="BP304" s="163">
        <v>-2.6092318008999998E-2</v>
      </c>
      <c r="BQ304" s="171">
        <v>7</v>
      </c>
      <c r="BR304" s="171">
        <v>5</v>
      </c>
      <c r="BS304" s="171">
        <v>5</v>
      </c>
      <c r="BT304" s="171">
        <v>7</v>
      </c>
      <c r="BU304" s="172">
        <v>-0.28621754008</v>
      </c>
      <c r="BV304" s="172">
        <v>-0.33990742939000002</v>
      </c>
      <c r="BW304" s="163">
        <v>6.7705381486999998E-3</v>
      </c>
      <c r="BX304" s="163">
        <v>6.4959659153000001E-3</v>
      </c>
      <c r="BY304" s="161">
        <v>-2.9412060894000001</v>
      </c>
      <c r="BZ304" s="163">
        <v>-3.6144878476000002E-2</v>
      </c>
      <c r="CA304" s="163">
        <v>-3.6144878476000002E-2</v>
      </c>
      <c r="CB304" s="154">
        <v>45364</v>
      </c>
      <c r="CC304" s="154">
        <v>45455</v>
      </c>
      <c r="CD304" s="173">
        <v>86</v>
      </c>
      <c r="CE304" s="174">
        <v>45489</v>
      </c>
      <c r="CF304" s="116"/>
    </row>
    <row r="305" spans="2:84" ht="15.6" x14ac:dyDescent="0.3">
      <c r="B305" s="98" t="s">
        <v>50</v>
      </c>
      <c r="C305" s="175" t="s">
        <v>311</v>
      </c>
      <c r="D305" s="176" t="s">
        <v>86</v>
      </c>
      <c r="E305" s="176" t="s">
        <v>226</v>
      </c>
      <c r="F305" s="177">
        <v>20514555000169</v>
      </c>
      <c r="G305" s="177" t="s">
        <v>367</v>
      </c>
      <c r="H305" s="177" t="s">
        <v>388</v>
      </c>
      <c r="I305" s="178">
        <v>1</v>
      </c>
      <c r="J305" s="179" t="s">
        <v>107</v>
      </c>
      <c r="K305" s="179" t="s">
        <v>111</v>
      </c>
      <c r="L305" s="179" t="s">
        <v>112</v>
      </c>
      <c r="M305" s="179" t="s">
        <v>114</v>
      </c>
      <c r="N305" s="179" t="s">
        <v>109</v>
      </c>
      <c r="O305" s="180">
        <v>87000</v>
      </c>
      <c r="P305" s="181">
        <v>87000000</v>
      </c>
      <c r="Q305" s="181">
        <v>1000</v>
      </c>
      <c r="R305" s="182">
        <v>43054</v>
      </c>
      <c r="S305" s="182">
        <v>47741</v>
      </c>
      <c r="T305" s="183" t="s">
        <v>132</v>
      </c>
      <c r="U305" s="183" t="s">
        <v>181</v>
      </c>
      <c r="V305" s="182" t="s">
        <v>194</v>
      </c>
      <c r="W305" s="182" t="s">
        <v>102</v>
      </c>
      <c r="X305" s="182" t="s">
        <v>205</v>
      </c>
      <c r="Y305" s="182">
        <v>46522</v>
      </c>
      <c r="Z305" s="184">
        <f>IFERROR(INDEX(Base!G:G,MATCH('Debêntures IPCA-Spread'!Y305,Base!F:F,0)),"")</f>
        <v>6.391</v>
      </c>
      <c r="AA305" s="115"/>
      <c r="AB305" s="185">
        <v>45552</v>
      </c>
      <c r="AC305" s="186">
        <v>6.2234999999999996</v>
      </c>
      <c r="AD305" s="187">
        <f t="shared" si="15"/>
        <v>-0.16750000000000043</v>
      </c>
      <c r="AE305" s="188">
        <v>0.28999999999999998</v>
      </c>
      <c r="AF305" s="189">
        <v>6.5488999999999997</v>
      </c>
      <c r="AG305" s="189">
        <v>5.9775</v>
      </c>
      <c r="AH305" s="190">
        <v>909.01469899999995</v>
      </c>
      <c r="AI305" s="190">
        <v>909.01469899999995</v>
      </c>
      <c r="AJ305" s="191">
        <f t="shared" si="14"/>
        <v>1</v>
      </c>
      <c r="AK305" s="192">
        <v>45552</v>
      </c>
      <c r="AL305" s="193">
        <v>101.45</v>
      </c>
      <c r="AM305" s="194">
        <v>675</v>
      </c>
      <c r="AN305" s="115"/>
      <c r="AO305" s="195">
        <v>1.3274192369000001E-3</v>
      </c>
      <c r="AP305" s="196">
        <f>IF(AO305="","",AO305-AO$6)</f>
        <v>8.4727435197000009E-4</v>
      </c>
      <c r="AQ305" s="196">
        <v>1.0175307332E-2</v>
      </c>
      <c r="AR305" s="196">
        <f>IF(AQ305="","",AQ305-AQ$6)</f>
        <v>1.0392814084959999E-2</v>
      </c>
      <c r="AS305" s="196">
        <v>6.8027593829999997E-2</v>
      </c>
      <c r="AT305" s="196">
        <f>IF(AS305="","",AS305-AS$6)</f>
        <v>5.3301758774999999E-2</v>
      </c>
      <c r="AU305" s="196">
        <v>4.8880799150000003E-3</v>
      </c>
      <c r="AV305" s="196">
        <f>IF(AU305="","",AU305-AU$6)</f>
        <v>1.7956662511000001E-2</v>
      </c>
      <c r="AW305" s="196">
        <v>3.4857853940000003E-2</v>
      </c>
      <c r="AX305" s="196">
        <f>IF(AW305="","",AW305-AW$6)</f>
        <v>1.0862786152000002E-2</v>
      </c>
      <c r="AY305" s="196">
        <v>3.3250417369000002E-2</v>
      </c>
      <c r="AZ305" s="196">
        <f>IF(AY305="","",AY305-AY$6)</f>
        <v>1.9008162579000003E-2</v>
      </c>
      <c r="BA305" s="196">
        <v>9.6884558997999998E-2</v>
      </c>
      <c r="BB305" s="196">
        <f>IF(BA305="","",BA305-BA$6)</f>
        <v>4.3397594439999999E-2</v>
      </c>
      <c r="BC305" s="196"/>
      <c r="BD305" s="196" t="str">
        <f>IF(BC305="","",BC305-BC$6)</f>
        <v/>
      </c>
      <c r="BE305" s="196"/>
      <c r="BF305" s="196" t="str">
        <f>IF(BE305="","",BE305-BE$6)</f>
        <v/>
      </c>
      <c r="BG305" s="196"/>
      <c r="BH305" s="196" t="str">
        <f>IF(BG305="","",BG305-BG$6)</f>
        <v/>
      </c>
      <c r="BI305" s="196"/>
      <c r="BJ305" s="196" t="str">
        <f>IF(BI305="","",BI305-BI$6)</f>
        <v/>
      </c>
      <c r="BK305" s="197">
        <v>3.6328422318000002</v>
      </c>
      <c r="BL305" s="115"/>
      <c r="BM305" s="198">
        <v>7.2265602430000003E-3</v>
      </c>
      <c r="BN305" s="191">
        <v>-6.7955456269999997E-3</v>
      </c>
      <c r="BO305" s="191">
        <v>2.2257995310000001E-2</v>
      </c>
      <c r="BP305" s="191">
        <v>-9.0194978684000008E-3</v>
      </c>
      <c r="BQ305" s="199">
        <v>9</v>
      </c>
      <c r="BR305" s="199">
        <v>3</v>
      </c>
      <c r="BS305" s="199">
        <v>7</v>
      </c>
      <c r="BT305" s="199">
        <v>5</v>
      </c>
      <c r="BU305" s="200">
        <v>-0.35086937281000002</v>
      </c>
      <c r="BV305" s="200"/>
      <c r="BW305" s="191">
        <v>3.7537076090999998E-3</v>
      </c>
      <c r="BX305" s="191">
        <v>3.2304862574E-3</v>
      </c>
      <c r="BY305" s="189">
        <v>-1.8611142036999999</v>
      </c>
      <c r="BZ305" s="191">
        <v>-1.877663898E-2</v>
      </c>
      <c r="CA305" s="191">
        <v>-1.877663898E-2</v>
      </c>
      <c r="CB305" s="182">
        <v>45189</v>
      </c>
      <c r="CC305" s="182">
        <v>45218</v>
      </c>
      <c r="CD305" s="201">
        <v>38</v>
      </c>
      <c r="CE305" s="202">
        <v>45246</v>
      </c>
      <c r="CF305" s="116"/>
    </row>
    <row r="306" spans="2:84" ht="15.6" x14ac:dyDescent="0.3">
      <c r="B306" s="110" t="s">
        <v>450</v>
      </c>
      <c r="C306" s="147" t="s">
        <v>472</v>
      </c>
      <c r="D306" s="148" t="s">
        <v>457</v>
      </c>
      <c r="E306" s="148" t="s">
        <v>226</v>
      </c>
      <c r="F306" s="149">
        <v>25224629000146</v>
      </c>
      <c r="G306" s="149" t="s">
        <v>462</v>
      </c>
      <c r="H306" s="149" t="s">
        <v>388</v>
      </c>
      <c r="I306" s="150">
        <v>2</v>
      </c>
      <c r="J306" s="151">
        <v>2</v>
      </c>
      <c r="K306" s="151" t="s">
        <v>126</v>
      </c>
      <c r="L306" s="151" t="s">
        <v>118</v>
      </c>
      <c r="M306" s="151" t="s">
        <v>114</v>
      </c>
      <c r="N306" s="151" t="s">
        <v>109</v>
      </c>
      <c r="O306" s="152">
        <v>114700</v>
      </c>
      <c r="P306" s="153">
        <v>114700000</v>
      </c>
      <c r="Q306" s="153">
        <v>1000</v>
      </c>
      <c r="R306" s="154">
        <v>43358</v>
      </c>
      <c r="S306" s="154">
        <v>45915</v>
      </c>
      <c r="T306" s="155" t="s">
        <v>483</v>
      </c>
      <c r="U306" s="155" t="s">
        <v>479</v>
      </c>
      <c r="V306" s="154" t="s">
        <v>105</v>
      </c>
      <c r="W306" s="154" t="s">
        <v>102</v>
      </c>
      <c r="X306" s="154" t="s">
        <v>469</v>
      </c>
      <c r="Y306" s="154">
        <v>45792</v>
      </c>
      <c r="Z306" s="156">
        <f>IFERROR(INDEX(Base!G:G,MATCH('Debêntures IPCA-Spread'!Y306,Base!F:F,0)),"")</f>
        <v>5.73</v>
      </c>
      <c r="AA306" s="115"/>
      <c r="AB306" s="157">
        <v>45552</v>
      </c>
      <c r="AC306" s="158">
        <v>6.1390000000000002</v>
      </c>
      <c r="AD306" s="159">
        <f t="shared" si="15"/>
        <v>0.40899999999999981</v>
      </c>
      <c r="AE306" s="160">
        <v>0.35</v>
      </c>
      <c r="AF306" s="161">
        <v>6.2196999999999996</v>
      </c>
      <c r="AG306" s="161">
        <v>5.9611000000000001</v>
      </c>
      <c r="AH306" s="162">
        <v>689.037059</v>
      </c>
      <c r="AI306" s="162">
        <v>690.97260600000004</v>
      </c>
      <c r="AJ306" s="163">
        <f t="shared" si="14"/>
        <v>0.99719880790758864</v>
      </c>
      <c r="AK306" s="164">
        <v>45551</v>
      </c>
      <c r="AL306" s="165">
        <v>100.03</v>
      </c>
      <c r="AM306" s="166">
        <v>245</v>
      </c>
      <c r="AN306" s="115"/>
      <c r="AO306" s="167">
        <v>-2.8011920921999999E-3</v>
      </c>
      <c r="AP306" s="168">
        <f>IF(AO306="","",AO306-AO$6)</f>
        <v>-3.2813369771299999E-3</v>
      </c>
      <c r="AQ306" s="168">
        <v>1.5056580704999999E-3</v>
      </c>
      <c r="AR306" s="168">
        <f>IF(AQ306="","",AQ306-AQ$6)</f>
        <v>1.72316482346E-3</v>
      </c>
      <c r="AS306" s="168">
        <v>7.5580373598999995E-2</v>
      </c>
      <c r="AT306" s="168">
        <f>IF(AS306="","",AS306-AS$6)</f>
        <v>6.0854538543999998E-2</v>
      </c>
      <c r="AU306" s="168">
        <v>4.7560332531999998E-3</v>
      </c>
      <c r="AV306" s="168">
        <f>IF(AU306="","",AU306-AU$6)</f>
        <v>1.7824615849200001E-2</v>
      </c>
      <c r="AW306" s="168">
        <v>2.2604587908E-2</v>
      </c>
      <c r="AX306" s="168">
        <f>IF(AW306="","",AW306-AW$6)</f>
        <v>-1.39047988E-3</v>
      </c>
      <c r="AY306" s="168">
        <v>4.8671377061999997E-2</v>
      </c>
      <c r="AZ306" s="168">
        <f>IF(AY306="","",AY306-AY$6)</f>
        <v>3.4429122271999998E-2</v>
      </c>
      <c r="BA306" s="168">
        <v>0.10600460112</v>
      </c>
      <c r="BB306" s="168">
        <f>IF(BA306="","",BA306-BA$6)</f>
        <v>5.2517636562000002E-2</v>
      </c>
      <c r="BC306" s="168">
        <v>0.23388183537000001</v>
      </c>
      <c r="BD306" s="168">
        <f>IF(BC306="","",BC306-BC$6)</f>
        <v>3.9573268880000012E-2</v>
      </c>
      <c r="BE306" s="168">
        <v>0.37146939051</v>
      </c>
      <c r="BF306" s="168">
        <f>IF(BE306="","",BE306-BE$6)</f>
        <v>0.10975005097000001</v>
      </c>
      <c r="BG306" s="168">
        <v>0.49265254418999999</v>
      </c>
      <c r="BH306" s="168">
        <f>IF(BG306="","",BG306-BG$6)</f>
        <v>0.18373589537999996</v>
      </c>
      <c r="BI306" s="168">
        <v>0.55903352580999999</v>
      </c>
      <c r="BJ306" s="168">
        <f>IF(BI306="","",BI306-BI$6)</f>
        <v>0.18609051572999996</v>
      </c>
      <c r="BK306" s="169">
        <v>1.0542380624000001</v>
      </c>
      <c r="BL306" s="115"/>
      <c r="BM306" s="170">
        <v>2.2489908552E-3</v>
      </c>
      <c r="BN306" s="163">
        <v>-2.8011920921999999E-3</v>
      </c>
      <c r="BO306" s="163">
        <v>1.3764240804000001E-2</v>
      </c>
      <c r="BP306" s="163">
        <v>1.3745316919E-3</v>
      </c>
      <c r="BQ306" s="171">
        <v>12</v>
      </c>
      <c r="BR306" s="171">
        <v>0</v>
      </c>
      <c r="BS306" s="171">
        <v>6</v>
      </c>
      <c r="BT306" s="171">
        <v>6</v>
      </c>
      <c r="BU306" s="172">
        <v>-0.48638783770999999</v>
      </c>
      <c r="BV306" s="172">
        <v>-0.20302105225</v>
      </c>
      <c r="BW306" s="163">
        <v>1.0893266412999999E-3</v>
      </c>
      <c r="BX306" s="163">
        <v>1.2235399564999999E-3</v>
      </c>
      <c r="BY306" s="161">
        <v>-0.73374187261000001</v>
      </c>
      <c r="BZ306" s="163">
        <v>-3.5407512923000001E-3</v>
      </c>
      <c r="CA306" s="163">
        <v>-3.5407512923000001E-3</v>
      </c>
      <c r="CB306" s="154">
        <v>45191</v>
      </c>
      <c r="CC306" s="154">
        <v>45217</v>
      </c>
      <c r="CD306" s="173">
        <v>21</v>
      </c>
      <c r="CE306" s="174">
        <v>45223</v>
      </c>
      <c r="CF306" s="116"/>
    </row>
    <row r="307" spans="2:84" ht="15.6" x14ac:dyDescent="0.3">
      <c r="B307" s="98" t="s">
        <v>563</v>
      </c>
      <c r="C307" s="175" t="s">
        <v>728</v>
      </c>
      <c r="D307" s="176" t="s">
        <v>644</v>
      </c>
      <c r="E307" s="176" t="s">
        <v>226</v>
      </c>
      <c r="F307" s="177">
        <v>24870961000115</v>
      </c>
      <c r="G307" s="177" t="s">
        <v>883</v>
      </c>
      <c r="H307" s="177" t="s">
        <v>388</v>
      </c>
      <c r="I307" s="178">
        <v>2</v>
      </c>
      <c r="J307" s="179">
        <v>1</v>
      </c>
      <c r="K307" s="179" t="s">
        <v>126</v>
      </c>
      <c r="L307" s="179" t="s">
        <v>122</v>
      </c>
      <c r="M307" s="179" t="s">
        <v>114</v>
      </c>
      <c r="N307" s="179" t="s">
        <v>109</v>
      </c>
      <c r="O307" s="180">
        <v>715000</v>
      </c>
      <c r="P307" s="181">
        <v>715000000</v>
      </c>
      <c r="Q307" s="181">
        <v>1000</v>
      </c>
      <c r="R307" s="182">
        <v>43449</v>
      </c>
      <c r="S307" s="182">
        <v>47164</v>
      </c>
      <c r="T307" s="183" t="s">
        <v>798</v>
      </c>
      <c r="U307" s="183" t="s">
        <v>947</v>
      </c>
      <c r="V307" s="182" t="s">
        <v>105</v>
      </c>
      <c r="W307" s="182" t="s">
        <v>102</v>
      </c>
      <c r="X307" s="182" t="s">
        <v>1351</v>
      </c>
      <c r="Y307" s="182">
        <v>46980</v>
      </c>
      <c r="Z307" s="184">
        <f>IFERROR(INDEX(Base!G:G,MATCH('Debêntures IPCA-Spread'!Y307,Base!F:F,0)),"")</f>
        <v>6.4702000000000002</v>
      </c>
      <c r="AA307" s="115"/>
      <c r="AB307" s="185">
        <v>45552</v>
      </c>
      <c r="AC307" s="186">
        <v>6.3903999999999996</v>
      </c>
      <c r="AD307" s="187">
        <f t="shared" si="15"/>
        <v>-7.9800000000000537E-2</v>
      </c>
      <c r="AE307" s="188">
        <v>0.2</v>
      </c>
      <c r="AF307" s="189">
        <v>6.6340000000000003</v>
      </c>
      <c r="AG307" s="189">
        <v>6.2987000000000002</v>
      </c>
      <c r="AH307" s="190">
        <v>1225.9772089999999</v>
      </c>
      <c r="AI307" s="190">
        <v>1226.952477</v>
      </c>
      <c r="AJ307" s="191">
        <f t="shared" si="14"/>
        <v>0.99920512976803733</v>
      </c>
      <c r="AK307" s="192">
        <v>45544</v>
      </c>
      <c r="AL307" s="193">
        <v>96.99</v>
      </c>
      <c r="AM307" s="194">
        <v>773</v>
      </c>
      <c r="AN307" s="115"/>
      <c r="AO307" s="195">
        <v>1.9682290967000002E-3</v>
      </c>
      <c r="AP307" s="196">
        <f>IF(AO307="","",AO307-AO$6)</f>
        <v>1.4880842117700002E-3</v>
      </c>
      <c r="AQ307" s="196">
        <v>7.8543458840000004E-3</v>
      </c>
      <c r="AR307" s="196">
        <f>IF(AQ307="","",AQ307-AQ$6)</f>
        <v>8.0718526369599995E-3</v>
      </c>
      <c r="AS307" s="196">
        <v>6.4394830850000001E-2</v>
      </c>
      <c r="AT307" s="196">
        <f>IF(AS307="","",AS307-AS$6)</f>
        <v>4.9668995795000004E-2</v>
      </c>
      <c r="AU307" s="196">
        <v>4.8809334911999996E-3</v>
      </c>
      <c r="AV307" s="196">
        <f>IF(AU307="","",AU307-AU$6)</f>
        <v>1.7949516087199999E-2</v>
      </c>
      <c r="AW307" s="196">
        <v>3.4205354978999999E-2</v>
      </c>
      <c r="AX307" s="196">
        <f>IF(AW307="","",AW307-AW$6)</f>
        <v>1.0210287190999999E-2</v>
      </c>
      <c r="AY307" s="196">
        <v>3.1228563010000002E-2</v>
      </c>
      <c r="AZ307" s="196">
        <f>IF(AY307="","",AY307-AY$6)</f>
        <v>1.6986308220000003E-2</v>
      </c>
      <c r="BA307" s="196">
        <v>9.2434746553000005E-2</v>
      </c>
      <c r="BB307" s="196">
        <f>IF(BA307="","",BA307-BA$6)</f>
        <v>3.8947781995000007E-2</v>
      </c>
      <c r="BC307" s="196">
        <v>0.2280939538</v>
      </c>
      <c r="BD307" s="196">
        <f>IF(BC307="","",BC307-BC$6)</f>
        <v>3.3785387309999998E-2</v>
      </c>
      <c r="BE307" s="196">
        <v>0.33430536122999999</v>
      </c>
      <c r="BF307" s="196">
        <f>IF(BE307="","",BE307-BE$6)</f>
        <v>7.2586021690000002E-2</v>
      </c>
      <c r="BG307" s="196">
        <v>0.45067865761999998</v>
      </c>
      <c r="BH307" s="196">
        <f>IF(BG307="","",BG307-BG$6)</f>
        <v>0.14176200880999995</v>
      </c>
      <c r="BI307" s="196">
        <v>0.52999883785000002</v>
      </c>
      <c r="BJ307" s="196">
        <f>IF(BI307="","",BI307-BI$6)</f>
        <v>0.15705582776999999</v>
      </c>
      <c r="BK307" s="197">
        <v>3.8926586772</v>
      </c>
      <c r="BL307" s="115"/>
      <c r="BM307" s="198">
        <v>1.0939851863E-2</v>
      </c>
      <c r="BN307" s="191">
        <v>-1.1134452552000001E-2</v>
      </c>
      <c r="BO307" s="191">
        <v>2.3950179778999998E-2</v>
      </c>
      <c r="BP307" s="191">
        <v>-1.3604676146E-2</v>
      </c>
      <c r="BQ307" s="199">
        <v>9</v>
      </c>
      <c r="BR307" s="199">
        <v>3</v>
      </c>
      <c r="BS307" s="199">
        <v>7</v>
      </c>
      <c r="BT307" s="199">
        <v>5</v>
      </c>
      <c r="BU307" s="200">
        <v>-0.42789181872999998</v>
      </c>
      <c r="BV307" s="200">
        <v>-0.30156793685</v>
      </c>
      <c r="BW307" s="191">
        <v>4.0214455269000004E-3</v>
      </c>
      <c r="BX307" s="191">
        <v>3.2580615841000002E-3</v>
      </c>
      <c r="BY307" s="189">
        <v>-2.3675994130000002</v>
      </c>
      <c r="BZ307" s="191">
        <v>-1.7159031402000001E-2</v>
      </c>
      <c r="CA307" s="191">
        <v>-1.7159031402000001E-2</v>
      </c>
      <c r="CB307" s="182">
        <v>45187</v>
      </c>
      <c r="CC307" s="182">
        <v>45229</v>
      </c>
      <c r="CD307" s="201">
        <v>41</v>
      </c>
      <c r="CE307" s="202">
        <v>45247</v>
      </c>
      <c r="CF307" s="116"/>
    </row>
    <row r="308" spans="2:84" ht="15.6" x14ac:dyDescent="0.3">
      <c r="B308" s="110" t="s">
        <v>451</v>
      </c>
      <c r="C308" s="147" t="s">
        <v>473</v>
      </c>
      <c r="D308" s="148" t="s">
        <v>458</v>
      </c>
      <c r="E308" s="148" t="s">
        <v>226</v>
      </c>
      <c r="F308" s="149">
        <v>25224658000108</v>
      </c>
      <c r="G308" s="149" t="s">
        <v>463</v>
      </c>
      <c r="H308" s="149" t="s">
        <v>388</v>
      </c>
      <c r="I308" s="150">
        <v>2</v>
      </c>
      <c r="J308" s="151">
        <v>2</v>
      </c>
      <c r="K308" s="151" t="s">
        <v>126</v>
      </c>
      <c r="L308" s="151" t="s">
        <v>118</v>
      </c>
      <c r="M308" s="151" t="s">
        <v>114</v>
      </c>
      <c r="N308" s="151" t="s">
        <v>109</v>
      </c>
      <c r="O308" s="152">
        <v>85300</v>
      </c>
      <c r="P308" s="153">
        <v>85300000</v>
      </c>
      <c r="Q308" s="153">
        <v>1000</v>
      </c>
      <c r="R308" s="154">
        <v>43358</v>
      </c>
      <c r="S308" s="154">
        <v>45915</v>
      </c>
      <c r="T308" s="155" t="s">
        <v>484</v>
      </c>
      <c r="U308" s="155" t="s">
        <v>479</v>
      </c>
      <c r="V308" s="154" t="s">
        <v>105</v>
      </c>
      <c r="W308" s="154" t="s">
        <v>102</v>
      </c>
      <c r="X308" s="154" t="s">
        <v>469</v>
      </c>
      <c r="Y308" s="154">
        <v>45792</v>
      </c>
      <c r="Z308" s="156">
        <f>IFERROR(INDEX(Base!G:G,MATCH('Debêntures IPCA-Spread'!Y308,Base!F:F,0)),"")</f>
        <v>5.73</v>
      </c>
      <c r="AA308" s="115"/>
      <c r="AB308" s="157">
        <v>45552</v>
      </c>
      <c r="AC308" s="158">
        <v>5.7450999999999999</v>
      </c>
      <c r="AD308" s="159">
        <f t="shared" si="15"/>
        <v>1.5099999999999447E-2</v>
      </c>
      <c r="AE308" s="160">
        <v>0.16</v>
      </c>
      <c r="AF308" s="161">
        <v>6.0890000000000004</v>
      </c>
      <c r="AG308" s="161">
        <v>5.5460000000000003</v>
      </c>
      <c r="AH308" s="162">
        <v>691.53583600000002</v>
      </c>
      <c r="AI308" s="162">
        <v>692.25214300000005</v>
      </c>
      <c r="AJ308" s="163">
        <f t="shared" si="14"/>
        <v>0.99896525130728264</v>
      </c>
      <c r="AK308" s="164">
        <v>45551</v>
      </c>
      <c r="AL308" s="165">
        <v>100.39</v>
      </c>
      <c r="AM308" s="166">
        <v>245</v>
      </c>
      <c r="AN308" s="115"/>
      <c r="AO308" s="167">
        <v>-1.0347486932000001E-3</v>
      </c>
      <c r="AP308" s="168">
        <f>IF(AO308="","",AO308-AO$6)</f>
        <v>-1.51489357813E-3</v>
      </c>
      <c r="AQ308" s="168">
        <v>3.7824820301E-3</v>
      </c>
      <c r="AR308" s="168">
        <f>IF(AQ308="","",AQ308-AQ$6)</f>
        <v>3.99998878306E-3</v>
      </c>
      <c r="AS308" s="168">
        <v>7.8622267415999994E-2</v>
      </c>
      <c r="AT308" s="168">
        <f>IF(AS308="","",AS308-AS$6)</f>
        <v>6.3896432360999997E-2</v>
      </c>
      <c r="AU308" s="168">
        <v>7.5757263693999998E-3</v>
      </c>
      <c r="AV308" s="168">
        <f>IF(AU308="","",AU308-AU$6)</f>
        <v>2.06443089654E-2</v>
      </c>
      <c r="AW308" s="168">
        <v>2.5637496068000001E-2</v>
      </c>
      <c r="AX308" s="168">
        <f>IF(AW308="","",AW308-AW$6)</f>
        <v>1.6424282800000002E-3</v>
      </c>
      <c r="AY308" s="168">
        <v>4.9109922285000003E-2</v>
      </c>
      <c r="AZ308" s="168">
        <f>IF(AY308="","",AY308-AY$6)</f>
        <v>3.4867667495000004E-2</v>
      </c>
      <c r="BA308" s="168">
        <v>0.10723076288</v>
      </c>
      <c r="BB308" s="168">
        <f>IF(BA308="","",BA308-BA$6)</f>
        <v>5.3743798321999998E-2</v>
      </c>
      <c r="BC308" s="168">
        <v>0.23541525100999999</v>
      </c>
      <c r="BD308" s="168">
        <f>IF(BC308="","",BC308-BC$6)</f>
        <v>4.1106684519999992E-2</v>
      </c>
      <c r="BE308" s="168">
        <v>0.37279669985000002</v>
      </c>
      <c r="BF308" s="168">
        <f>IF(BE308="","",BE308-BE$6)</f>
        <v>0.11107736031000004</v>
      </c>
      <c r="BG308" s="168">
        <v>0.49445536642999999</v>
      </c>
      <c r="BH308" s="168">
        <f>IF(BG308="","",BG308-BG$6)</f>
        <v>0.18553871761999996</v>
      </c>
      <c r="BI308" s="168">
        <v>0.56273561892000001</v>
      </c>
      <c r="BJ308" s="168">
        <f>IF(BI308="","",BI308-BI$6)</f>
        <v>0.18979260883999999</v>
      </c>
      <c r="BK308" s="169">
        <v>1.1325388272000001</v>
      </c>
      <c r="BL308" s="115"/>
      <c r="BM308" s="170">
        <v>2.6963727449999999E-3</v>
      </c>
      <c r="BN308" s="163">
        <v>-1.6210722461000001E-3</v>
      </c>
      <c r="BO308" s="163">
        <v>1.269353262E-2</v>
      </c>
      <c r="BP308" s="163">
        <v>1.9620587846E-3</v>
      </c>
      <c r="BQ308" s="171">
        <v>12</v>
      </c>
      <c r="BR308" s="171">
        <v>0</v>
      </c>
      <c r="BS308" s="171">
        <v>7</v>
      </c>
      <c r="BT308" s="171">
        <v>5</v>
      </c>
      <c r="BU308" s="172">
        <v>-0.35468909381000002</v>
      </c>
      <c r="BV308" s="172">
        <v>-0.19205553894999999</v>
      </c>
      <c r="BW308" s="163">
        <v>1.1705889078000001E-3</v>
      </c>
      <c r="BX308" s="163">
        <v>7.3200835210000001E-4</v>
      </c>
      <c r="BY308" s="161">
        <v>-0.60751577111999999</v>
      </c>
      <c r="BZ308" s="163">
        <v>-3.6029211042E-3</v>
      </c>
      <c r="CA308" s="163">
        <v>-3.6029211042E-3</v>
      </c>
      <c r="CB308" s="154">
        <v>45190</v>
      </c>
      <c r="CC308" s="154">
        <v>45216</v>
      </c>
      <c r="CD308" s="173">
        <v>22</v>
      </c>
      <c r="CE308" s="174">
        <v>45223</v>
      </c>
      <c r="CF308" s="116"/>
    </row>
    <row r="309" spans="2:84" ht="15.6" x14ac:dyDescent="0.3">
      <c r="B309" s="98" t="s">
        <v>51</v>
      </c>
      <c r="C309" s="175" t="s">
        <v>312</v>
      </c>
      <c r="D309" s="176" t="s">
        <v>87</v>
      </c>
      <c r="E309" s="176" t="s">
        <v>226</v>
      </c>
      <c r="F309" s="177">
        <v>14029911000156</v>
      </c>
      <c r="G309" s="177" t="s">
        <v>368</v>
      </c>
      <c r="H309" s="177" t="s">
        <v>388</v>
      </c>
      <c r="I309" s="178">
        <v>1</v>
      </c>
      <c r="J309" s="179" t="s">
        <v>107</v>
      </c>
      <c r="K309" s="179" t="s">
        <v>111</v>
      </c>
      <c r="L309" s="179" t="s">
        <v>122</v>
      </c>
      <c r="M309" s="179" t="s">
        <v>106</v>
      </c>
      <c r="N309" s="179" t="s">
        <v>109</v>
      </c>
      <c r="O309" s="180">
        <v>168000</v>
      </c>
      <c r="P309" s="181">
        <v>168000000</v>
      </c>
      <c r="Q309" s="181">
        <v>1000</v>
      </c>
      <c r="R309" s="182">
        <v>42750</v>
      </c>
      <c r="S309" s="182">
        <v>47133</v>
      </c>
      <c r="T309" s="183" t="s">
        <v>151</v>
      </c>
      <c r="U309" s="183" t="s">
        <v>182</v>
      </c>
      <c r="V309" s="182" t="s">
        <v>194</v>
      </c>
      <c r="W309" s="182" t="s">
        <v>102</v>
      </c>
      <c r="X309" s="182" t="s">
        <v>206</v>
      </c>
      <c r="Y309" s="182">
        <v>46522</v>
      </c>
      <c r="Z309" s="184">
        <f>IFERROR(INDEX(Base!G:G,MATCH('Debêntures IPCA-Spread'!Y309,Base!F:F,0)),"")</f>
        <v>6.391</v>
      </c>
      <c r="AA309" s="115"/>
      <c r="AB309" s="185">
        <v>45552</v>
      </c>
      <c r="AC309" s="186">
        <v>6.3426999999999998</v>
      </c>
      <c r="AD309" s="187">
        <f t="shared" si="15"/>
        <v>-4.8300000000000232E-2</v>
      </c>
      <c r="AE309" s="188">
        <v>0.17</v>
      </c>
      <c r="AF309" s="189">
        <v>6.6007999999999996</v>
      </c>
      <c r="AG309" s="189">
        <v>6.1657999999999999</v>
      </c>
      <c r="AH309" s="190">
        <v>756.06666199999995</v>
      </c>
      <c r="AI309" s="190">
        <v>756.42246591000003</v>
      </c>
      <c r="AJ309" s="191">
        <f t="shared" si="14"/>
        <v>0.99952962276236468</v>
      </c>
      <c r="AK309" s="192">
        <v>45546</v>
      </c>
      <c r="AL309" s="193">
        <v>101.61</v>
      </c>
      <c r="AM309" s="194">
        <v>627</v>
      </c>
      <c r="AN309" s="115"/>
      <c r="AO309" s="195">
        <v>3.4350831264999998E-4</v>
      </c>
      <c r="AP309" s="196">
        <f>IF(AO309="","",AO309-AO$6)</f>
        <v>-1.3663657228000001E-4</v>
      </c>
      <c r="AQ309" s="196">
        <v>5.9590204783000001E-3</v>
      </c>
      <c r="AR309" s="196">
        <f>IF(AQ309="","",AQ309-AQ$6)</f>
        <v>6.1765272312600001E-3</v>
      </c>
      <c r="AS309" s="196">
        <v>6.3361861593999994E-2</v>
      </c>
      <c r="AT309" s="196">
        <f>IF(AS309="","",AS309-AS$6)</f>
        <v>4.8636026538999996E-2</v>
      </c>
      <c r="AU309" s="196">
        <v>4.5437005610000003E-3</v>
      </c>
      <c r="AV309" s="196">
        <f>IF(AU309="","",AU309-AU$6)</f>
        <v>1.7612283156999999E-2</v>
      </c>
      <c r="AW309" s="196">
        <v>2.9930321100000001E-2</v>
      </c>
      <c r="AX309" s="196">
        <f>IF(AW309="","",AW309-AW$6)</f>
        <v>5.9352533120000002E-3</v>
      </c>
      <c r="AY309" s="196">
        <v>3.1069847317E-2</v>
      </c>
      <c r="AZ309" s="196">
        <f>IF(AY309="","",AY309-AY$6)</f>
        <v>1.6827592527000002E-2</v>
      </c>
      <c r="BA309" s="196">
        <v>9.1689337366999996E-2</v>
      </c>
      <c r="BB309" s="196">
        <f>IF(BA309="","",BA309-BA$6)</f>
        <v>3.8202372808999997E-2</v>
      </c>
      <c r="BC309" s="196">
        <v>0.23541435834999999</v>
      </c>
      <c r="BD309" s="196">
        <f>IF(BC309="","",BC309-BC$6)</f>
        <v>4.1105791859999991E-2</v>
      </c>
      <c r="BE309" s="196">
        <v>0.36915614148999998</v>
      </c>
      <c r="BF309" s="196">
        <f>IF(BE309="","",BE309-BE$6)</f>
        <v>0.10743680194999999</v>
      </c>
      <c r="BG309" s="196">
        <v>0.48759312178999997</v>
      </c>
      <c r="BH309" s="196">
        <f>IF(BG309="","",BG309-BG$6)</f>
        <v>0.17867647297999995</v>
      </c>
      <c r="BI309" s="196">
        <v>0.58013326305000001</v>
      </c>
      <c r="BJ309" s="196">
        <f>IF(BI309="","",BI309-BI$6)</f>
        <v>0.20719025296999999</v>
      </c>
      <c r="BK309" s="197">
        <v>3.1734488076999998</v>
      </c>
      <c r="BL309" s="115"/>
      <c r="BM309" s="198">
        <v>7.0314586737000003E-3</v>
      </c>
      <c r="BN309" s="191">
        <v>-6.0721576338000002E-3</v>
      </c>
      <c r="BO309" s="191">
        <v>2.0920197598000002E-2</v>
      </c>
      <c r="BP309" s="191">
        <v>-9.5697646992999996E-3</v>
      </c>
      <c r="BQ309" s="199">
        <v>10</v>
      </c>
      <c r="BR309" s="199">
        <v>2</v>
      </c>
      <c r="BS309" s="199">
        <v>8</v>
      </c>
      <c r="BT309" s="199">
        <v>4</v>
      </c>
      <c r="BU309" s="200">
        <v>-0.55380815879</v>
      </c>
      <c r="BV309" s="200">
        <v>-0.14796521093000001</v>
      </c>
      <c r="BW309" s="191">
        <v>3.2792710396000002E-3</v>
      </c>
      <c r="BX309" s="191">
        <v>2.4617612624E-3</v>
      </c>
      <c r="BY309" s="189">
        <v>-2.3753673267000002</v>
      </c>
      <c r="BZ309" s="191">
        <v>-1.7179250566999999E-2</v>
      </c>
      <c r="CA309" s="191">
        <v>-1.7179250566999999E-2</v>
      </c>
      <c r="CB309" s="182">
        <v>45189</v>
      </c>
      <c r="CC309" s="182">
        <v>45218</v>
      </c>
      <c r="CD309" s="201">
        <v>39</v>
      </c>
      <c r="CE309" s="202">
        <v>45247</v>
      </c>
      <c r="CF309" s="116"/>
    </row>
    <row r="310" spans="2:84" ht="15.6" x14ac:dyDescent="0.3">
      <c r="B310" s="110" t="s">
        <v>1458</v>
      </c>
      <c r="C310" s="147" t="s">
        <v>2104</v>
      </c>
      <c r="D310" s="148" t="s">
        <v>1910</v>
      </c>
      <c r="E310" s="148" t="s">
        <v>226</v>
      </c>
      <c r="F310" s="149">
        <v>19527639000158</v>
      </c>
      <c r="G310" s="149" t="s">
        <v>1817</v>
      </c>
      <c r="H310" s="149" t="s">
        <v>388</v>
      </c>
      <c r="I310" s="150">
        <v>10</v>
      </c>
      <c r="J310" s="151" t="s">
        <v>107</v>
      </c>
      <c r="K310" s="151" t="s">
        <v>126</v>
      </c>
      <c r="L310" s="151" t="s">
        <v>112</v>
      </c>
      <c r="M310" s="151" t="s">
        <v>106</v>
      </c>
      <c r="N310" s="151" t="s">
        <v>109</v>
      </c>
      <c r="O310" s="152">
        <v>50000</v>
      </c>
      <c r="P310" s="153">
        <v>50000000</v>
      </c>
      <c r="Q310" s="153">
        <v>1000</v>
      </c>
      <c r="R310" s="154">
        <v>43358</v>
      </c>
      <c r="S310" s="154">
        <v>45915</v>
      </c>
      <c r="T310" s="155" t="s">
        <v>1999</v>
      </c>
      <c r="U310" s="155" t="s">
        <v>934</v>
      </c>
      <c r="V310" s="154" t="s">
        <v>105</v>
      </c>
      <c r="W310" s="154" t="s">
        <v>102</v>
      </c>
      <c r="X310" s="154" t="s">
        <v>977</v>
      </c>
      <c r="Y310" s="154">
        <v>45792</v>
      </c>
      <c r="Z310" s="156">
        <f>IFERROR(INDEX(Base!G:G,MATCH('Debêntures IPCA-Spread'!Y310,Base!F:F,0)),"")</f>
        <v>5.73</v>
      </c>
      <c r="AA310" s="115"/>
      <c r="AB310" s="157">
        <v>45552</v>
      </c>
      <c r="AC310" s="158">
        <v>5.7808000000000002</v>
      </c>
      <c r="AD310" s="159">
        <f t="shared" si="15"/>
        <v>5.0799999999999734E-2</v>
      </c>
      <c r="AE310" s="160">
        <v>0.08</v>
      </c>
      <c r="AF310" s="161">
        <v>6.0350999999999999</v>
      </c>
      <c r="AG310" s="161">
        <v>5.7507999999999999</v>
      </c>
      <c r="AH310" s="162">
        <v>453.94990899999999</v>
      </c>
      <c r="AI310" s="162">
        <v>453.94990899999999</v>
      </c>
      <c r="AJ310" s="163">
        <f t="shared" si="14"/>
        <v>1</v>
      </c>
      <c r="AK310" s="164">
        <v>45552</v>
      </c>
      <c r="AL310" s="165">
        <v>99.35</v>
      </c>
      <c r="AM310" s="166">
        <v>246</v>
      </c>
      <c r="AN310" s="115"/>
      <c r="AO310" s="167">
        <v>9.6546054191999999E-4</v>
      </c>
      <c r="AP310" s="168">
        <f>IF(AO310="","",AO310-AO$6)</f>
        <v>4.8531565699E-4</v>
      </c>
      <c r="AQ310" s="168">
        <v>5.2073677398E-3</v>
      </c>
      <c r="AR310" s="168">
        <f>IF(AQ310="","",AQ310-AQ$6)</f>
        <v>5.42487449276E-3</v>
      </c>
      <c r="AS310" s="168">
        <v>7.8556765266E-2</v>
      </c>
      <c r="AT310" s="168">
        <f>IF(AS310="","",AS310-AS$6)</f>
        <v>6.3830930211000003E-2</v>
      </c>
      <c r="AU310" s="168">
        <v>8.3863685558999996E-3</v>
      </c>
      <c r="AV310" s="168">
        <f>IF(AU310="","",AU310-AU$6)</f>
        <v>2.1454951151899999E-2</v>
      </c>
      <c r="AW310" s="168">
        <v>2.7644755170999999E-2</v>
      </c>
      <c r="AX310" s="168">
        <f>IF(AW310="","",AW310-AW$6)</f>
        <v>3.6496873829999985E-3</v>
      </c>
      <c r="AY310" s="168">
        <v>4.8639372782E-2</v>
      </c>
      <c r="AZ310" s="168">
        <f>IF(AY310="","",AY310-AY$6)</f>
        <v>3.4397117992000001E-2</v>
      </c>
      <c r="BA310" s="168">
        <v>0.11284988569</v>
      </c>
      <c r="BB310" s="168">
        <f>IF(BA310="","",BA310-BA$6)</f>
        <v>5.9362921132E-2</v>
      </c>
      <c r="BC310" s="168">
        <v>0.25371286173000002</v>
      </c>
      <c r="BD310" s="168">
        <f>IF(BC310="","",BC310-BC$6)</f>
        <v>5.9404295240000016E-2</v>
      </c>
      <c r="BE310" s="168"/>
      <c r="BF310" s="168" t="str">
        <f>IF(BE310="","",BE310-BE$6)</f>
        <v/>
      </c>
      <c r="BG310" s="168"/>
      <c r="BH310" s="168" t="str">
        <f>IF(BG310="","",BG310-BG$6)</f>
        <v/>
      </c>
      <c r="BI310" s="168"/>
      <c r="BJ310" s="168" t="str">
        <f>IF(BI310="","",BI310-BI$6)</f>
        <v/>
      </c>
      <c r="BK310" s="169">
        <v>1.4090752718999999</v>
      </c>
      <c r="BL310" s="115"/>
      <c r="BM310" s="170">
        <v>5.7211174553000003E-3</v>
      </c>
      <c r="BN310" s="163">
        <v>-2.9695853646000002E-3</v>
      </c>
      <c r="BO310" s="163">
        <v>1.4061711894E-2</v>
      </c>
      <c r="BP310" s="163">
        <v>2.0084297866999998E-3</v>
      </c>
      <c r="BQ310" s="171">
        <v>12</v>
      </c>
      <c r="BR310" s="171">
        <v>0</v>
      </c>
      <c r="BS310" s="171">
        <v>8</v>
      </c>
      <c r="BT310" s="171">
        <v>4</v>
      </c>
      <c r="BU310" s="172">
        <v>7.5497239605999994E-2</v>
      </c>
      <c r="BV310" s="172"/>
      <c r="BW310" s="163">
        <v>1.4566445021E-3</v>
      </c>
      <c r="BX310" s="163">
        <v>6.0823189352999997E-4</v>
      </c>
      <c r="BY310" s="161">
        <v>4.3938397878999997E-3</v>
      </c>
      <c r="BZ310" s="163">
        <v>-4.1680236897000001E-3</v>
      </c>
      <c r="CA310" s="163">
        <v>-4.1680236897000001E-3</v>
      </c>
      <c r="CB310" s="154">
        <v>45190</v>
      </c>
      <c r="CC310" s="154">
        <v>45194</v>
      </c>
      <c r="CD310" s="173">
        <v>4</v>
      </c>
      <c r="CE310" s="174">
        <v>45196</v>
      </c>
      <c r="CF310" s="116"/>
    </row>
    <row r="311" spans="2:84" ht="15.6" x14ac:dyDescent="0.3">
      <c r="B311" s="98" t="s">
        <v>52</v>
      </c>
      <c r="C311" s="175" t="s">
        <v>313</v>
      </c>
      <c r="D311" s="176" t="s">
        <v>88</v>
      </c>
      <c r="E311" s="176" t="s">
        <v>226</v>
      </c>
      <c r="F311" s="177">
        <v>12489315000123</v>
      </c>
      <c r="G311" s="177" t="s">
        <v>369</v>
      </c>
      <c r="H311" s="177" t="s">
        <v>388</v>
      </c>
      <c r="I311" s="178">
        <v>3</v>
      </c>
      <c r="J311" s="179" t="s">
        <v>107</v>
      </c>
      <c r="K311" s="179" t="s">
        <v>126</v>
      </c>
      <c r="L311" s="179" t="s">
        <v>118</v>
      </c>
      <c r="M311" s="179" t="s">
        <v>114</v>
      </c>
      <c r="N311" s="179" t="s">
        <v>109</v>
      </c>
      <c r="O311" s="180">
        <v>210900</v>
      </c>
      <c r="P311" s="181">
        <v>210900000</v>
      </c>
      <c r="Q311" s="181">
        <v>1000</v>
      </c>
      <c r="R311" s="182">
        <v>41805</v>
      </c>
      <c r="S311" s="182">
        <v>46736</v>
      </c>
      <c r="T311" s="183" t="s">
        <v>152</v>
      </c>
      <c r="U311" s="183" t="s">
        <v>183</v>
      </c>
      <c r="V311" s="182" t="s">
        <v>194</v>
      </c>
      <c r="W311" s="182" t="s">
        <v>102</v>
      </c>
      <c r="X311" s="182" t="s">
        <v>207</v>
      </c>
      <c r="Y311" s="182">
        <v>46249</v>
      </c>
      <c r="Z311" s="184">
        <f>IFERROR(INDEX(Base!G:G,MATCH('Debêntures IPCA-Spread'!Y311,Base!F:F,0)),"")</f>
        <v>6.5365000000000002</v>
      </c>
      <c r="AA311" s="115"/>
      <c r="AB311" s="185">
        <v>45552</v>
      </c>
      <c r="AC311" s="186">
        <v>6.2697000000000003</v>
      </c>
      <c r="AD311" s="187">
        <f t="shared" si="15"/>
        <v>-0.26679999999999993</v>
      </c>
      <c r="AE311" s="188">
        <v>0.24</v>
      </c>
      <c r="AF311" s="189">
        <v>6.6336000000000004</v>
      </c>
      <c r="AG311" s="189">
        <v>6.0130999999999997</v>
      </c>
      <c r="AH311" s="190">
        <v>1078.491644</v>
      </c>
      <c r="AI311" s="190">
        <v>1122.6979211</v>
      </c>
      <c r="AJ311" s="191">
        <f t="shared" si="14"/>
        <v>0.96062495862049202</v>
      </c>
      <c r="AK311" s="192">
        <v>45274</v>
      </c>
      <c r="AL311" s="193">
        <v>100.3</v>
      </c>
      <c r="AM311" s="194">
        <v>408</v>
      </c>
      <c r="AN311" s="115"/>
      <c r="AO311" s="195">
        <v>1.8105052949999999E-3</v>
      </c>
      <c r="AP311" s="196">
        <f>IF(AO311="","",AO311-AO$6)</f>
        <v>1.3303604100699999E-3</v>
      </c>
      <c r="AQ311" s="196">
        <v>7.7313251059000004E-3</v>
      </c>
      <c r="AR311" s="196">
        <f>IF(AQ311="","",AQ311-AQ$6)</f>
        <v>7.9488318588600004E-3</v>
      </c>
      <c r="AS311" s="196">
        <v>6.6270754949000005E-2</v>
      </c>
      <c r="AT311" s="196">
        <f>IF(AS311="","",AS311-AS$6)</f>
        <v>5.1544919894000008E-2</v>
      </c>
      <c r="AU311" s="196">
        <v>7.2711653592999999E-3</v>
      </c>
      <c r="AV311" s="196">
        <f>IF(AU311="","",AU311-AU$6)</f>
        <v>2.0339747955300001E-2</v>
      </c>
      <c r="AW311" s="196">
        <v>2.8239857351E-2</v>
      </c>
      <c r="AX311" s="196">
        <f>IF(AW311="","",AW311-AW$6)</f>
        <v>4.2447895629999996E-3</v>
      </c>
      <c r="AY311" s="196">
        <v>3.8976447751000003E-2</v>
      </c>
      <c r="AZ311" s="196">
        <f>IF(AY311="","",AY311-AY$6)</f>
        <v>2.4734192961000004E-2</v>
      </c>
      <c r="BA311" s="196">
        <v>-2.2869230345000002E-2</v>
      </c>
      <c r="BB311" s="196">
        <f>IF(BA311="","",BA311-BA$6)</f>
        <v>-7.6356194902999996E-2</v>
      </c>
      <c r="BC311" s="196">
        <v>0.10432402491999999</v>
      </c>
      <c r="BD311" s="196">
        <f>IF(BC311="","",BC311-BC$6)</f>
        <v>-8.9984541570000007E-2</v>
      </c>
      <c r="BE311" s="196">
        <v>0.20714952142000001</v>
      </c>
      <c r="BF311" s="196">
        <f>IF(BE311="","",BE311-BE$6)</f>
        <v>-5.4569818119999974E-2</v>
      </c>
      <c r="BG311" s="196">
        <v>0.33641524173999998</v>
      </c>
      <c r="BH311" s="196">
        <f>IF(BG311="","",BG311-BG$6)</f>
        <v>2.7498592929999954E-2</v>
      </c>
      <c r="BI311" s="196">
        <v>0.40692399930000001</v>
      </c>
      <c r="BJ311" s="196">
        <f>IF(BI311="","",BI311-BI$6)</f>
        <v>3.398098921999998E-2</v>
      </c>
      <c r="BK311" s="197">
        <v>11.123396212999999</v>
      </c>
      <c r="BL311" s="115"/>
      <c r="BM311" s="198">
        <v>6.1321402262999999E-3</v>
      </c>
      <c r="BN311" s="191">
        <v>-0.10354689911999999</v>
      </c>
      <c r="BO311" s="191">
        <v>1.5005392039999999E-2</v>
      </c>
      <c r="BP311" s="191">
        <v>-9.3600408292999995E-2</v>
      </c>
      <c r="BQ311" s="199">
        <v>10</v>
      </c>
      <c r="BR311" s="199">
        <v>2</v>
      </c>
      <c r="BS311" s="199">
        <v>6</v>
      </c>
      <c r="BT311" s="199">
        <v>6</v>
      </c>
      <c r="BU311" s="200">
        <v>-1.0973899220000001</v>
      </c>
      <c r="BV311" s="200">
        <v>-0.67383281490000002</v>
      </c>
      <c r="BW311" s="191">
        <v>1.0907826803000001E-2</v>
      </c>
      <c r="BX311" s="191">
        <v>2.1220591075000001E-3</v>
      </c>
      <c r="BY311" s="189">
        <v>-13.319692173</v>
      </c>
      <c r="BZ311" s="191">
        <v>-7.6283632226E-3</v>
      </c>
      <c r="CA311" s="191">
        <v>-0.10354689911999999</v>
      </c>
      <c r="CB311" s="182">
        <v>45274</v>
      </c>
      <c r="CC311" s="182">
        <v>45275</v>
      </c>
      <c r="CD311" s="201"/>
      <c r="CE311" s="202"/>
      <c r="CF311" s="116"/>
    </row>
    <row r="312" spans="2:84" ht="15.6" x14ac:dyDescent="0.3">
      <c r="B312" s="110" t="s">
        <v>2289</v>
      </c>
      <c r="C312" s="147" t="s">
        <v>2674</v>
      </c>
      <c r="D312" s="148" t="s">
        <v>2805</v>
      </c>
      <c r="E312" s="148" t="s">
        <v>227</v>
      </c>
      <c r="F312" s="149">
        <v>36619747000170</v>
      </c>
      <c r="G312" s="149" t="s">
        <v>2425</v>
      </c>
      <c r="H312" s="149" t="s">
        <v>388</v>
      </c>
      <c r="I312" s="150">
        <v>3</v>
      </c>
      <c r="J312" s="151" t="s">
        <v>107</v>
      </c>
      <c r="K312" s="151" t="s">
        <v>126</v>
      </c>
      <c r="L312" s="151" t="s">
        <v>112</v>
      </c>
      <c r="M312" s="151" t="s">
        <v>114</v>
      </c>
      <c r="N312" s="151" t="s">
        <v>109</v>
      </c>
      <c r="O312" s="152">
        <v>865000</v>
      </c>
      <c r="P312" s="153">
        <v>865000000</v>
      </c>
      <c r="Q312" s="153">
        <v>1000</v>
      </c>
      <c r="R312" s="154">
        <v>45397</v>
      </c>
      <c r="S312" s="154">
        <v>49049</v>
      </c>
      <c r="T312" s="155" t="s">
        <v>2816</v>
      </c>
      <c r="U312" s="155" t="s">
        <v>2759</v>
      </c>
      <c r="V312" s="154" t="s">
        <v>105</v>
      </c>
      <c r="W312" s="154" t="s">
        <v>102</v>
      </c>
      <c r="X312" s="154" t="s">
        <v>2544</v>
      </c>
      <c r="Y312" s="154">
        <v>48441</v>
      </c>
      <c r="Z312" s="156">
        <f>IFERROR(INDEX(Base!G:G,MATCH('Debêntures IPCA-Spread'!Y312,Base!F:F,0)),"")</f>
        <v>6.3467000000000002</v>
      </c>
      <c r="AA312" s="115"/>
      <c r="AB312" s="157">
        <v>45552</v>
      </c>
      <c r="AC312" s="158">
        <v>7.1005000000000003</v>
      </c>
      <c r="AD312" s="159">
        <f t="shared" si="15"/>
        <v>0.75380000000000003</v>
      </c>
      <c r="AE312" s="160">
        <v>0.16</v>
      </c>
      <c r="AF312" s="161">
        <v>7.3590999999999998</v>
      </c>
      <c r="AG312" s="161">
        <v>6.9749999999999996</v>
      </c>
      <c r="AH312" s="162">
        <v>1052.0137130000001</v>
      </c>
      <c r="AI312" s="162"/>
      <c r="AJ312" s="163" t="str">
        <f t="shared" si="14"/>
        <v/>
      </c>
      <c r="AK312" s="164"/>
      <c r="AL312" s="165">
        <v>101.41</v>
      </c>
      <c r="AM312" s="166">
        <v>1452</v>
      </c>
      <c r="AN312" s="115"/>
      <c r="AO312" s="167">
        <v>1.5564689164999999E-3</v>
      </c>
      <c r="AP312" s="168">
        <f>IF(AO312="","",AO312-AO$6)</f>
        <v>1.0763240315699999E-3</v>
      </c>
      <c r="AQ312" s="168">
        <v>7.1399046573999998E-3</v>
      </c>
      <c r="AR312" s="168">
        <f>IF(AQ312="","",AQ312-AQ$6)</f>
        <v>7.3574114103599998E-3</v>
      </c>
      <c r="AS312" s="168"/>
      <c r="AT312" s="168" t="str">
        <f>IF(AS312="","",AS312-AS$6)</f>
        <v/>
      </c>
      <c r="AU312" s="168">
        <v>2.0314541797999998E-3</v>
      </c>
      <c r="AV312" s="168">
        <f>IF(AU312="","",AU312-AU$6)</f>
        <v>1.51000367758E-2</v>
      </c>
      <c r="AW312" s="168"/>
      <c r="AX312" s="168" t="str">
        <f>IF(AW312="","",AW312-AW$6)</f>
        <v/>
      </c>
      <c r="AY312" s="168"/>
      <c r="AZ312" s="168" t="str">
        <f>IF(AY312="","",AY312-AY$6)</f>
        <v/>
      </c>
      <c r="BA312" s="168"/>
      <c r="BB312" s="168" t="str">
        <f>IF(BA312="","",BA312-BA$6)</f>
        <v/>
      </c>
      <c r="BC312" s="168"/>
      <c r="BD312" s="168" t="str">
        <f>IF(BC312="","",BC312-BC$6)</f>
        <v/>
      </c>
      <c r="BE312" s="168"/>
      <c r="BF312" s="168" t="str">
        <f>IF(BE312="","",BE312-BE$6)</f>
        <v/>
      </c>
      <c r="BG312" s="168"/>
      <c r="BH312" s="168" t="str">
        <f>IF(BG312="","",BG312-BG$6)</f>
        <v/>
      </c>
      <c r="BI312" s="168"/>
      <c r="BJ312" s="168" t="str">
        <f>IF(BI312="","",BI312-BI$6)</f>
        <v/>
      </c>
      <c r="BK312" s="169"/>
      <c r="BL312" s="115"/>
      <c r="BM312" s="170">
        <v>8.5239402323999992E-3</v>
      </c>
      <c r="BN312" s="163">
        <v>-5.7055258621000002E-3</v>
      </c>
      <c r="BO312" s="163">
        <v>2.7624072980000001E-2</v>
      </c>
      <c r="BP312" s="163">
        <v>7.1399046573999998E-3</v>
      </c>
      <c r="BQ312" s="171"/>
      <c r="BR312" s="171"/>
      <c r="BS312" s="171"/>
      <c r="BT312" s="171"/>
      <c r="BU312" s="172"/>
      <c r="BV312" s="172"/>
      <c r="BW312" s="163"/>
      <c r="BX312" s="163">
        <v>4.1622405934000004E-3</v>
      </c>
      <c r="BY312" s="161"/>
      <c r="BZ312" s="163">
        <v>-1.4832273042999999E-2</v>
      </c>
      <c r="CA312" s="163">
        <v>-1.4832273042999999E-2</v>
      </c>
      <c r="CB312" s="154">
        <v>45467</v>
      </c>
      <c r="CC312" s="154">
        <v>45474</v>
      </c>
      <c r="CD312" s="173">
        <v>9</v>
      </c>
      <c r="CE312" s="174">
        <v>45478</v>
      </c>
      <c r="CF312" s="116"/>
    </row>
    <row r="313" spans="2:84" ht="15.6" x14ac:dyDescent="0.3">
      <c r="B313" s="98" t="s">
        <v>564</v>
      </c>
      <c r="C313" s="175" t="s">
        <v>729</v>
      </c>
      <c r="D313" s="176" t="s">
        <v>645</v>
      </c>
      <c r="E313" s="176" t="s">
        <v>226</v>
      </c>
      <c r="F313" s="177">
        <v>23274194000119</v>
      </c>
      <c r="G313" s="177" t="s">
        <v>884</v>
      </c>
      <c r="H313" s="177" t="s">
        <v>388</v>
      </c>
      <c r="I313" s="178">
        <v>1</v>
      </c>
      <c r="J313" s="179">
        <v>2</v>
      </c>
      <c r="K313" s="179" t="s">
        <v>127</v>
      </c>
      <c r="L313" s="179" t="s">
        <v>119</v>
      </c>
      <c r="M313" s="179" t="s">
        <v>106</v>
      </c>
      <c r="N313" s="179" t="s">
        <v>109</v>
      </c>
      <c r="O313" s="180">
        <v>800000</v>
      </c>
      <c r="P313" s="181">
        <v>800000000</v>
      </c>
      <c r="Q313" s="181">
        <v>1000</v>
      </c>
      <c r="R313" s="182">
        <v>43784</v>
      </c>
      <c r="S313" s="182">
        <v>47437</v>
      </c>
      <c r="T313" s="183" t="s">
        <v>799</v>
      </c>
      <c r="U313" s="183" t="s">
        <v>948</v>
      </c>
      <c r="V313" s="182" t="s">
        <v>105</v>
      </c>
      <c r="W313" s="182" t="s">
        <v>102</v>
      </c>
      <c r="X313" s="182" t="s">
        <v>1352</v>
      </c>
      <c r="Y313" s="182">
        <v>46980</v>
      </c>
      <c r="Z313" s="184">
        <f>IFERROR(INDEX(Base!G:G,MATCH('Debêntures IPCA-Spread'!Y313,Base!F:F,0)),"")</f>
        <v>6.4702000000000002</v>
      </c>
      <c r="AA313" s="115"/>
      <c r="AB313" s="185">
        <v>45552</v>
      </c>
      <c r="AC313" s="186">
        <v>6.4610000000000003</v>
      </c>
      <c r="AD313" s="187">
        <f t="shared" si="15"/>
        <v>-9.1999999999998749E-3</v>
      </c>
      <c r="AE313" s="188">
        <v>0.05</v>
      </c>
      <c r="AF313" s="189">
        <v>6.6336000000000004</v>
      </c>
      <c r="AG313" s="189">
        <v>6.2587999999999999</v>
      </c>
      <c r="AH313" s="190">
        <v>1234.733714</v>
      </c>
      <c r="AI313" s="190">
        <v>1235.3051190000001</v>
      </c>
      <c r="AJ313" s="191">
        <f t="shared" si="14"/>
        <v>0.99953743816712859</v>
      </c>
      <c r="AK313" s="192">
        <v>45548</v>
      </c>
      <c r="AL313" s="193">
        <v>93.2</v>
      </c>
      <c r="AM313" s="194">
        <v>780</v>
      </c>
      <c r="AN313" s="115"/>
      <c r="AO313" s="195">
        <v>8.4671249169000003E-4</v>
      </c>
      <c r="AP313" s="196">
        <f>IF(AO313="","",AO313-AO$6)</f>
        <v>3.6656760676000003E-4</v>
      </c>
      <c r="AQ313" s="196">
        <v>6.6968419924000001E-3</v>
      </c>
      <c r="AR313" s="196">
        <f>IF(AQ313="","",AQ313-AQ$6)</f>
        <v>6.9143487453600001E-3</v>
      </c>
      <c r="AS313" s="196">
        <v>6.5153187242999996E-2</v>
      </c>
      <c r="AT313" s="196">
        <f>IF(AS313="","",AS313-AS$6)</f>
        <v>5.0427352187999999E-2</v>
      </c>
      <c r="AU313" s="196">
        <v>1.6359536894000001E-3</v>
      </c>
      <c r="AV313" s="196">
        <f>IF(AU313="","",AU313-AU$6)</f>
        <v>1.4704536285399999E-2</v>
      </c>
      <c r="AW313" s="196">
        <v>3.0994563578000001E-2</v>
      </c>
      <c r="AX313" s="196">
        <f>IF(AW313="","",AW313-AW$6)</f>
        <v>6.9994957900000009E-3</v>
      </c>
      <c r="AY313" s="196">
        <v>3.4118614126999999E-2</v>
      </c>
      <c r="AZ313" s="196">
        <f>IF(AY313="","",AY313-AY$6)</f>
        <v>1.9876359337000001E-2</v>
      </c>
      <c r="BA313" s="196">
        <v>9.5264132400000007E-2</v>
      </c>
      <c r="BB313" s="196">
        <f>IF(BA313="","",BA313-BA$6)</f>
        <v>4.1777167842000008E-2</v>
      </c>
      <c r="BC313" s="196">
        <v>0.23254886831999999</v>
      </c>
      <c r="BD313" s="196">
        <f>IF(BC313="","",BC313-BC$6)</f>
        <v>3.824030182999999E-2</v>
      </c>
      <c r="BE313" s="196">
        <v>0.33712261549</v>
      </c>
      <c r="BF313" s="196">
        <f>IF(BE313="","",BE313-BE$6)</f>
        <v>7.5403275950000015E-2</v>
      </c>
      <c r="BG313" s="196">
        <v>0.44902733803</v>
      </c>
      <c r="BH313" s="196">
        <f>IF(BG313="","",BG313-BG$6)</f>
        <v>0.14011068921999997</v>
      </c>
      <c r="BI313" s="196"/>
      <c r="BJ313" s="196" t="str">
        <f>IF(BI313="","",BI313-BI$6)</f>
        <v/>
      </c>
      <c r="BK313" s="197">
        <v>3.4410732897999998</v>
      </c>
      <c r="BL313" s="115"/>
      <c r="BM313" s="198">
        <v>8.2241200506999994E-3</v>
      </c>
      <c r="BN313" s="191">
        <v>-5.5363260734999998E-3</v>
      </c>
      <c r="BO313" s="191">
        <v>2.3515501373999999E-2</v>
      </c>
      <c r="BP313" s="191">
        <v>-6.4925603856000004E-3</v>
      </c>
      <c r="BQ313" s="199">
        <v>10</v>
      </c>
      <c r="BR313" s="199">
        <v>2</v>
      </c>
      <c r="BS313" s="199">
        <v>7</v>
      </c>
      <c r="BT313" s="199">
        <v>5</v>
      </c>
      <c r="BU313" s="200">
        <v>-0.41462140221999999</v>
      </c>
      <c r="BV313" s="200">
        <v>-0.29554232607000003</v>
      </c>
      <c r="BW313" s="191">
        <v>3.5559754571000001E-3</v>
      </c>
      <c r="BX313" s="191">
        <v>2.6413896789000001E-3</v>
      </c>
      <c r="BY313" s="189">
        <v>-2.0721342613</v>
      </c>
      <c r="BZ313" s="191">
        <v>-1.697484027E-2</v>
      </c>
      <c r="CA313" s="191">
        <v>-1.697484027E-2</v>
      </c>
      <c r="CB313" s="182">
        <v>45187</v>
      </c>
      <c r="CC313" s="182">
        <v>45202</v>
      </c>
      <c r="CD313" s="201">
        <v>41</v>
      </c>
      <c r="CE313" s="202">
        <v>45247</v>
      </c>
      <c r="CF313" s="116"/>
    </row>
    <row r="314" spans="2:84" ht="15.6" x14ac:dyDescent="0.3">
      <c r="B314" s="110" t="s">
        <v>1459</v>
      </c>
      <c r="C314" s="147" t="s">
        <v>2105</v>
      </c>
      <c r="D314" s="148" t="s">
        <v>1911</v>
      </c>
      <c r="E314" s="148" t="s">
        <v>104</v>
      </c>
      <c r="F314" s="149">
        <v>41774224000138</v>
      </c>
      <c r="G314" s="149" t="s">
        <v>1818</v>
      </c>
      <c r="H314" s="149" t="s">
        <v>388</v>
      </c>
      <c r="I314" s="150">
        <v>1</v>
      </c>
      <c r="J314" s="151" t="s">
        <v>107</v>
      </c>
      <c r="K314" s="151" t="s">
        <v>111</v>
      </c>
      <c r="L314" s="151" t="s">
        <v>1742</v>
      </c>
      <c r="M314" s="151" t="s">
        <v>986</v>
      </c>
      <c r="N314" s="151" t="s">
        <v>109</v>
      </c>
      <c r="O314" s="152">
        <v>600000</v>
      </c>
      <c r="P314" s="153">
        <v>600000000</v>
      </c>
      <c r="Q314" s="153">
        <v>1000</v>
      </c>
      <c r="R314" s="154">
        <v>44635</v>
      </c>
      <c r="S314" s="154">
        <v>52671</v>
      </c>
      <c r="T314" s="155" t="s">
        <v>2000</v>
      </c>
      <c r="U314" s="155" t="s">
        <v>1696</v>
      </c>
      <c r="V314" s="154" t="s">
        <v>194</v>
      </c>
      <c r="W314" s="154" t="s">
        <v>102</v>
      </c>
      <c r="X314" s="154" t="s">
        <v>1586</v>
      </c>
      <c r="Y314" s="154">
        <v>49444</v>
      </c>
      <c r="Z314" s="156">
        <f>IFERROR(INDEX(Base!G:G,MATCH('Debêntures IPCA-Spread'!Y314,Base!F:F,0)),"")</f>
        <v>6.3137999999999996</v>
      </c>
      <c r="AA314" s="115"/>
      <c r="AB314" s="157">
        <v>45552</v>
      </c>
      <c r="AC314" s="158">
        <v>7.0461</v>
      </c>
      <c r="AD314" s="159">
        <f t="shared" si="15"/>
        <v>0.7323000000000004</v>
      </c>
      <c r="AE314" s="160">
        <v>0.03</v>
      </c>
      <c r="AF314" s="161">
        <v>7.2361000000000004</v>
      </c>
      <c r="AG314" s="161">
        <v>6.9074999999999998</v>
      </c>
      <c r="AH314" s="162">
        <v>1103.6058330000001</v>
      </c>
      <c r="AI314" s="162">
        <v>1136.6456713</v>
      </c>
      <c r="AJ314" s="163">
        <f t="shared" si="14"/>
        <v>0.97093215666566368</v>
      </c>
      <c r="AK314" s="164">
        <v>45517</v>
      </c>
      <c r="AL314" s="165">
        <v>101.81</v>
      </c>
      <c r="AM314" s="166">
        <v>2140</v>
      </c>
      <c r="AN314" s="115"/>
      <c r="AO314" s="167">
        <v>-3.4509741909E-4</v>
      </c>
      <c r="AP314" s="168">
        <f>IF(AO314="","",AO314-AO$6)</f>
        <v>-8.2524230402000005E-4</v>
      </c>
      <c r="AQ314" s="168">
        <v>-1.6039438742E-3</v>
      </c>
      <c r="AR314" s="168">
        <f>IF(AQ314="","",AQ314-AQ$6)</f>
        <v>-1.3864371212399999E-3</v>
      </c>
      <c r="AS314" s="168">
        <v>4.2650057941999997E-2</v>
      </c>
      <c r="AT314" s="168">
        <f>IF(AS314="","",AS314-AS$6)</f>
        <v>2.7924222886999996E-2</v>
      </c>
      <c r="AU314" s="168">
        <v>-2.2426762723E-2</v>
      </c>
      <c r="AV314" s="168">
        <f>IF(AU314="","",AU314-AU$6)</f>
        <v>-9.3581801269999997E-3</v>
      </c>
      <c r="AW314" s="168">
        <v>3.5379352746999999E-2</v>
      </c>
      <c r="AX314" s="168">
        <f>IF(AW314="","",AW314-AW$6)</f>
        <v>1.1384284958999999E-2</v>
      </c>
      <c r="AY314" s="168">
        <v>1.0065540116000001E-2</v>
      </c>
      <c r="AZ314" s="168">
        <f>IF(AY314="","",AY314-AY$6)</f>
        <v>-4.1767146739999997E-3</v>
      </c>
      <c r="BA314" s="168">
        <v>0.12354026921</v>
      </c>
      <c r="BB314" s="168">
        <f>IF(BA314="","",BA314-BA$6)</f>
        <v>7.0053304651999992E-2</v>
      </c>
      <c r="BC314" s="168">
        <v>0.27143521031000001</v>
      </c>
      <c r="BD314" s="168">
        <f>IF(BC314="","",BC314-BC$6)</f>
        <v>7.7126643820000007E-2</v>
      </c>
      <c r="BE314" s="168"/>
      <c r="BF314" s="168" t="str">
        <f>IF(BE314="","",BE314-BE$6)</f>
        <v/>
      </c>
      <c r="BG314" s="168"/>
      <c r="BH314" s="168" t="str">
        <f>IF(BG314="","",BG314-BG$6)</f>
        <v/>
      </c>
      <c r="BI314" s="168"/>
      <c r="BJ314" s="168" t="str">
        <f>IF(BI314="","",BI314-BI$6)</f>
        <v/>
      </c>
      <c r="BK314" s="169">
        <v>7.8527731907999998</v>
      </c>
      <c r="BL314" s="115"/>
      <c r="BM314" s="170">
        <v>1.9126271023000001E-2</v>
      </c>
      <c r="BN314" s="163">
        <v>-1.6384352469E-2</v>
      </c>
      <c r="BO314" s="163">
        <v>3.7110467467000002E-2</v>
      </c>
      <c r="BP314" s="163">
        <v>-3.2534012463E-2</v>
      </c>
      <c r="BQ314" s="171">
        <v>8</v>
      </c>
      <c r="BR314" s="171">
        <v>4</v>
      </c>
      <c r="BS314" s="171">
        <v>6</v>
      </c>
      <c r="BT314" s="171">
        <v>6</v>
      </c>
      <c r="BU314" s="172">
        <v>0.17445014763</v>
      </c>
      <c r="BV314" s="172"/>
      <c r="BW314" s="163">
        <v>8.1209164165999999E-3</v>
      </c>
      <c r="BX314" s="163">
        <v>5.6742495861000003E-3</v>
      </c>
      <c r="BY314" s="161">
        <v>0.75230867137000001</v>
      </c>
      <c r="BZ314" s="163">
        <v>-3.6545593416E-2</v>
      </c>
      <c r="CA314" s="163">
        <v>-3.6545593416E-2</v>
      </c>
      <c r="CB314" s="154">
        <v>45364</v>
      </c>
      <c r="CC314" s="154">
        <v>45418</v>
      </c>
      <c r="CD314" s="173">
        <v>86</v>
      </c>
      <c r="CE314" s="174">
        <v>45489</v>
      </c>
      <c r="CF314" s="116"/>
    </row>
    <row r="315" spans="2:84" ht="15.6" x14ac:dyDescent="0.3">
      <c r="B315" s="98" t="s">
        <v>264</v>
      </c>
      <c r="C315" s="175" t="s">
        <v>314</v>
      </c>
      <c r="D315" s="176" t="s">
        <v>89</v>
      </c>
      <c r="E315" s="176" t="s">
        <v>226</v>
      </c>
      <c r="F315" s="177">
        <v>2998301000181</v>
      </c>
      <c r="G315" s="177" t="s">
        <v>370</v>
      </c>
      <c r="H315" s="177" t="s">
        <v>388</v>
      </c>
      <c r="I315" s="178">
        <v>8</v>
      </c>
      <c r="J315" s="179">
        <v>2</v>
      </c>
      <c r="K315" s="179" t="s">
        <v>127</v>
      </c>
      <c r="L315" s="179" t="s">
        <v>118</v>
      </c>
      <c r="M315" s="179" t="s">
        <v>106</v>
      </c>
      <c r="N315" s="179" t="s">
        <v>117</v>
      </c>
      <c r="O315" s="180">
        <v>160000</v>
      </c>
      <c r="P315" s="181">
        <v>160000000</v>
      </c>
      <c r="Q315" s="181">
        <v>1000</v>
      </c>
      <c r="R315" s="182">
        <v>43174</v>
      </c>
      <c r="S315" s="182">
        <v>45731</v>
      </c>
      <c r="T315" s="183" t="s">
        <v>277</v>
      </c>
      <c r="U315" s="183" t="s">
        <v>165</v>
      </c>
      <c r="V315" s="182" t="s">
        <v>105</v>
      </c>
      <c r="W315" s="182" t="s">
        <v>102</v>
      </c>
      <c r="X315" s="182" t="s">
        <v>1340</v>
      </c>
      <c r="Y315" s="182">
        <v>45792</v>
      </c>
      <c r="Z315" s="184">
        <f>IFERROR(INDEX(Base!G:G,MATCH('Debêntures IPCA-Spread'!Y315,Base!F:F,0)),"")</f>
        <v>5.73</v>
      </c>
      <c r="AA315" s="115"/>
      <c r="AB315" s="185">
        <v>45552</v>
      </c>
      <c r="AC315" s="186">
        <v>6.6531000000000002</v>
      </c>
      <c r="AD315" s="187">
        <f t="shared" si="15"/>
        <v>0.92309999999999981</v>
      </c>
      <c r="AE315" s="188">
        <v>0.26</v>
      </c>
      <c r="AF315" s="189">
        <v>7.0080999999999998</v>
      </c>
      <c r="AG315" s="189">
        <v>6.3235000000000001</v>
      </c>
      <c r="AH315" s="190">
        <v>719.14972999999998</v>
      </c>
      <c r="AI315" s="190">
        <v>719.14972999999998</v>
      </c>
      <c r="AJ315" s="191">
        <f t="shared" si="14"/>
        <v>1</v>
      </c>
      <c r="AK315" s="192">
        <v>45552</v>
      </c>
      <c r="AL315" s="193">
        <v>99.47</v>
      </c>
      <c r="AM315" s="194">
        <v>123</v>
      </c>
      <c r="AN315" s="115"/>
      <c r="AO315" s="195">
        <v>1.4882372852E-3</v>
      </c>
      <c r="AP315" s="196">
        <f>IF(AO315="","",AO315-AO$6)</f>
        <v>1.00809240027E-3</v>
      </c>
      <c r="AQ315" s="196">
        <v>5.5078430796000003E-3</v>
      </c>
      <c r="AR315" s="196">
        <f>IF(AQ315="","",AQ315-AQ$6)</f>
        <v>5.7253498325600003E-3</v>
      </c>
      <c r="AS315" s="196">
        <v>9.7038396833000001E-2</v>
      </c>
      <c r="AT315" s="196">
        <f>IF(AS315="","",AS315-AS$6)</f>
        <v>8.2312561778000004E-2</v>
      </c>
      <c r="AU315" s="196">
        <v>8.6862626176000008E-3</v>
      </c>
      <c r="AV315" s="196">
        <f>IF(AU315="","",AU315-AU$6)</f>
        <v>2.1754845213600001E-2</v>
      </c>
      <c r="AW315" s="196">
        <v>2.9315553463999999E-2</v>
      </c>
      <c r="AX315" s="196">
        <f>IF(AW315="","",AW315-AW$6)</f>
        <v>5.3204856759999988E-3</v>
      </c>
      <c r="AY315" s="196">
        <v>6.5470820427000004E-2</v>
      </c>
      <c r="AZ315" s="196">
        <f>IF(AY315="","",AY315-AY$6)</f>
        <v>5.1228565637000005E-2</v>
      </c>
      <c r="BA315" s="196">
        <v>0.12752728288000001</v>
      </c>
      <c r="BB315" s="196">
        <f>IF(BA315="","",BA315-BA$6)</f>
        <v>7.4040318322000004E-2</v>
      </c>
      <c r="BC315" s="196">
        <v>0.27715246587999998</v>
      </c>
      <c r="BD315" s="196">
        <f>IF(BC315="","",BC315-BC$6)</f>
        <v>8.2843899389999975E-2</v>
      </c>
      <c r="BE315" s="196">
        <v>0.42239861064000001</v>
      </c>
      <c r="BF315" s="196">
        <f>IF(BE315="","",BE315-BE$6)</f>
        <v>0.16067927110000002</v>
      </c>
      <c r="BG315" s="196">
        <v>0.50438149926999998</v>
      </c>
      <c r="BH315" s="196">
        <f>IF(BG315="","",BG315-BG$6)</f>
        <v>0.19546485045999995</v>
      </c>
      <c r="BI315" s="196">
        <v>0.61850301664999996</v>
      </c>
      <c r="BJ315" s="196">
        <f>IF(BI315="","",BI315-BI$6)</f>
        <v>0.24556000656999993</v>
      </c>
      <c r="BK315" s="197">
        <v>1.1514697630999999</v>
      </c>
      <c r="BL315" s="115"/>
      <c r="BM315" s="198">
        <v>3.9597569593999996E-3</v>
      </c>
      <c r="BN315" s="191">
        <v>-1.9827921515000002E-3</v>
      </c>
      <c r="BO315" s="191">
        <v>1.6874023645999998E-2</v>
      </c>
      <c r="BP315" s="191">
        <v>5.3799037742000002E-3</v>
      </c>
      <c r="BQ315" s="199">
        <v>12</v>
      </c>
      <c r="BR315" s="199">
        <v>0</v>
      </c>
      <c r="BS315" s="199">
        <v>8</v>
      </c>
      <c r="BT315" s="199">
        <v>4</v>
      </c>
      <c r="BU315" s="200">
        <v>1.2323321773</v>
      </c>
      <c r="BV315" s="200">
        <v>0.29485867194999998</v>
      </c>
      <c r="BW315" s="191">
        <v>1.1903166101000001E-3</v>
      </c>
      <c r="BX315" s="191">
        <v>1.1738288417000001E-3</v>
      </c>
      <c r="BY315" s="189">
        <v>1.5018310891</v>
      </c>
      <c r="BZ315" s="191">
        <v>-2.3496428955999999E-3</v>
      </c>
      <c r="CA315" s="191">
        <v>-2.3496428955999999E-3</v>
      </c>
      <c r="CB315" s="182">
        <v>45519</v>
      </c>
      <c r="CC315" s="182">
        <v>45523</v>
      </c>
      <c r="CD315" s="201">
        <v>8</v>
      </c>
      <c r="CE315" s="202">
        <v>45531</v>
      </c>
      <c r="CF315" s="116"/>
    </row>
    <row r="316" spans="2:84" ht="15.6" x14ac:dyDescent="0.3">
      <c r="B316" s="110" t="s">
        <v>1114</v>
      </c>
      <c r="C316" s="147" t="s">
        <v>1278</v>
      </c>
      <c r="D316" s="148" t="s">
        <v>1143</v>
      </c>
      <c r="E316" s="148" t="s">
        <v>1147</v>
      </c>
      <c r="F316" s="149">
        <v>47080619000117</v>
      </c>
      <c r="G316" s="149" t="s">
        <v>1175</v>
      </c>
      <c r="H316" s="149" t="s">
        <v>388</v>
      </c>
      <c r="I316" s="150">
        <v>5</v>
      </c>
      <c r="J316" s="151" t="s">
        <v>107</v>
      </c>
      <c r="K316" s="151" t="s">
        <v>111</v>
      </c>
      <c r="L316" s="151" t="s">
        <v>125</v>
      </c>
      <c r="M316" s="151" t="s">
        <v>986</v>
      </c>
      <c r="N316" s="151" t="s">
        <v>109</v>
      </c>
      <c r="O316" s="152">
        <v>480000</v>
      </c>
      <c r="P316" s="153">
        <v>480000000</v>
      </c>
      <c r="Q316" s="153">
        <v>1000</v>
      </c>
      <c r="R316" s="154">
        <v>44362</v>
      </c>
      <c r="S316" s="154">
        <v>46553</v>
      </c>
      <c r="T316" s="155" t="s">
        <v>1241</v>
      </c>
      <c r="U316" s="155" t="s">
        <v>1216</v>
      </c>
      <c r="V316" s="154" t="s">
        <v>105</v>
      </c>
      <c r="W316" s="154" t="s">
        <v>102</v>
      </c>
      <c r="X316" s="154" t="s">
        <v>1354</v>
      </c>
      <c r="Y316" s="154">
        <v>46249</v>
      </c>
      <c r="Z316" s="156">
        <f>IFERROR(INDEX(Base!G:G,MATCH('Debêntures IPCA-Spread'!Y316,Base!F:F,0)),"")</f>
        <v>6.5365000000000002</v>
      </c>
      <c r="AA316" s="115"/>
      <c r="AB316" s="157">
        <v>45552</v>
      </c>
      <c r="AC316" s="158">
        <v>7.2680999999999996</v>
      </c>
      <c r="AD316" s="159">
        <f t="shared" si="15"/>
        <v>0.73159999999999936</v>
      </c>
      <c r="AE316" s="160">
        <v>7.0000000000000007E-2</v>
      </c>
      <c r="AF316" s="161"/>
      <c r="AG316" s="161">
        <v>7.1345000000000001</v>
      </c>
      <c r="AH316" s="162">
        <v>1225.1816920000001</v>
      </c>
      <c r="AI316" s="162">
        <v>1225.1816920000001</v>
      </c>
      <c r="AJ316" s="163">
        <f t="shared" si="14"/>
        <v>1</v>
      </c>
      <c r="AK316" s="164">
        <v>45552</v>
      </c>
      <c r="AL316" s="165">
        <v>98.19</v>
      </c>
      <c r="AM316" s="166">
        <v>407</v>
      </c>
      <c r="AN316" s="115"/>
      <c r="AO316" s="167">
        <v>9.3752696556999998E-4</v>
      </c>
      <c r="AP316" s="168">
        <f>IF(AO316="","",AO316-AO$6)</f>
        <v>4.5738208063999999E-4</v>
      </c>
      <c r="AQ316" s="168">
        <v>7.0972805478999998E-3</v>
      </c>
      <c r="AR316" s="168">
        <f>IF(AQ316="","",AQ316-AQ$6)</f>
        <v>7.3147873008599998E-3</v>
      </c>
      <c r="AS316" s="168">
        <v>9.3093755306000003E-2</v>
      </c>
      <c r="AT316" s="168">
        <f>IF(AS316="","",AS316-AS$6)</f>
        <v>7.8367920251000006E-2</v>
      </c>
      <c r="AU316" s="168">
        <v>7.3873172713999997E-3</v>
      </c>
      <c r="AV316" s="168">
        <f>IF(AU316="","",AU316-AU$6)</f>
        <v>2.0455899867399999E-2</v>
      </c>
      <c r="AW316" s="168">
        <v>3.2168150198999997E-2</v>
      </c>
      <c r="AX316" s="168">
        <f>IF(AW316="","",AW316-AW$6)</f>
        <v>8.1730824109999961E-3</v>
      </c>
      <c r="AY316" s="168">
        <v>5.1887799786999998E-2</v>
      </c>
      <c r="AZ316" s="168">
        <f>IF(AY316="","",AY316-AY$6)</f>
        <v>3.7645544996999999E-2</v>
      </c>
      <c r="BA316" s="168">
        <v>0.12607475160000001</v>
      </c>
      <c r="BB316" s="168">
        <f>IF(BA316="","",BA316-BA$6)</f>
        <v>7.2587787042000002E-2</v>
      </c>
      <c r="BC316" s="168">
        <v>0.27212552830999998</v>
      </c>
      <c r="BD316" s="168">
        <f>IF(BC316="","",BC316-BC$6)</f>
        <v>7.7816961819999975E-2</v>
      </c>
      <c r="BE316" s="168"/>
      <c r="BF316" s="168" t="str">
        <f>IF(BE316="","",BE316-BE$6)</f>
        <v/>
      </c>
      <c r="BG316" s="168"/>
      <c r="BH316" s="168" t="str">
        <f>IF(BG316="","",BG316-BG$6)</f>
        <v/>
      </c>
      <c r="BI316" s="168"/>
      <c r="BJ316" s="168" t="str">
        <f>IF(BI316="","",BI316-BI$6)</f>
        <v/>
      </c>
      <c r="BK316" s="169">
        <v>3.3016703579</v>
      </c>
      <c r="BL316" s="115"/>
      <c r="BM316" s="170">
        <v>7.4640308085000004E-3</v>
      </c>
      <c r="BN316" s="163">
        <v>-4.7722905456000003E-3</v>
      </c>
      <c r="BO316" s="163">
        <v>2.5529467986000001E-2</v>
      </c>
      <c r="BP316" s="163">
        <v>2.5922098029999998E-4</v>
      </c>
      <c r="BQ316" s="171">
        <v>12</v>
      </c>
      <c r="BR316" s="171">
        <v>0</v>
      </c>
      <c r="BS316" s="171">
        <v>8</v>
      </c>
      <c r="BT316" s="171">
        <v>4</v>
      </c>
      <c r="BU316" s="172">
        <v>0.40615029046000001</v>
      </c>
      <c r="BV316" s="172">
        <v>-8.6393193157000003E-2</v>
      </c>
      <c r="BW316" s="163">
        <v>3.4129706912999999E-3</v>
      </c>
      <c r="BX316" s="163">
        <v>1.8687911431E-3</v>
      </c>
      <c r="BY316" s="161">
        <v>1.1940905702</v>
      </c>
      <c r="BZ316" s="163">
        <v>-1.1921187821E-2</v>
      </c>
      <c r="CA316" s="163">
        <v>-1.1921187821E-2</v>
      </c>
      <c r="CB316" s="154">
        <v>45188</v>
      </c>
      <c r="CC316" s="154">
        <v>45204</v>
      </c>
      <c r="CD316" s="173">
        <v>15</v>
      </c>
      <c r="CE316" s="174">
        <v>45209</v>
      </c>
      <c r="CF316" s="116"/>
    </row>
    <row r="317" spans="2:84" ht="15.6" x14ac:dyDescent="0.3">
      <c r="B317" s="98" t="s">
        <v>1460</v>
      </c>
      <c r="C317" s="175" t="s">
        <v>2106</v>
      </c>
      <c r="D317" s="176" t="s">
        <v>2806</v>
      </c>
      <c r="E317" s="176" t="s">
        <v>226</v>
      </c>
      <c r="F317" s="177">
        <v>32431519000110</v>
      </c>
      <c r="G317" s="177" t="s">
        <v>1819</v>
      </c>
      <c r="H317" s="177" t="s">
        <v>388</v>
      </c>
      <c r="I317" s="178">
        <v>1</v>
      </c>
      <c r="J317" s="179" t="s">
        <v>107</v>
      </c>
      <c r="K317" s="179" t="s">
        <v>126</v>
      </c>
      <c r="L317" s="179" t="s">
        <v>118</v>
      </c>
      <c r="M317" s="179" t="s">
        <v>106</v>
      </c>
      <c r="N317" s="179" t="s">
        <v>109</v>
      </c>
      <c r="O317" s="180">
        <v>1287240</v>
      </c>
      <c r="P317" s="181">
        <v>1287240000</v>
      </c>
      <c r="Q317" s="181">
        <v>1000</v>
      </c>
      <c r="R317" s="182">
        <v>44666</v>
      </c>
      <c r="S317" s="182">
        <v>50571</v>
      </c>
      <c r="T317" s="183" t="s">
        <v>2001</v>
      </c>
      <c r="U317" s="183" t="s">
        <v>1649</v>
      </c>
      <c r="V317" s="182" t="s">
        <v>194</v>
      </c>
      <c r="W317" s="182" t="s">
        <v>102</v>
      </c>
      <c r="X317" s="182" t="s">
        <v>1587</v>
      </c>
      <c r="Y317" s="182">
        <v>48441</v>
      </c>
      <c r="Z317" s="184">
        <f>IFERROR(INDEX(Base!G:G,MATCH('Debêntures IPCA-Spread'!Y317,Base!F:F,0)),"")</f>
        <v>6.3467000000000002</v>
      </c>
      <c r="AA317" s="115"/>
      <c r="AB317" s="185">
        <v>45552</v>
      </c>
      <c r="AC317" s="186">
        <v>6.76</v>
      </c>
      <c r="AD317" s="187">
        <f t="shared" si="15"/>
        <v>0.41329999999999956</v>
      </c>
      <c r="AE317" s="188">
        <v>0.25</v>
      </c>
      <c r="AF317" s="189">
        <v>7.1318000000000001</v>
      </c>
      <c r="AG317" s="189">
        <v>6.7590000000000003</v>
      </c>
      <c r="AH317" s="190">
        <v>1352.5037359999999</v>
      </c>
      <c r="AI317" s="190">
        <v>1357.50792</v>
      </c>
      <c r="AJ317" s="191">
        <f t="shared" si="14"/>
        <v>0.99631369811824</v>
      </c>
      <c r="AK317" s="192">
        <v>45544</v>
      </c>
      <c r="AL317" s="193">
        <v>108.2</v>
      </c>
      <c r="AM317" s="194">
        <v>1452</v>
      </c>
      <c r="AN317" s="115"/>
      <c r="AO317" s="195">
        <v>-4.7957559490999999E-4</v>
      </c>
      <c r="AP317" s="196">
        <f>IF(AO317="","",AO317-AO$6)</f>
        <v>-9.5972047984000004E-4</v>
      </c>
      <c r="AQ317" s="196">
        <v>4.3815345798E-3</v>
      </c>
      <c r="AR317" s="196">
        <f>IF(AQ317="","",AQ317-AQ$6)</f>
        <v>4.59904133276E-3</v>
      </c>
      <c r="AS317" s="196">
        <v>0.10978982397000001</v>
      </c>
      <c r="AT317" s="196">
        <f>IF(AS317="","",AS317-AS$6)</f>
        <v>9.5063988915000008E-2</v>
      </c>
      <c r="AU317" s="196">
        <v>1.3923025077E-2</v>
      </c>
      <c r="AV317" s="196">
        <f>IF(AU317="","",AU317-AU$6)</f>
        <v>2.6991607673E-2</v>
      </c>
      <c r="AW317" s="196">
        <v>6.2799931919999996E-2</v>
      </c>
      <c r="AX317" s="196">
        <f>IF(AW317="","",AW317-AW$6)</f>
        <v>3.8804864131999996E-2</v>
      </c>
      <c r="AY317" s="196">
        <v>5.4823639333000003E-2</v>
      </c>
      <c r="AZ317" s="196">
        <f>IF(AY317="","",AY317-AY$6)</f>
        <v>4.0581384543000004E-2</v>
      </c>
      <c r="BA317" s="196">
        <v>0.15121310426000001</v>
      </c>
      <c r="BB317" s="196">
        <f>IF(BA317="","",BA317-BA$6)</f>
        <v>9.7726139702000003E-2</v>
      </c>
      <c r="BC317" s="196">
        <v>0.37907071784000002</v>
      </c>
      <c r="BD317" s="196">
        <f>IF(BC317="","",BC317-BC$6)</f>
        <v>0.18476215135000001</v>
      </c>
      <c r="BE317" s="196"/>
      <c r="BF317" s="196" t="str">
        <f>IF(BE317="","",BE317-BE$6)</f>
        <v/>
      </c>
      <c r="BG317" s="196"/>
      <c r="BH317" s="196" t="str">
        <f>IF(BG317="","",BG317-BG$6)</f>
        <v/>
      </c>
      <c r="BI317" s="196"/>
      <c r="BJ317" s="196" t="str">
        <f>IF(BI317="","",BI317-BI$6)</f>
        <v/>
      </c>
      <c r="BK317" s="197">
        <v>4.9868560776999997</v>
      </c>
      <c r="BL317" s="115"/>
      <c r="BM317" s="198">
        <v>1.3088168949000001E-2</v>
      </c>
      <c r="BN317" s="191">
        <v>-8.8708176800000003E-3</v>
      </c>
      <c r="BO317" s="191">
        <v>3.6488129615000003E-2</v>
      </c>
      <c r="BP317" s="191">
        <v>-1.2390159644999999E-2</v>
      </c>
      <c r="BQ317" s="199">
        <v>9</v>
      </c>
      <c r="BR317" s="199">
        <v>3</v>
      </c>
      <c r="BS317" s="199">
        <v>7</v>
      </c>
      <c r="BT317" s="199">
        <v>5</v>
      </c>
      <c r="BU317" s="200">
        <v>0.73658081331000003</v>
      </c>
      <c r="BV317" s="200"/>
      <c r="BW317" s="191">
        <v>5.1563757465000002E-3</v>
      </c>
      <c r="BX317" s="191">
        <v>4.9335217968999997E-3</v>
      </c>
      <c r="BY317" s="189">
        <v>3.4842327387999998</v>
      </c>
      <c r="BZ317" s="191">
        <v>-2.1702098037999999E-2</v>
      </c>
      <c r="CA317" s="191">
        <v>-2.1702098037999999E-2</v>
      </c>
      <c r="CB317" s="182">
        <v>45187</v>
      </c>
      <c r="CC317" s="182">
        <v>45222</v>
      </c>
      <c r="CD317" s="201">
        <v>41</v>
      </c>
      <c r="CE317" s="202">
        <v>45247</v>
      </c>
      <c r="CF317" s="116"/>
    </row>
    <row r="318" spans="2:84" ht="15.6" x14ac:dyDescent="0.3">
      <c r="B318" s="110" t="s">
        <v>1461</v>
      </c>
      <c r="C318" s="147" t="s">
        <v>2107</v>
      </c>
      <c r="D318" s="148" t="s">
        <v>1912</v>
      </c>
      <c r="E318" s="148" t="s">
        <v>1956</v>
      </c>
      <c r="F318" s="149">
        <v>12648327000153</v>
      </c>
      <c r="G318" s="149" t="s">
        <v>1820</v>
      </c>
      <c r="H318" s="149" t="s">
        <v>388</v>
      </c>
      <c r="I318" s="150">
        <v>1</v>
      </c>
      <c r="J318" s="151">
        <v>1</v>
      </c>
      <c r="K318" s="151" t="s">
        <v>111</v>
      </c>
      <c r="L318" s="151" t="s">
        <v>125</v>
      </c>
      <c r="M318" s="151" t="s">
        <v>986</v>
      </c>
      <c r="N318" s="151" t="s">
        <v>109</v>
      </c>
      <c r="O318" s="152">
        <v>280000</v>
      </c>
      <c r="P318" s="153">
        <v>280000000</v>
      </c>
      <c r="Q318" s="153">
        <v>1000</v>
      </c>
      <c r="R318" s="154">
        <v>44484</v>
      </c>
      <c r="S318" s="154">
        <v>47041</v>
      </c>
      <c r="T318" s="155" t="s">
        <v>2002</v>
      </c>
      <c r="U318" s="155" t="s">
        <v>113</v>
      </c>
      <c r="V318" s="154" t="s">
        <v>105</v>
      </c>
      <c r="W318" s="154" t="s">
        <v>102</v>
      </c>
      <c r="X318" s="154" t="s">
        <v>1588</v>
      </c>
      <c r="Y318" s="154">
        <v>46980</v>
      </c>
      <c r="Z318" s="156">
        <f>IFERROR(INDEX(Base!G:G,MATCH('Debêntures IPCA-Spread'!Y318,Base!F:F,0)),"")</f>
        <v>6.4702000000000002</v>
      </c>
      <c r="AA318" s="115"/>
      <c r="AB318" s="157">
        <v>45552</v>
      </c>
      <c r="AC318" s="158">
        <v>6.9635999999999996</v>
      </c>
      <c r="AD318" s="159">
        <f t="shared" si="15"/>
        <v>0.49339999999999939</v>
      </c>
      <c r="AE318" s="160">
        <v>0.3</v>
      </c>
      <c r="AF318" s="161">
        <v>7.0533999999999999</v>
      </c>
      <c r="AG318" s="161">
        <v>6.7675999999999998</v>
      </c>
      <c r="AH318" s="162">
        <v>1148.7273339999999</v>
      </c>
      <c r="AI318" s="162">
        <v>1149.628136</v>
      </c>
      <c r="AJ318" s="163">
        <f t="shared" si="14"/>
        <v>0.9992164405412568</v>
      </c>
      <c r="AK318" s="164">
        <v>45540</v>
      </c>
      <c r="AL318" s="165">
        <v>96.83</v>
      </c>
      <c r="AM318" s="166">
        <v>898</v>
      </c>
      <c r="AN318" s="115"/>
      <c r="AO318" s="167">
        <v>1.1406613883999999E-3</v>
      </c>
      <c r="AP318" s="168">
        <f>IF(AO318="","",AO318-AO$6)</f>
        <v>6.6051650346999995E-4</v>
      </c>
      <c r="AQ318" s="168">
        <v>1.1727690872999999E-2</v>
      </c>
      <c r="AR318" s="168">
        <f>IF(AQ318="","",AQ318-AQ$6)</f>
        <v>1.1945197625959999E-2</v>
      </c>
      <c r="AS318" s="168">
        <v>7.9376170076999999E-2</v>
      </c>
      <c r="AT318" s="168">
        <f>IF(AS318="","",AS318-AS$6)</f>
        <v>6.4650335022000002E-2</v>
      </c>
      <c r="AU318" s="168">
        <v>8.0856488075E-3</v>
      </c>
      <c r="AV318" s="168">
        <f>IF(AU318="","",AU318-AU$6)</f>
        <v>2.11542314035E-2</v>
      </c>
      <c r="AW318" s="168">
        <v>3.8105183627000001E-2</v>
      </c>
      <c r="AX318" s="168">
        <f>IF(AW318="","",AW318-AW$6)</f>
        <v>1.4110115839000001E-2</v>
      </c>
      <c r="AY318" s="168">
        <v>3.4218910000999997E-2</v>
      </c>
      <c r="AZ318" s="168">
        <f>IF(AY318="","",AY318-AY$6)</f>
        <v>1.9976655210999998E-2</v>
      </c>
      <c r="BA318" s="168">
        <v>0.12177958469</v>
      </c>
      <c r="BB318" s="168">
        <f>IF(BA318="","",BA318-BA$6)</f>
        <v>6.8292620131999993E-2</v>
      </c>
      <c r="BC318" s="168">
        <v>0.24306327994999999</v>
      </c>
      <c r="BD318" s="168">
        <f>IF(BC318="","",BC318-BC$6)</f>
        <v>4.8754713459999988E-2</v>
      </c>
      <c r="BE318" s="168"/>
      <c r="BF318" s="168" t="str">
        <f>IF(BE318="","",BE318-BE$6)</f>
        <v/>
      </c>
      <c r="BG318" s="168"/>
      <c r="BH318" s="168" t="str">
        <f>IF(BG318="","",BG318-BG$6)</f>
        <v/>
      </c>
      <c r="BI318" s="168"/>
      <c r="BJ318" s="168" t="str">
        <f>IF(BI318="","",BI318-BI$6)</f>
        <v/>
      </c>
      <c r="BK318" s="169">
        <v>4.1691973556999997</v>
      </c>
      <c r="BL318" s="115"/>
      <c r="BM318" s="170">
        <v>7.0528917659E-3</v>
      </c>
      <c r="BN318" s="163">
        <v>-9.0335531613000009E-3</v>
      </c>
      <c r="BO318" s="163">
        <v>3.0089945831000001E-2</v>
      </c>
      <c r="BP318" s="163">
        <v>-8.6135918427000004E-3</v>
      </c>
      <c r="BQ318" s="171">
        <v>9</v>
      </c>
      <c r="BR318" s="171">
        <v>3</v>
      </c>
      <c r="BS318" s="171">
        <v>7</v>
      </c>
      <c r="BT318" s="171">
        <v>5</v>
      </c>
      <c r="BU318" s="172">
        <v>0.23693000009000001</v>
      </c>
      <c r="BV318" s="172"/>
      <c r="BW318" s="163">
        <v>4.3075862712000004E-3</v>
      </c>
      <c r="BX318" s="163">
        <v>4.1014940357999999E-3</v>
      </c>
      <c r="BY318" s="161">
        <v>0.57212712236999996</v>
      </c>
      <c r="BZ318" s="163">
        <v>-2.0572790293E-2</v>
      </c>
      <c r="CA318" s="163">
        <v>-2.0572790293E-2</v>
      </c>
      <c r="CB318" s="154">
        <v>45391</v>
      </c>
      <c r="CC318" s="154">
        <v>45398</v>
      </c>
      <c r="CD318" s="173">
        <v>25</v>
      </c>
      <c r="CE318" s="174">
        <v>45427</v>
      </c>
      <c r="CF318" s="116"/>
    </row>
    <row r="319" spans="2:84" ht="15.6" x14ac:dyDescent="0.3">
      <c r="B319" s="98" t="s">
        <v>1462</v>
      </c>
      <c r="C319" s="175" t="s">
        <v>2108</v>
      </c>
      <c r="D319" s="176" t="s">
        <v>1912</v>
      </c>
      <c r="E319" s="176" t="s">
        <v>1956</v>
      </c>
      <c r="F319" s="177">
        <v>12648327000153</v>
      </c>
      <c r="G319" s="177" t="s">
        <v>1821</v>
      </c>
      <c r="H319" s="177" t="s">
        <v>388</v>
      </c>
      <c r="I319" s="178">
        <v>1</v>
      </c>
      <c r="J319" s="179">
        <v>2</v>
      </c>
      <c r="K319" s="179" t="s">
        <v>111</v>
      </c>
      <c r="L319" s="179" t="s">
        <v>125</v>
      </c>
      <c r="M319" s="179" t="s">
        <v>986</v>
      </c>
      <c r="N319" s="179" t="s">
        <v>109</v>
      </c>
      <c r="O319" s="180">
        <v>100000</v>
      </c>
      <c r="P319" s="181">
        <v>100000000</v>
      </c>
      <c r="Q319" s="181">
        <v>1000</v>
      </c>
      <c r="R319" s="182">
        <v>44484</v>
      </c>
      <c r="S319" s="182">
        <v>48136</v>
      </c>
      <c r="T319" s="183" t="s">
        <v>2002</v>
      </c>
      <c r="U319" s="183" t="s">
        <v>1697</v>
      </c>
      <c r="V319" s="182" t="s">
        <v>105</v>
      </c>
      <c r="W319" s="182" t="s">
        <v>102</v>
      </c>
      <c r="X319" s="182" t="s">
        <v>1589</v>
      </c>
      <c r="Y319" s="182">
        <v>47710</v>
      </c>
      <c r="Z319" s="184">
        <f>IFERROR(INDEX(Base!G:G,MATCH('Debêntures IPCA-Spread'!Y319,Base!F:F,0)),"")</f>
        <v>6.3273999999999999</v>
      </c>
      <c r="AA319" s="115"/>
      <c r="AB319" s="185">
        <v>45552</v>
      </c>
      <c r="AC319" s="186">
        <v>6.9455999999999998</v>
      </c>
      <c r="AD319" s="187">
        <f t="shared" si="15"/>
        <v>0.61819999999999986</v>
      </c>
      <c r="AE319" s="188">
        <v>0.24</v>
      </c>
      <c r="AF319" s="189">
        <v>7.0879000000000003</v>
      </c>
      <c r="AG319" s="189">
        <v>6.7760999999999996</v>
      </c>
      <c r="AH319" s="190">
        <v>1137.3672019999999</v>
      </c>
      <c r="AI319" s="190">
        <v>1145.341698</v>
      </c>
      <c r="AJ319" s="191">
        <f t="shared" ref="AJ319:AJ382" si="16">IFERROR(AH319/AI319,"")</f>
        <v>0.99303745247909414</v>
      </c>
      <c r="AK319" s="192">
        <v>45540</v>
      </c>
      <c r="AL319" s="193">
        <v>95.86</v>
      </c>
      <c r="AM319" s="194">
        <v>1256</v>
      </c>
      <c r="AN319" s="115"/>
      <c r="AO319" s="195">
        <v>1.0645405854999999E-3</v>
      </c>
      <c r="AP319" s="196">
        <f>IF(AO319="","",AO319-AO$6)</f>
        <v>5.8439570056999994E-4</v>
      </c>
      <c r="AQ319" s="196">
        <v>1.0760508175000001E-2</v>
      </c>
      <c r="AR319" s="196">
        <f>IF(AQ319="","",AQ319-AQ$6)</f>
        <v>1.097801492796E-2</v>
      </c>
      <c r="AS319" s="196">
        <v>8.6684827704000003E-2</v>
      </c>
      <c r="AT319" s="196">
        <f>IF(AS319="","",AS319-AS$6)</f>
        <v>7.1958992649000006E-2</v>
      </c>
      <c r="AU319" s="196">
        <v>-2.9355599235999998E-4</v>
      </c>
      <c r="AV319" s="196">
        <f>IF(AU319="","",AU319-AU$6)</f>
        <v>1.2775026603639999E-2</v>
      </c>
      <c r="AW319" s="196">
        <v>4.2537702559000003E-2</v>
      </c>
      <c r="AX319" s="196">
        <f>IF(AW319="","",AW319-AW$6)</f>
        <v>1.8542634771000002E-2</v>
      </c>
      <c r="AY319" s="196">
        <v>3.8221940857000002E-2</v>
      </c>
      <c r="AZ319" s="196">
        <f>IF(AY319="","",AY319-AY$6)</f>
        <v>2.3979686067000003E-2</v>
      </c>
      <c r="BA319" s="196">
        <v>0.12621454423</v>
      </c>
      <c r="BB319" s="196">
        <f>IF(BA319="","",BA319-BA$6)</f>
        <v>7.2727579671999998E-2</v>
      </c>
      <c r="BC319" s="196">
        <v>0.25326177001</v>
      </c>
      <c r="BD319" s="196">
        <f>IF(BC319="","",BC319-BC$6)</f>
        <v>5.8953203519999997E-2</v>
      </c>
      <c r="BE319" s="196"/>
      <c r="BF319" s="196" t="str">
        <f>IF(BE319="","",BE319-BE$6)</f>
        <v/>
      </c>
      <c r="BG319" s="196"/>
      <c r="BH319" s="196" t="str">
        <f>IF(BG319="","",BG319-BG$6)</f>
        <v/>
      </c>
      <c r="BI319" s="196"/>
      <c r="BJ319" s="196" t="str">
        <f>IF(BI319="","",BI319-BI$6)</f>
        <v/>
      </c>
      <c r="BK319" s="197">
        <v>5.7758390543999996</v>
      </c>
      <c r="BL319" s="115"/>
      <c r="BM319" s="198">
        <v>1.5778508917999999E-2</v>
      </c>
      <c r="BN319" s="191">
        <v>-8.5773270830000001E-3</v>
      </c>
      <c r="BO319" s="191">
        <v>3.7495222777999999E-2</v>
      </c>
      <c r="BP319" s="191">
        <v>-1.4611032382999999E-2</v>
      </c>
      <c r="BQ319" s="199">
        <v>9</v>
      </c>
      <c r="BR319" s="199">
        <v>3</v>
      </c>
      <c r="BS319" s="199">
        <v>8</v>
      </c>
      <c r="BT319" s="199">
        <v>4</v>
      </c>
      <c r="BU319" s="200">
        <v>0.25379045534</v>
      </c>
      <c r="BV319" s="200"/>
      <c r="BW319" s="191">
        <v>5.9780172622E-3</v>
      </c>
      <c r="BX319" s="191">
        <v>6.1891097133999996E-3</v>
      </c>
      <c r="BY319" s="189">
        <v>1.0671109561000001</v>
      </c>
      <c r="BZ319" s="191">
        <v>-1.6947874060999998E-2</v>
      </c>
      <c r="CA319" s="191">
        <v>-1.6947874060999998E-2</v>
      </c>
      <c r="CB319" s="182">
        <v>45391</v>
      </c>
      <c r="CC319" s="182">
        <v>45406</v>
      </c>
      <c r="CD319" s="201">
        <v>32</v>
      </c>
      <c r="CE319" s="202">
        <v>45436</v>
      </c>
      <c r="CF319" s="116"/>
    </row>
    <row r="320" spans="2:84" ht="15.6" x14ac:dyDescent="0.3">
      <c r="B320" s="110" t="s">
        <v>1463</v>
      </c>
      <c r="C320" s="147" t="s">
        <v>2109</v>
      </c>
      <c r="D320" s="148" t="s">
        <v>1913</v>
      </c>
      <c r="E320" s="148" t="s">
        <v>228</v>
      </c>
      <c r="F320" s="149">
        <v>18903785000178</v>
      </c>
      <c r="G320" s="149" t="s">
        <v>1822</v>
      </c>
      <c r="H320" s="149" t="s">
        <v>388</v>
      </c>
      <c r="I320" s="150">
        <v>1</v>
      </c>
      <c r="J320" s="151" t="s">
        <v>107</v>
      </c>
      <c r="K320" s="151" t="s">
        <v>126</v>
      </c>
      <c r="L320" s="151" t="s">
        <v>112</v>
      </c>
      <c r="M320" s="151" t="s">
        <v>114</v>
      </c>
      <c r="N320" s="151" t="s">
        <v>109</v>
      </c>
      <c r="O320" s="152">
        <v>1400000</v>
      </c>
      <c r="P320" s="153">
        <v>1400000000</v>
      </c>
      <c r="Q320" s="153">
        <v>1000</v>
      </c>
      <c r="R320" s="154">
        <v>44484</v>
      </c>
      <c r="S320" s="154">
        <v>49963</v>
      </c>
      <c r="T320" s="155" t="s">
        <v>2836</v>
      </c>
      <c r="U320" s="155" t="s">
        <v>1698</v>
      </c>
      <c r="V320" s="154" t="s">
        <v>194</v>
      </c>
      <c r="W320" s="154" t="s">
        <v>102</v>
      </c>
      <c r="X320" s="154" t="s">
        <v>1590</v>
      </c>
      <c r="Y320" s="154">
        <v>48441</v>
      </c>
      <c r="Z320" s="156">
        <f>IFERROR(INDEX(Base!G:G,MATCH('Debêntures IPCA-Spread'!Y320,Base!F:F,0)),"")</f>
        <v>6.3467000000000002</v>
      </c>
      <c r="AA320" s="115"/>
      <c r="AB320" s="157">
        <v>45552</v>
      </c>
      <c r="AC320" s="158">
        <v>6.8659999999999997</v>
      </c>
      <c r="AD320" s="159">
        <f t="shared" si="15"/>
        <v>0.51929999999999943</v>
      </c>
      <c r="AE320" s="160">
        <v>0.03</v>
      </c>
      <c r="AF320" s="161">
        <v>7.0155000000000003</v>
      </c>
      <c r="AG320" s="161">
        <v>6.7588999999999997</v>
      </c>
      <c r="AH320" s="162">
        <v>1191.400187</v>
      </c>
      <c r="AI320" s="162">
        <v>1211.4123890000001</v>
      </c>
      <c r="AJ320" s="163">
        <f t="shared" si="16"/>
        <v>0.98348027295930185</v>
      </c>
      <c r="AK320" s="164">
        <v>45517</v>
      </c>
      <c r="AL320" s="165">
        <v>98.93</v>
      </c>
      <c r="AM320" s="166">
        <v>1438</v>
      </c>
      <c r="AN320" s="115"/>
      <c r="AO320" s="167">
        <v>-1.1649840025E-3</v>
      </c>
      <c r="AP320" s="168">
        <f>IF(AO320="","",AO320-AO$6)</f>
        <v>-1.64512888743E-3</v>
      </c>
      <c r="AQ320" s="168">
        <v>-1.1077976031999999E-3</v>
      </c>
      <c r="AR320" s="168">
        <f>IF(AQ320="","",AQ320-AQ$6)</f>
        <v>-8.9029085023999989E-4</v>
      </c>
      <c r="AS320" s="168">
        <v>7.2469048556999996E-2</v>
      </c>
      <c r="AT320" s="168">
        <f>IF(AS320="","",AS320-AS$6)</f>
        <v>5.7743213501999999E-2</v>
      </c>
      <c r="AU320" s="168">
        <v>-1.356413435E-2</v>
      </c>
      <c r="AV320" s="168">
        <f>IF(AU320="","",AU320-AU$6)</f>
        <v>-4.9555175399999991E-4</v>
      </c>
      <c r="AW320" s="168">
        <v>3.5672618085000003E-2</v>
      </c>
      <c r="AX320" s="168">
        <f>IF(AW320="","",AW320-AW$6)</f>
        <v>1.1677550297000003E-2</v>
      </c>
      <c r="AY320" s="168">
        <v>2.4548936391999999E-2</v>
      </c>
      <c r="AZ320" s="168">
        <f>IF(AY320="","",AY320-AY$6)</f>
        <v>1.0306681601999998E-2</v>
      </c>
      <c r="BA320" s="168">
        <v>0.10647095548</v>
      </c>
      <c r="BB320" s="168">
        <f>IF(BA320="","",BA320-BA$6)</f>
        <v>5.2983990922000006E-2</v>
      </c>
      <c r="BC320" s="168">
        <v>0.27524902750000002</v>
      </c>
      <c r="BD320" s="168">
        <f>IF(BC320="","",BC320-BC$6)</f>
        <v>8.094046101000002E-2</v>
      </c>
      <c r="BE320" s="168"/>
      <c r="BF320" s="168" t="str">
        <f>IF(BE320="","",BE320-BE$6)</f>
        <v/>
      </c>
      <c r="BG320" s="168"/>
      <c r="BH320" s="168" t="str">
        <f>IF(BG320="","",BG320-BG$6)</f>
        <v/>
      </c>
      <c r="BI320" s="168"/>
      <c r="BJ320" s="168" t="str">
        <f>IF(BI320="","",BI320-BI$6)</f>
        <v/>
      </c>
      <c r="BK320" s="169">
        <v>5.3122941197999998</v>
      </c>
      <c r="BL320" s="115"/>
      <c r="BM320" s="170">
        <v>1.8812396538000001E-2</v>
      </c>
      <c r="BN320" s="163">
        <v>-1.4086497442000001E-2</v>
      </c>
      <c r="BO320" s="163">
        <v>3.6104541004999997E-2</v>
      </c>
      <c r="BP320" s="163">
        <v>-1.5675015792999999E-2</v>
      </c>
      <c r="BQ320" s="171">
        <v>8</v>
      </c>
      <c r="BR320" s="171">
        <v>4</v>
      </c>
      <c r="BS320" s="171">
        <v>6</v>
      </c>
      <c r="BT320" s="171">
        <v>6</v>
      </c>
      <c r="BU320" s="172">
        <v>-6.3320166684000007E-2</v>
      </c>
      <c r="BV320" s="172"/>
      <c r="BW320" s="163">
        <v>5.4940221287999996E-3</v>
      </c>
      <c r="BX320" s="163">
        <v>3.9736887885000001E-3</v>
      </c>
      <c r="BY320" s="161">
        <v>-1.0058376081</v>
      </c>
      <c r="BZ320" s="163">
        <v>-2.3696970046E-2</v>
      </c>
      <c r="CA320" s="163">
        <v>-2.3696970046E-2</v>
      </c>
      <c r="CB320" s="154">
        <v>45187</v>
      </c>
      <c r="CC320" s="154">
        <v>45229</v>
      </c>
      <c r="CD320" s="173">
        <v>45</v>
      </c>
      <c r="CE320" s="174">
        <v>45253</v>
      </c>
      <c r="CF320" s="116"/>
    </row>
    <row r="321" spans="2:84" ht="15.6" x14ac:dyDescent="0.3">
      <c r="B321" s="98" t="s">
        <v>1464</v>
      </c>
      <c r="C321" s="175" t="s">
        <v>2110</v>
      </c>
      <c r="D321" s="176" t="s">
        <v>1914</v>
      </c>
      <c r="E321" s="176" t="s">
        <v>231</v>
      </c>
      <c r="F321" s="177">
        <v>42353180000135</v>
      </c>
      <c r="G321" s="177" t="s">
        <v>1823</v>
      </c>
      <c r="H321" s="177" t="s">
        <v>388</v>
      </c>
      <c r="I321" s="178">
        <v>4</v>
      </c>
      <c r="J321" s="179">
        <v>1</v>
      </c>
      <c r="K321" s="179" t="s">
        <v>128</v>
      </c>
      <c r="L321" s="179" t="s">
        <v>125</v>
      </c>
      <c r="M321" s="179" t="s">
        <v>128</v>
      </c>
      <c r="N321" s="179" t="s">
        <v>109</v>
      </c>
      <c r="O321" s="180">
        <v>2000000</v>
      </c>
      <c r="P321" s="181">
        <v>2000000000</v>
      </c>
      <c r="Q321" s="181">
        <v>1000</v>
      </c>
      <c r="R321" s="182">
        <v>45061</v>
      </c>
      <c r="S321" s="182">
        <v>52366</v>
      </c>
      <c r="T321" s="183" t="s">
        <v>2003</v>
      </c>
      <c r="U321" s="183" t="s">
        <v>1699</v>
      </c>
      <c r="V321" s="182" t="s">
        <v>194</v>
      </c>
      <c r="W321" s="182" t="s">
        <v>102</v>
      </c>
      <c r="X321" s="182" t="s">
        <v>1591</v>
      </c>
      <c r="Y321" s="182">
        <v>49444</v>
      </c>
      <c r="Z321" s="184">
        <f>IFERROR(INDEX(Base!G:G,MATCH('Debêntures IPCA-Spread'!Y321,Base!F:F,0)),"")</f>
        <v>6.3137999999999996</v>
      </c>
      <c r="AA321" s="115"/>
      <c r="AB321" s="185">
        <v>45552</v>
      </c>
      <c r="AC321" s="186">
        <v>8.0370000000000008</v>
      </c>
      <c r="AD321" s="187">
        <f t="shared" si="15"/>
        <v>1.7232000000000012</v>
      </c>
      <c r="AE321" s="188">
        <v>0.09</v>
      </c>
      <c r="AF321" s="189">
        <v>8.2010000000000005</v>
      </c>
      <c r="AG321" s="189">
        <v>7.9035000000000002</v>
      </c>
      <c r="AH321" s="190">
        <v>1167.4445089999999</v>
      </c>
      <c r="AI321" s="190">
        <v>1216.3686439999999</v>
      </c>
      <c r="AJ321" s="191">
        <f t="shared" si="16"/>
        <v>0.95977852993717916</v>
      </c>
      <c r="AK321" s="192">
        <v>45519</v>
      </c>
      <c r="AL321" s="193">
        <v>101.3</v>
      </c>
      <c r="AM321" s="194">
        <v>2156</v>
      </c>
      <c r="AN321" s="115"/>
      <c r="AO321" s="195">
        <v>1.1119456576000001E-3</v>
      </c>
      <c r="AP321" s="196">
        <f>IF(AO321="","",AO321-AO$6)</f>
        <v>6.318007726700001E-4</v>
      </c>
      <c r="AQ321" s="196">
        <v>-3.7611302540999998E-3</v>
      </c>
      <c r="AR321" s="196">
        <f>IF(AQ321="","",AQ321-AQ$6)</f>
        <v>-3.5436235011399998E-3</v>
      </c>
      <c r="AS321" s="196">
        <v>6.3080034817000002E-2</v>
      </c>
      <c r="AT321" s="196">
        <f>IF(AS321="","",AS321-AS$6)</f>
        <v>4.8354199762000005E-2</v>
      </c>
      <c r="AU321" s="196">
        <v>-3.4745510972000002E-2</v>
      </c>
      <c r="AV321" s="196">
        <f>IF(AU321="","",AU321-AU$6)</f>
        <v>-2.1676928376E-2</v>
      </c>
      <c r="AW321" s="196">
        <v>4.1996787123999998E-2</v>
      </c>
      <c r="AX321" s="196">
        <f>IF(AW321="","",AW321-AW$6)</f>
        <v>1.8001719335999998E-2</v>
      </c>
      <c r="AY321" s="196">
        <v>1.4764960024E-2</v>
      </c>
      <c r="AZ321" s="196">
        <f>IF(AY321="","",AY321-AY$6)</f>
        <v>5.2270523399999998E-4</v>
      </c>
      <c r="BA321" s="196">
        <v>8.7615205037000002E-2</v>
      </c>
      <c r="BB321" s="196">
        <f>IF(BA321="","",BA321-BA$6)</f>
        <v>3.4128240479000004E-2</v>
      </c>
      <c r="BC321" s="196"/>
      <c r="BD321" s="196" t="str">
        <f>IF(BC321="","",BC321-BC$6)</f>
        <v/>
      </c>
      <c r="BE321" s="196"/>
      <c r="BF321" s="196" t="str">
        <f>IF(BE321="","",BE321-BE$6)</f>
        <v/>
      </c>
      <c r="BG321" s="196"/>
      <c r="BH321" s="196" t="str">
        <f>IF(BG321="","",BG321-BG$6)</f>
        <v/>
      </c>
      <c r="BI321" s="196"/>
      <c r="BJ321" s="196" t="str">
        <f>IF(BI321="","",BI321-BI$6)</f>
        <v/>
      </c>
      <c r="BK321" s="197">
        <v>9.6789013979000007</v>
      </c>
      <c r="BL321" s="115"/>
      <c r="BM321" s="198">
        <v>2.8101225023000002E-2</v>
      </c>
      <c r="BN321" s="191">
        <v>-2.7370094982999998E-2</v>
      </c>
      <c r="BO321" s="191">
        <v>4.1890150821999997E-2</v>
      </c>
      <c r="BP321" s="191">
        <v>-3.0178683873999999E-2</v>
      </c>
      <c r="BQ321" s="199">
        <v>8</v>
      </c>
      <c r="BR321" s="199">
        <v>4</v>
      </c>
      <c r="BS321" s="199">
        <v>6</v>
      </c>
      <c r="BT321" s="199">
        <v>6</v>
      </c>
      <c r="BU321" s="200">
        <v>-0.17724167866000001</v>
      </c>
      <c r="BV321" s="200"/>
      <c r="BW321" s="191">
        <v>9.9956846779999994E-3</v>
      </c>
      <c r="BX321" s="191">
        <v>6.1662939110999999E-3</v>
      </c>
      <c r="BY321" s="189">
        <v>-2.9663777466000001</v>
      </c>
      <c r="BZ321" s="191">
        <v>-5.9294142879999998E-2</v>
      </c>
      <c r="CA321" s="191">
        <v>-5.9294142879999998E-2</v>
      </c>
      <c r="CB321" s="182">
        <v>45189</v>
      </c>
      <c r="CC321" s="182">
        <v>45222</v>
      </c>
      <c r="CD321" s="201">
        <v>68</v>
      </c>
      <c r="CE321" s="202">
        <v>45289</v>
      </c>
      <c r="CF321" s="116"/>
    </row>
    <row r="322" spans="2:84" ht="15.6" x14ac:dyDescent="0.3">
      <c r="B322" s="110" t="s">
        <v>2290</v>
      </c>
      <c r="C322" s="147" t="s">
        <v>2675</v>
      </c>
      <c r="D322" s="148" t="s">
        <v>1914</v>
      </c>
      <c r="E322" s="148" t="s">
        <v>231</v>
      </c>
      <c r="F322" s="149">
        <v>42353180000135</v>
      </c>
      <c r="G322" s="149" t="s">
        <v>2426</v>
      </c>
      <c r="H322" s="149" t="s">
        <v>388</v>
      </c>
      <c r="I322" s="150">
        <v>5</v>
      </c>
      <c r="J322" s="151" t="s">
        <v>107</v>
      </c>
      <c r="K322" s="151" t="s">
        <v>128</v>
      </c>
      <c r="L322" s="151" t="s">
        <v>2466</v>
      </c>
      <c r="M322" s="151" t="s">
        <v>114</v>
      </c>
      <c r="N322" s="151" t="s">
        <v>109</v>
      </c>
      <c r="O322" s="152">
        <v>2700000</v>
      </c>
      <c r="P322" s="153">
        <v>2700000000</v>
      </c>
      <c r="Q322" s="153">
        <v>1000</v>
      </c>
      <c r="R322" s="154">
        <v>45366</v>
      </c>
      <c r="S322" s="154">
        <v>52642</v>
      </c>
      <c r="T322" s="155" t="s">
        <v>2837</v>
      </c>
      <c r="U322" s="155" t="s">
        <v>2760</v>
      </c>
      <c r="V322" s="154" t="s">
        <v>194</v>
      </c>
      <c r="W322" s="154" t="s">
        <v>102</v>
      </c>
      <c r="X322" s="154" t="s">
        <v>2545</v>
      </c>
      <c r="Y322" s="154">
        <v>49444</v>
      </c>
      <c r="Z322" s="156">
        <f>IFERROR(INDEX(Base!G:G,MATCH('Debêntures IPCA-Spread'!Y322,Base!F:F,0)),"")</f>
        <v>6.3137999999999996</v>
      </c>
      <c r="AA322" s="115"/>
      <c r="AB322" s="157">
        <v>45552</v>
      </c>
      <c r="AC322" s="158">
        <v>8.0802999999999994</v>
      </c>
      <c r="AD322" s="159">
        <f t="shared" si="15"/>
        <v>1.7664999999999997</v>
      </c>
      <c r="AE322" s="160">
        <v>0.22</v>
      </c>
      <c r="AF322" s="161">
        <v>8.3504000000000005</v>
      </c>
      <c r="AG322" s="161">
        <v>8.0086999999999993</v>
      </c>
      <c r="AH322" s="162">
        <v>968.47937899999999</v>
      </c>
      <c r="AI322" s="162"/>
      <c r="AJ322" s="163" t="str">
        <f t="shared" si="16"/>
        <v/>
      </c>
      <c r="AK322" s="164"/>
      <c r="AL322" s="165">
        <v>92.34</v>
      </c>
      <c r="AM322" s="166">
        <v>2253</v>
      </c>
      <c r="AN322" s="115"/>
      <c r="AO322" s="167">
        <v>1.5185961509999999E-3</v>
      </c>
      <c r="AP322" s="168">
        <f>IF(AO322="","",AO322-AO$6)</f>
        <v>1.0384512660699999E-3</v>
      </c>
      <c r="AQ322" s="168">
        <v>-4.1935490089999999E-3</v>
      </c>
      <c r="AR322" s="168">
        <f>IF(AQ322="","",AQ322-AQ$6)</f>
        <v>-3.9760422560399999E-3</v>
      </c>
      <c r="AS322" s="168"/>
      <c r="AT322" s="168" t="str">
        <f>IF(AS322="","",AS322-AS$6)</f>
        <v/>
      </c>
      <c r="AU322" s="168">
        <v>-2.2694031324E-2</v>
      </c>
      <c r="AV322" s="168">
        <f>IF(AU322="","",AU322-AU$6)</f>
        <v>-9.6254487280000006E-3</v>
      </c>
      <c r="AW322" s="168">
        <v>2.9632687862E-2</v>
      </c>
      <c r="AX322" s="168">
        <f>IF(AW322="","",AW322-AW$6)</f>
        <v>5.637620074E-3</v>
      </c>
      <c r="AY322" s="168"/>
      <c r="AZ322" s="168" t="str">
        <f>IF(AY322="","",AY322-AY$6)</f>
        <v/>
      </c>
      <c r="BA322" s="168"/>
      <c r="BB322" s="168" t="str">
        <f>IF(BA322="","",BA322-BA$6)</f>
        <v/>
      </c>
      <c r="BC322" s="168"/>
      <c r="BD322" s="168" t="str">
        <f>IF(BC322="","",BC322-BC$6)</f>
        <v/>
      </c>
      <c r="BE322" s="168"/>
      <c r="BF322" s="168" t="str">
        <f>IF(BE322="","",BE322-BE$6)</f>
        <v/>
      </c>
      <c r="BG322" s="168"/>
      <c r="BH322" s="168" t="str">
        <f>IF(BG322="","",BG322-BG$6)</f>
        <v/>
      </c>
      <c r="BI322" s="168"/>
      <c r="BJ322" s="168" t="str">
        <f>IF(BI322="","",BI322-BI$6)</f>
        <v/>
      </c>
      <c r="BK322" s="169"/>
      <c r="BL322" s="115"/>
      <c r="BM322" s="170">
        <v>1.2376519693E-2</v>
      </c>
      <c r="BN322" s="163">
        <v>-1.3425523575000001E-2</v>
      </c>
      <c r="BO322" s="163">
        <v>3.8611992466E-2</v>
      </c>
      <c r="BP322" s="163">
        <v>-2.295929566E-2</v>
      </c>
      <c r="BQ322" s="171"/>
      <c r="BR322" s="171"/>
      <c r="BS322" s="171"/>
      <c r="BT322" s="171"/>
      <c r="BU322" s="172"/>
      <c r="BV322" s="172"/>
      <c r="BW322" s="163"/>
      <c r="BX322" s="163">
        <v>7.1659492254000003E-3</v>
      </c>
      <c r="BY322" s="161"/>
      <c r="BZ322" s="163">
        <v>-2.4902453816000002E-2</v>
      </c>
      <c r="CA322" s="163">
        <v>-3.5770932975000003E-2</v>
      </c>
      <c r="CB322" s="154">
        <v>45518</v>
      </c>
      <c r="CC322" s="154">
        <v>45547</v>
      </c>
      <c r="CD322" s="173"/>
      <c r="CE322" s="174"/>
      <c r="CF322" s="116"/>
    </row>
    <row r="323" spans="2:84" ht="15.6" x14ac:dyDescent="0.3">
      <c r="B323" s="98" t="s">
        <v>565</v>
      </c>
      <c r="C323" s="175" t="s">
        <v>730</v>
      </c>
      <c r="D323" s="176" t="s">
        <v>646</v>
      </c>
      <c r="E323" s="176" t="s">
        <v>231</v>
      </c>
      <c r="F323" s="177">
        <v>8159965000133</v>
      </c>
      <c r="G323" s="177" t="s">
        <v>885</v>
      </c>
      <c r="H323" s="177" t="s">
        <v>388</v>
      </c>
      <c r="I323" s="178">
        <v>5</v>
      </c>
      <c r="J323" s="179" t="s">
        <v>107</v>
      </c>
      <c r="K323" s="179" t="s">
        <v>128</v>
      </c>
      <c r="L323" s="179" t="s">
        <v>112</v>
      </c>
      <c r="M323" s="179" t="s">
        <v>128</v>
      </c>
      <c r="N323" s="179" t="s">
        <v>109</v>
      </c>
      <c r="O323" s="180">
        <v>620486</v>
      </c>
      <c r="P323" s="181">
        <v>620486000</v>
      </c>
      <c r="Q323" s="181">
        <v>1000</v>
      </c>
      <c r="R323" s="182">
        <v>44027</v>
      </c>
      <c r="S323" s="182">
        <v>49140</v>
      </c>
      <c r="T323" s="183" t="s">
        <v>800</v>
      </c>
      <c r="U323" s="183" t="s">
        <v>949</v>
      </c>
      <c r="V323" s="182" t="s">
        <v>194</v>
      </c>
      <c r="W323" s="182" t="s">
        <v>102</v>
      </c>
      <c r="X323" s="182" t="s">
        <v>1355</v>
      </c>
      <c r="Y323" s="182">
        <v>47710</v>
      </c>
      <c r="Z323" s="184">
        <f>IFERROR(INDEX(Base!G:G,MATCH('Debêntures IPCA-Spread'!Y323,Base!F:F,0)),"")</f>
        <v>6.3273999999999999</v>
      </c>
      <c r="AA323" s="115"/>
      <c r="AB323" s="185">
        <v>45552</v>
      </c>
      <c r="AC323" s="186">
        <v>7.9303999999999997</v>
      </c>
      <c r="AD323" s="187">
        <f t="shared" si="15"/>
        <v>1.6029999999999998</v>
      </c>
      <c r="AE323" s="188">
        <v>0.06</v>
      </c>
      <c r="AF323" s="189">
        <v>8.1591000000000005</v>
      </c>
      <c r="AG323" s="189">
        <v>7.7069000000000001</v>
      </c>
      <c r="AH323" s="190">
        <v>1145.486547</v>
      </c>
      <c r="AI323" s="190">
        <v>1159.0635199999999</v>
      </c>
      <c r="AJ323" s="191">
        <f t="shared" si="16"/>
        <v>0.98828625630457256</v>
      </c>
      <c r="AK323" s="192">
        <v>45518</v>
      </c>
      <c r="AL323" s="193">
        <v>92.3</v>
      </c>
      <c r="AM323" s="194">
        <v>1163</v>
      </c>
      <c r="AN323" s="115"/>
      <c r="AO323" s="195">
        <v>1.4595121501E-3</v>
      </c>
      <c r="AP323" s="196">
        <f>IF(AO323="","",AO323-AO$6)</f>
        <v>9.7936726516999997E-4</v>
      </c>
      <c r="AQ323" s="196">
        <v>9.5383501139000005E-4</v>
      </c>
      <c r="AR323" s="196">
        <f>IF(AQ323="","",AQ323-AQ$6)</f>
        <v>1.17134176435E-3</v>
      </c>
      <c r="AS323" s="196">
        <v>5.2407071159999999E-2</v>
      </c>
      <c r="AT323" s="196">
        <f>IF(AS323="","",AS323-AS$6)</f>
        <v>3.7681236105000002E-2</v>
      </c>
      <c r="AU323" s="196">
        <v>-8.1332805285000004E-3</v>
      </c>
      <c r="AV323" s="196">
        <f>IF(AU323="","",AU323-AU$6)</f>
        <v>4.9353020674999994E-3</v>
      </c>
      <c r="AW323" s="196">
        <v>2.8888277051E-2</v>
      </c>
      <c r="AX323" s="196">
        <f>IF(AW323="","",AW323-AW$6)</f>
        <v>4.8932092629999993E-3</v>
      </c>
      <c r="AY323" s="196">
        <v>2.1621664897000001E-2</v>
      </c>
      <c r="AZ323" s="196">
        <f>IF(AY323="","",AY323-AY$6)</f>
        <v>7.3794101070000003E-3</v>
      </c>
      <c r="BA323" s="196">
        <v>9.7182480708999999E-2</v>
      </c>
      <c r="BB323" s="196">
        <f>IF(BA323="","",BA323-BA$6)</f>
        <v>4.3695516151000001E-2</v>
      </c>
      <c r="BC323" s="196">
        <v>0.20399291303</v>
      </c>
      <c r="BD323" s="196">
        <f>IF(BC323="","",BC323-BC$6)</f>
        <v>9.6843465399999995E-3</v>
      </c>
      <c r="BE323" s="196">
        <v>0.31090719299000003</v>
      </c>
      <c r="BF323" s="196">
        <f>IF(BE323="","",BE323-BE$6)</f>
        <v>4.9187853450000041E-2</v>
      </c>
      <c r="BG323" s="196"/>
      <c r="BH323" s="196" t="str">
        <f>IF(BG323="","",BG323-BG$6)</f>
        <v/>
      </c>
      <c r="BI323" s="196"/>
      <c r="BJ323" s="196" t="str">
        <f>IF(BI323="","",BI323-BI$6)</f>
        <v/>
      </c>
      <c r="BK323" s="197">
        <v>4.5547049208999999</v>
      </c>
      <c r="BL323" s="115"/>
      <c r="BM323" s="198">
        <v>9.9840481307E-3</v>
      </c>
      <c r="BN323" s="191">
        <v>-8.4428504251000003E-3</v>
      </c>
      <c r="BO323" s="191">
        <v>2.3318939173E-2</v>
      </c>
      <c r="BP323" s="191">
        <v>-1.1213430010999999E-2</v>
      </c>
      <c r="BQ323" s="199">
        <v>9</v>
      </c>
      <c r="BR323" s="199">
        <v>3</v>
      </c>
      <c r="BS323" s="199">
        <v>5</v>
      </c>
      <c r="BT323" s="199">
        <v>7</v>
      </c>
      <c r="BU323" s="200">
        <v>-0.26584568354999999</v>
      </c>
      <c r="BV323" s="200">
        <v>-0.49354388855999998</v>
      </c>
      <c r="BW323" s="191">
        <v>4.7065292643000004E-3</v>
      </c>
      <c r="BX323" s="191">
        <v>3.367319908E-3</v>
      </c>
      <c r="BY323" s="189">
        <v>-1.9199133034</v>
      </c>
      <c r="BZ323" s="191">
        <v>-1.7891581627000001E-2</v>
      </c>
      <c r="CA323" s="191">
        <v>-1.7891581627000001E-2</v>
      </c>
      <c r="CB323" s="182">
        <v>45362</v>
      </c>
      <c r="CC323" s="182">
        <v>45412</v>
      </c>
      <c r="CD323" s="201">
        <v>84</v>
      </c>
      <c r="CE323" s="202">
        <v>45483</v>
      </c>
      <c r="CF323" s="116"/>
    </row>
    <row r="324" spans="2:84" ht="15.6" x14ac:dyDescent="0.3">
      <c r="B324" s="110" t="s">
        <v>2291</v>
      </c>
      <c r="C324" s="147" t="s">
        <v>2676</v>
      </c>
      <c r="D324" s="148" t="s">
        <v>2807</v>
      </c>
      <c r="E324" s="148" t="s">
        <v>226</v>
      </c>
      <c r="F324" s="149">
        <v>7799081000180</v>
      </c>
      <c r="G324" s="149" t="s">
        <v>2427</v>
      </c>
      <c r="H324" s="149" t="s">
        <v>388</v>
      </c>
      <c r="I324" s="150">
        <v>1</v>
      </c>
      <c r="J324" s="151">
        <v>1</v>
      </c>
      <c r="K324" s="151" t="s">
        <v>126</v>
      </c>
      <c r="L324" s="151" t="s">
        <v>112</v>
      </c>
      <c r="M324" s="151" t="s">
        <v>106</v>
      </c>
      <c r="N324" s="151" t="s">
        <v>109</v>
      </c>
      <c r="O324" s="152">
        <v>100000</v>
      </c>
      <c r="P324" s="153">
        <v>100000000</v>
      </c>
      <c r="Q324" s="153">
        <v>1000</v>
      </c>
      <c r="R324" s="154">
        <v>43388</v>
      </c>
      <c r="S324" s="154">
        <v>45945</v>
      </c>
      <c r="T324" s="155" t="s">
        <v>2838</v>
      </c>
      <c r="U324" s="155" t="s">
        <v>2761</v>
      </c>
      <c r="V324" s="154" t="s">
        <v>105</v>
      </c>
      <c r="W324" s="154" t="s">
        <v>102</v>
      </c>
      <c r="X324" s="154" t="s">
        <v>2546</v>
      </c>
      <c r="Y324" s="154">
        <v>45792</v>
      </c>
      <c r="Z324" s="156">
        <f>IFERROR(INDEX(Base!G:G,MATCH('Debêntures IPCA-Spread'!Y324,Base!F:F,0)),"")</f>
        <v>5.73</v>
      </c>
      <c r="AA324" s="115"/>
      <c r="AB324" s="157">
        <v>45552</v>
      </c>
      <c r="AC324" s="158">
        <v>6.4405999999999999</v>
      </c>
      <c r="AD324" s="159">
        <f t="shared" si="15"/>
        <v>0.71059999999999945</v>
      </c>
      <c r="AE324" s="160">
        <v>0.05</v>
      </c>
      <c r="AF324" s="161"/>
      <c r="AG324" s="161"/>
      <c r="AH324" s="162">
        <v>952.26517200000001</v>
      </c>
      <c r="AI324" s="162"/>
      <c r="AJ324" s="163" t="str">
        <f t="shared" si="16"/>
        <v/>
      </c>
      <c r="AK324" s="164"/>
      <c r="AL324" s="165">
        <v>99.47</v>
      </c>
      <c r="AM324" s="166">
        <v>138</v>
      </c>
      <c r="AN324" s="115"/>
      <c r="AO324" s="167">
        <v>5.8967390396000004E-4</v>
      </c>
      <c r="AP324" s="168">
        <f>IF(AO324="","",AO324-AO$6)</f>
        <v>1.0952901903000004E-4</v>
      </c>
      <c r="AQ324" s="168">
        <v>3.4627200112E-3</v>
      </c>
      <c r="AR324" s="168">
        <f>IF(AQ324="","",AQ324-AQ$6)</f>
        <v>3.68022676416E-3</v>
      </c>
      <c r="AS324" s="168"/>
      <c r="AT324" s="168" t="str">
        <f>IF(AS324="","",AS324-AS$6)</f>
        <v/>
      </c>
      <c r="AU324" s="168">
        <v>5.2027589699999996E-3</v>
      </c>
      <c r="AV324" s="168">
        <f>IF(AU324="","",AU324-AU$6)</f>
        <v>1.8271341566E-2</v>
      </c>
      <c r="AW324" s="168">
        <v>2.4097438054000001E-2</v>
      </c>
      <c r="AX324" s="168">
        <f>IF(AW324="","",AW324-AW$6)</f>
        <v>1.0237026600000074E-4</v>
      </c>
      <c r="AY324" s="168">
        <v>4.5447335753000001E-2</v>
      </c>
      <c r="AZ324" s="168">
        <f>IF(AY324="","",AY324-AY$6)</f>
        <v>3.1205080963000002E-2</v>
      </c>
      <c r="BA324" s="168"/>
      <c r="BB324" s="168" t="str">
        <f>IF(BA324="","",BA324-BA$6)</f>
        <v/>
      </c>
      <c r="BC324" s="168"/>
      <c r="BD324" s="168" t="str">
        <f>IF(BC324="","",BC324-BC$6)</f>
        <v/>
      </c>
      <c r="BE324" s="168"/>
      <c r="BF324" s="168" t="str">
        <f>IF(BE324="","",BE324-BE$6)</f>
        <v/>
      </c>
      <c r="BG324" s="168"/>
      <c r="BH324" s="168" t="str">
        <f>IF(BG324="","",BG324-BG$6)</f>
        <v/>
      </c>
      <c r="BI324" s="168"/>
      <c r="BJ324" s="168" t="str">
        <f>IF(BI324="","",BI324-BI$6)</f>
        <v/>
      </c>
      <c r="BK324" s="169"/>
      <c r="BL324" s="115"/>
      <c r="BM324" s="170">
        <v>4.879199063E-3</v>
      </c>
      <c r="BN324" s="163">
        <v>-2.6250077643999998E-3</v>
      </c>
      <c r="BO324" s="163">
        <v>1.3988280065000001E-2</v>
      </c>
      <c r="BP324" s="163">
        <v>1.5132249009000001E-3</v>
      </c>
      <c r="BQ324" s="171"/>
      <c r="BR324" s="171"/>
      <c r="BS324" s="171"/>
      <c r="BT324" s="171"/>
      <c r="BU324" s="172"/>
      <c r="BV324" s="172"/>
      <c r="BW324" s="163"/>
      <c r="BX324" s="163">
        <v>1.0136804037E-3</v>
      </c>
      <c r="BY324" s="161"/>
      <c r="BZ324" s="163">
        <v>-2.7806490778E-3</v>
      </c>
      <c r="CA324" s="163">
        <v>-2.7806490778E-3</v>
      </c>
      <c r="CB324" s="154">
        <v>45519</v>
      </c>
      <c r="CC324" s="154">
        <v>45524</v>
      </c>
      <c r="CD324" s="173">
        <v>11</v>
      </c>
      <c r="CE324" s="174">
        <v>45534</v>
      </c>
      <c r="CF324" s="116"/>
    </row>
    <row r="325" spans="2:84" ht="15.6" x14ac:dyDescent="0.3">
      <c r="B325" s="98" t="s">
        <v>1465</v>
      </c>
      <c r="C325" s="175" t="s">
        <v>2111</v>
      </c>
      <c r="D325" s="176" t="s">
        <v>1915</v>
      </c>
      <c r="E325" s="176" t="s">
        <v>226</v>
      </c>
      <c r="F325" s="177">
        <v>10562611000187</v>
      </c>
      <c r="G325" s="177" t="s">
        <v>1824</v>
      </c>
      <c r="H325" s="177" t="s">
        <v>388</v>
      </c>
      <c r="I325" s="178">
        <v>2</v>
      </c>
      <c r="J325" s="179" t="s">
        <v>107</v>
      </c>
      <c r="K325" s="179" t="s">
        <v>130</v>
      </c>
      <c r="L325" s="179" t="s">
        <v>112</v>
      </c>
      <c r="M325" s="179" t="s">
        <v>114</v>
      </c>
      <c r="N325" s="179" t="s">
        <v>109</v>
      </c>
      <c r="O325" s="180">
        <v>35000</v>
      </c>
      <c r="P325" s="181">
        <v>350000000</v>
      </c>
      <c r="Q325" s="181">
        <v>10000</v>
      </c>
      <c r="R325" s="182">
        <v>41351</v>
      </c>
      <c r="S325" s="182">
        <v>45734</v>
      </c>
      <c r="T325" s="183" t="s">
        <v>2004</v>
      </c>
      <c r="U325" s="183" t="s">
        <v>1700</v>
      </c>
      <c r="V325" s="182" t="s">
        <v>105</v>
      </c>
      <c r="W325" s="182" t="s">
        <v>102</v>
      </c>
      <c r="X325" s="182" t="s">
        <v>1340</v>
      </c>
      <c r="Y325" s="182">
        <v>45792</v>
      </c>
      <c r="Z325" s="184">
        <f>IFERROR(INDEX(Base!G:G,MATCH('Debêntures IPCA-Spread'!Y325,Base!F:F,0)),"")</f>
        <v>5.73</v>
      </c>
      <c r="AA325" s="115"/>
      <c r="AB325" s="185">
        <v>45552</v>
      </c>
      <c r="AC325" s="186">
        <v>5.4652000000000003</v>
      </c>
      <c r="AD325" s="187">
        <f t="shared" si="15"/>
        <v>-0.26480000000000015</v>
      </c>
      <c r="AE325" s="188">
        <v>0.03</v>
      </c>
      <c r="AF325" s="189">
        <v>5.7781000000000002</v>
      </c>
      <c r="AG325" s="189">
        <v>5.1369999999999996</v>
      </c>
      <c r="AH325" s="190">
        <v>8520.6159090000001</v>
      </c>
      <c r="AI325" s="190">
        <v>8520.6159090000001</v>
      </c>
      <c r="AJ325" s="191">
        <f t="shared" si="16"/>
        <v>1</v>
      </c>
      <c r="AK325" s="192">
        <v>45552</v>
      </c>
      <c r="AL325" s="193">
        <v>100.02</v>
      </c>
      <c r="AM325" s="194">
        <v>124</v>
      </c>
      <c r="AN325" s="115"/>
      <c r="AO325" s="195">
        <v>2.9242644449999999E-4</v>
      </c>
      <c r="AP325" s="196">
        <f>IF(AO325="","",AO325-AO$6)</f>
        <v>-1.8771844043E-4</v>
      </c>
      <c r="AQ325" s="196">
        <v>6.1271863396999996E-3</v>
      </c>
      <c r="AR325" s="196">
        <f>IF(AQ325="","",AQ325-AQ$6)</f>
        <v>6.3446930926599997E-3</v>
      </c>
      <c r="AS325" s="196">
        <v>8.5669118725000007E-2</v>
      </c>
      <c r="AT325" s="196">
        <f>IF(AS325="","",AS325-AS$6)</f>
        <v>7.094328367000001E-2</v>
      </c>
      <c r="AU325" s="196">
        <v>8.2234889032000002E-3</v>
      </c>
      <c r="AV325" s="196">
        <f>IF(AU325="","",AU325-AU$6)</f>
        <v>2.12920714992E-2</v>
      </c>
      <c r="AW325" s="196">
        <v>2.6002967847999998E-2</v>
      </c>
      <c r="AX325" s="196">
        <f>IF(AW325="","",AW325-AW$6)</f>
        <v>2.007900059999998E-3</v>
      </c>
      <c r="AY325" s="196">
        <v>5.4848370023999997E-2</v>
      </c>
      <c r="AZ325" s="196">
        <f>IF(AY325="","",AY325-AY$6)</f>
        <v>4.0606115233999998E-2</v>
      </c>
      <c r="BA325" s="196">
        <v>0.11276522519</v>
      </c>
      <c r="BB325" s="196">
        <f>IF(BA325="","",BA325-BA$6)</f>
        <v>5.9278260632E-2</v>
      </c>
      <c r="BC325" s="196"/>
      <c r="BD325" s="196" t="str">
        <f>IF(BC325="","",BC325-BC$6)</f>
        <v/>
      </c>
      <c r="BE325" s="196"/>
      <c r="BF325" s="196" t="str">
        <f>IF(BE325="","",BE325-BE$6)</f>
        <v/>
      </c>
      <c r="BG325" s="196"/>
      <c r="BH325" s="196" t="str">
        <f>IF(BG325="","",BG325-BG$6)</f>
        <v/>
      </c>
      <c r="BI325" s="196"/>
      <c r="BJ325" s="196" t="str">
        <f>IF(BI325="","",BI325-BI$6)</f>
        <v/>
      </c>
      <c r="BK325" s="197">
        <v>1.5787744663000001</v>
      </c>
      <c r="BL325" s="115"/>
      <c r="BM325" s="198">
        <v>3.8861109205999998E-3</v>
      </c>
      <c r="BN325" s="191">
        <v>-3.0894947304E-3</v>
      </c>
      <c r="BO325" s="191">
        <v>1.4949976197E-2</v>
      </c>
      <c r="BP325" s="191">
        <v>9.3750420273999995E-4</v>
      </c>
      <c r="BQ325" s="199">
        <v>12</v>
      </c>
      <c r="BR325" s="199">
        <v>0</v>
      </c>
      <c r="BS325" s="199">
        <v>7</v>
      </c>
      <c r="BT325" s="199">
        <v>5</v>
      </c>
      <c r="BU325" s="200">
        <v>-0.21595614878</v>
      </c>
      <c r="BV325" s="200"/>
      <c r="BW325" s="191">
        <v>1.6315173357E-3</v>
      </c>
      <c r="BX325" s="191">
        <v>4.9588266907000004E-4</v>
      </c>
      <c r="BY325" s="189">
        <v>-0.53338157653999996</v>
      </c>
      <c r="BZ325" s="191">
        <v>-6.2548400048E-3</v>
      </c>
      <c r="CA325" s="191">
        <v>-6.2548400048E-3</v>
      </c>
      <c r="CB325" s="182">
        <v>45198</v>
      </c>
      <c r="CC325" s="182">
        <v>45219</v>
      </c>
      <c r="CD325" s="201">
        <v>17</v>
      </c>
      <c r="CE325" s="202">
        <v>45224</v>
      </c>
      <c r="CF325" s="116"/>
    </row>
    <row r="326" spans="2:84" ht="15.6" x14ac:dyDescent="0.3">
      <c r="B326" s="110" t="s">
        <v>1466</v>
      </c>
      <c r="C326" s="147" t="s">
        <v>2112</v>
      </c>
      <c r="D326" s="148" t="s">
        <v>1916</v>
      </c>
      <c r="E326" s="148" t="s">
        <v>1957</v>
      </c>
      <c r="F326" s="149">
        <v>33376989000191</v>
      </c>
      <c r="G326" s="149" t="s">
        <v>1825</v>
      </c>
      <c r="H326" s="149" t="s">
        <v>388</v>
      </c>
      <c r="I326" s="150">
        <v>2</v>
      </c>
      <c r="J326" s="151" t="s">
        <v>107</v>
      </c>
      <c r="K326" s="151" t="s">
        <v>126</v>
      </c>
      <c r="L326" s="151" t="s">
        <v>119</v>
      </c>
      <c r="M326" s="151" t="s">
        <v>106</v>
      </c>
      <c r="N326" s="151" t="s">
        <v>117</v>
      </c>
      <c r="O326" s="152">
        <v>229193</v>
      </c>
      <c r="P326" s="153">
        <v>229193000</v>
      </c>
      <c r="Q326" s="153">
        <v>1000</v>
      </c>
      <c r="R326" s="154">
        <v>44180</v>
      </c>
      <c r="S326" s="154">
        <v>46371</v>
      </c>
      <c r="T326" s="155" t="s">
        <v>2005</v>
      </c>
      <c r="U326" s="155" t="s">
        <v>1701</v>
      </c>
      <c r="V326" s="154" t="s">
        <v>105</v>
      </c>
      <c r="W326" s="154" t="s">
        <v>102</v>
      </c>
      <c r="X326" s="154" t="s">
        <v>1592</v>
      </c>
      <c r="Y326" s="154">
        <v>46249</v>
      </c>
      <c r="Z326" s="156">
        <f>IFERROR(INDEX(Base!G:G,MATCH('Debêntures IPCA-Spread'!Y326,Base!F:F,0)),"")</f>
        <v>6.5365000000000002</v>
      </c>
      <c r="AA326" s="115"/>
      <c r="AB326" s="157">
        <v>44986</v>
      </c>
      <c r="AC326" s="158"/>
      <c r="AD326" s="159" t="str">
        <f t="shared" si="15"/>
        <v/>
      </c>
      <c r="AE326" s="160"/>
      <c r="AF326" s="161"/>
      <c r="AG326" s="161"/>
      <c r="AH326" s="162"/>
      <c r="AI326" s="162"/>
      <c r="AJ326" s="163" t="str">
        <f t="shared" si="16"/>
        <v/>
      </c>
      <c r="AK326" s="164"/>
      <c r="AL326" s="165"/>
      <c r="AM326" s="166"/>
      <c r="AN326" s="115"/>
      <c r="AO326" s="167"/>
      <c r="AP326" s="168" t="str">
        <f>IF(AO326="","",AO326-AO$6)</f>
        <v/>
      </c>
      <c r="AQ326" s="168"/>
      <c r="AR326" s="168" t="str">
        <f>IF(AQ326="","",AQ326-AQ$6)</f>
        <v/>
      </c>
      <c r="AS326" s="168"/>
      <c r="AT326" s="168" t="str">
        <f>IF(AS326="","",AS326-AS$6)</f>
        <v/>
      </c>
      <c r="AU326" s="168"/>
      <c r="AV326" s="168" t="str">
        <f>IF(AU326="","",AU326-AU$6)</f>
        <v/>
      </c>
      <c r="AW326" s="168"/>
      <c r="AX326" s="168" t="str">
        <f>IF(AW326="","",AW326-AW$6)</f>
        <v/>
      </c>
      <c r="AY326" s="168"/>
      <c r="AZ326" s="168" t="str">
        <f>IF(AY326="","",AY326-AY$6)</f>
        <v/>
      </c>
      <c r="BA326" s="168"/>
      <c r="BB326" s="168" t="str">
        <f>IF(BA326="","",BA326-BA$6)</f>
        <v/>
      </c>
      <c r="BC326" s="168"/>
      <c r="BD326" s="168" t="str">
        <f>IF(BC326="","",BC326-BC$6)</f>
        <v/>
      </c>
      <c r="BE326" s="168"/>
      <c r="BF326" s="168" t="str">
        <f>IF(BE326="","",BE326-BE$6)</f>
        <v/>
      </c>
      <c r="BG326" s="168"/>
      <c r="BH326" s="168" t="str">
        <f>IF(BG326="","",BG326-BG$6)</f>
        <v/>
      </c>
      <c r="BI326" s="168"/>
      <c r="BJ326" s="168" t="str">
        <f>IF(BI326="","",BI326-BI$6)</f>
        <v/>
      </c>
      <c r="BK326" s="169"/>
      <c r="BL326" s="115"/>
      <c r="BM326" s="170"/>
      <c r="BN326" s="163"/>
      <c r="BO326" s="163"/>
      <c r="BP326" s="163"/>
      <c r="BQ326" s="171"/>
      <c r="BR326" s="171"/>
      <c r="BS326" s="171"/>
      <c r="BT326" s="171"/>
      <c r="BU326" s="172"/>
      <c r="BV326" s="172"/>
      <c r="BW326" s="163"/>
      <c r="BX326" s="163"/>
      <c r="BY326" s="161"/>
      <c r="BZ326" s="163"/>
      <c r="CA326" s="163"/>
      <c r="CB326" s="154"/>
      <c r="CC326" s="154"/>
      <c r="CD326" s="173"/>
      <c r="CE326" s="174"/>
      <c r="CF326" s="116"/>
    </row>
    <row r="327" spans="2:84" ht="15.6" x14ac:dyDescent="0.3">
      <c r="B327" s="98" t="s">
        <v>1467</v>
      </c>
      <c r="C327" s="175" t="s">
        <v>2113</v>
      </c>
      <c r="D327" s="176" t="s">
        <v>1917</v>
      </c>
      <c r="E327" s="176" t="s">
        <v>1958</v>
      </c>
      <c r="F327" s="177">
        <v>1317277000105</v>
      </c>
      <c r="G327" s="177" t="s">
        <v>1826</v>
      </c>
      <c r="H327" s="177" t="s">
        <v>388</v>
      </c>
      <c r="I327" s="178">
        <v>4</v>
      </c>
      <c r="J327" s="179" t="s">
        <v>107</v>
      </c>
      <c r="K327" s="179" t="s">
        <v>130</v>
      </c>
      <c r="L327" s="179" t="s">
        <v>118</v>
      </c>
      <c r="M327" s="179" t="s">
        <v>128</v>
      </c>
      <c r="N327" s="179" t="s">
        <v>109</v>
      </c>
      <c r="O327" s="180">
        <v>750000</v>
      </c>
      <c r="P327" s="181">
        <v>750000000</v>
      </c>
      <c r="Q327" s="181">
        <v>1000</v>
      </c>
      <c r="R327" s="182">
        <v>44515</v>
      </c>
      <c r="S327" s="182">
        <v>49994</v>
      </c>
      <c r="T327" s="183" t="s">
        <v>2006</v>
      </c>
      <c r="U327" s="183" t="s">
        <v>1702</v>
      </c>
      <c r="V327" s="182" t="s">
        <v>105</v>
      </c>
      <c r="W327" s="182" t="s">
        <v>102</v>
      </c>
      <c r="X327" s="182" t="s">
        <v>1593</v>
      </c>
      <c r="Y327" s="182">
        <v>48441</v>
      </c>
      <c r="Z327" s="184">
        <f>IFERROR(INDEX(Base!G:G,MATCH('Debêntures IPCA-Spread'!Y327,Base!F:F,0)),"")</f>
        <v>6.3467000000000002</v>
      </c>
      <c r="AA327" s="115"/>
      <c r="AB327" s="185">
        <v>45552</v>
      </c>
      <c r="AC327" s="186">
        <v>6.8840000000000003</v>
      </c>
      <c r="AD327" s="187">
        <f t="shared" si="15"/>
        <v>0.53730000000000011</v>
      </c>
      <c r="AE327" s="188">
        <v>0.06</v>
      </c>
      <c r="AF327" s="189">
        <v>7.0347</v>
      </c>
      <c r="AG327" s="189">
        <v>6.7652000000000001</v>
      </c>
      <c r="AH327" s="190">
        <v>1307.9078</v>
      </c>
      <c r="AI327" s="190">
        <v>1329.4766890000001</v>
      </c>
      <c r="AJ327" s="191">
        <f t="shared" si="16"/>
        <v>0.98377640677835143</v>
      </c>
      <c r="AK327" s="192">
        <v>45527</v>
      </c>
      <c r="AL327" s="193">
        <v>96.43</v>
      </c>
      <c r="AM327" s="194">
        <v>1630</v>
      </c>
      <c r="AN327" s="115"/>
      <c r="AO327" s="195">
        <v>1.6817415470999999E-3</v>
      </c>
      <c r="AP327" s="196">
        <f>IF(AO327="","",AO327-AO$6)</f>
        <v>1.2015966621699999E-3</v>
      </c>
      <c r="AQ327" s="196">
        <v>-3.0529919412999999E-3</v>
      </c>
      <c r="AR327" s="196">
        <f>IF(AQ327="","",AQ327-AQ$6)</f>
        <v>-2.8354851883399998E-3</v>
      </c>
      <c r="AS327" s="196">
        <v>6.5431878102000005E-2</v>
      </c>
      <c r="AT327" s="196">
        <f>IF(AS327="","",AS327-AS$6)</f>
        <v>5.0706043047000007E-2</v>
      </c>
      <c r="AU327" s="196">
        <v>-9.7353188957999999E-3</v>
      </c>
      <c r="AV327" s="196">
        <f>IF(AU327="","",AU327-AU$6)</f>
        <v>3.3332637001999999E-3</v>
      </c>
      <c r="AW327" s="196">
        <v>3.8514674686999997E-2</v>
      </c>
      <c r="AX327" s="196">
        <f>IF(AW327="","",AW327-AW$6)</f>
        <v>1.4519606898999997E-2</v>
      </c>
      <c r="AY327" s="196">
        <v>1.7183068677999999E-2</v>
      </c>
      <c r="AZ327" s="196">
        <f>IF(AY327="","",AY327-AY$6)</f>
        <v>2.9408138879999986E-3</v>
      </c>
      <c r="BA327" s="196">
        <v>0.26359198662</v>
      </c>
      <c r="BB327" s="196">
        <f>IF(BA327="","",BA327-BA$6)</f>
        <v>0.21010502206199999</v>
      </c>
      <c r="BC327" s="196">
        <v>0.44537163651</v>
      </c>
      <c r="BD327" s="196">
        <f>IF(BC327="","",BC327-BC$6)</f>
        <v>0.25106307002</v>
      </c>
      <c r="BE327" s="196"/>
      <c r="BF327" s="196" t="str">
        <f>IF(BE327="","",BE327-BE$6)</f>
        <v/>
      </c>
      <c r="BG327" s="196"/>
      <c r="BH327" s="196" t="str">
        <f>IF(BG327="","",BG327-BG$6)</f>
        <v/>
      </c>
      <c r="BI327" s="196"/>
      <c r="BJ327" s="196" t="str">
        <f>IF(BI327="","",BI327-BI$6)</f>
        <v/>
      </c>
      <c r="BK327" s="197">
        <v>14.1650311</v>
      </c>
      <c r="BL327" s="115"/>
      <c r="BM327" s="198">
        <v>0.13151515544</v>
      </c>
      <c r="BN327" s="191">
        <v>-1.3838074796000001E-2</v>
      </c>
      <c r="BO327" s="191">
        <v>0.16972304256000001</v>
      </c>
      <c r="BP327" s="191">
        <v>-2.5670275805E-2</v>
      </c>
      <c r="BQ327" s="199">
        <v>8</v>
      </c>
      <c r="BR327" s="199">
        <v>4</v>
      </c>
      <c r="BS327" s="199">
        <v>6</v>
      </c>
      <c r="BT327" s="199">
        <v>6</v>
      </c>
      <c r="BU327" s="200">
        <v>0.99912195743999999</v>
      </c>
      <c r="BV327" s="200"/>
      <c r="BW327" s="191">
        <v>1.5352404376E-2</v>
      </c>
      <c r="BX327" s="191">
        <v>6.1190040552999998E-3</v>
      </c>
      <c r="BY327" s="189">
        <v>15.435143592999999</v>
      </c>
      <c r="BZ327" s="191">
        <v>-3.2936998911E-2</v>
      </c>
      <c r="CA327" s="191">
        <v>-3.2936998911E-2</v>
      </c>
      <c r="CB327" s="182">
        <v>45191</v>
      </c>
      <c r="CC327" s="182">
        <v>45229</v>
      </c>
      <c r="CD327" s="201">
        <v>31</v>
      </c>
      <c r="CE327" s="202">
        <v>45238</v>
      </c>
      <c r="CF327" s="116"/>
    </row>
    <row r="328" spans="2:84" ht="15.6" x14ac:dyDescent="0.3">
      <c r="B328" s="110" t="s">
        <v>265</v>
      </c>
      <c r="C328" s="147" t="s">
        <v>315</v>
      </c>
      <c r="D328" s="148" t="s">
        <v>269</v>
      </c>
      <c r="E328" s="148" t="s">
        <v>226</v>
      </c>
      <c r="F328" s="149">
        <v>13234214000174</v>
      </c>
      <c r="G328" s="149" t="s">
        <v>371</v>
      </c>
      <c r="H328" s="149" t="s">
        <v>388</v>
      </c>
      <c r="I328" s="150">
        <v>3</v>
      </c>
      <c r="J328" s="151" t="s">
        <v>107</v>
      </c>
      <c r="K328" s="151" t="s">
        <v>111</v>
      </c>
      <c r="L328" s="151" t="s">
        <v>112</v>
      </c>
      <c r="M328" s="151" t="s">
        <v>114</v>
      </c>
      <c r="N328" s="151" t="s">
        <v>109</v>
      </c>
      <c r="O328" s="152">
        <v>111760</v>
      </c>
      <c r="P328" s="153">
        <v>111760000</v>
      </c>
      <c r="Q328" s="153">
        <v>1000</v>
      </c>
      <c r="R328" s="154">
        <v>42673</v>
      </c>
      <c r="S328" s="154">
        <v>47102</v>
      </c>
      <c r="T328" s="155" t="s">
        <v>278</v>
      </c>
      <c r="U328" s="155" t="s">
        <v>278</v>
      </c>
      <c r="V328" s="154" t="s">
        <v>105</v>
      </c>
      <c r="W328" s="154" t="s">
        <v>102</v>
      </c>
      <c r="X328" s="154" t="s">
        <v>1594</v>
      </c>
      <c r="Y328" s="154">
        <v>46249</v>
      </c>
      <c r="Z328" s="156">
        <f>IFERROR(INDEX(Base!G:G,MATCH('Debêntures IPCA-Spread'!Y328,Base!F:F,0)),"")</f>
        <v>6.5365000000000002</v>
      </c>
      <c r="AA328" s="115"/>
      <c r="AB328" s="157">
        <v>45467</v>
      </c>
      <c r="AC328" s="158"/>
      <c r="AD328" s="159" t="str">
        <f t="shared" si="15"/>
        <v/>
      </c>
      <c r="AE328" s="160"/>
      <c r="AF328" s="161"/>
      <c r="AG328" s="161"/>
      <c r="AH328" s="162"/>
      <c r="AI328" s="162">
        <v>909.64977699999997</v>
      </c>
      <c r="AJ328" s="163">
        <f t="shared" si="16"/>
        <v>0</v>
      </c>
      <c r="AK328" s="164">
        <v>45467</v>
      </c>
      <c r="AL328" s="165"/>
      <c r="AM328" s="166"/>
      <c r="AN328" s="115"/>
      <c r="AO328" s="167"/>
      <c r="AP328" s="168" t="str">
        <f>IF(AO328="","",AO328-AO$6)</f>
        <v/>
      </c>
      <c r="AQ328" s="168"/>
      <c r="AR328" s="168" t="str">
        <f>IF(AQ328="","",AQ328-AQ$6)</f>
        <v/>
      </c>
      <c r="AS328" s="168"/>
      <c r="AT328" s="168" t="str">
        <f>IF(AS328="","",AS328-AS$6)</f>
        <v/>
      </c>
      <c r="AU328" s="168"/>
      <c r="AV328" s="168" t="str">
        <f>IF(AU328="","",AU328-AU$6)</f>
        <v/>
      </c>
      <c r="AW328" s="168"/>
      <c r="AX328" s="168" t="str">
        <f>IF(AW328="","",AW328-AW$6)</f>
        <v/>
      </c>
      <c r="AY328" s="168"/>
      <c r="AZ328" s="168" t="str">
        <f>IF(AY328="","",AY328-AY$6)</f>
        <v/>
      </c>
      <c r="BA328" s="168"/>
      <c r="BB328" s="168" t="str">
        <f>IF(BA328="","",BA328-BA$6)</f>
        <v/>
      </c>
      <c r="BC328" s="168"/>
      <c r="BD328" s="168" t="str">
        <f>IF(BC328="","",BC328-BC$6)</f>
        <v/>
      </c>
      <c r="BE328" s="168"/>
      <c r="BF328" s="168" t="str">
        <f>IF(BE328="","",BE328-BE$6)</f>
        <v/>
      </c>
      <c r="BG328" s="168"/>
      <c r="BH328" s="168" t="str">
        <f>IF(BG328="","",BG328-BG$6)</f>
        <v/>
      </c>
      <c r="BI328" s="168"/>
      <c r="BJ328" s="168" t="str">
        <f>IF(BI328="","",BI328-BI$6)</f>
        <v/>
      </c>
      <c r="BK328" s="169"/>
      <c r="BL328" s="115"/>
      <c r="BM328" s="170">
        <v>8.6437730733000002E-3</v>
      </c>
      <c r="BN328" s="163">
        <v>-1.0337066662000001E-2</v>
      </c>
      <c r="BO328" s="163">
        <v>2.7662719092E-2</v>
      </c>
      <c r="BP328" s="163">
        <v>-8.9339145915999993E-3</v>
      </c>
      <c r="BQ328" s="171"/>
      <c r="BR328" s="171"/>
      <c r="BS328" s="171"/>
      <c r="BT328" s="171"/>
      <c r="BU328" s="172"/>
      <c r="BV328" s="172"/>
      <c r="BW328" s="163"/>
      <c r="BX328" s="163"/>
      <c r="BY328" s="161"/>
      <c r="BZ328" s="163">
        <v>-1.9693206299E-2</v>
      </c>
      <c r="CA328" s="163">
        <v>-1.9693206299E-2</v>
      </c>
      <c r="CB328" s="154">
        <v>45209</v>
      </c>
      <c r="CC328" s="154">
        <v>45218</v>
      </c>
      <c r="CD328" s="173">
        <v>28</v>
      </c>
      <c r="CE328" s="174">
        <v>45252</v>
      </c>
      <c r="CF328" s="116"/>
    </row>
    <row r="329" spans="2:84" ht="15.6" x14ac:dyDescent="0.3">
      <c r="B329" s="98" t="s">
        <v>1468</v>
      </c>
      <c r="C329" s="175" t="s">
        <v>2114</v>
      </c>
      <c r="D329" s="176" t="s">
        <v>1918</v>
      </c>
      <c r="E329" s="176" t="s">
        <v>1959</v>
      </c>
      <c r="F329" s="177">
        <v>2635522000195</v>
      </c>
      <c r="G329" s="177" t="s">
        <v>1827</v>
      </c>
      <c r="H329" s="177" t="s">
        <v>388</v>
      </c>
      <c r="I329" s="178">
        <v>1</v>
      </c>
      <c r="J329" s="179">
        <v>1</v>
      </c>
      <c r="K329" s="179" t="s">
        <v>128</v>
      </c>
      <c r="L329" s="179" t="s">
        <v>125</v>
      </c>
      <c r="M329" s="179" t="s">
        <v>128</v>
      </c>
      <c r="N329" s="179" t="s">
        <v>109</v>
      </c>
      <c r="O329" s="180">
        <v>309569</v>
      </c>
      <c r="P329" s="181">
        <v>309569000</v>
      </c>
      <c r="Q329" s="181">
        <v>1000</v>
      </c>
      <c r="R329" s="182">
        <v>44545</v>
      </c>
      <c r="S329" s="182">
        <v>47102</v>
      </c>
      <c r="T329" s="183" t="s">
        <v>1674</v>
      </c>
      <c r="U329" s="183" t="s">
        <v>161</v>
      </c>
      <c r="V329" s="182" t="s">
        <v>105</v>
      </c>
      <c r="W329" s="182" t="s">
        <v>102</v>
      </c>
      <c r="X329" s="182" t="s">
        <v>1595</v>
      </c>
      <c r="Y329" s="182">
        <v>46980</v>
      </c>
      <c r="Z329" s="184">
        <f>IFERROR(INDEX(Base!G:G,MATCH('Debêntures IPCA-Spread'!Y329,Base!F:F,0)),"")</f>
        <v>6.4702000000000002</v>
      </c>
      <c r="AA329" s="115"/>
      <c r="AB329" s="185">
        <v>45552</v>
      </c>
      <c r="AC329" s="186">
        <v>6.7610999999999999</v>
      </c>
      <c r="AD329" s="187">
        <f t="shared" si="15"/>
        <v>0.29089999999999971</v>
      </c>
      <c r="AE329" s="188">
        <v>0.32</v>
      </c>
      <c r="AF329" s="189">
        <v>6.8756000000000004</v>
      </c>
      <c r="AG329" s="189">
        <v>6.6955999999999998</v>
      </c>
      <c r="AH329" s="190">
        <v>1110.909009</v>
      </c>
      <c r="AI329" s="190">
        <v>1116.496725</v>
      </c>
      <c r="AJ329" s="191">
        <f t="shared" si="16"/>
        <v>0.99499531357783433</v>
      </c>
      <c r="AK329" s="192">
        <v>45544</v>
      </c>
      <c r="AL329" s="193">
        <v>95.94</v>
      </c>
      <c r="AM329" s="194">
        <v>946</v>
      </c>
      <c r="AN329" s="115"/>
      <c r="AO329" s="195">
        <v>5.4681254733000004E-4</v>
      </c>
      <c r="AP329" s="196">
        <f>IF(AO329="","",AO329-AO$6)</f>
        <v>6.6667662400000049E-5</v>
      </c>
      <c r="AQ329" s="196">
        <v>1.8971190638999999E-3</v>
      </c>
      <c r="AR329" s="196">
        <f>IF(AQ329="","",AQ329-AQ$6)</f>
        <v>2.11462581686E-3</v>
      </c>
      <c r="AS329" s="196">
        <v>6.7611409302000006E-2</v>
      </c>
      <c r="AT329" s="196">
        <f>IF(AS329="","",AS329-AS$6)</f>
        <v>5.2885574247000008E-2</v>
      </c>
      <c r="AU329" s="196">
        <v>-8.0049631288000005E-4</v>
      </c>
      <c r="AV329" s="196">
        <f>IF(AU329="","",AU329-AU$6)</f>
        <v>1.2268086283120001E-2</v>
      </c>
      <c r="AW329" s="196">
        <v>3.5914583889999997E-2</v>
      </c>
      <c r="AX329" s="196">
        <f>IF(AW329="","",AW329-AW$6)</f>
        <v>1.1919516101999997E-2</v>
      </c>
      <c r="AY329" s="196">
        <v>3.3805501746999998E-2</v>
      </c>
      <c r="AZ329" s="196">
        <f>IF(AY329="","",AY329-AY$6)</f>
        <v>1.9563246956999999E-2</v>
      </c>
      <c r="BA329" s="196">
        <v>9.5082812390999999E-2</v>
      </c>
      <c r="BB329" s="196">
        <f>IF(BA329="","",BA329-BA$6)</f>
        <v>4.1595847833000001E-2</v>
      </c>
      <c r="BC329" s="196">
        <v>0.22919253793</v>
      </c>
      <c r="BD329" s="196">
        <f>IF(BC329="","",BC329-BC$6)</f>
        <v>3.4883971439999995E-2</v>
      </c>
      <c r="BE329" s="196"/>
      <c r="BF329" s="196" t="str">
        <f>IF(BE329="","",BE329-BE$6)</f>
        <v/>
      </c>
      <c r="BG329" s="196"/>
      <c r="BH329" s="196" t="str">
        <f>IF(BG329="","",BG329-BG$6)</f>
        <v/>
      </c>
      <c r="BI329" s="196"/>
      <c r="BJ329" s="196" t="str">
        <f>IF(BI329="","",BI329-BI$6)</f>
        <v/>
      </c>
      <c r="BK329" s="197">
        <v>4.2035082470000003</v>
      </c>
      <c r="BL329" s="115"/>
      <c r="BM329" s="198">
        <v>7.8771915468999996E-3</v>
      </c>
      <c r="BN329" s="191">
        <v>-9.9073125410999996E-3</v>
      </c>
      <c r="BO329" s="191">
        <v>2.4032298725000002E-2</v>
      </c>
      <c r="BP329" s="191">
        <v>-1.4709472168999999E-2</v>
      </c>
      <c r="BQ329" s="199">
        <v>9</v>
      </c>
      <c r="BR329" s="199">
        <v>3</v>
      </c>
      <c r="BS329" s="199">
        <v>6</v>
      </c>
      <c r="BT329" s="199">
        <v>6</v>
      </c>
      <c r="BU329" s="200">
        <v>-0.3364849989</v>
      </c>
      <c r="BV329" s="200"/>
      <c r="BW329" s="191">
        <v>4.3430820155000004E-3</v>
      </c>
      <c r="BX329" s="191">
        <v>4.0020137420000001E-3</v>
      </c>
      <c r="BY329" s="189">
        <v>-2.1486033303999998</v>
      </c>
      <c r="BZ329" s="191">
        <v>-2.174307734E-2</v>
      </c>
      <c r="CA329" s="191">
        <v>-2.174307734E-2</v>
      </c>
      <c r="CB329" s="182">
        <v>45187</v>
      </c>
      <c r="CC329" s="182">
        <v>45229</v>
      </c>
      <c r="CD329" s="201">
        <v>49</v>
      </c>
      <c r="CE329" s="202">
        <v>45259</v>
      </c>
      <c r="CF329" s="116"/>
    </row>
    <row r="330" spans="2:84" ht="15.6" x14ac:dyDescent="0.3">
      <c r="B330" s="110" t="s">
        <v>1469</v>
      </c>
      <c r="C330" s="147" t="s">
        <v>2115</v>
      </c>
      <c r="D330" s="148" t="s">
        <v>1918</v>
      </c>
      <c r="E330" s="148" t="s">
        <v>1959</v>
      </c>
      <c r="F330" s="149">
        <v>2635522000195</v>
      </c>
      <c r="G330" s="149" t="s">
        <v>1828</v>
      </c>
      <c r="H330" s="149" t="s">
        <v>388</v>
      </c>
      <c r="I330" s="150">
        <v>1</v>
      </c>
      <c r="J330" s="151">
        <v>2</v>
      </c>
      <c r="K330" s="151" t="s">
        <v>128</v>
      </c>
      <c r="L330" s="151" t="s">
        <v>125</v>
      </c>
      <c r="M330" s="151" t="s">
        <v>128</v>
      </c>
      <c r="N330" s="151" t="s">
        <v>109</v>
      </c>
      <c r="O330" s="152">
        <v>141431</v>
      </c>
      <c r="P330" s="153">
        <v>141431000</v>
      </c>
      <c r="Q330" s="153">
        <v>1000</v>
      </c>
      <c r="R330" s="154">
        <v>44545</v>
      </c>
      <c r="S330" s="154">
        <v>48197</v>
      </c>
      <c r="T330" s="155" t="s">
        <v>1739</v>
      </c>
      <c r="U330" s="155" t="s">
        <v>1703</v>
      </c>
      <c r="V330" s="154" t="s">
        <v>105</v>
      </c>
      <c r="W330" s="154" t="s">
        <v>102</v>
      </c>
      <c r="X330" s="154" t="s">
        <v>1596</v>
      </c>
      <c r="Y330" s="154">
        <v>47710</v>
      </c>
      <c r="Z330" s="156">
        <f>IFERROR(INDEX(Base!G:G,MATCH('Debêntures IPCA-Spread'!Y330,Base!F:F,0)),"")</f>
        <v>6.3273999999999999</v>
      </c>
      <c r="AA330" s="115"/>
      <c r="AB330" s="157">
        <v>45552</v>
      </c>
      <c r="AC330" s="158">
        <v>6.6830999999999996</v>
      </c>
      <c r="AD330" s="159">
        <f t="shared" si="15"/>
        <v>0.35569999999999968</v>
      </c>
      <c r="AE330" s="160">
        <v>0.1</v>
      </c>
      <c r="AF330" s="161">
        <v>6.8838999999999997</v>
      </c>
      <c r="AG330" s="161">
        <v>6.5728</v>
      </c>
      <c r="AH330" s="162">
        <v>1109.67894</v>
      </c>
      <c r="AI330" s="162">
        <v>1118.4125839999999</v>
      </c>
      <c r="AJ330" s="163">
        <f t="shared" si="16"/>
        <v>0.99219103564736011</v>
      </c>
      <c r="AK330" s="164">
        <v>45527</v>
      </c>
      <c r="AL330" s="165">
        <v>95.79</v>
      </c>
      <c r="AM330" s="166">
        <v>1307</v>
      </c>
      <c r="AN330" s="115"/>
      <c r="AO330" s="167">
        <v>2.6422387782E-3</v>
      </c>
      <c r="AP330" s="168">
        <f>IF(AO330="","",AO330-AO$6)</f>
        <v>2.16209389327E-3</v>
      </c>
      <c r="AQ330" s="168">
        <v>4.5940767976999997E-3</v>
      </c>
      <c r="AR330" s="168">
        <f>IF(AQ330="","",AQ330-AQ$6)</f>
        <v>4.8115835506599997E-3</v>
      </c>
      <c r="AS330" s="168">
        <v>8.6275868583000001E-2</v>
      </c>
      <c r="AT330" s="168">
        <f>IF(AS330="","",AS330-AS$6)</f>
        <v>7.1550033528000004E-2</v>
      </c>
      <c r="AU330" s="168">
        <v>-5.0944827262000003E-3</v>
      </c>
      <c r="AV330" s="168">
        <f>IF(AU330="","",AU330-AU$6)</f>
        <v>7.9740998697999995E-3</v>
      </c>
      <c r="AW330" s="168">
        <v>4.9587543567999999E-2</v>
      </c>
      <c r="AX330" s="168">
        <f>IF(AW330="","",AW330-AW$6)</f>
        <v>2.5592475779999999E-2</v>
      </c>
      <c r="AY330" s="168">
        <v>3.8158331316000001E-2</v>
      </c>
      <c r="AZ330" s="168">
        <f>IF(AY330="","",AY330-AY$6)</f>
        <v>2.3916076526000002E-2</v>
      </c>
      <c r="BA330" s="168">
        <v>0.12750760794999999</v>
      </c>
      <c r="BB330" s="168">
        <f>IF(BA330="","",BA330-BA$6)</f>
        <v>7.4020643391999985E-2</v>
      </c>
      <c r="BC330" s="168">
        <v>0.23331902945999999</v>
      </c>
      <c r="BD330" s="168">
        <f>IF(BC330="","",BC330-BC$6)</f>
        <v>3.9010462969999993E-2</v>
      </c>
      <c r="BE330" s="168"/>
      <c r="BF330" s="168" t="str">
        <f>IF(BE330="","",BE330-BE$6)</f>
        <v/>
      </c>
      <c r="BG330" s="168"/>
      <c r="BH330" s="168" t="str">
        <f>IF(BG330="","",BG330-BG$6)</f>
        <v/>
      </c>
      <c r="BI330" s="168"/>
      <c r="BJ330" s="168" t="str">
        <f>IF(BI330="","",BI330-BI$6)</f>
        <v/>
      </c>
      <c r="BK330" s="169">
        <v>6.1257903111000003</v>
      </c>
      <c r="BL330" s="115"/>
      <c r="BM330" s="170">
        <v>1.4394023412000001E-2</v>
      </c>
      <c r="BN330" s="163">
        <v>-1.3200935229E-2</v>
      </c>
      <c r="BO330" s="163">
        <v>3.8000706581E-2</v>
      </c>
      <c r="BP330" s="163">
        <v>-2.0910018065000001E-2</v>
      </c>
      <c r="BQ330" s="171">
        <v>8</v>
      </c>
      <c r="BR330" s="171">
        <v>4</v>
      </c>
      <c r="BS330" s="171">
        <v>7</v>
      </c>
      <c r="BT330" s="171">
        <v>5</v>
      </c>
      <c r="BU330" s="172">
        <v>0.26211150218000001</v>
      </c>
      <c r="BV330" s="172"/>
      <c r="BW330" s="163">
        <v>6.3300480564999996E-3</v>
      </c>
      <c r="BX330" s="163">
        <v>4.9819152702000003E-3</v>
      </c>
      <c r="BY330" s="161">
        <v>1.0487629397</v>
      </c>
      <c r="BZ330" s="163">
        <v>-3.0187092249999999E-2</v>
      </c>
      <c r="CA330" s="163">
        <v>-3.0187092249999999E-2</v>
      </c>
      <c r="CB330" s="154">
        <v>45364</v>
      </c>
      <c r="CC330" s="154">
        <v>45455</v>
      </c>
      <c r="CD330" s="173">
        <v>83</v>
      </c>
      <c r="CE330" s="174">
        <v>45484</v>
      </c>
      <c r="CF330" s="116"/>
    </row>
    <row r="331" spans="2:84" ht="15.6" x14ac:dyDescent="0.3">
      <c r="B331" s="98" t="s">
        <v>1470</v>
      </c>
      <c r="C331" s="175" t="s">
        <v>2116</v>
      </c>
      <c r="D331" s="176" t="s">
        <v>1918</v>
      </c>
      <c r="E331" s="176" t="s">
        <v>1959</v>
      </c>
      <c r="F331" s="177">
        <v>2635522000195</v>
      </c>
      <c r="G331" s="177" t="s">
        <v>1829</v>
      </c>
      <c r="H331" s="177" t="s">
        <v>388</v>
      </c>
      <c r="I331" s="178">
        <v>3</v>
      </c>
      <c r="J331" s="179" t="s">
        <v>107</v>
      </c>
      <c r="K331" s="179" t="s">
        <v>128</v>
      </c>
      <c r="L331" s="179" t="s">
        <v>1252</v>
      </c>
      <c r="M331" s="179" t="s">
        <v>128</v>
      </c>
      <c r="N331" s="179" t="s">
        <v>109</v>
      </c>
      <c r="O331" s="180">
        <v>350000</v>
      </c>
      <c r="P331" s="181">
        <v>350000000</v>
      </c>
      <c r="Q331" s="181">
        <v>1000</v>
      </c>
      <c r="R331" s="182">
        <v>44819</v>
      </c>
      <c r="S331" s="182">
        <v>48472</v>
      </c>
      <c r="T331" s="183" t="s">
        <v>1978</v>
      </c>
      <c r="U331" s="183" t="s">
        <v>1704</v>
      </c>
      <c r="V331" s="182" t="s">
        <v>105</v>
      </c>
      <c r="W331" s="182" t="s">
        <v>102</v>
      </c>
      <c r="X331" s="182" t="s">
        <v>1597</v>
      </c>
      <c r="Y331" s="182">
        <v>47710</v>
      </c>
      <c r="Z331" s="184">
        <f>IFERROR(INDEX(Base!G:G,MATCH('Debêntures IPCA-Spread'!Y331,Base!F:F,0)),"")</f>
        <v>6.3273999999999999</v>
      </c>
      <c r="AA331" s="115"/>
      <c r="AB331" s="185">
        <v>45552</v>
      </c>
      <c r="AC331" s="186">
        <v>6.6120000000000001</v>
      </c>
      <c r="AD331" s="187">
        <f t="shared" si="15"/>
        <v>0.28460000000000019</v>
      </c>
      <c r="AE331" s="188">
        <v>0.05</v>
      </c>
      <c r="AF331" s="189">
        <v>6.7430000000000003</v>
      </c>
      <c r="AG331" s="189">
        <v>6.4756</v>
      </c>
      <c r="AH331" s="190">
        <v>1084.171196</v>
      </c>
      <c r="AI331" s="190">
        <v>1089.2404411</v>
      </c>
      <c r="AJ331" s="191">
        <f t="shared" si="16"/>
        <v>0.99534607336569259</v>
      </c>
      <c r="AK331" s="192">
        <v>45518</v>
      </c>
      <c r="AL331" s="193">
        <v>99.38</v>
      </c>
      <c r="AM331" s="194">
        <v>1349</v>
      </c>
      <c r="AN331" s="115"/>
      <c r="AO331" s="195">
        <v>9.3760303207000005E-4</v>
      </c>
      <c r="AP331" s="196">
        <f>IF(AO331="","",AO331-AO$6)</f>
        <v>4.5745814714000005E-4</v>
      </c>
      <c r="AQ331" s="196">
        <v>6.7666851446000001E-3</v>
      </c>
      <c r="AR331" s="196">
        <f>IF(AQ331="","",AQ331-AQ$6)</f>
        <v>6.9841918975600001E-3</v>
      </c>
      <c r="AS331" s="196">
        <v>7.9929741720000003E-2</v>
      </c>
      <c r="AT331" s="196">
        <f>IF(AS331="","",AS331-AS$6)</f>
        <v>6.5203906665000005E-2</v>
      </c>
      <c r="AU331" s="196">
        <v>-5.7225541423000005E-4</v>
      </c>
      <c r="AV331" s="196">
        <f>IF(AU331="","",AU331-AU$6)</f>
        <v>1.249632718177E-2</v>
      </c>
      <c r="AW331" s="196">
        <v>5.4922615970999997E-2</v>
      </c>
      <c r="AX331" s="196">
        <f>IF(AW331="","",AW331-AW$6)</f>
        <v>3.0927548182999996E-2</v>
      </c>
      <c r="AY331" s="196">
        <v>3.9791263677999997E-2</v>
      </c>
      <c r="AZ331" s="196">
        <f>IF(AY331="","",AY331-AY$6)</f>
        <v>2.5549008887999998E-2</v>
      </c>
      <c r="BA331" s="196">
        <v>0.10413592041</v>
      </c>
      <c r="BB331" s="196">
        <f>IF(BA331="","",BA331-BA$6)</f>
        <v>5.0648955852000001E-2</v>
      </c>
      <c r="BC331" s="196"/>
      <c r="BD331" s="196" t="str">
        <f>IF(BC331="","",BC331-BC$6)</f>
        <v/>
      </c>
      <c r="BE331" s="196"/>
      <c r="BF331" s="196" t="str">
        <f>IF(BE331="","",BE331-BE$6)</f>
        <v/>
      </c>
      <c r="BG331" s="196"/>
      <c r="BH331" s="196" t="str">
        <f>IF(BG331="","",BG331-BG$6)</f>
        <v/>
      </c>
      <c r="BI331" s="196"/>
      <c r="BJ331" s="196" t="str">
        <f>IF(BI331="","",BI331-BI$6)</f>
        <v/>
      </c>
      <c r="BK331" s="197">
        <v>5.3993255071000004</v>
      </c>
      <c r="BL331" s="115"/>
      <c r="BM331" s="198">
        <v>1.1246744984999999E-2</v>
      </c>
      <c r="BN331" s="191">
        <v>-9.2162803112000001E-3</v>
      </c>
      <c r="BO331" s="191">
        <v>2.7889209331999999E-2</v>
      </c>
      <c r="BP331" s="191">
        <v>-2.2062423344E-2</v>
      </c>
      <c r="BQ331" s="199">
        <v>8</v>
      </c>
      <c r="BR331" s="199">
        <v>4</v>
      </c>
      <c r="BS331" s="199">
        <v>8</v>
      </c>
      <c r="BT331" s="199">
        <v>4</v>
      </c>
      <c r="BU331" s="200">
        <v>-0.10040441561000001</v>
      </c>
      <c r="BV331" s="200"/>
      <c r="BW331" s="191">
        <v>5.5812408345999997E-3</v>
      </c>
      <c r="BX331" s="191">
        <v>3.5563964893000001E-3</v>
      </c>
      <c r="BY331" s="189">
        <v>-1.2219922888000001</v>
      </c>
      <c r="BZ331" s="191">
        <v>-3.1471952562E-2</v>
      </c>
      <c r="CA331" s="191">
        <v>-3.1471952562E-2</v>
      </c>
      <c r="CB331" s="182">
        <v>45364</v>
      </c>
      <c r="CC331" s="182">
        <v>45412</v>
      </c>
      <c r="CD331" s="201">
        <v>97</v>
      </c>
      <c r="CE331" s="202">
        <v>45504</v>
      </c>
      <c r="CF331" s="116"/>
    </row>
    <row r="332" spans="2:84" ht="15.6" x14ac:dyDescent="0.3">
      <c r="B332" s="110" t="s">
        <v>2292</v>
      </c>
      <c r="C332" s="147" t="s">
        <v>2677</v>
      </c>
      <c r="D332" s="148" t="s">
        <v>1918</v>
      </c>
      <c r="E332" s="148" t="s">
        <v>1959</v>
      </c>
      <c r="F332" s="149">
        <v>2635522000195</v>
      </c>
      <c r="G332" s="149" t="s">
        <v>2428</v>
      </c>
      <c r="H332" s="149" t="s">
        <v>388</v>
      </c>
      <c r="I332" s="150">
        <v>4</v>
      </c>
      <c r="J332" s="151">
        <v>1</v>
      </c>
      <c r="K332" s="151" t="s">
        <v>111</v>
      </c>
      <c r="L332" s="151" t="s">
        <v>125</v>
      </c>
      <c r="M332" s="151" t="s">
        <v>986</v>
      </c>
      <c r="N332" s="151" t="s">
        <v>109</v>
      </c>
      <c r="O332" s="152">
        <v>178099</v>
      </c>
      <c r="P332" s="153">
        <v>178099000</v>
      </c>
      <c r="Q332" s="153">
        <v>1000</v>
      </c>
      <c r="R332" s="154">
        <v>45215</v>
      </c>
      <c r="S332" s="154">
        <v>47771</v>
      </c>
      <c r="T332" s="155" t="s">
        <v>2771</v>
      </c>
      <c r="U332" s="155" t="s">
        <v>113</v>
      </c>
      <c r="V332" s="154" t="s">
        <v>105</v>
      </c>
      <c r="W332" s="154" t="s">
        <v>102</v>
      </c>
      <c r="X332" s="154" t="s">
        <v>2547</v>
      </c>
      <c r="Y332" s="154">
        <v>47710</v>
      </c>
      <c r="Z332" s="156">
        <f>IFERROR(INDEX(Base!G:G,MATCH('Debêntures IPCA-Spread'!Y332,Base!F:F,0)),"")</f>
        <v>6.3273999999999999</v>
      </c>
      <c r="AA332" s="115"/>
      <c r="AB332" s="157">
        <v>45552</v>
      </c>
      <c r="AC332" s="158">
        <v>6.8219000000000003</v>
      </c>
      <c r="AD332" s="159">
        <f t="shared" si="15"/>
        <v>0.49450000000000038</v>
      </c>
      <c r="AE332" s="160">
        <v>0.47</v>
      </c>
      <c r="AF332" s="161">
        <v>6.883</v>
      </c>
      <c r="AG332" s="161">
        <v>6.5495999999999999</v>
      </c>
      <c r="AH332" s="162">
        <v>1084.101144</v>
      </c>
      <c r="AI332" s="162"/>
      <c r="AJ332" s="163" t="str">
        <f t="shared" si="16"/>
        <v/>
      </c>
      <c r="AK332" s="164"/>
      <c r="AL332" s="165">
        <v>101.35</v>
      </c>
      <c r="AM332" s="166">
        <v>1232</v>
      </c>
      <c r="AN332" s="115"/>
      <c r="AO332" s="167">
        <v>-1.2628948725000001E-3</v>
      </c>
      <c r="AP332" s="168">
        <f>IF(AO332="","",AO332-AO$6)</f>
        <v>-1.7430397574300001E-3</v>
      </c>
      <c r="AQ332" s="168">
        <v>1.0096085603E-2</v>
      </c>
      <c r="AR332" s="168">
        <f>IF(AQ332="","",AQ332-AQ$6)</f>
        <v>1.0313592355959999E-2</v>
      </c>
      <c r="AS332" s="168">
        <v>6.5698331979000005E-2</v>
      </c>
      <c r="AT332" s="168">
        <f>IF(AS332="","",AS332-AS$6)</f>
        <v>5.0972496924000008E-2</v>
      </c>
      <c r="AU332" s="168">
        <v>-9.7114185554999996E-3</v>
      </c>
      <c r="AV332" s="168">
        <f>IF(AU332="","",AU332-AU$6)</f>
        <v>3.3571640405000002E-3</v>
      </c>
      <c r="AW332" s="168">
        <v>3.8809867923000001E-2</v>
      </c>
      <c r="AX332" s="168">
        <f>IF(AW332="","",AW332-AW$6)</f>
        <v>1.4814800135E-2</v>
      </c>
      <c r="AY332" s="168">
        <v>2.3698370401999999E-2</v>
      </c>
      <c r="AZ332" s="168">
        <f>IF(AY332="","",AY332-AY$6)</f>
        <v>9.4561156119999986E-3</v>
      </c>
      <c r="BA332" s="168"/>
      <c r="BB332" s="168" t="str">
        <f>IF(BA332="","",BA332-BA$6)</f>
        <v/>
      </c>
      <c r="BC332" s="168"/>
      <c r="BD332" s="168" t="str">
        <f>IF(BC332="","",BC332-BC$6)</f>
        <v/>
      </c>
      <c r="BE332" s="168"/>
      <c r="BF332" s="168" t="str">
        <f>IF(BE332="","",BE332-BE$6)</f>
        <v/>
      </c>
      <c r="BG332" s="168"/>
      <c r="BH332" s="168" t="str">
        <f>IF(BG332="","",BG332-BG$6)</f>
        <v/>
      </c>
      <c r="BI332" s="168"/>
      <c r="BJ332" s="168" t="str">
        <f>IF(BI332="","",BI332-BI$6)</f>
        <v/>
      </c>
      <c r="BK332" s="169"/>
      <c r="BL332" s="115"/>
      <c r="BM332" s="170">
        <v>1.3655533692E-2</v>
      </c>
      <c r="BN332" s="163">
        <v>-8.3343877940999997E-3</v>
      </c>
      <c r="BO332" s="163">
        <v>3.0718709140000001E-2</v>
      </c>
      <c r="BP332" s="163">
        <v>-1.6766629697000001E-2</v>
      </c>
      <c r="BQ332" s="171"/>
      <c r="BR332" s="171"/>
      <c r="BS332" s="171"/>
      <c r="BT332" s="171"/>
      <c r="BU332" s="172"/>
      <c r="BV332" s="172"/>
      <c r="BW332" s="163"/>
      <c r="BX332" s="163">
        <v>6.7161686871E-3</v>
      </c>
      <c r="BY332" s="161"/>
      <c r="BZ332" s="163">
        <v>-3.0917018224E-2</v>
      </c>
      <c r="CA332" s="163">
        <v>-3.0917018224E-2</v>
      </c>
      <c r="CB332" s="154">
        <v>45359</v>
      </c>
      <c r="CC332" s="154">
        <v>45455</v>
      </c>
      <c r="CD332" s="173">
        <v>86</v>
      </c>
      <c r="CE332" s="174">
        <v>45484</v>
      </c>
      <c r="CF332" s="116"/>
    </row>
    <row r="333" spans="2:84" ht="15.6" x14ac:dyDescent="0.3">
      <c r="B333" s="98" t="s">
        <v>2293</v>
      </c>
      <c r="C333" s="175" t="s">
        <v>2678</v>
      </c>
      <c r="D333" s="176" t="s">
        <v>1918</v>
      </c>
      <c r="E333" s="176" t="s">
        <v>1959</v>
      </c>
      <c r="F333" s="177">
        <v>2635522000195</v>
      </c>
      <c r="G333" s="177" t="s">
        <v>2429</v>
      </c>
      <c r="H333" s="177" t="s">
        <v>388</v>
      </c>
      <c r="I333" s="178">
        <v>4</v>
      </c>
      <c r="J333" s="179">
        <v>2</v>
      </c>
      <c r="K333" s="179" t="s">
        <v>111</v>
      </c>
      <c r="L333" s="179" t="s">
        <v>125</v>
      </c>
      <c r="M333" s="179" t="s">
        <v>986</v>
      </c>
      <c r="N333" s="179" t="s">
        <v>109</v>
      </c>
      <c r="O333" s="180">
        <v>121901</v>
      </c>
      <c r="P333" s="181">
        <v>121901000</v>
      </c>
      <c r="Q333" s="181">
        <v>1000</v>
      </c>
      <c r="R333" s="182">
        <v>45215</v>
      </c>
      <c r="S333" s="182">
        <v>48869</v>
      </c>
      <c r="T333" s="183" t="s">
        <v>2771</v>
      </c>
      <c r="U333" s="183" t="s">
        <v>2711</v>
      </c>
      <c r="V333" s="182" t="s">
        <v>105</v>
      </c>
      <c r="W333" s="182" t="s">
        <v>102</v>
      </c>
      <c r="X333" s="182" t="s">
        <v>2548</v>
      </c>
      <c r="Y333" s="182">
        <v>48441</v>
      </c>
      <c r="Z333" s="184">
        <f>IFERROR(INDEX(Base!G:G,MATCH('Debêntures IPCA-Spread'!Y333,Base!F:F,0)),"")</f>
        <v>6.3467000000000002</v>
      </c>
      <c r="AA333" s="115"/>
      <c r="AB333" s="185">
        <v>45552</v>
      </c>
      <c r="AC333" s="186">
        <v>6.8605</v>
      </c>
      <c r="AD333" s="187">
        <f t="shared" si="15"/>
        <v>0.51379999999999981</v>
      </c>
      <c r="AE333" s="188">
        <v>0.52</v>
      </c>
      <c r="AF333" s="189">
        <v>7.0289999999999999</v>
      </c>
      <c r="AG333" s="189">
        <v>6.8476999999999997</v>
      </c>
      <c r="AH333" s="190">
        <v>1093.0406379999999</v>
      </c>
      <c r="AI333" s="190"/>
      <c r="AJ333" s="191" t="str">
        <f t="shared" si="16"/>
        <v/>
      </c>
      <c r="AK333" s="192"/>
      <c r="AL333" s="193">
        <v>102.14</v>
      </c>
      <c r="AM333" s="194">
        <v>1533</v>
      </c>
      <c r="AN333" s="115"/>
      <c r="AO333" s="195">
        <v>8.8207908829999997E-3</v>
      </c>
      <c r="AP333" s="196">
        <f>IF(AO333="","",AO333-AO$6)</f>
        <v>8.3406459980699989E-3</v>
      </c>
      <c r="AQ333" s="196">
        <v>1.9076381008E-2</v>
      </c>
      <c r="AR333" s="196">
        <f>IF(AQ333="","",AQ333-AQ$6)</f>
        <v>1.9293887760959999E-2</v>
      </c>
      <c r="AS333" s="196">
        <v>8.0768157315000005E-2</v>
      </c>
      <c r="AT333" s="196">
        <f>IF(AS333="","",AS333-AS$6)</f>
        <v>6.6042322260000008E-2</v>
      </c>
      <c r="AU333" s="196">
        <v>-4.6857760763000002E-3</v>
      </c>
      <c r="AV333" s="196">
        <f>IF(AU333="","",AU333-AU$6)</f>
        <v>8.3828065196999996E-3</v>
      </c>
      <c r="AW333" s="196">
        <v>7.1210000561999998E-2</v>
      </c>
      <c r="AX333" s="196">
        <f>IF(AW333="","",AW333-AW$6)</f>
        <v>4.7214932773999997E-2</v>
      </c>
      <c r="AY333" s="196">
        <v>6.6938067687999994E-2</v>
      </c>
      <c r="AZ333" s="196">
        <f>IF(AY333="","",AY333-AY$6)</f>
        <v>5.2695812897999995E-2</v>
      </c>
      <c r="BA333" s="196"/>
      <c r="BB333" s="196" t="str">
        <f>IF(BA333="","",BA333-BA$6)</f>
        <v/>
      </c>
      <c r="BC333" s="196"/>
      <c r="BD333" s="196" t="str">
        <f>IF(BC333="","",BC333-BC$6)</f>
        <v/>
      </c>
      <c r="BE333" s="196"/>
      <c r="BF333" s="196" t="str">
        <f>IF(BE333="","",BE333-BE$6)</f>
        <v/>
      </c>
      <c r="BG333" s="196"/>
      <c r="BH333" s="196" t="str">
        <f>IF(BG333="","",BG333-BG$6)</f>
        <v/>
      </c>
      <c r="BI333" s="196"/>
      <c r="BJ333" s="196" t="str">
        <f>IF(BI333="","",BI333-BI$6)</f>
        <v/>
      </c>
      <c r="BK333" s="197"/>
      <c r="BL333" s="115"/>
      <c r="BM333" s="198">
        <v>1.5276968637E-2</v>
      </c>
      <c r="BN333" s="191">
        <v>-1.6245522137999999E-2</v>
      </c>
      <c r="BO333" s="191">
        <v>3.255700039E-2</v>
      </c>
      <c r="BP333" s="191">
        <v>-1.6041971729000001E-2</v>
      </c>
      <c r="BQ333" s="199"/>
      <c r="BR333" s="199"/>
      <c r="BS333" s="199"/>
      <c r="BT333" s="199"/>
      <c r="BU333" s="200"/>
      <c r="BV333" s="200"/>
      <c r="BW333" s="191"/>
      <c r="BX333" s="191">
        <v>1.2153165188E-2</v>
      </c>
      <c r="BY333" s="189"/>
      <c r="BZ333" s="191">
        <v>-2.4126293298E-2</v>
      </c>
      <c r="CA333" s="191">
        <v>-2.4126293298E-2</v>
      </c>
      <c r="CB333" s="182">
        <v>45371</v>
      </c>
      <c r="CC333" s="182">
        <v>45455</v>
      </c>
      <c r="CD333" s="201">
        <v>73</v>
      </c>
      <c r="CE333" s="202">
        <v>45477</v>
      </c>
      <c r="CF333" s="116"/>
    </row>
    <row r="334" spans="2:84" ht="15.6" x14ac:dyDescent="0.3">
      <c r="B334" s="110" t="s">
        <v>2294</v>
      </c>
      <c r="C334" s="147" t="s">
        <v>2679</v>
      </c>
      <c r="D334" s="148" t="s">
        <v>1918</v>
      </c>
      <c r="E334" s="148" t="s">
        <v>1959</v>
      </c>
      <c r="F334" s="149">
        <v>2635522000195</v>
      </c>
      <c r="G334" s="149" t="s">
        <v>2430</v>
      </c>
      <c r="H334" s="149" t="s">
        <v>388</v>
      </c>
      <c r="I334" s="150">
        <v>5</v>
      </c>
      <c r="J334" s="151" t="s">
        <v>107</v>
      </c>
      <c r="K334" s="151" t="s">
        <v>111</v>
      </c>
      <c r="L334" s="151" t="s">
        <v>125</v>
      </c>
      <c r="M334" s="151" t="s">
        <v>986</v>
      </c>
      <c r="N334" s="151" t="s">
        <v>109</v>
      </c>
      <c r="O334" s="152">
        <v>400000</v>
      </c>
      <c r="P334" s="153">
        <v>400000000</v>
      </c>
      <c r="Q334" s="153">
        <v>1000</v>
      </c>
      <c r="R334" s="154">
        <v>45427</v>
      </c>
      <c r="S334" s="154">
        <v>49079</v>
      </c>
      <c r="T334" s="155" t="s">
        <v>2718</v>
      </c>
      <c r="U334" s="155" t="s">
        <v>2762</v>
      </c>
      <c r="V334" s="154" t="s">
        <v>105</v>
      </c>
      <c r="W334" s="154" t="s">
        <v>102</v>
      </c>
      <c r="X334" s="154" t="s">
        <v>2549</v>
      </c>
      <c r="Y334" s="154">
        <v>48714</v>
      </c>
      <c r="Z334" s="156">
        <f>IFERROR(INDEX(Base!G:G,MATCH('Debêntures IPCA-Spread'!Y334,Base!F:F,0)),"")</f>
        <v>6.3373999999999997</v>
      </c>
      <c r="AA334" s="115"/>
      <c r="AB334" s="157">
        <v>45552</v>
      </c>
      <c r="AC334" s="158">
        <v>6.7146999999999997</v>
      </c>
      <c r="AD334" s="159">
        <f t="shared" si="15"/>
        <v>0.37729999999999997</v>
      </c>
      <c r="AE334" s="160">
        <v>0.19</v>
      </c>
      <c r="AF334" s="161">
        <v>6.8973000000000004</v>
      </c>
      <c r="AG334" s="161">
        <v>6.5724</v>
      </c>
      <c r="AH334" s="162">
        <v>1019.989925</v>
      </c>
      <c r="AI334" s="162"/>
      <c r="AJ334" s="163" t="str">
        <f t="shared" si="16"/>
        <v/>
      </c>
      <c r="AK334" s="164"/>
      <c r="AL334" s="165">
        <v>99.34</v>
      </c>
      <c r="AM334" s="166">
        <v>1658</v>
      </c>
      <c r="AN334" s="115"/>
      <c r="AO334" s="167">
        <v>1.2091860189E-3</v>
      </c>
      <c r="AP334" s="168">
        <f>IF(AO334="","",AO334-AO$6)</f>
        <v>7.2904113396999996E-4</v>
      </c>
      <c r="AQ334" s="168">
        <v>1.3114818424E-2</v>
      </c>
      <c r="AR334" s="168">
        <f>IF(AQ334="","",AQ334-AQ$6)</f>
        <v>1.333232517696E-2</v>
      </c>
      <c r="AS334" s="168"/>
      <c r="AT334" s="168" t="str">
        <f>IF(AS334="","",AS334-AS$6)</f>
        <v/>
      </c>
      <c r="AU334" s="168">
        <v>-5.8873278930999997E-3</v>
      </c>
      <c r="AV334" s="168">
        <f>IF(AU334="","",AU334-AU$6)</f>
        <v>7.1812547029000001E-3</v>
      </c>
      <c r="AW334" s="168"/>
      <c r="AX334" s="168" t="str">
        <f>IF(AW334="","",AW334-AW$6)</f>
        <v/>
      </c>
      <c r="AY334" s="168"/>
      <c r="AZ334" s="168" t="str">
        <f>IF(AY334="","",AY334-AY$6)</f>
        <v/>
      </c>
      <c r="BA334" s="168"/>
      <c r="BB334" s="168" t="str">
        <f>IF(BA334="","",BA334-BA$6)</f>
        <v/>
      </c>
      <c r="BC334" s="168"/>
      <c r="BD334" s="168" t="str">
        <f>IF(BC334="","",BC334-BC$6)</f>
        <v/>
      </c>
      <c r="BE334" s="168"/>
      <c r="BF334" s="168" t="str">
        <f>IF(BE334="","",BE334-BE$6)</f>
        <v/>
      </c>
      <c r="BG334" s="168"/>
      <c r="BH334" s="168" t="str">
        <f>IF(BG334="","",BG334-BG$6)</f>
        <v/>
      </c>
      <c r="BI334" s="168"/>
      <c r="BJ334" s="168" t="str">
        <f>IF(BI334="","",BI334-BI$6)</f>
        <v/>
      </c>
      <c r="BK334" s="169"/>
      <c r="BL334" s="115"/>
      <c r="BM334" s="170">
        <v>1.5147980533E-2</v>
      </c>
      <c r="BN334" s="163">
        <v>-7.1373056107000002E-3</v>
      </c>
      <c r="BO334" s="163">
        <v>3.5634288920999999E-2</v>
      </c>
      <c r="BP334" s="163">
        <v>1.3060703089E-2</v>
      </c>
      <c r="BQ334" s="171"/>
      <c r="BR334" s="171"/>
      <c r="BS334" s="171"/>
      <c r="BT334" s="171"/>
      <c r="BU334" s="172"/>
      <c r="BV334" s="172"/>
      <c r="BW334" s="163"/>
      <c r="BX334" s="163">
        <v>7.1136789209000004E-3</v>
      </c>
      <c r="BY334" s="161"/>
      <c r="BZ334" s="163">
        <v>-1.6712887820000001E-2</v>
      </c>
      <c r="CA334" s="163">
        <v>-2.0907228502000001E-2</v>
      </c>
      <c r="CB334" s="154">
        <v>45527</v>
      </c>
      <c r="CC334" s="154">
        <v>45534</v>
      </c>
      <c r="CD334" s="173"/>
      <c r="CE334" s="174"/>
      <c r="CF334" s="116"/>
    </row>
    <row r="335" spans="2:84" ht="15.6" x14ac:dyDescent="0.3">
      <c r="B335" s="98" t="s">
        <v>566</v>
      </c>
      <c r="C335" s="175" t="s">
        <v>731</v>
      </c>
      <c r="D335" s="176" t="s">
        <v>647</v>
      </c>
      <c r="E335" s="176" t="s">
        <v>226</v>
      </c>
      <c r="F335" s="177">
        <v>26617923000180</v>
      </c>
      <c r="G335" s="177" t="s">
        <v>886</v>
      </c>
      <c r="H335" s="177" t="s">
        <v>388</v>
      </c>
      <c r="I335" s="178">
        <v>1</v>
      </c>
      <c r="J335" s="179" t="s">
        <v>107</v>
      </c>
      <c r="K335" s="179" t="s">
        <v>130</v>
      </c>
      <c r="L335" s="179" t="s">
        <v>118</v>
      </c>
      <c r="M335" s="179" t="s">
        <v>106</v>
      </c>
      <c r="N335" s="179" t="s">
        <v>109</v>
      </c>
      <c r="O335" s="180">
        <v>224000</v>
      </c>
      <c r="P335" s="181">
        <v>224000000</v>
      </c>
      <c r="Q335" s="181">
        <v>1000</v>
      </c>
      <c r="R335" s="182">
        <v>43480</v>
      </c>
      <c r="S335" s="182">
        <v>48775</v>
      </c>
      <c r="T335" s="183" t="s">
        <v>2763</v>
      </c>
      <c r="U335" s="183" t="s">
        <v>2763</v>
      </c>
      <c r="V335" s="182" t="s">
        <v>105</v>
      </c>
      <c r="W335" s="182" t="s">
        <v>102</v>
      </c>
      <c r="X335" s="182" t="s">
        <v>1301</v>
      </c>
      <c r="Y335" s="182">
        <v>47253</v>
      </c>
      <c r="Z335" s="184">
        <f>IFERROR(INDEX(Base!G:G,MATCH('Debêntures IPCA-Spread'!Y335,Base!F:F,0)),"")</f>
        <v>6.41</v>
      </c>
      <c r="AA335" s="115"/>
      <c r="AB335" s="185">
        <v>45552</v>
      </c>
      <c r="AC335" s="186">
        <v>6.3914999999999997</v>
      </c>
      <c r="AD335" s="187">
        <f t="shared" si="15"/>
        <v>-1.8500000000000405E-2</v>
      </c>
      <c r="AE335" s="188">
        <v>0.18</v>
      </c>
      <c r="AF335" s="189">
        <v>6.5125000000000002</v>
      </c>
      <c r="AG335" s="189">
        <v>6.2792000000000003</v>
      </c>
      <c r="AH335" s="190">
        <v>1002.534691</v>
      </c>
      <c r="AI335" s="190">
        <v>1008.315217</v>
      </c>
      <c r="AJ335" s="191">
        <f t="shared" si="16"/>
        <v>0.99426714394215077</v>
      </c>
      <c r="AK335" s="192">
        <v>45527</v>
      </c>
      <c r="AL335" s="193">
        <v>92.61</v>
      </c>
      <c r="AM335" s="194">
        <v>1064</v>
      </c>
      <c r="AN335" s="115"/>
      <c r="AO335" s="195">
        <v>1.0664209548E-4</v>
      </c>
      <c r="AP335" s="196">
        <f>IF(AO335="","",AO335-AO$6)</f>
        <v>-3.7350278945E-4</v>
      </c>
      <c r="AQ335" s="196">
        <v>3.2608502006000002E-3</v>
      </c>
      <c r="AR335" s="196">
        <f>IF(AQ335="","",AQ335-AQ$6)</f>
        <v>3.4783569535600002E-3</v>
      </c>
      <c r="AS335" s="196">
        <v>6.3291986428999997E-2</v>
      </c>
      <c r="AT335" s="196">
        <f>IF(AS335="","",AS335-AS$6)</f>
        <v>4.8566151373999999E-2</v>
      </c>
      <c r="AU335" s="196">
        <v>-9.2746299923999998E-4</v>
      </c>
      <c r="AV335" s="196">
        <f>IF(AU335="","",AU335-AU$6)</f>
        <v>1.214111959676E-2</v>
      </c>
      <c r="AW335" s="196">
        <v>3.4541373669000001E-2</v>
      </c>
      <c r="AX335" s="196">
        <f>IF(AW335="","",AW335-AW$6)</f>
        <v>1.0546305881000001E-2</v>
      </c>
      <c r="AY335" s="196">
        <v>2.6427850142000001E-2</v>
      </c>
      <c r="AZ335" s="196">
        <f>IF(AY335="","",AY335-AY$6)</f>
        <v>1.2185595352000001E-2</v>
      </c>
      <c r="BA335" s="196">
        <v>9.8673964510999995E-2</v>
      </c>
      <c r="BB335" s="196">
        <f>IF(BA335="","",BA335-BA$6)</f>
        <v>4.5186999952999997E-2</v>
      </c>
      <c r="BC335" s="196">
        <v>0.23070134744000001</v>
      </c>
      <c r="BD335" s="196">
        <f>IF(BC335="","",BC335-BC$6)</f>
        <v>3.6392780950000009E-2</v>
      </c>
      <c r="BE335" s="196">
        <v>0.33306461359</v>
      </c>
      <c r="BF335" s="196">
        <f>IF(BE335="","",BE335-BE$6)</f>
        <v>7.1345274050000018E-2</v>
      </c>
      <c r="BG335" s="196">
        <v>0.45166991577999999</v>
      </c>
      <c r="BH335" s="196">
        <f>IF(BG335="","",BG335-BG$6)</f>
        <v>0.14275326696999996</v>
      </c>
      <c r="BI335" s="196">
        <v>0.54095582346000004</v>
      </c>
      <c r="BJ335" s="196">
        <f>IF(BI335="","",BI335-BI$6)</f>
        <v>0.16801281338000001</v>
      </c>
      <c r="BK335" s="197">
        <v>4.2586536408000004</v>
      </c>
      <c r="BL335" s="115"/>
      <c r="BM335" s="198">
        <v>8.9456276963999996E-3</v>
      </c>
      <c r="BN335" s="191">
        <v>-7.8207790712000007E-3</v>
      </c>
      <c r="BO335" s="191">
        <v>2.6096327284999998E-2</v>
      </c>
      <c r="BP335" s="191">
        <v>-1.5602951707000001E-2</v>
      </c>
      <c r="BQ335" s="199">
        <v>9</v>
      </c>
      <c r="BR335" s="199">
        <v>3</v>
      </c>
      <c r="BS335" s="199">
        <v>6</v>
      </c>
      <c r="BT335" s="199">
        <v>6</v>
      </c>
      <c r="BU335" s="200">
        <v>-0.25574173689000002</v>
      </c>
      <c r="BV335" s="200">
        <v>-0.28184528124000002</v>
      </c>
      <c r="BW335" s="191">
        <v>4.4006279795E-3</v>
      </c>
      <c r="BX335" s="191">
        <v>4.3419429351999996E-3</v>
      </c>
      <c r="BY335" s="189">
        <v>-1.7878422539000001</v>
      </c>
      <c r="BZ335" s="191">
        <v>-1.7526103195999999E-2</v>
      </c>
      <c r="CA335" s="191">
        <v>-1.7526103195999999E-2</v>
      </c>
      <c r="CB335" s="182">
        <v>45189</v>
      </c>
      <c r="CC335" s="182">
        <v>45202</v>
      </c>
      <c r="CD335" s="201">
        <v>39</v>
      </c>
      <c r="CE335" s="202">
        <v>45247</v>
      </c>
      <c r="CF335" s="116"/>
    </row>
    <row r="336" spans="2:84" ht="15.6" x14ac:dyDescent="0.3">
      <c r="B336" s="110" t="s">
        <v>1471</v>
      </c>
      <c r="C336" s="147" t="s">
        <v>2117</v>
      </c>
      <c r="D336" s="148" t="s">
        <v>647</v>
      </c>
      <c r="E336" s="148" t="s">
        <v>226</v>
      </c>
      <c r="F336" s="149">
        <v>26617923000180</v>
      </c>
      <c r="G336" s="149" t="s">
        <v>1830</v>
      </c>
      <c r="H336" s="149" t="s">
        <v>388</v>
      </c>
      <c r="I336" s="150">
        <v>2</v>
      </c>
      <c r="J336" s="151" t="s">
        <v>107</v>
      </c>
      <c r="K336" s="151" t="s">
        <v>130</v>
      </c>
      <c r="L336" s="151" t="s">
        <v>112</v>
      </c>
      <c r="M336" s="151" t="s">
        <v>106</v>
      </c>
      <c r="N336" s="151" t="s">
        <v>109</v>
      </c>
      <c r="O336" s="152">
        <v>575000</v>
      </c>
      <c r="P336" s="153">
        <v>575000000</v>
      </c>
      <c r="Q336" s="153">
        <v>1000</v>
      </c>
      <c r="R336" s="154">
        <v>43814</v>
      </c>
      <c r="S336" s="154">
        <v>52946</v>
      </c>
      <c r="T336" s="155" t="s">
        <v>1993</v>
      </c>
      <c r="U336" s="155" t="s">
        <v>1705</v>
      </c>
      <c r="V336" s="154" t="s">
        <v>194</v>
      </c>
      <c r="W336" s="154" t="s">
        <v>102</v>
      </c>
      <c r="X336" s="154" t="s">
        <v>1598</v>
      </c>
      <c r="Y336" s="154">
        <v>49444</v>
      </c>
      <c r="Z336" s="156">
        <f>IFERROR(INDEX(Base!G:G,MATCH('Debêntures IPCA-Spread'!Y336,Base!F:F,0)),"")</f>
        <v>6.3137999999999996</v>
      </c>
      <c r="AA336" s="115"/>
      <c r="AB336" s="157">
        <v>45552</v>
      </c>
      <c r="AC336" s="158">
        <v>6.6208</v>
      </c>
      <c r="AD336" s="159">
        <f t="shared" si="15"/>
        <v>0.30700000000000038</v>
      </c>
      <c r="AE336" s="160">
        <v>0.25</v>
      </c>
      <c r="AF336" s="161">
        <v>7.0350000000000001</v>
      </c>
      <c r="AG336" s="161"/>
      <c r="AH336" s="162">
        <v>1307.453624</v>
      </c>
      <c r="AI336" s="162">
        <v>1343.537231</v>
      </c>
      <c r="AJ336" s="163">
        <f t="shared" si="16"/>
        <v>0.97314283060608386</v>
      </c>
      <c r="AK336" s="164">
        <v>45530</v>
      </c>
      <c r="AL336" s="165">
        <v>86.96</v>
      </c>
      <c r="AM336" s="166">
        <v>2010</v>
      </c>
      <c r="AN336" s="115"/>
      <c r="AO336" s="167">
        <v>-2.7282083092E-3</v>
      </c>
      <c r="AP336" s="168">
        <f>IF(AO336="","",AO336-AO$6)</f>
        <v>-3.20835319413E-3</v>
      </c>
      <c r="AQ336" s="168">
        <v>-3.1097795372000002E-3</v>
      </c>
      <c r="AR336" s="168">
        <f>IF(AQ336="","",AQ336-AQ$6)</f>
        <v>-2.8922727842400002E-3</v>
      </c>
      <c r="AS336" s="168">
        <v>9.6126451700999996E-2</v>
      </c>
      <c r="AT336" s="168">
        <f>IF(AS336="","",AS336-AS$6)</f>
        <v>8.1400616645999999E-2</v>
      </c>
      <c r="AU336" s="168">
        <v>-5.7829992974999999E-3</v>
      </c>
      <c r="AV336" s="168">
        <f>IF(AU336="","",AU336-AU$6)</f>
        <v>7.2855832984999999E-3</v>
      </c>
      <c r="AW336" s="168">
        <v>6.1114389429E-2</v>
      </c>
      <c r="AX336" s="168">
        <f>IF(AW336="","",AW336-AW$6)</f>
        <v>3.7119321641E-2</v>
      </c>
      <c r="AY336" s="168">
        <v>3.1259421745000002E-2</v>
      </c>
      <c r="AZ336" s="168">
        <f>IF(AY336="","",AY336-AY$6)</f>
        <v>1.7017166955000003E-2</v>
      </c>
      <c r="BA336" s="168">
        <v>0.13894756269</v>
      </c>
      <c r="BB336" s="168">
        <f>IF(BA336="","",BA336-BA$6)</f>
        <v>8.5460598131999993E-2</v>
      </c>
      <c r="BC336" s="168">
        <v>0.26247459978999998</v>
      </c>
      <c r="BD336" s="168">
        <f>IF(BC336="","",BC336-BC$6)</f>
        <v>6.8166033299999984E-2</v>
      </c>
      <c r="BE336" s="168"/>
      <c r="BF336" s="168" t="str">
        <f>IF(BE336="","",BE336-BE$6)</f>
        <v/>
      </c>
      <c r="BG336" s="168"/>
      <c r="BH336" s="168" t="str">
        <f>IF(BG336="","",BG336-BG$6)</f>
        <v/>
      </c>
      <c r="BI336" s="168"/>
      <c r="BJ336" s="168" t="str">
        <f>IF(BI336="","",BI336-BI$6)</f>
        <v/>
      </c>
      <c r="BK336" s="169">
        <v>9.4843398783000001</v>
      </c>
      <c r="BL336" s="115"/>
      <c r="BM336" s="170">
        <v>1.8594409837999998E-2</v>
      </c>
      <c r="BN336" s="163">
        <v>-2.1190461226999999E-2</v>
      </c>
      <c r="BO336" s="163">
        <v>3.9977592844000001E-2</v>
      </c>
      <c r="BP336" s="163">
        <v>-2.8716653836E-2</v>
      </c>
      <c r="BQ336" s="171">
        <v>8</v>
      </c>
      <c r="BR336" s="171">
        <v>4</v>
      </c>
      <c r="BS336" s="171">
        <v>8</v>
      </c>
      <c r="BT336" s="171">
        <v>4</v>
      </c>
      <c r="BU336" s="172">
        <v>0.30641377594000002</v>
      </c>
      <c r="BV336" s="172"/>
      <c r="BW336" s="163">
        <v>9.8008071182000001E-3</v>
      </c>
      <c r="BX336" s="163">
        <v>1.0608912200000001E-2</v>
      </c>
      <c r="BY336" s="161">
        <v>2.3933284509999999</v>
      </c>
      <c r="BZ336" s="163">
        <v>-3.9241321911999999E-2</v>
      </c>
      <c r="CA336" s="163">
        <v>-3.9241321911999999E-2</v>
      </c>
      <c r="CB336" s="154">
        <v>45372</v>
      </c>
      <c r="CC336" s="154">
        <v>45455</v>
      </c>
      <c r="CD336" s="173">
        <v>77</v>
      </c>
      <c r="CE336" s="174">
        <v>45484</v>
      </c>
      <c r="CF336" s="116"/>
    </row>
    <row r="337" spans="2:84" ht="15.6" x14ac:dyDescent="0.3">
      <c r="B337" s="98" t="s">
        <v>2295</v>
      </c>
      <c r="C337" s="175" t="s">
        <v>2680</v>
      </c>
      <c r="D337" s="176" t="s">
        <v>2808</v>
      </c>
      <c r="E337" s="176" t="s">
        <v>104</v>
      </c>
      <c r="F337" s="177">
        <v>21540697000163</v>
      </c>
      <c r="G337" s="177" t="s">
        <v>2431</v>
      </c>
      <c r="H337" s="177" t="s">
        <v>388</v>
      </c>
      <c r="I337" s="178">
        <v>1</v>
      </c>
      <c r="J337" s="179" t="s">
        <v>107</v>
      </c>
      <c r="K337" s="179" t="s">
        <v>126</v>
      </c>
      <c r="L337" s="179" t="s">
        <v>125</v>
      </c>
      <c r="M337" s="179" t="s">
        <v>106</v>
      </c>
      <c r="N337" s="179" t="s">
        <v>109</v>
      </c>
      <c r="O337" s="180">
        <v>46210</v>
      </c>
      <c r="P337" s="181">
        <v>46210000</v>
      </c>
      <c r="Q337" s="181">
        <v>1000</v>
      </c>
      <c r="R337" s="182">
        <v>42993</v>
      </c>
      <c r="S337" s="182">
        <v>47192</v>
      </c>
      <c r="T337" s="183" t="s">
        <v>2839</v>
      </c>
      <c r="U337" s="183" t="s">
        <v>2764</v>
      </c>
      <c r="V337" s="182" t="s">
        <v>105</v>
      </c>
      <c r="W337" s="182" t="s">
        <v>102</v>
      </c>
      <c r="X337" s="182" t="s">
        <v>2550</v>
      </c>
      <c r="Y337" s="182">
        <v>46522</v>
      </c>
      <c r="Z337" s="184">
        <f>IFERROR(INDEX(Base!G:G,MATCH('Debêntures IPCA-Spread'!Y337,Base!F:F,0)),"")</f>
        <v>6.391</v>
      </c>
      <c r="AA337" s="115"/>
      <c r="AB337" s="185">
        <v>45552</v>
      </c>
      <c r="AC337" s="186">
        <v>6.0791000000000004</v>
      </c>
      <c r="AD337" s="187">
        <f t="shared" si="15"/>
        <v>-0.31189999999999962</v>
      </c>
      <c r="AE337" s="188">
        <v>0.16</v>
      </c>
      <c r="AF337" s="189">
        <v>6.3529</v>
      </c>
      <c r="AG337" s="189">
        <v>5.8581000000000003</v>
      </c>
      <c r="AH337" s="190">
        <v>1097.8234649999999</v>
      </c>
      <c r="AI337" s="190"/>
      <c r="AJ337" s="191" t="str">
        <f t="shared" si="16"/>
        <v/>
      </c>
      <c r="AK337" s="192"/>
      <c r="AL337" s="193">
        <v>102.57</v>
      </c>
      <c r="AM337" s="194">
        <v>547</v>
      </c>
      <c r="AN337" s="115"/>
      <c r="AO337" s="195">
        <v>3.2814883233999999E-3</v>
      </c>
      <c r="AP337" s="196">
        <f>IF(AO337="","",AO337-AO$6)</f>
        <v>2.8013434384699999E-3</v>
      </c>
      <c r="AQ337" s="196">
        <v>9.2520801098999999E-3</v>
      </c>
      <c r="AR337" s="196">
        <f>IF(AQ337="","",AQ337-AQ$6)</f>
        <v>9.4695868628599991E-3</v>
      </c>
      <c r="AS337" s="196">
        <v>7.4839088883999996E-2</v>
      </c>
      <c r="AT337" s="196">
        <f>IF(AS337="","",AS337-AS$6)</f>
        <v>6.0113253828999999E-2</v>
      </c>
      <c r="AU337" s="196">
        <v>8.8914851966999994E-3</v>
      </c>
      <c r="AV337" s="196">
        <f>IF(AU337="","",AU337-AU$6)</f>
        <v>2.1960067792699999E-2</v>
      </c>
      <c r="AW337" s="196">
        <v>3.4256322104000002E-2</v>
      </c>
      <c r="AX337" s="196">
        <f>IF(AW337="","",AW337-AW$6)</f>
        <v>1.0261254316000001E-2</v>
      </c>
      <c r="AY337" s="196">
        <v>3.7050606159E-2</v>
      </c>
      <c r="AZ337" s="196">
        <f>IF(AY337="","",AY337-AY$6)</f>
        <v>2.2808351369000002E-2</v>
      </c>
      <c r="BA337" s="196"/>
      <c r="BB337" s="196" t="str">
        <f>IF(BA337="","",BA337-BA$6)</f>
        <v/>
      </c>
      <c r="BC337" s="196"/>
      <c r="BD337" s="196" t="str">
        <f>IF(BC337="","",BC337-BC$6)</f>
        <v/>
      </c>
      <c r="BE337" s="196"/>
      <c r="BF337" s="196" t="str">
        <f>IF(BE337="","",BE337-BE$6)</f>
        <v/>
      </c>
      <c r="BG337" s="196"/>
      <c r="BH337" s="196" t="str">
        <f>IF(BG337="","",BG337-BG$6)</f>
        <v/>
      </c>
      <c r="BI337" s="196"/>
      <c r="BJ337" s="196" t="str">
        <f>IF(BI337="","",BI337-BI$6)</f>
        <v/>
      </c>
      <c r="BK337" s="197"/>
      <c r="BL337" s="115"/>
      <c r="BM337" s="198">
        <v>5.9579428034000001E-3</v>
      </c>
      <c r="BN337" s="191">
        <v>-5.3305096625999998E-3</v>
      </c>
      <c r="BO337" s="191">
        <v>2.1462946850000001E-2</v>
      </c>
      <c r="BP337" s="191">
        <v>-9.5024851061999999E-3</v>
      </c>
      <c r="BQ337" s="199"/>
      <c r="BR337" s="199"/>
      <c r="BS337" s="199"/>
      <c r="BT337" s="199"/>
      <c r="BU337" s="200"/>
      <c r="BV337" s="200"/>
      <c r="BW337" s="191"/>
      <c r="BX337" s="191">
        <v>2.1464003060000002E-3</v>
      </c>
      <c r="BY337" s="189"/>
      <c r="BZ337" s="191">
        <v>-1.3198823682E-2</v>
      </c>
      <c r="CA337" s="191">
        <v>-1.3198823682E-2</v>
      </c>
      <c r="CB337" s="182">
        <v>45391</v>
      </c>
      <c r="CC337" s="182">
        <v>45399</v>
      </c>
      <c r="CD337" s="201">
        <v>51</v>
      </c>
      <c r="CE337" s="202">
        <v>45464</v>
      </c>
      <c r="CF337" s="116"/>
    </row>
    <row r="338" spans="2:84" ht="15.6" x14ac:dyDescent="0.3">
      <c r="B338" s="110" t="s">
        <v>1472</v>
      </c>
      <c r="C338" s="147" t="s">
        <v>2118</v>
      </c>
      <c r="D338" s="148" t="s">
        <v>1919</v>
      </c>
      <c r="E338" s="148" t="s">
        <v>227</v>
      </c>
      <c r="F338" s="149">
        <v>4368865000166</v>
      </c>
      <c r="G338" s="149" t="s">
        <v>1831</v>
      </c>
      <c r="H338" s="149" t="s">
        <v>388</v>
      </c>
      <c r="I338" s="150">
        <v>5</v>
      </c>
      <c r="J338" s="151" t="s">
        <v>107</v>
      </c>
      <c r="K338" s="151" t="s">
        <v>111</v>
      </c>
      <c r="L338" s="151" t="s">
        <v>118</v>
      </c>
      <c r="M338" s="151" t="s">
        <v>986</v>
      </c>
      <c r="N338" s="151" t="s">
        <v>109</v>
      </c>
      <c r="O338" s="152">
        <v>1000000</v>
      </c>
      <c r="P338" s="153">
        <v>1000000000</v>
      </c>
      <c r="Q338" s="153">
        <v>1000</v>
      </c>
      <c r="R338" s="154">
        <v>44819</v>
      </c>
      <c r="S338" s="154">
        <v>47741</v>
      </c>
      <c r="T338" s="155" t="s">
        <v>1997</v>
      </c>
      <c r="U338" s="155" t="s">
        <v>1706</v>
      </c>
      <c r="V338" s="154" t="s">
        <v>194</v>
      </c>
      <c r="W338" s="154" t="s">
        <v>102</v>
      </c>
      <c r="X338" s="154" t="s">
        <v>1599</v>
      </c>
      <c r="Y338" s="154">
        <v>47253</v>
      </c>
      <c r="Z338" s="156">
        <f>IFERROR(INDEX(Base!G:G,MATCH('Debêntures IPCA-Spread'!Y338,Base!F:F,0)),"")</f>
        <v>6.41</v>
      </c>
      <c r="AA338" s="115"/>
      <c r="AB338" s="157">
        <v>45552</v>
      </c>
      <c r="AC338" s="158">
        <v>11.734</v>
      </c>
      <c r="AD338" s="159">
        <f t="shared" si="15"/>
        <v>5.3239999999999998</v>
      </c>
      <c r="AE338" s="160">
        <v>0.24</v>
      </c>
      <c r="AF338" s="161">
        <v>12.089499999999999</v>
      </c>
      <c r="AG338" s="161">
        <v>11.580399999999999</v>
      </c>
      <c r="AH338" s="162">
        <v>984.36058700000001</v>
      </c>
      <c r="AI338" s="162">
        <v>994.13717121000002</v>
      </c>
      <c r="AJ338" s="163">
        <f t="shared" si="16"/>
        <v>0.99016575932061712</v>
      </c>
      <c r="AK338" s="164">
        <v>45532</v>
      </c>
      <c r="AL338" s="165">
        <v>89.87</v>
      </c>
      <c r="AM338" s="166">
        <v>1022</v>
      </c>
      <c r="AN338" s="115"/>
      <c r="AO338" s="167">
        <v>3.1031633498000001E-3</v>
      </c>
      <c r="AP338" s="168">
        <f>IF(AO338="","",AO338-AO$6)</f>
        <v>2.6230184648700001E-3</v>
      </c>
      <c r="AQ338" s="168">
        <v>6.0467837448000003E-3</v>
      </c>
      <c r="AR338" s="168">
        <f>IF(AQ338="","",AQ338-AQ$6)</f>
        <v>6.2642904977600004E-3</v>
      </c>
      <c r="AS338" s="168">
        <v>5.9801633030000002E-2</v>
      </c>
      <c r="AT338" s="168">
        <f>IF(AS338="","",AS338-AS$6)</f>
        <v>4.5075797974999998E-2</v>
      </c>
      <c r="AU338" s="168">
        <v>-5.3033028735E-3</v>
      </c>
      <c r="AV338" s="168">
        <f>IF(AU338="","",AU338-AU$6)</f>
        <v>7.7652797224999999E-3</v>
      </c>
      <c r="AW338" s="168">
        <v>3.2286861244000001E-2</v>
      </c>
      <c r="AX338" s="168">
        <f>IF(AW338="","",AW338-AW$6)</f>
        <v>8.2917934560000003E-3</v>
      </c>
      <c r="AY338" s="168">
        <v>3.2726131927000003E-2</v>
      </c>
      <c r="AZ338" s="168">
        <f>IF(AY338="","",AY338-AY$6)</f>
        <v>1.8483877137000004E-2</v>
      </c>
      <c r="BA338" s="168">
        <v>0.11426742631</v>
      </c>
      <c r="BB338" s="168">
        <f>IF(BA338="","",BA338-BA$6)</f>
        <v>6.0780461752000005E-2</v>
      </c>
      <c r="BC338" s="168"/>
      <c r="BD338" s="168" t="str">
        <f>IF(BC338="","",BC338-BC$6)</f>
        <v/>
      </c>
      <c r="BE338" s="168"/>
      <c r="BF338" s="168" t="str">
        <f>IF(BE338="","",BE338-BE$6)</f>
        <v/>
      </c>
      <c r="BG338" s="168"/>
      <c r="BH338" s="168" t="str">
        <f>IF(BG338="","",BG338-BG$6)</f>
        <v/>
      </c>
      <c r="BI338" s="168"/>
      <c r="BJ338" s="168" t="str">
        <f>IF(BI338="","",BI338-BI$6)</f>
        <v/>
      </c>
      <c r="BK338" s="169">
        <v>5.3895307815000004</v>
      </c>
      <c r="BL338" s="115"/>
      <c r="BM338" s="170">
        <v>2.2774845753000001E-2</v>
      </c>
      <c r="BN338" s="163">
        <v>-9.9763742601000002E-3</v>
      </c>
      <c r="BO338" s="163">
        <v>2.5466254668999998E-2</v>
      </c>
      <c r="BP338" s="163">
        <v>-1.5043975162E-2</v>
      </c>
      <c r="BQ338" s="171">
        <v>10</v>
      </c>
      <c r="BR338" s="171">
        <v>2</v>
      </c>
      <c r="BS338" s="171">
        <v>7</v>
      </c>
      <c r="BT338" s="171">
        <v>5</v>
      </c>
      <c r="BU338" s="172">
        <v>6.8507171835999997E-2</v>
      </c>
      <c r="BV338" s="172"/>
      <c r="BW338" s="163">
        <v>5.5807498877999996E-3</v>
      </c>
      <c r="BX338" s="163">
        <v>6.0715556142999999E-3</v>
      </c>
      <c r="BY338" s="161">
        <v>-5.9696796622000003E-2</v>
      </c>
      <c r="BZ338" s="163">
        <v>-1.5043975162E-2</v>
      </c>
      <c r="CA338" s="163">
        <v>-1.7318423124999999E-2</v>
      </c>
      <c r="CB338" s="154">
        <v>45532</v>
      </c>
      <c r="CC338" s="154">
        <v>45539</v>
      </c>
      <c r="CD338" s="173"/>
      <c r="CE338" s="174"/>
      <c r="CF338" s="116"/>
    </row>
    <row r="339" spans="2:84" ht="15.6" x14ac:dyDescent="0.3">
      <c r="B339" s="98" t="s">
        <v>401</v>
      </c>
      <c r="C339" s="175" t="s">
        <v>422</v>
      </c>
      <c r="D339" s="176" t="s">
        <v>90</v>
      </c>
      <c r="E339" s="176" t="s">
        <v>226</v>
      </c>
      <c r="F339" s="177">
        <v>60444437000146</v>
      </c>
      <c r="G339" s="177" t="s">
        <v>437</v>
      </c>
      <c r="H339" s="177" t="s">
        <v>388</v>
      </c>
      <c r="I339" s="178">
        <v>15</v>
      </c>
      <c r="J339" s="179">
        <v>1</v>
      </c>
      <c r="K339" s="179" t="s">
        <v>130</v>
      </c>
      <c r="L339" s="179" t="s">
        <v>125</v>
      </c>
      <c r="M339" s="179" t="s">
        <v>106</v>
      </c>
      <c r="N339" s="179" t="s">
        <v>109</v>
      </c>
      <c r="O339" s="180">
        <v>510001</v>
      </c>
      <c r="P339" s="181">
        <v>510001000</v>
      </c>
      <c r="Q339" s="181">
        <v>1000</v>
      </c>
      <c r="R339" s="182">
        <v>43388</v>
      </c>
      <c r="S339" s="182">
        <v>45945</v>
      </c>
      <c r="T339" s="183" t="s">
        <v>413</v>
      </c>
      <c r="U339" s="183" t="s">
        <v>429</v>
      </c>
      <c r="V339" s="182" t="s">
        <v>105</v>
      </c>
      <c r="W339" s="182" t="s">
        <v>102</v>
      </c>
      <c r="X339" s="182" t="s">
        <v>445</v>
      </c>
      <c r="Y339" s="182">
        <v>45792</v>
      </c>
      <c r="Z339" s="184">
        <f>IFERROR(INDEX(Base!G:G,MATCH('Debêntures IPCA-Spread'!Y339,Base!F:F,0)),"")</f>
        <v>5.73</v>
      </c>
      <c r="AA339" s="115"/>
      <c r="AB339" s="185">
        <v>45552</v>
      </c>
      <c r="AC339" s="186"/>
      <c r="AD339" s="187" t="str">
        <f t="shared" si="15"/>
        <v/>
      </c>
      <c r="AE339" s="188"/>
      <c r="AF339" s="189"/>
      <c r="AG339" s="189"/>
      <c r="AH339" s="190">
        <v>494</v>
      </c>
      <c r="AI339" s="190">
        <v>507.5</v>
      </c>
      <c r="AJ339" s="191">
        <f t="shared" si="16"/>
        <v>0.97339901477832513</v>
      </c>
      <c r="AK339" s="192">
        <v>45547</v>
      </c>
      <c r="AL339" s="193"/>
      <c r="AM339" s="194"/>
      <c r="AN339" s="115"/>
      <c r="AO339" s="195">
        <v>0</v>
      </c>
      <c r="AP339" s="196">
        <f>IF(AO339="","",AO339-AO$6)</f>
        <v>-4.8014488492999999E-4</v>
      </c>
      <c r="AQ339" s="196">
        <v>0</v>
      </c>
      <c r="AR339" s="196">
        <f>IF(AQ339="","",AQ339-AQ$6)</f>
        <v>2.1750675296E-4</v>
      </c>
      <c r="AS339" s="196"/>
      <c r="AT339" s="196" t="str">
        <f>IF(AS339="","",AS339-AS$6)</f>
        <v/>
      </c>
      <c r="AU339" s="196">
        <v>4.2194092826E-2</v>
      </c>
      <c r="AV339" s="196">
        <f>IF(AU339="","",AU339-AU$6)</f>
        <v>5.5262675422000002E-2</v>
      </c>
      <c r="AW339" s="196">
        <v>4.1566265686999997E-2</v>
      </c>
      <c r="AX339" s="196">
        <f>IF(AW339="","",AW339-AW$6)</f>
        <v>1.7571197898999996E-2</v>
      </c>
      <c r="AY339" s="196"/>
      <c r="AZ339" s="196" t="str">
        <f>IF(AY339="","",AY339-AY$6)</f>
        <v/>
      </c>
      <c r="BA339" s="196"/>
      <c r="BB339" s="196" t="str">
        <f>IF(BA339="","",BA339-BA$6)</f>
        <v/>
      </c>
      <c r="BC339" s="196"/>
      <c r="BD339" s="196" t="str">
        <f>IF(BC339="","",BC339-BC$6)</f>
        <v/>
      </c>
      <c r="BE339" s="196"/>
      <c r="BF339" s="196" t="str">
        <f>IF(BE339="","",BE339-BE$6)</f>
        <v/>
      </c>
      <c r="BG339" s="196"/>
      <c r="BH339" s="196" t="str">
        <f>IF(BG339="","",BG339-BG$6)</f>
        <v/>
      </c>
      <c r="BI339" s="196"/>
      <c r="BJ339" s="196" t="str">
        <f>IF(BI339="","",BI339-BI$6)</f>
        <v/>
      </c>
      <c r="BK339" s="197"/>
      <c r="BL339" s="115"/>
      <c r="BM339" s="198">
        <v>7.8322198218000003E-2</v>
      </c>
      <c r="BN339" s="191">
        <v>-6.6009852216999995E-2</v>
      </c>
      <c r="BO339" s="191">
        <v>6.0975610494999999E-2</v>
      </c>
      <c r="BP339" s="191">
        <v>-2.6600985221999999E-2</v>
      </c>
      <c r="BQ339" s="199"/>
      <c r="BR339" s="199"/>
      <c r="BS339" s="199"/>
      <c r="BT339" s="199"/>
      <c r="BU339" s="200"/>
      <c r="BV339" s="200"/>
      <c r="BW339" s="191"/>
      <c r="BX339" s="191"/>
      <c r="BY339" s="189"/>
      <c r="BZ339" s="191">
        <v>-9.3378607193999999E-2</v>
      </c>
      <c r="CA339" s="191">
        <v>-9.3378607193999999E-2</v>
      </c>
      <c r="CB339" s="182">
        <v>45439</v>
      </c>
      <c r="CC339" s="182">
        <v>45447</v>
      </c>
      <c r="CD339" s="201">
        <v>26</v>
      </c>
      <c r="CE339" s="202">
        <v>45476</v>
      </c>
      <c r="CF339" s="116"/>
    </row>
    <row r="340" spans="2:84" ht="15.6" x14ac:dyDescent="0.3">
      <c r="B340" s="110" t="s">
        <v>567</v>
      </c>
      <c r="C340" s="147" t="s">
        <v>732</v>
      </c>
      <c r="D340" s="148" t="s">
        <v>90</v>
      </c>
      <c r="E340" s="148" t="s">
        <v>226</v>
      </c>
      <c r="F340" s="149">
        <v>60444437000146</v>
      </c>
      <c r="G340" s="149" t="s">
        <v>887</v>
      </c>
      <c r="H340" s="149" t="s">
        <v>388</v>
      </c>
      <c r="I340" s="150">
        <v>19</v>
      </c>
      <c r="J340" s="151" t="s">
        <v>107</v>
      </c>
      <c r="K340" s="151" t="s">
        <v>126</v>
      </c>
      <c r="L340" s="151" t="s">
        <v>125</v>
      </c>
      <c r="M340" s="151" t="s">
        <v>114</v>
      </c>
      <c r="N340" s="151" t="s">
        <v>109</v>
      </c>
      <c r="O340" s="152">
        <v>500000</v>
      </c>
      <c r="P340" s="153">
        <v>500000000</v>
      </c>
      <c r="Q340" s="153">
        <v>1000</v>
      </c>
      <c r="R340" s="154">
        <v>44040</v>
      </c>
      <c r="S340" s="154">
        <v>45853</v>
      </c>
      <c r="T340" s="155" t="s">
        <v>801</v>
      </c>
      <c r="U340" s="155" t="s">
        <v>161</v>
      </c>
      <c r="V340" s="154" t="s">
        <v>105</v>
      </c>
      <c r="W340" s="154" t="s">
        <v>102</v>
      </c>
      <c r="X340" s="154" t="s">
        <v>1292</v>
      </c>
      <c r="Y340" s="154">
        <v>45792</v>
      </c>
      <c r="Z340" s="156">
        <f>IFERROR(INDEX(Base!G:G,MATCH('Debêntures IPCA-Spread'!Y340,Base!F:F,0)),"")</f>
        <v>5.73</v>
      </c>
      <c r="AA340" s="115"/>
      <c r="AB340" s="157">
        <v>45552</v>
      </c>
      <c r="AC340" s="158"/>
      <c r="AD340" s="159" t="str">
        <f t="shared" si="15"/>
        <v/>
      </c>
      <c r="AE340" s="160"/>
      <c r="AF340" s="161"/>
      <c r="AG340" s="161"/>
      <c r="AH340" s="162">
        <v>503.33333299999998</v>
      </c>
      <c r="AI340" s="162">
        <v>520</v>
      </c>
      <c r="AJ340" s="163">
        <f t="shared" si="16"/>
        <v>0.96794871730769227</v>
      </c>
      <c r="AK340" s="164">
        <v>45513</v>
      </c>
      <c r="AL340" s="165"/>
      <c r="AM340" s="166"/>
      <c r="AN340" s="115"/>
      <c r="AO340" s="167">
        <v>0</v>
      </c>
      <c r="AP340" s="168">
        <f>IF(AO340="","",AO340-AO$6)</f>
        <v>-4.8014488492999999E-4</v>
      </c>
      <c r="AQ340" s="168">
        <v>0</v>
      </c>
      <c r="AR340" s="168">
        <f>IF(AQ340="","",AQ340-AQ$6)</f>
        <v>2.1750675296E-4</v>
      </c>
      <c r="AS340" s="168"/>
      <c r="AT340" s="168" t="str">
        <f>IF(AS340="","",AS340-AS$6)</f>
        <v/>
      </c>
      <c r="AU340" s="168">
        <v>-8.2101812804000005E-3</v>
      </c>
      <c r="AV340" s="168">
        <f>IF(AU340="","",AU340-AU$6)</f>
        <v>4.8584013155999993E-3</v>
      </c>
      <c r="AW340" s="168">
        <v>0.19026292513000001</v>
      </c>
      <c r="AX340" s="168">
        <f>IF(AW340="","",AW340-AW$6)</f>
        <v>0.166267857342</v>
      </c>
      <c r="AY340" s="168"/>
      <c r="AZ340" s="168" t="str">
        <f>IF(AY340="","",AY340-AY$6)</f>
        <v/>
      </c>
      <c r="BA340" s="168"/>
      <c r="BB340" s="168" t="str">
        <f>IF(BA340="","",BA340-BA$6)</f>
        <v/>
      </c>
      <c r="BC340" s="168">
        <v>-0.42667891346999998</v>
      </c>
      <c r="BD340" s="168">
        <f>IF(BC340="","",BC340-BC$6)</f>
        <v>-0.62098747995999992</v>
      </c>
      <c r="BE340" s="168">
        <v>-0.37804878372</v>
      </c>
      <c r="BF340" s="168">
        <f>IF(BE340="","",BE340-BE$6)</f>
        <v>-0.63976812325999999</v>
      </c>
      <c r="BG340" s="168">
        <v>-0.28743858104999997</v>
      </c>
      <c r="BH340" s="168">
        <f>IF(BG340="","",BG340-BG$6)</f>
        <v>-0.59635522986</v>
      </c>
      <c r="BI340" s="168"/>
      <c r="BJ340" s="168" t="str">
        <f>IF(BI340="","",BI340-BI$6)</f>
        <v/>
      </c>
      <c r="BK340" s="169"/>
      <c r="BL340" s="115"/>
      <c r="BM340" s="170">
        <v>0.17224569923999999</v>
      </c>
      <c r="BN340" s="163">
        <v>-5.8956916667000002E-2</v>
      </c>
      <c r="BO340" s="163">
        <v>0.17224569923999999</v>
      </c>
      <c r="BP340" s="163">
        <v>-8.2101812804000005E-3</v>
      </c>
      <c r="BQ340" s="171"/>
      <c r="BR340" s="171"/>
      <c r="BS340" s="171"/>
      <c r="BT340" s="171"/>
      <c r="BU340" s="172"/>
      <c r="BV340" s="172"/>
      <c r="BW340" s="163"/>
      <c r="BX340" s="163">
        <v>9.2811353716000002E-3</v>
      </c>
      <c r="BY340" s="161"/>
      <c r="BZ340" s="163">
        <v>-5.8956916667000002E-2</v>
      </c>
      <c r="CA340" s="163">
        <v>-5.8956916667000002E-2</v>
      </c>
      <c r="CB340" s="154">
        <v>45446</v>
      </c>
      <c r="CC340" s="154">
        <v>45448</v>
      </c>
      <c r="CD340" s="173">
        <v>5</v>
      </c>
      <c r="CE340" s="174">
        <v>45453</v>
      </c>
      <c r="CF340" s="116"/>
    </row>
    <row r="341" spans="2:84" ht="15.6" x14ac:dyDescent="0.3">
      <c r="B341" s="98" t="s">
        <v>568</v>
      </c>
      <c r="C341" s="175" t="s">
        <v>733</v>
      </c>
      <c r="D341" s="176" t="s">
        <v>90</v>
      </c>
      <c r="E341" s="176" t="s">
        <v>226</v>
      </c>
      <c r="F341" s="177">
        <v>60444437000146</v>
      </c>
      <c r="G341" s="177" t="s">
        <v>888</v>
      </c>
      <c r="H341" s="177" t="s">
        <v>388</v>
      </c>
      <c r="I341" s="178">
        <v>20</v>
      </c>
      <c r="J341" s="179" t="s">
        <v>107</v>
      </c>
      <c r="K341" s="179" t="s">
        <v>126</v>
      </c>
      <c r="L341" s="179" t="s">
        <v>118</v>
      </c>
      <c r="M341" s="179" t="s">
        <v>114</v>
      </c>
      <c r="N341" s="179" t="s">
        <v>109</v>
      </c>
      <c r="O341" s="180">
        <v>600000</v>
      </c>
      <c r="P341" s="181">
        <v>600000000</v>
      </c>
      <c r="Q341" s="181">
        <v>1000</v>
      </c>
      <c r="R341" s="182">
        <v>44058</v>
      </c>
      <c r="S341" s="182">
        <v>45884</v>
      </c>
      <c r="T341" s="183" t="s">
        <v>757</v>
      </c>
      <c r="U341" s="183" t="s">
        <v>161</v>
      </c>
      <c r="V341" s="182" t="s">
        <v>105</v>
      </c>
      <c r="W341" s="182" t="s">
        <v>102</v>
      </c>
      <c r="X341" s="182" t="s">
        <v>983</v>
      </c>
      <c r="Y341" s="182">
        <v>45792</v>
      </c>
      <c r="Z341" s="184">
        <f>IFERROR(INDEX(Base!G:G,MATCH('Debêntures IPCA-Spread'!Y341,Base!F:F,0)),"")</f>
        <v>5.73</v>
      </c>
      <c r="AA341" s="115"/>
      <c r="AB341" s="185">
        <v>45552</v>
      </c>
      <c r="AC341" s="186"/>
      <c r="AD341" s="187" t="str">
        <f t="shared" si="15"/>
        <v/>
      </c>
      <c r="AE341" s="188"/>
      <c r="AF341" s="189"/>
      <c r="AG341" s="189"/>
      <c r="AH341" s="190">
        <v>494</v>
      </c>
      <c r="AI341" s="190">
        <v>507.5</v>
      </c>
      <c r="AJ341" s="191">
        <f t="shared" si="16"/>
        <v>0.97339901477832513</v>
      </c>
      <c r="AK341" s="192">
        <v>45547</v>
      </c>
      <c r="AL341" s="193"/>
      <c r="AM341" s="194"/>
      <c r="AN341" s="115"/>
      <c r="AO341" s="195">
        <v>0</v>
      </c>
      <c r="AP341" s="196">
        <f>IF(AO341="","",AO341-AO$6)</f>
        <v>-4.8014488492999999E-4</v>
      </c>
      <c r="AQ341" s="196">
        <v>0</v>
      </c>
      <c r="AR341" s="196">
        <f>IF(AQ341="","",AQ341-AQ$6)</f>
        <v>2.1750675296E-4</v>
      </c>
      <c r="AS341" s="196"/>
      <c r="AT341" s="196" t="str">
        <f>IF(AS341="","",AS341-AS$6)</f>
        <v/>
      </c>
      <c r="AU341" s="196">
        <v>4.1022371634E-2</v>
      </c>
      <c r="AV341" s="196">
        <f>IF(AU341="","",AU341-AU$6)</f>
        <v>5.4090954230000002E-2</v>
      </c>
      <c r="AW341" s="196">
        <v>4.1022371634E-2</v>
      </c>
      <c r="AX341" s="196">
        <f>IF(AW341="","",AW341-AW$6)</f>
        <v>1.7027303846E-2</v>
      </c>
      <c r="AY341" s="196"/>
      <c r="AZ341" s="196" t="str">
        <f>IF(AY341="","",AY341-AY$6)</f>
        <v/>
      </c>
      <c r="BA341" s="196"/>
      <c r="BB341" s="196" t="str">
        <f>IF(BA341="","",BA341-BA$6)</f>
        <v/>
      </c>
      <c r="BC341" s="196"/>
      <c r="BD341" s="196" t="str">
        <f>IF(BC341="","",BC341-BC$6)</f>
        <v/>
      </c>
      <c r="BE341" s="196"/>
      <c r="BF341" s="196" t="str">
        <f>IF(BE341="","",BE341-BE$6)</f>
        <v/>
      </c>
      <c r="BG341" s="196"/>
      <c r="BH341" s="196" t="str">
        <f>IF(BG341="","",BG341-BG$6)</f>
        <v/>
      </c>
      <c r="BI341" s="196"/>
      <c r="BJ341" s="196" t="str">
        <f>IF(BI341="","",BI341-BI$6)</f>
        <v/>
      </c>
      <c r="BK341" s="197"/>
      <c r="BL341" s="115"/>
      <c r="BM341" s="198">
        <v>7.8322198218000003E-2</v>
      </c>
      <c r="BN341" s="191">
        <v>-3.0237580993000002E-2</v>
      </c>
      <c r="BO341" s="191">
        <v>4.1022371634E-2</v>
      </c>
      <c r="BP341" s="191">
        <v>0</v>
      </c>
      <c r="BQ341" s="199"/>
      <c r="BR341" s="199"/>
      <c r="BS341" s="199"/>
      <c r="BT341" s="199"/>
      <c r="BU341" s="200"/>
      <c r="BV341" s="200"/>
      <c r="BW341" s="191"/>
      <c r="BX341" s="191"/>
      <c r="BY341" s="189"/>
      <c r="BZ341" s="191">
        <v>-4.6305418718000001E-2</v>
      </c>
      <c r="CA341" s="191">
        <v>-4.6305418718000001E-2</v>
      </c>
      <c r="CB341" s="182">
        <v>45453</v>
      </c>
      <c r="CC341" s="182">
        <v>45463</v>
      </c>
      <c r="CD341" s="201">
        <v>12</v>
      </c>
      <c r="CE341" s="202">
        <v>45469</v>
      </c>
      <c r="CF341" s="116"/>
    </row>
    <row r="342" spans="2:84" ht="15.6" x14ac:dyDescent="0.3">
      <c r="B342" s="110" t="s">
        <v>1115</v>
      </c>
      <c r="C342" s="147" t="s">
        <v>1279</v>
      </c>
      <c r="D342" s="148" t="s">
        <v>90</v>
      </c>
      <c r="E342" s="148" t="s">
        <v>226</v>
      </c>
      <c r="F342" s="149">
        <v>60444437000146</v>
      </c>
      <c r="G342" s="149" t="s">
        <v>1176</v>
      </c>
      <c r="H342" s="149" t="s">
        <v>388</v>
      </c>
      <c r="I342" s="150">
        <v>22</v>
      </c>
      <c r="J342" s="151" t="s">
        <v>107</v>
      </c>
      <c r="K342" s="151" t="s">
        <v>130</v>
      </c>
      <c r="L342" s="151" t="s">
        <v>122</v>
      </c>
      <c r="M342" s="151" t="s">
        <v>106</v>
      </c>
      <c r="N342" s="151" t="s">
        <v>109</v>
      </c>
      <c r="O342" s="152">
        <v>916381</v>
      </c>
      <c r="P342" s="153">
        <v>916381000</v>
      </c>
      <c r="Q342" s="153">
        <v>1000</v>
      </c>
      <c r="R342" s="154">
        <v>44301</v>
      </c>
      <c r="S342" s="154">
        <v>47953</v>
      </c>
      <c r="T342" s="155" t="s">
        <v>1242</v>
      </c>
      <c r="U342" s="155" t="s">
        <v>1217</v>
      </c>
      <c r="V342" s="154" t="s">
        <v>105</v>
      </c>
      <c r="W342" s="154" t="s">
        <v>102</v>
      </c>
      <c r="X342" s="154" t="s">
        <v>1356</v>
      </c>
      <c r="Y342" s="154">
        <v>47710</v>
      </c>
      <c r="Z342" s="156">
        <f>IFERROR(INDEX(Base!G:G,MATCH('Debêntures IPCA-Spread'!Y342,Base!F:F,0)),"")</f>
        <v>6.3273999999999999</v>
      </c>
      <c r="AA342" s="115"/>
      <c r="AB342" s="157">
        <v>45552</v>
      </c>
      <c r="AC342" s="158"/>
      <c r="AD342" s="159" t="str">
        <f t="shared" si="15"/>
        <v/>
      </c>
      <c r="AE342" s="160"/>
      <c r="AF342" s="161"/>
      <c r="AG342" s="161"/>
      <c r="AH342" s="162">
        <v>487.5</v>
      </c>
      <c r="AI342" s="162">
        <v>487.5</v>
      </c>
      <c r="AJ342" s="163">
        <f t="shared" si="16"/>
        <v>1</v>
      </c>
      <c r="AK342" s="164">
        <v>45552</v>
      </c>
      <c r="AL342" s="165"/>
      <c r="AM342" s="166"/>
      <c r="AN342" s="115"/>
      <c r="AO342" s="167">
        <v>0</v>
      </c>
      <c r="AP342" s="168">
        <f>IF(AO342="","",AO342-AO$6)</f>
        <v>-4.8014488492999999E-4</v>
      </c>
      <c r="AQ342" s="168">
        <v>0</v>
      </c>
      <c r="AR342" s="168">
        <f>IF(AQ342="","",AQ342-AQ$6)</f>
        <v>2.1750675296E-4</v>
      </c>
      <c r="AS342" s="168"/>
      <c r="AT342" s="168" t="str">
        <f>IF(AS342="","",AS342-AS$6)</f>
        <v/>
      </c>
      <c r="AU342" s="168"/>
      <c r="AV342" s="168" t="str">
        <f>IF(AU342="","",AU342-AU$6)</f>
        <v/>
      </c>
      <c r="AW342" s="168">
        <v>0</v>
      </c>
      <c r="AX342" s="168">
        <f>IF(AW342="","",AW342-AW$6)</f>
        <v>-2.3995067788E-2</v>
      </c>
      <c r="AY342" s="168"/>
      <c r="AZ342" s="168" t="str">
        <f>IF(AY342="","",AY342-AY$6)</f>
        <v/>
      </c>
      <c r="BA342" s="168"/>
      <c r="BB342" s="168" t="str">
        <f>IF(BA342="","",BA342-BA$6)</f>
        <v/>
      </c>
      <c r="BC342" s="168"/>
      <c r="BD342" s="168" t="str">
        <f>IF(BC342="","",BC342-BC$6)</f>
        <v/>
      </c>
      <c r="BE342" s="168"/>
      <c r="BF342" s="168" t="str">
        <f>IF(BE342="","",BE342-BE$6)</f>
        <v/>
      </c>
      <c r="BG342" s="168"/>
      <c r="BH342" s="168" t="str">
        <f>IF(BG342="","",BG342-BG$6)</f>
        <v/>
      </c>
      <c r="BI342" s="168"/>
      <c r="BJ342" s="168" t="str">
        <f>IF(BI342="","",BI342-BI$6)</f>
        <v/>
      </c>
      <c r="BK342" s="169"/>
      <c r="BL342" s="115"/>
      <c r="BM342" s="170">
        <v>8.1019830028000006E-2</v>
      </c>
      <c r="BN342" s="163">
        <v>-3.7777777778000003E-2</v>
      </c>
      <c r="BO342" s="163">
        <v>5.1546391751000004E-3</v>
      </c>
      <c r="BP342" s="163">
        <v>0</v>
      </c>
      <c r="BQ342" s="171"/>
      <c r="BR342" s="171"/>
      <c r="BS342" s="171"/>
      <c r="BT342" s="171"/>
      <c r="BU342" s="172"/>
      <c r="BV342" s="172"/>
      <c r="BW342" s="163"/>
      <c r="BX342" s="163"/>
      <c r="BY342" s="161"/>
      <c r="BZ342" s="163">
        <v>-4.0443213296000001E-2</v>
      </c>
      <c r="CA342" s="163">
        <v>-4.0443213296000001E-2</v>
      </c>
      <c r="CB342" s="154">
        <v>45425</v>
      </c>
      <c r="CC342" s="154">
        <v>45427</v>
      </c>
      <c r="CD342" s="173">
        <v>8</v>
      </c>
      <c r="CE342" s="174">
        <v>45435</v>
      </c>
      <c r="CF342" s="116"/>
    </row>
    <row r="343" spans="2:84" ht="15.6" x14ac:dyDescent="0.3">
      <c r="B343" s="98" t="s">
        <v>1473</v>
      </c>
      <c r="C343" s="175" t="s">
        <v>2119</v>
      </c>
      <c r="D343" s="176" t="s">
        <v>1920</v>
      </c>
      <c r="E343" s="176" t="s">
        <v>226</v>
      </c>
      <c r="F343" s="177">
        <v>14395590000103</v>
      </c>
      <c r="G343" s="177" t="s">
        <v>1832</v>
      </c>
      <c r="H343" s="177" t="s">
        <v>388</v>
      </c>
      <c r="I343" s="178">
        <v>5</v>
      </c>
      <c r="J343" s="179" t="s">
        <v>107</v>
      </c>
      <c r="K343" s="179" t="s">
        <v>111</v>
      </c>
      <c r="L343" s="179" t="s">
        <v>1742</v>
      </c>
      <c r="M343" s="179" t="s">
        <v>986</v>
      </c>
      <c r="N343" s="179" t="s">
        <v>109</v>
      </c>
      <c r="O343" s="180">
        <v>410000</v>
      </c>
      <c r="P343" s="181">
        <v>410000000</v>
      </c>
      <c r="Q343" s="181">
        <v>1000</v>
      </c>
      <c r="R343" s="182">
        <v>44119</v>
      </c>
      <c r="S343" s="182">
        <v>50693</v>
      </c>
      <c r="T343" s="183" t="s">
        <v>1707</v>
      </c>
      <c r="U343" s="183" t="s">
        <v>1707</v>
      </c>
      <c r="V343" s="182" t="s">
        <v>194</v>
      </c>
      <c r="W343" s="182" t="s">
        <v>102</v>
      </c>
      <c r="X343" s="182" t="s">
        <v>1600</v>
      </c>
      <c r="Y343" s="182">
        <v>47710</v>
      </c>
      <c r="Z343" s="184">
        <f>IFERROR(INDEX(Base!G:G,MATCH('Debêntures IPCA-Spread'!Y343,Base!F:F,0)),"")</f>
        <v>6.3273999999999999</v>
      </c>
      <c r="AA343" s="115"/>
      <c r="AB343" s="185">
        <v>45552</v>
      </c>
      <c r="AC343" s="186">
        <v>6.6451000000000002</v>
      </c>
      <c r="AD343" s="187">
        <f t="shared" si="15"/>
        <v>0.31770000000000032</v>
      </c>
      <c r="AE343" s="188">
        <v>0.06</v>
      </c>
      <c r="AF343" s="189">
        <v>6.8658999999999999</v>
      </c>
      <c r="AG343" s="189">
        <v>6.5587</v>
      </c>
      <c r="AH343" s="190">
        <v>1181.2151120000001</v>
      </c>
      <c r="AI343" s="190">
        <v>1192.2259779999999</v>
      </c>
      <c r="AJ343" s="191">
        <f t="shared" si="16"/>
        <v>0.99076444717429246</v>
      </c>
      <c r="AK343" s="192">
        <v>45519</v>
      </c>
      <c r="AL343" s="193">
        <v>91.96</v>
      </c>
      <c r="AM343" s="194">
        <v>1407</v>
      </c>
      <c r="AN343" s="115"/>
      <c r="AO343" s="195">
        <v>1.501581999E-3</v>
      </c>
      <c r="AP343" s="196">
        <f>IF(AO343="","",AO343-AO$6)</f>
        <v>1.02143711407E-3</v>
      </c>
      <c r="AQ343" s="196">
        <v>5.6435308433999999E-3</v>
      </c>
      <c r="AR343" s="196">
        <f>IF(AQ343="","",AQ343-AQ$6)</f>
        <v>5.8610375963599999E-3</v>
      </c>
      <c r="AS343" s="196">
        <v>6.3812895337999997E-2</v>
      </c>
      <c r="AT343" s="196">
        <f>IF(AS343="","",AS343-AS$6)</f>
        <v>4.9087060283E-2</v>
      </c>
      <c r="AU343" s="196">
        <v>-8.0922080732999998E-3</v>
      </c>
      <c r="AV343" s="196">
        <f>IF(AU343="","",AU343-AU$6)</f>
        <v>4.9763745227E-3</v>
      </c>
      <c r="AW343" s="196">
        <v>4.4917338820999998E-2</v>
      </c>
      <c r="AX343" s="196">
        <f>IF(AW343="","",AW343-AW$6)</f>
        <v>2.0922271032999998E-2</v>
      </c>
      <c r="AY343" s="196">
        <v>2.7348005397999999E-2</v>
      </c>
      <c r="AZ343" s="196">
        <f>IF(AY343="","",AY343-AY$6)</f>
        <v>1.3105750607999999E-2</v>
      </c>
      <c r="BA343" s="196">
        <v>8.8624690244999998E-2</v>
      </c>
      <c r="BB343" s="196">
        <f>IF(BA343="","",BA343-BA$6)</f>
        <v>3.5137725687E-2</v>
      </c>
      <c r="BC343" s="196">
        <v>0.24799684625999999</v>
      </c>
      <c r="BD343" s="196">
        <f>IF(BC343="","",BC343-BC$6)</f>
        <v>5.3688279769999986E-2</v>
      </c>
      <c r="BE343" s="196"/>
      <c r="BF343" s="196" t="str">
        <f>IF(BE343="","",BE343-BE$6)</f>
        <v/>
      </c>
      <c r="BG343" s="196"/>
      <c r="BH343" s="196" t="str">
        <f>IF(BG343="","",BG343-BG$6)</f>
        <v/>
      </c>
      <c r="BI343" s="196"/>
      <c r="BJ343" s="196" t="str">
        <f>IF(BI343="","",BI343-BI$6)</f>
        <v/>
      </c>
      <c r="BK343" s="197">
        <v>5.4037592368</v>
      </c>
      <c r="BL343" s="115"/>
      <c r="BM343" s="198">
        <v>1.8719201947999999E-2</v>
      </c>
      <c r="BN343" s="191">
        <v>-9.3792061033999997E-3</v>
      </c>
      <c r="BO343" s="191">
        <v>3.7054902767999998E-2</v>
      </c>
      <c r="BP343" s="191">
        <v>-2.0374502066999998E-2</v>
      </c>
      <c r="BQ343" s="199">
        <v>8</v>
      </c>
      <c r="BR343" s="199">
        <v>4</v>
      </c>
      <c r="BS343" s="199">
        <v>7</v>
      </c>
      <c r="BT343" s="199">
        <v>5</v>
      </c>
      <c r="BU343" s="200">
        <v>-0.35853148207000002</v>
      </c>
      <c r="BV343" s="200"/>
      <c r="BW343" s="191">
        <v>5.5888422240000001E-3</v>
      </c>
      <c r="BX343" s="191">
        <v>4.6496329591999997E-3</v>
      </c>
      <c r="BY343" s="189">
        <v>-2.8745071652999998</v>
      </c>
      <c r="BZ343" s="191">
        <v>-2.9161938177E-2</v>
      </c>
      <c r="CA343" s="191">
        <v>-2.9161938177E-2</v>
      </c>
      <c r="CB343" s="182">
        <v>45364</v>
      </c>
      <c r="CC343" s="182">
        <v>45455</v>
      </c>
      <c r="CD343" s="201">
        <v>97</v>
      </c>
      <c r="CE343" s="202">
        <v>45504</v>
      </c>
      <c r="CF343" s="116"/>
    </row>
    <row r="344" spans="2:84" ht="15.6" x14ac:dyDescent="0.3">
      <c r="B344" s="110" t="s">
        <v>569</v>
      </c>
      <c r="C344" s="147" t="s">
        <v>734</v>
      </c>
      <c r="D344" s="148" t="s">
        <v>648</v>
      </c>
      <c r="E344" s="148" t="s">
        <v>607</v>
      </c>
      <c r="F344" s="149">
        <v>16670085000155</v>
      </c>
      <c r="G344" s="149" t="s">
        <v>889</v>
      </c>
      <c r="H344" s="149" t="s">
        <v>388</v>
      </c>
      <c r="I344" s="150">
        <v>17</v>
      </c>
      <c r="J344" s="151" t="s">
        <v>107</v>
      </c>
      <c r="K344" s="151" t="s">
        <v>126</v>
      </c>
      <c r="L344" s="151" t="s">
        <v>120</v>
      </c>
      <c r="M344" s="151" t="s">
        <v>106</v>
      </c>
      <c r="N344" s="151" t="s">
        <v>117</v>
      </c>
      <c r="O344" s="152">
        <v>1200000</v>
      </c>
      <c r="P344" s="153">
        <v>1200000000</v>
      </c>
      <c r="Q344" s="153">
        <v>1000</v>
      </c>
      <c r="R344" s="154">
        <v>44242</v>
      </c>
      <c r="S344" s="154">
        <v>47922</v>
      </c>
      <c r="T344" s="155" t="s">
        <v>2840</v>
      </c>
      <c r="U344" s="155" t="s">
        <v>950</v>
      </c>
      <c r="V344" s="154" t="s">
        <v>105</v>
      </c>
      <c r="W344" s="154" t="s">
        <v>102</v>
      </c>
      <c r="X344" s="154" t="s">
        <v>984</v>
      </c>
      <c r="Y344" s="154">
        <v>47710</v>
      </c>
      <c r="Z344" s="156">
        <f>IFERROR(INDEX(Base!G:G,MATCH('Debêntures IPCA-Spread'!Y344,Base!F:F,0)),"")</f>
        <v>6.3273999999999999</v>
      </c>
      <c r="AA344" s="115"/>
      <c r="AB344" s="157">
        <v>45552</v>
      </c>
      <c r="AC344" s="158">
        <v>8.4063999999999997</v>
      </c>
      <c r="AD344" s="159">
        <f t="shared" si="15"/>
        <v>2.0789999999999997</v>
      </c>
      <c r="AE344" s="160">
        <v>0.08</v>
      </c>
      <c r="AF344" s="161">
        <v>8.6623000000000001</v>
      </c>
      <c r="AG344" s="161">
        <v>8.1791999999999998</v>
      </c>
      <c r="AH344" s="162">
        <v>1069.825441</v>
      </c>
      <c r="AI344" s="162">
        <v>1079.9952352</v>
      </c>
      <c r="AJ344" s="163">
        <f t="shared" si="16"/>
        <v>0.99058348234460802</v>
      </c>
      <c r="AK344" s="164">
        <v>45519</v>
      </c>
      <c r="AL344" s="165">
        <v>86.88</v>
      </c>
      <c r="AM344" s="166">
        <v>1281</v>
      </c>
      <c r="AN344" s="115"/>
      <c r="AO344" s="167">
        <v>6.5326137700999994E-5</v>
      </c>
      <c r="AP344" s="168">
        <f>IF(AO344="","",AO344-AO$6)</f>
        <v>-4.1481874722899999E-4</v>
      </c>
      <c r="AQ344" s="168">
        <v>2.8684444260000002E-4</v>
      </c>
      <c r="AR344" s="168">
        <f>IF(AQ344="","",AQ344-AQ$6)</f>
        <v>5.0435119556000005E-4</v>
      </c>
      <c r="AS344" s="168">
        <v>4.9095434919000001E-2</v>
      </c>
      <c r="AT344" s="168">
        <f>IF(AS344="","",AS344-AS$6)</f>
        <v>3.4369599863999997E-2</v>
      </c>
      <c r="AU344" s="168">
        <v>-6.2197344922999996E-3</v>
      </c>
      <c r="AV344" s="168">
        <f>IF(AU344="","",AU344-AU$6)</f>
        <v>6.8488481037000002E-3</v>
      </c>
      <c r="AW344" s="168">
        <v>2.8649195632E-2</v>
      </c>
      <c r="AX344" s="168">
        <f>IF(AW344="","",AW344-AW$6)</f>
        <v>4.6541278439999993E-3</v>
      </c>
      <c r="AY344" s="168">
        <v>2.8582951687000001E-2</v>
      </c>
      <c r="AZ344" s="168">
        <f>IF(AY344="","",AY344-AY$6)</f>
        <v>1.4340696897E-2</v>
      </c>
      <c r="BA344" s="168">
        <v>9.2589131578E-2</v>
      </c>
      <c r="BB344" s="168">
        <f>IF(BA344="","",BA344-BA$6)</f>
        <v>3.9102167020000002E-2</v>
      </c>
      <c r="BC344" s="168">
        <v>0.21654779819</v>
      </c>
      <c r="BD344" s="168">
        <f>IF(BC344="","",BC344-BC$6)</f>
        <v>2.2239231700000001E-2</v>
      </c>
      <c r="BE344" s="168">
        <v>0.27486112595000001</v>
      </c>
      <c r="BF344" s="168">
        <f>IF(BE344="","",BE344-BE$6)</f>
        <v>1.3141786410000023E-2</v>
      </c>
      <c r="BG344" s="168"/>
      <c r="BH344" s="168" t="str">
        <f>IF(BG344="","",BG344-BG$6)</f>
        <v/>
      </c>
      <c r="BI344" s="168"/>
      <c r="BJ344" s="168" t="str">
        <f>IF(BI344="","",BI344-BI$6)</f>
        <v/>
      </c>
      <c r="BK344" s="169">
        <v>5.7470083864000001</v>
      </c>
      <c r="BL344" s="115"/>
      <c r="BM344" s="170">
        <v>3.0217560189999999E-2</v>
      </c>
      <c r="BN344" s="163">
        <v>-1.0814075786999999E-2</v>
      </c>
      <c r="BO344" s="163">
        <v>3.6577062378E-2</v>
      </c>
      <c r="BP344" s="163">
        <v>-1.7143097305999999E-2</v>
      </c>
      <c r="BQ344" s="171">
        <v>8</v>
      </c>
      <c r="BR344" s="171">
        <v>4</v>
      </c>
      <c r="BS344" s="171">
        <v>7</v>
      </c>
      <c r="BT344" s="171">
        <v>5</v>
      </c>
      <c r="BU344" s="172">
        <v>-0.27095300845999998</v>
      </c>
      <c r="BV344" s="172">
        <v>-0.43238264186999997</v>
      </c>
      <c r="BW344" s="163">
        <v>5.9613413199999998E-3</v>
      </c>
      <c r="BX344" s="163">
        <v>2.4356452871000002E-3</v>
      </c>
      <c r="BY344" s="161">
        <v>-2.2730923948999999</v>
      </c>
      <c r="BZ344" s="163">
        <v>-3.7878263959999998E-2</v>
      </c>
      <c r="CA344" s="163">
        <v>-3.7878263959999998E-2</v>
      </c>
      <c r="CB344" s="154">
        <v>45432</v>
      </c>
      <c r="CC344" s="154">
        <v>45455</v>
      </c>
      <c r="CD344" s="173">
        <v>58</v>
      </c>
      <c r="CE344" s="174">
        <v>45513</v>
      </c>
      <c r="CF344" s="116"/>
    </row>
    <row r="345" spans="2:84" ht="15.6" x14ac:dyDescent="0.3">
      <c r="B345" s="98" t="s">
        <v>1116</v>
      </c>
      <c r="C345" s="175" t="s">
        <v>1280</v>
      </c>
      <c r="D345" s="176" t="s">
        <v>1191</v>
      </c>
      <c r="E345" s="176" t="s">
        <v>607</v>
      </c>
      <c r="F345" s="177">
        <v>10215988000160</v>
      </c>
      <c r="G345" s="177" t="s">
        <v>1177</v>
      </c>
      <c r="H345" s="177" t="s">
        <v>388</v>
      </c>
      <c r="I345" s="178">
        <v>21</v>
      </c>
      <c r="J345" s="179" t="s">
        <v>107</v>
      </c>
      <c r="K345" s="179" t="s">
        <v>126</v>
      </c>
      <c r="L345" s="179" t="s">
        <v>112</v>
      </c>
      <c r="M345" s="179" t="s">
        <v>106</v>
      </c>
      <c r="N345" s="179" t="s">
        <v>117</v>
      </c>
      <c r="O345" s="180">
        <v>1100000</v>
      </c>
      <c r="P345" s="181">
        <v>1100000000</v>
      </c>
      <c r="Q345" s="181">
        <v>1000</v>
      </c>
      <c r="R345" s="182">
        <v>44454</v>
      </c>
      <c r="S345" s="182">
        <v>48106</v>
      </c>
      <c r="T345" s="183" t="s">
        <v>1243</v>
      </c>
      <c r="U345" s="183" t="s">
        <v>1218</v>
      </c>
      <c r="V345" s="182" t="s">
        <v>105</v>
      </c>
      <c r="W345" s="182" t="s">
        <v>102</v>
      </c>
      <c r="X345" s="182" t="s">
        <v>1357</v>
      </c>
      <c r="Y345" s="182">
        <v>47710</v>
      </c>
      <c r="Z345" s="184">
        <f>IFERROR(INDEX(Base!G:G,MATCH('Debêntures IPCA-Spread'!Y345,Base!F:F,0)),"")</f>
        <v>6.3273999999999999</v>
      </c>
      <c r="AA345" s="115"/>
      <c r="AB345" s="185">
        <v>45552</v>
      </c>
      <c r="AC345" s="186">
        <v>8.4674999999999994</v>
      </c>
      <c r="AD345" s="187">
        <f t="shared" si="15"/>
        <v>2.1400999999999994</v>
      </c>
      <c r="AE345" s="188">
        <v>0.02</v>
      </c>
      <c r="AF345" s="189">
        <v>8.6623000000000001</v>
      </c>
      <c r="AG345" s="189">
        <v>8.3186999999999998</v>
      </c>
      <c r="AH345" s="190">
        <v>1079.544075</v>
      </c>
      <c r="AI345" s="190">
        <v>1089.3640647</v>
      </c>
      <c r="AJ345" s="191">
        <f t="shared" si="16"/>
        <v>0.99098557588026892</v>
      </c>
      <c r="AK345" s="192">
        <v>45518</v>
      </c>
      <c r="AL345" s="193">
        <v>91.31</v>
      </c>
      <c r="AM345" s="194">
        <v>1252</v>
      </c>
      <c r="AN345" s="115"/>
      <c r="AO345" s="195">
        <v>3.2267822644000001E-4</v>
      </c>
      <c r="AP345" s="196">
        <f>IF(AO345="","",AO345-AO$6)</f>
        <v>-1.5746665848999998E-4</v>
      </c>
      <c r="AQ345" s="196">
        <v>-2.4283358835000001E-4</v>
      </c>
      <c r="AR345" s="196">
        <f>IF(AQ345="","",AQ345-AQ$6)</f>
        <v>-2.5326835390000009E-5</v>
      </c>
      <c r="AS345" s="196">
        <v>6.7400338492E-2</v>
      </c>
      <c r="AT345" s="196">
        <f>IF(AS345="","",AS345-AS$6)</f>
        <v>5.2674503437000003E-2</v>
      </c>
      <c r="AU345" s="196">
        <v>-4.8828826857000001E-3</v>
      </c>
      <c r="AV345" s="196">
        <f>IF(AU345="","",AU345-AU$6)</f>
        <v>8.1856999102999997E-3</v>
      </c>
      <c r="AW345" s="196">
        <v>2.9700517025000001E-2</v>
      </c>
      <c r="AX345" s="196">
        <f>IF(AW345="","",AW345-AW$6)</f>
        <v>5.7054492370000008E-3</v>
      </c>
      <c r="AY345" s="196">
        <v>3.4563362654999999E-2</v>
      </c>
      <c r="AZ345" s="196">
        <f>IF(AY345="","",AY345-AY$6)</f>
        <v>2.0321107865E-2</v>
      </c>
      <c r="BA345" s="196">
        <v>0.10177778344000001</v>
      </c>
      <c r="BB345" s="196">
        <f>IF(BA345="","",BA345-BA$6)</f>
        <v>4.8290818882000007E-2</v>
      </c>
      <c r="BC345" s="196">
        <v>0.22526117793</v>
      </c>
      <c r="BD345" s="196">
        <f>IF(BC345="","",BC345-BC$6)</f>
        <v>3.095261144E-2</v>
      </c>
      <c r="BE345" s="196"/>
      <c r="BF345" s="196" t="str">
        <f>IF(BE345="","",BE345-BE$6)</f>
        <v/>
      </c>
      <c r="BG345" s="196"/>
      <c r="BH345" s="196" t="str">
        <f>IF(BG345="","",BG345-BG$6)</f>
        <v/>
      </c>
      <c r="BI345" s="196"/>
      <c r="BJ345" s="196" t="str">
        <f>IF(BI345="","",BI345-BI$6)</f>
        <v/>
      </c>
      <c r="BK345" s="197">
        <v>4.3019302191</v>
      </c>
      <c r="BL345" s="115"/>
      <c r="BM345" s="198">
        <v>8.5129575599999993E-3</v>
      </c>
      <c r="BN345" s="191">
        <v>-1.1418672142E-2</v>
      </c>
      <c r="BO345" s="191">
        <v>2.8214503693E-2</v>
      </c>
      <c r="BP345" s="191">
        <v>-1.4031373607E-2</v>
      </c>
      <c r="BQ345" s="199">
        <v>8</v>
      </c>
      <c r="BR345" s="199">
        <v>4</v>
      </c>
      <c r="BS345" s="199">
        <v>7</v>
      </c>
      <c r="BT345" s="199">
        <v>5</v>
      </c>
      <c r="BU345" s="200">
        <v>-0.187848715</v>
      </c>
      <c r="BV345" s="200">
        <v>-0.15973088423000001</v>
      </c>
      <c r="BW345" s="191">
        <v>4.4429102344999997E-3</v>
      </c>
      <c r="BX345" s="191">
        <v>2.5162224286999998E-3</v>
      </c>
      <c r="BY345" s="189">
        <v>-1.4533936137000001</v>
      </c>
      <c r="BZ345" s="191">
        <v>-2.1606905926000002E-2</v>
      </c>
      <c r="CA345" s="191">
        <v>-2.1606905926000002E-2</v>
      </c>
      <c r="CB345" s="182">
        <v>45187</v>
      </c>
      <c r="CC345" s="182">
        <v>45202</v>
      </c>
      <c r="CD345" s="201">
        <v>45</v>
      </c>
      <c r="CE345" s="202">
        <v>45253</v>
      </c>
      <c r="CF345" s="116"/>
    </row>
    <row r="346" spans="2:84" ht="15.6" x14ac:dyDescent="0.3">
      <c r="B346" s="110" t="s">
        <v>1474</v>
      </c>
      <c r="C346" s="147" t="s">
        <v>2120</v>
      </c>
      <c r="D346" s="148" t="s">
        <v>1191</v>
      </c>
      <c r="E346" s="148" t="s">
        <v>607</v>
      </c>
      <c r="F346" s="149">
        <v>10215988000160</v>
      </c>
      <c r="G346" s="149" t="s">
        <v>1833</v>
      </c>
      <c r="H346" s="149" t="s">
        <v>388</v>
      </c>
      <c r="I346" s="150">
        <v>23</v>
      </c>
      <c r="J346" s="151">
        <v>2</v>
      </c>
      <c r="K346" s="151" t="s">
        <v>126</v>
      </c>
      <c r="L346" s="151" t="s">
        <v>125</v>
      </c>
      <c r="M346" s="151" t="s">
        <v>114</v>
      </c>
      <c r="N346" s="151" t="s">
        <v>117</v>
      </c>
      <c r="O346" s="152">
        <v>515000</v>
      </c>
      <c r="P346" s="153">
        <v>515000000</v>
      </c>
      <c r="Q346" s="153">
        <v>1000</v>
      </c>
      <c r="R346" s="154">
        <v>44666</v>
      </c>
      <c r="S346" s="154">
        <v>47223</v>
      </c>
      <c r="T346" s="155" t="s">
        <v>2007</v>
      </c>
      <c r="U346" s="155" t="s">
        <v>113</v>
      </c>
      <c r="V346" s="154" t="s">
        <v>105</v>
      </c>
      <c r="W346" s="154" t="s">
        <v>102</v>
      </c>
      <c r="X346" s="154" t="s">
        <v>1601</v>
      </c>
      <c r="Y346" s="154">
        <v>47253</v>
      </c>
      <c r="Z346" s="156">
        <f>IFERROR(INDEX(Base!G:G,MATCH('Debêntures IPCA-Spread'!Y346,Base!F:F,0)),"")</f>
        <v>6.41</v>
      </c>
      <c r="AA346" s="115"/>
      <c r="AB346" s="157">
        <v>45552</v>
      </c>
      <c r="AC346" s="158">
        <v>8.5585000000000004</v>
      </c>
      <c r="AD346" s="159">
        <f t="shared" si="15"/>
        <v>2.1485000000000003</v>
      </c>
      <c r="AE346" s="160">
        <v>0.13</v>
      </c>
      <c r="AF346" s="161">
        <v>8.8168000000000006</v>
      </c>
      <c r="AG346" s="161">
        <v>8.2795000000000005</v>
      </c>
      <c r="AH346" s="162">
        <v>1077.250166</v>
      </c>
      <c r="AI346" s="162">
        <v>1079.1664659999999</v>
      </c>
      <c r="AJ346" s="163">
        <f t="shared" si="16"/>
        <v>0.99822427766208977</v>
      </c>
      <c r="AK346" s="164">
        <v>45544</v>
      </c>
      <c r="AL346" s="165">
        <v>95.32</v>
      </c>
      <c r="AM346" s="166">
        <v>963</v>
      </c>
      <c r="AN346" s="115"/>
      <c r="AO346" s="167">
        <v>-5.7815790751000002E-4</v>
      </c>
      <c r="AP346" s="168">
        <f>IF(AO346="","",AO346-AO$6)</f>
        <v>-1.05830279244E-3</v>
      </c>
      <c r="AQ346" s="168">
        <v>6.4875914450000004E-3</v>
      </c>
      <c r="AR346" s="168">
        <f>IF(AQ346="","",AQ346-AQ$6)</f>
        <v>6.7050981979600004E-3</v>
      </c>
      <c r="AS346" s="168">
        <v>5.7788881802000001E-2</v>
      </c>
      <c r="AT346" s="168">
        <f>IF(AS346="","",AS346-AS$6)</f>
        <v>4.3063046746999997E-2</v>
      </c>
      <c r="AU346" s="168">
        <v>7.3089992293000003E-4</v>
      </c>
      <c r="AV346" s="168">
        <f>IF(AU346="","",AU346-AU$6)</f>
        <v>1.379948251893E-2</v>
      </c>
      <c r="AW346" s="168">
        <v>2.7586807235E-2</v>
      </c>
      <c r="AX346" s="168">
        <f>IF(AW346="","",AW346-AW$6)</f>
        <v>3.5917394469999996E-3</v>
      </c>
      <c r="AY346" s="168">
        <v>3.0609681669000001E-2</v>
      </c>
      <c r="AZ346" s="168">
        <f>IF(AY346="","",AY346-AY$6)</f>
        <v>1.6367426879000002E-2</v>
      </c>
      <c r="BA346" s="168">
        <v>9.1331170853999999E-2</v>
      </c>
      <c r="BB346" s="168">
        <f>IF(BA346="","",BA346-BA$6)</f>
        <v>3.7844206296000001E-2</v>
      </c>
      <c r="BC346" s="168">
        <v>0.22883940387999999</v>
      </c>
      <c r="BD346" s="168">
        <f>IF(BC346="","",BC346-BC$6)</f>
        <v>3.4530837389999985E-2</v>
      </c>
      <c r="BE346" s="168"/>
      <c r="BF346" s="168" t="str">
        <f>IF(BE346="","",BE346-BE$6)</f>
        <v/>
      </c>
      <c r="BG346" s="168"/>
      <c r="BH346" s="168" t="str">
        <f>IF(BG346="","",BG346-BG$6)</f>
        <v/>
      </c>
      <c r="BI346" s="168"/>
      <c r="BJ346" s="168" t="str">
        <f>IF(BI346="","",BI346-BI$6)</f>
        <v/>
      </c>
      <c r="BK346" s="169">
        <v>4.0220825493000003</v>
      </c>
      <c r="BL346" s="115"/>
      <c r="BM346" s="170">
        <v>9.3872175621E-3</v>
      </c>
      <c r="BN346" s="163">
        <v>-7.6317801139999999E-3</v>
      </c>
      <c r="BO346" s="163">
        <v>3.2267044778999998E-2</v>
      </c>
      <c r="BP346" s="163">
        <v>-1.3211100688000001E-2</v>
      </c>
      <c r="BQ346" s="171">
        <v>9</v>
      </c>
      <c r="BR346" s="171">
        <v>3</v>
      </c>
      <c r="BS346" s="171">
        <v>7</v>
      </c>
      <c r="BT346" s="171">
        <v>5</v>
      </c>
      <c r="BU346" s="172">
        <v>-0.43734855610000001</v>
      </c>
      <c r="BV346" s="172"/>
      <c r="BW346" s="163">
        <v>4.1570303196E-3</v>
      </c>
      <c r="BX346" s="163">
        <v>3.4317222449999998E-3</v>
      </c>
      <c r="BY346" s="161">
        <v>-2.4178283359999999</v>
      </c>
      <c r="BZ346" s="163">
        <v>-1.9266605441E-2</v>
      </c>
      <c r="CA346" s="163">
        <v>-1.9266605441E-2</v>
      </c>
      <c r="CB346" s="154">
        <v>45190</v>
      </c>
      <c r="CC346" s="154">
        <v>45230</v>
      </c>
      <c r="CD346" s="173">
        <v>38</v>
      </c>
      <c r="CE346" s="174">
        <v>45247</v>
      </c>
      <c r="CF346" s="116"/>
    </row>
    <row r="347" spans="2:84" ht="15.6" x14ac:dyDescent="0.3">
      <c r="B347" s="98" t="s">
        <v>571</v>
      </c>
      <c r="C347" s="175" t="s">
        <v>736</v>
      </c>
      <c r="D347" s="176" t="s">
        <v>649</v>
      </c>
      <c r="E347" s="176" t="s">
        <v>231</v>
      </c>
      <c r="F347" s="177">
        <v>3264927000127</v>
      </c>
      <c r="G347" s="177" t="s">
        <v>890</v>
      </c>
      <c r="H347" s="177" t="s">
        <v>388</v>
      </c>
      <c r="I347" s="178">
        <v>3</v>
      </c>
      <c r="J347" s="179" t="s">
        <v>107</v>
      </c>
      <c r="K347" s="179" t="s">
        <v>126</v>
      </c>
      <c r="L347" s="179" t="s">
        <v>118</v>
      </c>
      <c r="M347" s="179" t="s">
        <v>986</v>
      </c>
      <c r="N347" s="179" t="s">
        <v>109</v>
      </c>
      <c r="O347" s="180">
        <v>310000</v>
      </c>
      <c r="P347" s="181">
        <v>310000000</v>
      </c>
      <c r="Q347" s="181">
        <v>1000</v>
      </c>
      <c r="R347" s="182">
        <v>43979</v>
      </c>
      <c r="S347" s="182">
        <v>45823</v>
      </c>
      <c r="T347" s="183" t="s">
        <v>803</v>
      </c>
      <c r="U347" s="183" t="s">
        <v>161</v>
      </c>
      <c r="V347" s="182" t="s">
        <v>105</v>
      </c>
      <c r="W347" s="182" t="s">
        <v>102</v>
      </c>
      <c r="X347" s="182" t="s">
        <v>1359</v>
      </c>
      <c r="Y347" s="182">
        <v>45792</v>
      </c>
      <c r="Z347" s="184">
        <f>IFERROR(INDEX(Base!G:G,MATCH('Debêntures IPCA-Spread'!Y347,Base!F:F,0)),"")</f>
        <v>5.73</v>
      </c>
      <c r="AA347" s="115"/>
      <c r="AB347" s="185">
        <v>45552</v>
      </c>
      <c r="AC347" s="186">
        <v>6.7351000000000001</v>
      </c>
      <c r="AD347" s="187">
        <f t="shared" si="15"/>
        <v>1.0050999999999997</v>
      </c>
      <c r="AE347" s="188">
        <v>0.4</v>
      </c>
      <c r="AF347" s="189"/>
      <c r="AG347" s="189">
        <v>6.4349999999999996</v>
      </c>
      <c r="AH347" s="190">
        <v>1326.0091950000001</v>
      </c>
      <c r="AI347" s="190">
        <v>1331.019753</v>
      </c>
      <c r="AJ347" s="191">
        <f t="shared" si="16"/>
        <v>0.99623554948098514</v>
      </c>
      <c r="AK347" s="192">
        <v>45551</v>
      </c>
      <c r="AL347" s="193">
        <v>99.67</v>
      </c>
      <c r="AM347" s="194">
        <v>181</v>
      </c>
      <c r="AN347" s="115"/>
      <c r="AO347" s="195">
        <v>-3.7644505192000002E-3</v>
      </c>
      <c r="AP347" s="196">
        <f>IF(AO347="","",AO347-AO$6)</f>
        <v>-4.2445954041300006E-3</v>
      </c>
      <c r="AQ347" s="196">
        <v>1.0514900968000001E-3</v>
      </c>
      <c r="AR347" s="196">
        <f>IF(AQ347="","",AQ347-AQ$6)</f>
        <v>1.2689968497600001E-3</v>
      </c>
      <c r="AS347" s="196">
        <v>8.5060613502999996E-2</v>
      </c>
      <c r="AT347" s="196">
        <f>IF(AS347="","",AS347-AS$6)</f>
        <v>7.0334778447999999E-2</v>
      </c>
      <c r="AU347" s="196">
        <v>4.1875032802999998E-3</v>
      </c>
      <c r="AV347" s="196">
        <f>IF(AU347="","",AU347-AU$6)</f>
        <v>1.7256085876299999E-2</v>
      </c>
      <c r="AW347" s="196">
        <v>2.3299692545999999E-2</v>
      </c>
      <c r="AX347" s="196">
        <f>IF(AW347="","",AW347-AW$6)</f>
        <v>-6.9537524200000145E-4</v>
      </c>
      <c r="AY347" s="196">
        <v>4.8339913146000002E-2</v>
      </c>
      <c r="AZ347" s="196">
        <f>IF(AY347="","",AY347-AY$6)</f>
        <v>3.4097658356000003E-2</v>
      </c>
      <c r="BA347" s="196">
        <v>0.11672553151999999</v>
      </c>
      <c r="BB347" s="196">
        <f>IF(BA347="","",BA347-BA$6)</f>
        <v>6.3238566962000003E-2</v>
      </c>
      <c r="BC347" s="196">
        <v>0.23572022739000001</v>
      </c>
      <c r="BD347" s="196">
        <f>IF(BC347="","",BC347-BC$6)</f>
        <v>4.1411660900000008E-2</v>
      </c>
      <c r="BE347" s="196">
        <v>0.35322716106000002</v>
      </c>
      <c r="BF347" s="196">
        <f>IF(BE347="","",BE347-BE$6)</f>
        <v>9.1507821520000032E-2</v>
      </c>
      <c r="BG347" s="196"/>
      <c r="BH347" s="196" t="str">
        <f>IF(BG347="","",BG347-BG$6)</f>
        <v/>
      </c>
      <c r="BI347" s="196"/>
      <c r="BJ347" s="196" t="str">
        <f>IF(BI347="","",BI347-BI$6)</f>
        <v/>
      </c>
      <c r="BK347" s="197">
        <v>1.6617884570999999</v>
      </c>
      <c r="BL347" s="115"/>
      <c r="BM347" s="198">
        <v>4.6296835243999999E-3</v>
      </c>
      <c r="BN347" s="191">
        <v>-4.0074110665999996E-3</v>
      </c>
      <c r="BO347" s="191">
        <v>1.5981500863000001E-2</v>
      </c>
      <c r="BP347" s="191">
        <v>1.0514900968000001E-3</v>
      </c>
      <c r="BQ347" s="199">
        <v>12</v>
      </c>
      <c r="BR347" s="199">
        <v>0</v>
      </c>
      <c r="BS347" s="199">
        <v>7</v>
      </c>
      <c r="BT347" s="199">
        <v>5</v>
      </c>
      <c r="BU347" s="200">
        <v>0.27619233676999999</v>
      </c>
      <c r="BV347" s="200">
        <v>-0.35422782613999998</v>
      </c>
      <c r="BW347" s="191">
        <v>1.7172693879000001E-3</v>
      </c>
      <c r="BX347" s="191">
        <v>1.7113220449000001E-3</v>
      </c>
      <c r="BY347" s="189">
        <v>0.33267436137</v>
      </c>
      <c r="BZ347" s="191">
        <v>-4.9536013245E-3</v>
      </c>
      <c r="CA347" s="191">
        <v>-4.9536013245E-3</v>
      </c>
      <c r="CB347" s="182">
        <v>45209</v>
      </c>
      <c r="CC347" s="182">
        <v>45217</v>
      </c>
      <c r="CD347" s="201">
        <v>11</v>
      </c>
      <c r="CE347" s="202">
        <v>45225</v>
      </c>
      <c r="CF347" s="116"/>
    </row>
    <row r="348" spans="2:84" ht="15.6" x14ac:dyDescent="0.3">
      <c r="B348" s="110" t="s">
        <v>572</v>
      </c>
      <c r="C348" s="147" t="s">
        <v>737</v>
      </c>
      <c r="D348" s="148" t="s">
        <v>650</v>
      </c>
      <c r="E348" s="148" t="s">
        <v>226</v>
      </c>
      <c r="F348" s="149">
        <v>19699063000106</v>
      </c>
      <c r="G348" s="149" t="s">
        <v>891</v>
      </c>
      <c r="H348" s="149" t="s">
        <v>388</v>
      </c>
      <c r="I348" s="150">
        <v>2</v>
      </c>
      <c r="J348" s="151" t="s">
        <v>107</v>
      </c>
      <c r="K348" s="151" t="s">
        <v>130</v>
      </c>
      <c r="L348" s="151" t="s">
        <v>118</v>
      </c>
      <c r="M348" s="151" t="s">
        <v>986</v>
      </c>
      <c r="N348" s="151" t="s">
        <v>109</v>
      </c>
      <c r="O348" s="152">
        <v>210000</v>
      </c>
      <c r="P348" s="153">
        <v>210000000</v>
      </c>
      <c r="Q348" s="153">
        <v>1000</v>
      </c>
      <c r="R348" s="154">
        <v>43570</v>
      </c>
      <c r="S348" s="154">
        <v>47802</v>
      </c>
      <c r="T348" s="155" t="s">
        <v>799</v>
      </c>
      <c r="U348" s="155" t="s">
        <v>951</v>
      </c>
      <c r="V348" s="154" t="s">
        <v>194</v>
      </c>
      <c r="W348" s="154" t="s">
        <v>102</v>
      </c>
      <c r="X348" s="154" t="s">
        <v>1360</v>
      </c>
      <c r="Y348" s="154">
        <v>46980</v>
      </c>
      <c r="Z348" s="156">
        <f>IFERROR(INDEX(Base!G:G,MATCH('Debêntures IPCA-Spread'!Y348,Base!F:F,0)),"")</f>
        <v>6.4702000000000002</v>
      </c>
      <c r="AA348" s="115"/>
      <c r="AB348" s="157">
        <v>45552</v>
      </c>
      <c r="AC348" s="158">
        <v>6.4170999999999996</v>
      </c>
      <c r="AD348" s="159">
        <f t="shared" si="15"/>
        <v>-5.3100000000000591E-2</v>
      </c>
      <c r="AE348" s="160">
        <v>0.24</v>
      </c>
      <c r="AF348" s="161">
        <v>6.5846999999999998</v>
      </c>
      <c r="AG348" s="161">
        <v>6.3518999999999997</v>
      </c>
      <c r="AH348" s="162">
        <v>955.55599099999995</v>
      </c>
      <c r="AI348" s="162">
        <v>957.82839000000001</v>
      </c>
      <c r="AJ348" s="163">
        <f t="shared" si="16"/>
        <v>0.99762755100629241</v>
      </c>
      <c r="AK348" s="164">
        <v>45544</v>
      </c>
      <c r="AL348" s="165">
        <v>95.85</v>
      </c>
      <c r="AM348" s="166">
        <v>764</v>
      </c>
      <c r="AN348" s="115"/>
      <c r="AO348" s="167">
        <v>7.6698979865000001E-4</v>
      </c>
      <c r="AP348" s="168">
        <f>IF(AO348="","",AO348-AO$6)</f>
        <v>2.8684491372000002E-4</v>
      </c>
      <c r="AQ348" s="168">
        <v>7.3268068135999998E-3</v>
      </c>
      <c r="AR348" s="168">
        <f>IF(AQ348="","",AQ348-AQ$6)</f>
        <v>7.5443135665599998E-3</v>
      </c>
      <c r="AS348" s="168">
        <v>6.8712858055999998E-2</v>
      </c>
      <c r="AT348" s="168">
        <f>IF(AS348="","",AS348-AS$6)</f>
        <v>5.3987023001000001E-2</v>
      </c>
      <c r="AU348" s="168">
        <v>2.1786149372999999E-3</v>
      </c>
      <c r="AV348" s="168">
        <f>IF(AU348="","",AU348-AU$6)</f>
        <v>1.52471975333E-2</v>
      </c>
      <c r="AW348" s="168">
        <v>3.2887428934999997E-2</v>
      </c>
      <c r="AX348" s="168">
        <f>IF(AW348="","",AW348-AW$6)</f>
        <v>8.8923611469999969E-3</v>
      </c>
      <c r="AY348" s="168">
        <v>3.1701237863999997E-2</v>
      </c>
      <c r="AZ348" s="168">
        <f>IF(AY348="","",AY348-AY$6)</f>
        <v>1.7458983073999998E-2</v>
      </c>
      <c r="BA348" s="168">
        <v>9.7692484617999995E-2</v>
      </c>
      <c r="BB348" s="168">
        <f>IF(BA348="","",BA348-BA$6)</f>
        <v>4.4205520059999996E-2</v>
      </c>
      <c r="BC348" s="168">
        <v>0.24052147199999999</v>
      </c>
      <c r="BD348" s="168">
        <f>IF(BC348="","",BC348-BC$6)</f>
        <v>4.6212905509999985E-2</v>
      </c>
      <c r="BE348" s="168">
        <v>0.38379225190999999</v>
      </c>
      <c r="BF348" s="168">
        <f>IF(BE348="","",BE348-BE$6)</f>
        <v>0.12207291237000001</v>
      </c>
      <c r="BG348" s="168">
        <v>0.55450894762000003</v>
      </c>
      <c r="BH348" s="168">
        <f>IF(BG348="","",BG348-BG$6)</f>
        <v>0.24559229881</v>
      </c>
      <c r="BI348" s="168"/>
      <c r="BJ348" s="168" t="str">
        <f>IF(BI348="","",BI348-BI$6)</f>
        <v/>
      </c>
      <c r="BK348" s="169">
        <v>3.6128096418000002</v>
      </c>
      <c r="BL348" s="115"/>
      <c r="BM348" s="170">
        <v>9.5281381545999997E-3</v>
      </c>
      <c r="BN348" s="163">
        <v>-6.5636848648999999E-3</v>
      </c>
      <c r="BO348" s="163">
        <v>2.5114903854E-2</v>
      </c>
      <c r="BP348" s="163">
        <v>-1.3014093136E-2</v>
      </c>
      <c r="BQ348" s="171">
        <v>9</v>
      </c>
      <c r="BR348" s="171">
        <v>3</v>
      </c>
      <c r="BS348" s="171">
        <v>8</v>
      </c>
      <c r="BT348" s="171">
        <v>4</v>
      </c>
      <c r="BU348" s="172">
        <v>-0.33274874174000002</v>
      </c>
      <c r="BV348" s="172">
        <v>-4.0428333346000003E-2</v>
      </c>
      <c r="BW348" s="163">
        <v>3.7341602823E-3</v>
      </c>
      <c r="BX348" s="163">
        <v>2.8573411374999999E-3</v>
      </c>
      <c r="BY348" s="161">
        <v>-1.8465633172</v>
      </c>
      <c r="BZ348" s="163">
        <v>-1.5427425359E-2</v>
      </c>
      <c r="CA348" s="163">
        <v>-1.5427425359E-2</v>
      </c>
      <c r="CB348" s="154">
        <v>45189</v>
      </c>
      <c r="CC348" s="154">
        <v>45229</v>
      </c>
      <c r="CD348" s="173">
        <v>39</v>
      </c>
      <c r="CE348" s="174">
        <v>45247</v>
      </c>
      <c r="CF348" s="116"/>
    </row>
    <row r="349" spans="2:84" ht="15.6" x14ac:dyDescent="0.3">
      <c r="B349" s="98" t="s">
        <v>1475</v>
      </c>
      <c r="C349" s="175" t="s">
        <v>2121</v>
      </c>
      <c r="D349" s="176" t="s">
        <v>650</v>
      </c>
      <c r="E349" s="176" t="s">
        <v>226</v>
      </c>
      <c r="F349" s="177">
        <v>19699063000106</v>
      </c>
      <c r="G349" s="177" t="s">
        <v>1834</v>
      </c>
      <c r="H349" s="177" t="s">
        <v>388</v>
      </c>
      <c r="I349" s="178">
        <v>3</v>
      </c>
      <c r="J349" s="179">
        <v>1</v>
      </c>
      <c r="K349" s="179" t="s">
        <v>126</v>
      </c>
      <c r="L349" s="179" t="s">
        <v>120</v>
      </c>
      <c r="M349" s="179" t="s">
        <v>986</v>
      </c>
      <c r="N349" s="179" t="s">
        <v>117</v>
      </c>
      <c r="O349" s="180">
        <v>400000</v>
      </c>
      <c r="P349" s="181">
        <v>400000000</v>
      </c>
      <c r="Q349" s="181">
        <v>1000</v>
      </c>
      <c r="R349" s="182">
        <v>44515</v>
      </c>
      <c r="S349" s="182">
        <v>48167</v>
      </c>
      <c r="T349" s="183" t="s">
        <v>1708</v>
      </c>
      <c r="U349" s="183" t="s">
        <v>1708</v>
      </c>
      <c r="V349" s="182" t="s">
        <v>105</v>
      </c>
      <c r="W349" s="182" t="s">
        <v>102</v>
      </c>
      <c r="X349" s="182" t="s">
        <v>1602</v>
      </c>
      <c r="Y349" s="182">
        <v>46980</v>
      </c>
      <c r="Z349" s="184">
        <f>IFERROR(INDEX(Base!G:G,MATCH('Debêntures IPCA-Spread'!Y349,Base!F:F,0)),"")</f>
        <v>6.4702000000000002</v>
      </c>
      <c r="AA349" s="115"/>
      <c r="AB349" s="185">
        <v>45552</v>
      </c>
      <c r="AC349" s="186">
        <v>8.6638999999999999</v>
      </c>
      <c r="AD349" s="187">
        <f t="shared" si="15"/>
        <v>2.1936999999999998</v>
      </c>
      <c r="AE349" s="188">
        <v>0.11</v>
      </c>
      <c r="AF349" s="189">
        <v>8.9430999999999994</v>
      </c>
      <c r="AG349" s="189">
        <v>8.5586000000000002</v>
      </c>
      <c r="AH349" s="190">
        <v>1008.75434</v>
      </c>
      <c r="AI349" s="190">
        <v>1011.045461</v>
      </c>
      <c r="AJ349" s="191">
        <f t="shared" si="16"/>
        <v>0.99773390901954695</v>
      </c>
      <c r="AK349" s="192">
        <v>45517</v>
      </c>
      <c r="AL349" s="193">
        <v>94.55</v>
      </c>
      <c r="AM349" s="194">
        <v>941</v>
      </c>
      <c r="AN349" s="115"/>
      <c r="AO349" s="195">
        <v>2.0317640083000001E-3</v>
      </c>
      <c r="AP349" s="196">
        <f>IF(AO349="","",AO349-AO$6)</f>
        <v>1.5516191233700002E-3</v>
      </c>
      <c r="AQ349" s="196">
        <v>9.5540521851999998E-3</v>
      </c>
      <c r="AR349" s="196">
        <f>IF(AQ349="","",AQ349-AQ$6)</f>
        <v>9.771558938159999E-3</v>
      </c>
      <c r="AS349" s="196">
        <v>4.9066438115999998E-2</v>
      </c>
      <c r="AT349" s="196">
        <f>IF(AS349="","",AS349-AS$6)</f>
        <v>3.4340603060999994E-2</v>
      </c>
      <c r="AU349" s="196">
        <v>1.9445298203E-3</v>
      </c>
      <c r="AV349" s="196">
        <f>IF(AU349="","",AU349-AU$6)</f>
        <v>1.50131124163E-2</v>
      </c>
      <c r="AW349" s="196">
        <v>3.0952364023999999E-2</v>
      </c>
      <c r="AX349" s="196">
        <f>IF(AW349="","",AW349-AW$6)</f>
        <v>6.957296235999999E-3</v>
      </c>
      <c r="AY349" s="196">
        <v>3.8267342062999997E-2</v>
      </c>
      <c r="AZ349" s="196">
        <f>IF(AY349="","",AY349-AY$6)</f>
        <v>2.4025087272999998E-2</v>
      </c>
      <c r="BA349" s="196">
        <v>9.3731357629000006E-2</v>
      </c>
      <c r="BB349" s="196">
        <f>IF(BA349="","",BA349-BA$6)</f>
        <v>4.0244393071000008E-2</v>
      </c>
      <c r="BC349" s="196">
        <v>0.23086263663000001</v>
      </c>
      <c r="BD349" s="196">
        <f>IF(BC349="","",BC349-BC$6)</f>
        <v>3.6554070140000006E-2</v>
      </c>
      <c r="BE349" s="196"/>
      <c r="BF349" s="196" t="str">
        <f>IF(BE349="","",BE349-BE$6)</f>
        <v/>
      </c>
      <c r="BG349" s="196"/>
      <c r="BH349" s="196" t="str">
        <f>IF(BG349="","",BG349-BG$6)</f>
        <v/>
      </c>
      <c r="BI349" s="196"/>
      <c r="BJ349" s="196" t="str">
        <f>IF(BI349="","",BI349-BI$6)</f>
        <v/>
      </c>
      <c r="BK349" s="197">
        <v>4.4305618983999997</v>
      </c>
      <c r="BL349" s="115"/>
      <c r="BM349" s="198">
        <v>1.2160800462E-2</v>
      </c>
      <c r="BN349" s="191">
        <v>-9.0164348094000004E-3</v>
      </c>
      <c r="BO349" s="191">
        <v>2.9508020780000001E-2</v>
      </c>
      <c r="BP349" s="191">
        <v>-6.1450630846999997E-3</v>
      </c>
      <c r="BQ349" s="199">
        <v>8</v>
      </c>
      <c r="BR349" s="199">
        <v>4</v>
      </c>
      <c r="BS349" s="199">
        <v>6</v>
      </c>
      <c r="BT349" s="199">
        <v>6</v>
      </c>
      <c r="BU349" s="200">
        <v>-0.34441699875999998</v>
      </c>
      <c r="BV349" s="200"/>
      <c r="BW349" s="191">
        <v>4.5802535904E-3</v>
      </c>
      <c r="BX349" s="191">
        <v>3.8235888253999998E-3</v>
      </c>
      <c r="BY349" s="189">
        <v>-2.204142246</v>
      </c>
      <c r="BZ349" s="191">
        <v>-1.4629864637000001E-2</v>
      </c>
      <c r="CA349" s="191">
        <v>-1.4629864637000001E-2</v>
      </c>
      <c r="CB349" s="182">
        <v>45190</v>
      </c>
      <c r="CC349" s="182">
        <v>45202</v>
      </c>
      <c r="CD349" s="201">
        <v>15</v>
      </c>
      <c r="CE349" s="202">
        <v>45212</v>
      </c>
      <c r="CF349" s="116"/>
    </row>
    <row r="350" spans="2:84" ht="15.6" x14ac:dyDescent="0.3">
      <c r="B350" s="110" t="s">
        <v>1476</v>
      </c>
      <c r="C350" s="147" t="s">
        <v>2122</v>
      </c>
      <c r="D350" s="148" t="s">
        <v>650</v>
      </c>
      <c r="E350" s="148" t="s">
        <v>226</v>
      </c>
      <c r="F350" s="149">
        <v>19699063000106</v>
      </c>
      <c r="G350" s="149" t="s">
        <v>1835</v>
      </c>
      <c r="H350" s="149" t="s">
        <v>388</v>
      </c>
      <c r="I350" s="150">
        <v>3</v>
      </c>
      <c r="J350" s="151">
        <v>2</v>
      </c>
      <c r="K350" s="151" t="s">
        <v>126</v>
      </c>
      <c r="L350" s="151" t="s">
        <v>120</v>
      </c>
      <c r="M350" s="151" t="s">
        <v>986</v>
      </c>
      <c r="N350" s="151" t="s">
        <v>109</v>
      </c>
      <c r="O350" s="152">
        <v>550000</v>
      </c>
      <c r="P350" s="153">
        <v>550000000</v>
      </c>
      <c r="Q350" s="153">
        <v>1000</v>
      </c>
      <c r="R350" s="154">
        <v>44515</v>
      </c>
      <c r="S350" s="154">
        <v>50359</v>
      </c>
      <c r="T350" s="155" t="s">
        <v>1708</v>
      </c>
      <c r="U350" s="155" t="s">
        <v>1708</v>
      </c>
      <c r="V350" s="154" t="s">
        <v>105</v>
      </c>
      <c r="W350" s="154" t="s">
        <v>102</v>
      </c>
      <c r="X350" s="154" t="s">
        <v>1603</v>
      </c>
      <c r="Y350" s="154">
        <v>48714</v>
      </c>
      <c r="Z350" s="156">
        <f>IFERROR(INDEX(Base!G:G,MATCH('Debêntures IPCA-Spread'!Y350,Base!F:F,0)),"")</f>
        <v>6.3373999999999997</v>
      </c>
      <c r="AA350" s="115"/>
      <c r="AB350" s="157">
        <v>45552</v>
      </c>
      <c r="AC350" s="158">
        <v>6.6494</v>
      </c>
      <c r="AD350" s="159">
        <f t="shared" si="15"/>
        <v>0.31200000000000028</v>
      </c>
      <c r="AE350" s="160">
        <v>0.13</v>
      </c>
      <c r="AF350" s="161">
        <v>6.7580999999999998</v>
      </c>
      <c r="AG350" s="161">
        <v>6.5411000000000001</v>
      </c>
      <c r="AH350" s="162">
        <v>1089.5876040000001</v>
      </c>
      <c r="AI350" s="162">
        <v>1104.148612</v>
      </c>
      <c r="AJ350" s="163">
        <f t="shared" si="16"/>
        <v>0.98681245636524884</v>
      </c>
      <c r="AK350" s="164">
        <v>45520</v>
      </c>
      <c r="AL350" s="165">
        <v>96.15</v>
      </c>
      <c r="AM350" s="166">
        <v>1823</v>
      </c>
      <c r="AN350" s="115"/>
      <c r="AO350" s="167">
        <v>-7.6836889548000001E-4</v>
      </c>
      <c r="AP350" s="168">
        <f>IF(AO350="","",AO350-AO$6)</f>
        <v>-1.24851378041E-3</v>
      </c>
      <c r="AQ350" s="168">
        <v>4.3680746567000004E-3</v>
      </c>
      <c r="AR350" s="168">
        <f>IF(AQ350="","",AQ350-AQ$6)</f>
        <v>4.5855814096600004E-3</v>
      </c>
      <c r="AS350" s="168">
        <v>8.5050273573999996E-2</v>
      </c>
      <c r="AT350" s="168">
        <f>IF(AS350="","",AS350-AS$6)</f>
        <v>7.0324438518999999E-2</v>
      </c>
      <c r="AU350" s="168">
        <v>-1.3187543635E-2</v>
      </c>
      <c r="AV350" s="168">
        <f>IF(AU350="","",AU350-AU$6)</f>
        <v>-1.1896103900000017E-4</v>
      </c>
      <c r="AW350" s="168">
        <v>4.8328020312000002E-2</v>
      </c>
      <c r="AX350" s="168">
        <f>IF(AW350="","",AW350-AW$6)</f>
        <v>2.4332952524000001E-2</v>
      </c>
      <c r="AY350" s="168">
        <v>2.7233915652999999E-2</v>
      </c>
      <c r="AZ350" s="168">
        <f>IF(AY350="","",AY350-AY$6)</f>
        <v>1.2991660862999998E-2</v>
      </c>
      <c r="BA350" s="168">
        <v>0.12126322495</v>
      </c>
      <c r="BB350" s="168">
        <f>IF(BA350="","",BA350-BA$6)</f>
        <v>6.7776260391999993E-2</v>
      </c>
      <c r="BC350" s="168">
        <v>0.30543573754999997</v>
      </c>
      <c r="BD350" s="168">
        <f>IF(BC350="","",BC350-BC$6)</f>
        <v>0.11112717105999997</v>
      </c>
      <c r="BE350" s="168"/>
      <c r="BF350" s="168" t="str">
        <f>IF(BE350="","",BE350-BE$6)</f>
        <v/>
      </c>
      <c r="BG350" s="168"/>
      <c r="BH350" s="168" t="str">
        <f>IF(BG350="","",BG350-BG$6)</f>
        <v/>
      </c>
      <c r="BI350" s="168"/>
      <c r="BJ350" s="168" t="str">
        <f>IF(BI350="","",BI350-BI$6)</f>
        <v/>
      </c>
      <c r="BK350" s="169">
        <v>7.0206356890999997</v>
      </c>
      <c r="BL350" s="115"/>
      <c r="BM350" s="170">
        <v>1.6882625217E-2</v>
      </c>
      <c r="BN350" s="163">
        <v>-1.8101116444E-2</v>
      </c>
      <c r="BO350" s="163">
        <v>4.4562524239E-2</v>
      </c>
      <c r="BP350" s="163">
        <v>-2.6701966487E-2</v>
      </c>
      <c r="BQ350" s="171">
        <v>9</v>
      </c>
      <c r="BR350" s="171">
        <v>3</v>
      </c>
      <c r="BS350" s="171">
        <v>6</v>
      </c>
      <c r="BT350" s="171">
        <v>6</v>
      </c>
      <c r="BU350" s="172">
        <v>0.15693837281</v>
      </c>
      <c r="BV350" s="172"/>
      <c r="BW350" s="163">
        <v>7.2577462197000002E-3</v>
      </c>
      <c r="BX350" s="163">
        <v>5.8268669875000002E-3</v>
      </c>
      <c r="BY350" s="161">
        <v>0.35474890075999999</v>
      </c>
      <c r="BZ350" s="163">
        <v>-3.7603240151999999E-2</v>
      </c>
      <c r="CA350" s="163">
        <v>-3.7603240151999999E-2</v>
      </c>
      <c r="CB350" s="154">
        <v>45371</v>
      </c>
      <c r="CC350" s="154">
        <v>45475</v>
      </c>
      <c r="CD350" s="173">
        <v>92</v>
      </c>
      <c r="CE350" s="174">
        <v>45504</v>
      </c>
      <c r="CF350" s="116"/>
    </row>
    <row r="351" spans="2:84" ht="15.6" x14ac:dyDescent="0.3">
      <c r="B351" s="98" t="s">
        <v>1477</v>
      </c>
      <c r="C351" s="175" t="s">
        <v>2123</v>
      </c>
      <c r="D351" s="176" t="s">
        <v>650</v>
      </c>
      <c r="E351" s="176" t="s">
        <v>226</v>
      </c>
      <c r="F351" s="177">
        <v>19699063000106</v>
      </c>
      <c r="G351" s="177" t="s">
        <v>1836</v>
      </c>
      <c r="H351" s="177" t="s">
        <v>388</v>
      </c>
      <c r="I351" s="178">
        <v>3</v>
      </c>
      <c r="J351" s="179">
        <v>3</v>
      </c>
      <c r="K351" s="179" t="s">
        <v>126</v>
      </c>
      <c r="L351" s="179" t="s">
        <v>120</v>
      </c>
      <c r="M351" s="179" t="s">
        <v>986</v>
      </c>
      <c r="N351" s="179" t="s">
        <v>109</v>
      </c>
      <c r="O351" s="180">
        <v>550000</v>
      </c>
      <c r="P351" s="181">
        <v>550000000</v>
      </c>
      <c r="Q351" s="181">
        <v>1000</v>
      </c>
      <c r="R351" s="182">
        <v>44515</v>
      </c>
      <c r="S351" s="182">
        <v>51820</v>
      </c>
      <c r="T351" s="183" t="s">
        <v>1708</v>
      </c>
      <c r="U351" s="183" t="s">
        <v>1708</v>
      </c>
      <c r="V351" s="182" t="s">
        <v>105</v>
      </c>
      <c r="W351" s="182" t="s">
        <v>102</v>
      </c>
      <c r="X351" s="182" t="s">
        <v>1604</v>
      </c>
      <c r="Y351" s="182">
        <v>49444</v>
      </c>
      <c r="Z351" s="184">
        <f>IFERROR(INDEX(Base!G:G,MATCH('Debêntures IPCA-Spread'!Y351,Base!F:F,0)),"")</f>
        <v>6.3137999999999996</v>
      </c>
      <c r="AA351" s="115"/>
      <c r="AB351" s="185">
        <v>45552</v>
      </c>
      <c r="AC351" s="186">
        <v>6.6768000000000001</v>
      </c>
      <c r="AD351" s="187">
        <f t="shared" si="15"/>
        <v>0.36300000000000043</v>
      </c>
      <c r="AE351" s="188">
        <v>0.09</v>
      </c>
      <c r="AF351" s="189">
        <v>6.8137999999999996</v>
      </c>
      <c r="AG351" s="189">
        <v>6.5324999999999998</v>
      </c>
      <c r="AH351" s="190">
        <v>1070.997558</v>
      </c>
      <c r="AI351" s="190">
        <v>1085.413652</v>
      </c>
      <c r="AJ351" s="191">
        <f t="shared" si="16"/>
        <v>0.98671834099982381</v>
      </c>
      <c r="AK351" s="192">
        <v>45541</v>
      </c>
      <c r="AL351" s="193">
        <v>96.36</v>
      </c>
      <c r="AM351" s="194">
        <v>2231</v>
      </c>
      <c r="AN351" s="115"/>
      <c r="AO351" s="195">
        <v>3.2901819613000002E-3</v>
      </c>
      <c r="AP351" s="196">
        <f>IF(AO351="","",AO351-AO$6)</f>
        <v>2.8100370763700002E-3</v>
      </c>
      <c r="AQ351" s="196">
        <v>1.2761185995E-2</v>
      </c>
      <c r="AR351" s="196">
        <f>IF(AQ351="","",AQ351-AQ$6)</f>
        <v>1.2978692747959999E-2</v>
      </c>
      <c r="AS351" s="196">
        <v>9.8276742390000005E-2</v>
      </c>
      <c r="AT351" s="196">
        <f>IF(AS351="","",AS351-AS$6)</f>
        <v>8.3550907335000008E-2</v>
      </c>
      <c r="AU351" s="196">
        <v>-7.9756365675999995E-3</v>
      </c>
      <c r="AV351" s="196">
        <f>IF(AU351="","",AU351-AU$6)</f>
        <v>5.0929460284000003E-3</v>
      </c>
      <c r="AW351" s="196">
        <v>4.8087350573000003E-2</v>
      </c>
      <c r="AX351" s="196">
        <f>IF(AW351="","",AW351-AW$6)</f>
        <v>2.4092282785000002E-2</v>
      </c>
      <c r="AY351" s="196">
        <v>2.8567437498999999E-2</v>
      </c>
      <c r="AZ351" s="196">
        <f>IF(AY351="","",AY351-AY$6)</f>
        <v>1.4325182708999998E-2</v>
      </c>
      <c r="BA351" s="196">
        <v>0.13343264748</v>
      </c>
      <c r="BB351" s="196">
        <f>IF(BA351="","",BA351-BA$6)</f>
        <v>7.9945682921999994E-2</v>
      </c>
      <c r="BC351" s="196">
        <v>0.34035241157000001</v>
      </c>
      <c r="BD351" s="196">
        <f>IF(BC351="","",BC351-BC$6)</f>
        <v>0.14604384508000001</v>
      </c>
      <c r="BE351" s="196"/>
      <c r="BF351" s="196" t="str">
        <f>IF(BE351="","",BE351-BE$6)</f>
        <v/>
      </c>
      <c r="BG351" s="196"/>
      <c r="BH351" s="196" t="str">
        <f>IF(BG351="","",BG351-BG$6)</f>
        <v/>
      </c>
      <c r="BI351" s="196"/>
      <c r="BJ351" s="196" t="str">
        <f>IF(BI351="","",BI351-BI$6)</f>
        <v/>
      </c>
      <c r="BK351" s="197">
        <v>8.0452633865000003</v>
      </c>
      <c r="BL351" s="115"/>
      <c r="BM351" s="198">
        <v>3.0637553644000001E-2</v>
      </c>
      <c r="BN351" s="191">
        <v>-1.5017934381999999E-2</v>
      </c>
      <c r="BO351" s="191">
        <v>4.7169680156000003E-2</v>
      </c>
      <c r="BP351" s="191">
        <v>-3.5885137607000003E-2</v>
      </c>
      <c r="BQ351" s="199">
        <v>9</v>
      </c>
      <c r="BR351" s="199">
        <v>3</v>
      </c>
      <c r="BS351" s="199">
        <v>8</v>
      </c>
      <c r="BT351" s="199">
        <v>4</v>
      </c>
      <c r="BU351" s="200">
        <v>0.28260758674999997</v>
      </c>
      <c r="BV351" s="200"/>
      <c r="BW351" s="191">
        <v>8.3329904513999992E-3</v>
      </c>
      <c r="BX351" s="191">
        <v>1.0185218998E-2</v>
      </c>
      <c r="BY351" s="189">
        <v>1.6115575433</v>
      </c>
      <c r="BZ351" s="191">
        <v>-3.8817288418000001E-2</v>
      </c>
      <c r="CA351" s="191">
        <v>-3.8817288418000001E-2</v>
      </c>
      <c r="CB351" s="182">
        <v>45379</v>
      </c>
      <c r="CC351" s="182">
        <v>45474</v>
      </c>
      <c r="CD351" s="201">
        <v>72</v>
      </c>
      <c r="CE351" s="202">
        <v>45484</v>
      </c>
      <c r="CF351" s="116"/>
    </row>
    <row r="352" spans="2:84" ht="15.6" x14ac:dyDescent="0.3">
      <c r="B352" s="110" t="s">
        <v>53</v>
      </c>
      <c r="C352" s="147" t="s">
        <v>316</v>
      </c>
      <c r="D352" s="148" t="s">
        <v>91</v>
      </c>
      <c r="E352" s="148" t="s">
        <v>226</v>
      </c>
      <c r="F352" s="149">
        <v>15286382000139</v>
      </c>
      <c r="G352" s="149" t="s">
        <v>372</v>
      </c>
      <c r="H352" s="149" t="s">
        <v>388</v>
      </c>
      <c r="I352" s="150">
        <v>2</v>
      </c>
      <c r="J352" s="151" t="s">
        <v>107</v>
      </c>
      <c r="K352" s="151" t="s">
        <v>127</v>
      </c>
      <c r="L352" s="151" t="s">
        <v>122</v>
      </c>
      <c r="M352" s="151" t="s">
        <v>106</v>
      </c>
      <c r="N352" s="151" t="s">
        <v>109</v>
      </c>
      <c r="O352" s="152">
        <v>180000</v>
      </c>
      <c r="P352" s="153">
        <v>180000000</v>
      </c>
      <c r="Q352" s="153">
        <v>1000</v>
      </c>
      <c r="R352" s="154">
        <v>42505</v>
      </c>
      <c r="S352" s="154">
        <v>47284</v>
      </c>
      <c r="T352" s="155" t="s">
        <v>1088</v>
      </c>
      <c r="U352" s="155" t="s">
        <v>1219</v>
      </c>
      <c r="V352" s="154" t="s">
        <v>194</v>
      </c>
      <c r="W352" s="154" t="s">
        <v>102</v>
      </c>
      <c r="X352" s="154" t="s">
        <v>208</v>
      </c>
      <c r="Y352" s="154">
        <v>46522</v>
      </c>
      <c r="Z352" s="156">
        <f>IFERROR(INDEX(Base!G:G,MATCH('Debêntures IPCA-Spread'!Y352,Base!F:F,0)),"")</f>
        <v>6.391</v>
      </c>
      <c r="AA352" s="115"/>
      <c r="AB352" s="157">
        <v>45552</v>
      </c>
      <c r="AC352" s="158">
        <v>6.3227000000000002</v>
      </c>
      <c r="AD352" s="159">
        <f t="shared" si="15"/>
        <v>-6.8299999999999805E-2</v>
      </c>
      <c r="AE352" s="160">
        <v>0.23</v>
      </c>
      <c r="AF352" s="161">
        <v>6.5667</v>
      </c>
      <c r="AG352" s="161">
        <v>6.1798999999999999</v>
      </c>
      <c r="AH352" s="162">
        <v>1030.872732</v>
      </c>
      <c r="AI352" s="162">
        <v>1030.872732</v>
      </c>
      <c r="AJ352" s="163">
        <f t="shared" si="16"/>
        <v>1</v>
      </c>
      <c r="AK352" s="164">
        <v>45552</v>
      </c>
      <c r="AL352" s="165">
        <v>102.54</v>
      </c>
      <c r="AM352" s="166">
        <v>541</v>
      </c>
      <c r="AN352" s="115"/>
      <c r="AO352" s="167">
        <v>1.3023092524E-3</v>
      </c>
      <c r="AP352" s="168">
        <f>IF(AO352="","",AO352-AO$6)</f>
        <v>8.2216436746999997E-4</v>
      </c>
      <c r="AQ352" s="168">
        <v>6.5076939791E-3</v>
      </c>
      <c r="AR352" s="168">
        <f>IF(AQ352="","",AQ352-AQ$6)</f>
        <v>6.72520073206E-3</v>
      </c>
      <c r="AS352" s="168">
        <v>6.6944992011000001E-2</v>
      </c>
      <c r="AT352" s="168">
        <f>IF(AS352="","",AS352-AS$6)</f>
        <v>5.2219156956000004E-2</v>
      </c>
      <c r="AU352" s="168">
        <v>5.0885717137000002E-3</v>
      </c>
      <c r="AV352" s="168">
        <f>IF(AU352="","",AU352-AU$6)</f>
        <v>1.81571543097E-2</v>
      </c>
      <c r="AW352" s="168">
        <v>3.1140062279999998E-2</v>
      </c>
      <c r="AX352" s="168">
        <f>IF(AW352="","",AW352-AW$6)</f>
        <v>7.144994491999998E-3</v>
      </c>
      <c r="AY352" s="168">
        <v>3.9037042568000002E-2</v>
      </c>
      <c r="AZ352" s="168">
        <f>IF(AY352="","",AY352-AY$6)</f>
        <v>2.4794787778000003E-2</v>
      </c>
      <c r="BA352" s="168">
        <v>9.6407907091E-2</v>
      </c>
      <c r="BB352" s="168">
        <f>IF(BA352="","",BA352-BA$6)</f>
        <v>4.2920942533000002E-2</v>
      </c>
      <c r="BC352" s="168">
        <v>0.24396007115000001</v>
      </c>
      <c r="BD352" s="168">
        <f>IF(BC352="","",BC352-BC$6)</f>
        <v>4.9651504660000012E-2</v>
      </c>
      <c r="BE352" s="168">
        <v>0.41272673513000002</v>
      </c>
      <c r="BF352" s="168">
        <f>IF(BE352="","",BE352-BE$6)</f>
        <v>0.15100739559000004</v>
      </c>
      <c r="BG352" s="168">
        <v>0.54455804510000005</v>
      </c>
      <c r="BH352" s="168">
        <f>IF(BG352="","",BG352-BG$6)</f>
        <v>0.23564139629000003</v>
      </c>
      <c r="BI352" s="168">
        <v>0.63092993065000003</v>
      </c>
      <c r="BJ352" s="168">
        <f>IF(BI352="","",BI352-BI$6)</f>
        <v>0.25798692057</v>
      </c>
      <c r="BK352" s="169">
        <v>2.6591201774000002</v>
      </c>
      <c r="BL352" s="115"/>
      <c r="BM352" s="170">
        <v>6.0002295139999998E-3</v>
      </c>
      <c r="BN352" s="163">
        <v>-4.0928559265000003E-3</v>
      </c>
      <c r="BO352" s="163">
        <v>2.0745397095999998E-2</v>
      </c>
      <c r="BP352" s="163">
        <v>-6.3072051626000001E-3</v>
      </c>
      <c r="BQ352" s="171">
        <v>10</v>
      </c>
      <c r="BR352" s="171">
        <v>2</v>
      </c>
      <c r="BS352" s="171">
        <v>8</v>
      </c>
      <c r="BT352" s="171">
        <v>4</v>
      </c>
      <c r="BU352" s="172">
        <v>-0.50665259435999999</v>
      </c>
      <c r="BV352" s="172">
        <v>0.12462896781</v>
      </c>
      <c r="BW352" s="163">
        <v>2.7479884181000002E-3</v>
      </c>
      <c r="BX352" s="163">
        <v>2.1566005179999999E-3</v>
      </c>
      <c r="BY352" s="161">
        <v>-1.8440053721</v>
      </c>
      <c r="BZ352" s="163">
        <v>-1.1810252546000001E-2</v>
      </c>
      <c r="CA352" s="163">
        <v>-1.1810252546000001E-2</v>
      </c>
      <c r="CB352" s="154">
        <v>45187</v>
      </c>
      <c r="CC352" s="154">
        <v>45218</v>
      </c>
      <c r="CD352" s="173">
        <v>39</v>
      </c>
      <c r="CE352" s="174">
        <v>45244</v>
      </c>
      <c r="CF352" s="116"/>
    </row>
    <row r="353" spans="2:84" ht="15.6" x14ac:dyDescent="0.3">
      <c r="B353" s="98" t="s">
        <v>1478</v>
      </c>
      <c r="C353" s="175" t="s">
        <v>2124</v>
      </c>
      <c r="D353" s="176" t="s">
        <v>91</v>
      </c>
      <c r="E353" s="176" t="s">
        <v>226</v>
      </c>
      <c r="F353" s="177">
        <v>15286382000139</v>
      </c>
      <c r="G353" s="177" t="s">
        <v>1837</v>
      </c>
      <c r="H353" s="177" t="s">
        <v>388</v>
      </c>
      <c r="I353" s="178">
        <v>3</v>
      </c>
      <c r="J353" s="179" t="s">
        <v>107</v>
      </c>
      <c r="K353" s="179" t="s">
        <v>126</v>
      </c>
      <c r="L353" s="179" t="s">
        <v>112</v>
      </c>
      <c r="M353" s="179" t="s">
        <v>114</v>
      </c>
      <c r="N353" s="179" t="s">
        <v>109</v>
      </c>
      <c r="O353" s="180">
        <v>135000</v>
      </c>
      <c r="P353" s="181">
        <v>135000000</v>
      </c>
      <c r="Q353" s="181">
        <v>1000</v>
      </c>
      <c r="R353" s="182">
        <v>44331</v>
      </c>
      <c r="S353" s="182">
        <v>50754</v>
      </c>
      <c r="T353" s="183" t="s">
        <v>1977</v>
      </c>
      <c r="U353" s="183" t="s">
        <v>1662</v>
      </c>
      <c r="V353" s="182" t="s">
        <v>105</v>
      </c>
      <c r="W353" s="182" t="s">
        <v>102</v>
      </c>
      <c r="X353" s="182" t="s">
        <v>1605</v>
      </c>
      <c r="Y353" s="182">
        <v>49444</v>
      </c>
      <c r="Z353" s="184">
        <f>IFERROR(INDEX(Base!G:G,MATCH('Debêntures IPCA-Spread'!Y353,Base!F:F,0)),"")</f>
        <v>6.3137999999999996</v>
      </c>
      <c r="AA353" s="115"/>
      <c r="AB353" s="185">
        <v>45552</v>
      </c>
      <c r="AC353" s="186">
        <v>6.8707000000000003</v>
      </c>
      <c r="AD353" s="187">
        <f t="shared" si="15"/>
        <v>0.55690000000000062</v>
      </c>
      <c r="AE353" s="188">
        <v>0.02</v>
      </c>
      <c r="AF353" s="189">
        <v>6.9866999999999999</v>
      </c>
      <c r="AG353" s="189">
        <v>6.7099000000000002</v>
      </c>
      <c r="AH353" s="190">
        <v>1047.5692770000001</v>
      </c>
      <c r="AI353" s="190">
        <v>1076.215899</v>
      </c>
      <c r="AJ353" s="191">
        <f t="shared" si="16"/>
        <v>0.9733820862276632</v>
      </c>
      <c r="AK353" s="192">
        <v>45518</v>
      </c>
      <c r="AL353" s="193">
        <v>86.76</v>
      </c>
      <c r="AM353" s="194">
        <v>1911</v>
      </c>
      <c r="AN353" s="115"/>
      <c r="AO353" s="195">
        <v>1.177931972E-4</v>
      </c>
      <c r="AP353" s="196">
        <f>IF(AO353="","",AO353-AO$6)</f>
        <v>-3.6235168773000002E-4</v>
      </c>
      <c r="AQ353" s="196">
        <v>4.3178680352999998E-3</v>
      </c>
      <c r="AR353" s="196">
        <f>IF(AQ353="","",AQ353-AQ$6)</f>
        <v>4.5353747882599998E-3</v>
      </c>
      <c r="AS353" s="196">
        <v>4.2747228467999998E-2</v>
      </c>
      <c r="AT353" s="196">
        <f>IF(AS353="","",AS353-AS$6)</f>
        <v>2.8021393412999997E-2</v>
      </c>
      <c r="AU353" s="196">
        <v>-1.5993610557E-2</v>
      </c>
      <c r="AV353" s="196">
        <f>IF(AU353="","",AU353-AU$6)</f>
        <v>-2.9250279610000002E-3</v>
      </c>
      <c r="AW353" s="196">
        <v>3.0177863752999998E-2</v>
      </c>
      <c r="AX353" s="196">
        <f>IF(AW353="","",AW353-AW$6)</f>
        <v>6.1827959649999979E-3</v>
      </c>
      <c r="AY353" s="196">
        <v>2.8553022888000001E-2</v>
      </c>
      <c r="AZ353" s="196">
        <f>IF(AY353="","",AY353-AY$6)</f>
        <v>1.4310768098E-2</v>
      </c>
      <c r="BA353" s="196">
        <v>6.4519692933E-2</v>
      </c>
      <c r="BB353" s="196">
        <f>IF(BA353="","",BA353-BA$6)</f>
        <v>1.1032728375000002E-2</v>
      </c>
      <c r="BC353" s="196"/>
      <c r="BD353" s="196" t="str">
        <f>IF(BC353="","",BC353-BC$6)</f>
        <v/>
      </c>
      <c r="BE353" s="196"/>
      <c r="BF353" s="196" t="str">
        <f>IF(BE353="","",BE353-BE$6)</f>
        <v/>
      </c>
      <c r="BG353" s="196"/>
      <c r="BH353" s="196" t="str">
        <f>IF(BG353="","",BG353-BG$6)</f>
        <v/>
      </c>
      <c r="BI353" s="196"/>
      <c r="BJ353" s="196" t="str">
        <f>IF(BI353="","",BI353-BI$6)</f>
        <v/>
      </c>
      <c r="BK353" s="197">
        <v>7.5316338269000003</v>
      </c>
      <c r="BL353" s="115"/>
      <c r="BM353" s="198">
        <v>1.3841494696E-2</v>
      </c>
      <c r="BN353" s="191">
        <v>-2.1057260457000002E-2</v>
      </c>
      <c r="BO353" s="191">
        <v>3.2400705379999999E-2</v>
      </c>
      <c r="BP353" s="191">
        <v>-2.1609483836999999E-2</v>
      </c>
      <c r="BQ353" s="199">
        <v>7</v>
      </c>
      <c r="BR353" s="199">
        <v>5</v>
      </c>
      <c r="BS353" s="199">
        <v>5</v>
      </c>
      <c r="BT353" s="199">
        <v>7</v>
      </c>
      <c r="BU353" s="200">
        <v>-0.52860357974000005</v>
      </c>
      <c r="BV353" s="200"/>
      <c r="BW353" s="191">
        <v>7.7772107386000003E-3</v>
      </c>
      <c r="BX353" s="191">
        <v>5.7954875334999996E-3</v>
      </c>
      <c r="BY353" s="189">
        <v>-5.4811152751999996</v>
      </c>
      <c r="BZ353" s="191">
        <v>-3.8164212316E-2</v>
      </c>
      <c r="CA353" s="191">
        <v>-3.8164212316E-2</v>
      </c>
      <c r="CB353" s="182">
        <v>45187</v>
      </c>
      <c r="CC353" s="182">
        <v>45230</v>
      </c>
      <c r="CD353" s="201">
        <v>60</v>
      </c>
      <c r="CE353" s="202">
        <v>45274</v>
      </c>
      <c r="CF353" s="116"/>
    </row>
    <row r="354" spans="2:84" ht="15.6" x14ac:dyDescent="0.3">
      <c r="B354" s="110" t="s">
        <v>1479</v>
      </c>
      <c r="C354" s="147" t="s">
        <v>2125</v>
      </c>
      <c r="D354" s="148" t="s">
        <v>1921</v>
      </c>
      <c r="E354" s="148" t="s">
        <v>226</v>
      </c>
      <c r="F354" s="149">
        <v>40215231000137</v>
      </c>
      <c r="G354" s="149" t="s">
        <v>1838</v>
      </c>
      <c r="H354" s="149" t="s">
        <v>388</v>
      </c>
      <c r="I354" s="150">
        <v>1</v>
      </c>
      <c r="J354" s="151" t="s">
        <v>107</v>
      </c>
      <c r="K354" s="151" t="s">
        <v>126</v>
      </c>
      <c r="L354" s="151" t="s">
        <v>112</v>
      </c>
      <c r="M354" s="151" t="s">
        <v>114</v>
      </c>
      <c r="N354" s="151" t="s">
        <v>109</v>
      </c>
      <c r="O354" s="152">
        <v>373000</v>
      </c>
      <c r="P354" s="153">
        <v>373000000</v>
      </c>
      <c r="Q354" s="153">
        <v>1000</v>
      </c>
      <c r="R354" s="154">
        <v>44576</v>
      </c>
      <c r="S354" s="154">
        <v>53342</v>
      </c>
      <c r="T354" s="155" t="s">
        <v>2008</v>
      </c>
      <c r="U354" s="155" t="s">
        <v>1709</v>
      </c>
      <c r="V354" s="154" t="s">
        <v>194</v>
      </c>
      <c r="W354" s="154" t="s">
        <v>102</v>
      </c>
      <c r="X354" s="154" t="s">
        <v>1606</v>
      </c>
      <c r="Y354" s="154">
        <v>49444</v>
      </c>
      <c r="Z354" s="156">
        <f>IFERROR(INDEX(Base!G:G,MATCH('Debêntures IPCA-Spread'!Y354,Base!F:F,0)),"")</f>
        <v>6.3137999999999996</v>
      </c>
      <c r="AA354" s="115"/>
      <c r="AB354" s="157">
        <v>45552</v>
      </c>
      <c r="AC354" s="158">
        <v>7.5265000000000004</v>
      </c>
      <c r="AD354" s="159">
        <f t="shared" si="15"/>
        <v>1.2127000000000008</v>
      </c>
      <c r="AE354" s="160">
        <v>0.24</v>
      </c>
      <c r="AF354" s="161"/>
      <c r="AG354" s="161">
        <v>7.2287999999999997</v>
      </c>
      <c r="AH354" s="162">
        <v>1250.7584340000001</v>
      </c>
      <c r="AI354" s="162">
        <v>1272.0575260000001</v>
      </c>
      <c r="AJ354" s="163">
        <f t="shared" si="16"/>
        <v>0.98325618805387272</v>
      </c>
      <c r="AK354" s="164">
        <v>45527</v>
      </c>
      <c r="AL354" s="165">
        <v>96.65</v>
      </c>
      <c r="AM354" s="166">
        <v>1980</v>
      </c>
      <c r="AN354" s="115"/>
      <c r="AO354" s="167">
        <v>9.4044425713999992E-3</v>
      </c>
      <c r="AP354" s="168">
        <f>IF(AO354="","",AO354-AO$6)</f>
        <v>8.9242976864700001E-3</v>
      </c>
      <c r="AQ354" s="168">
        <v>8.3601672759000007E-3</v>
      </c>
      <c r="AR354" s="168">
        <f>IF(AQ354="","",AQ354-AQ$6)</f>
        <v>8.5776740288599999E-3</v>
      </c>
      <c r="AS354" s="168">
        <v>5.6141316432000002E-2</v>
      </c>
      <c r="AT354" s="168">
        <f>IF(AS354="","",AS354-AS$6)</f>
        <v>4.1415481377000005E-2</v>
      </c>
      <c r="AU354" s="168">
        <v>-1.1557349888E-2</v>
      </c>
      <c r="AV354" s="168">
        <f>IF(AU354="","",AU354-AU$6)</f>
        <v>1.5112327080000001E-3</v>
      </c>
      <c r="AW354" s="168">
        <v>1.3111862577E-2</v>
      </c>
      <c r="AX354" s="168">
        <f>IF(AW354="","",AW354-AW$6)</f>
        <v>-1.0883205211E-2</v>
      </c>
      <c r="AY354" s="168">
        <v>3.2808005708000001E-3</v>
      </c>
      <c r="AZ354" s="168">
        <f>IF(AY354="","",AY354-AY$6)</f>
        <v>-1.0961454219200001E-2</v>
      </c>
      <c r="BA354" s="168">
        <v>9.8408701821000005E-2</v>
      </c>
      <c r="BB354" s="168">
        <f>IF(BA354="","",BA354-BA$6)</f>
        <v>4.4921737263000007E-2</v>
      </c>
      <c r="BC354" s="168"/>
      <c r="BD354" s="168" t="str">
        <f>IF(BC354="","",BC354-BC$6)</f>
        <v/>
      </c>
      <c r="BE354" s="168"/>
      <c r="BF354" s="168" t="str">
        <f>IF(BE354="","",BE354-BE$6)</f>
        <v/>
      </c>
      <c r="BG354" s="168"/>
      <c r="BH354" s="168" t="str">
        <f>IF(BG354="","",BG354-BG$6)</f>
        <v/>
      </c>
      <c r="BI354" s="168"/>
      <c r="BJ354" s="168" t="str">
        <f>IF(BI354="","",BI354-BI$6)</f>
        <v/>
      </c>
      <c r="BK354" s="169">
        <v>7.8606749883000004</v>
      </c>
      <c r="BL354" s="115"/>
      <c r="BM354" s="170">
        <v>1.7222013859000001E-2</v>
      </c>
      <c r="BN354" s="163">
        <v>-1.6662696828E-2</v>
      </c>
      <c r="BO354" s="163">
        <v>3.5730647164999997E-2</v>
      </c>
      <c r="BP354" s="163">
        <v>-1.9224819859999999E-2</v>
      </c>
      <c r="BQ354" s="171">
        <v>8</v>
      </c>
      <c r="BR354" s="171">
        <v>4</v>
      </c>
      <c r="BS354" s="171">
        <v>7</v>
      </c>
      <c r="BT354" s="171">
        <v>5</v>
      </c>
      <c r="BU354" s="172">
        <v>-5.7431807428999997E-2</v>
      </c>
      <c r="BV354" s="172"/>
      <c r="BW354" s="163">
        <v>8.1266264162999993E-3</v>
      </c>
      <c r="BX354" s="163">
        <v>1.1558903816000001E-2</v>
      </c>
      <c r="BY354" s="161">
        <v>-1.3955236417000001</v>
      </c>
      <c r="BZ354" s="163">
        <v>-4.0217862718999998E-2</v>
      </c>
      <c r="CA354" s="163">
        <v>-4.0217862718999998E-2</v>
      </c>
      <c r="CB354" s="154">
        <v>45489</v>
      </c>
      <c r="CC354" s="154">
        <v>45492</v>
      </c>
      <c r="CD354" s="173">
        <v>17</v>
      </c>
      <c r="CE354" s="174">
        <v>45512</v>
      </c>
      <c r="CF354" s="116"/>
    </row>
    <row r="355" spans="2:84" ht="15.6" x14ac:dyDescent="0.3">
      <c r="B355" s="98" t="s">
        <v>1480</v>
      </c>
      <c r="C355" s="175" t="s">
        <v>2126</v>
      </c>
      <c r="D355" s="176" t="s">
        <v>1922</v>
      </c>
      <c r="E355" s="176" t="s">
        <v>607</v>
      </c>
      <c r="F355" s="177">
        <v>21314559000166</v>
      </c>
      <c r="G355" s="177" t="s">
        <v>1839</v>
      </c>
      <c r="H355" s="177" t="s">
        <v>388</v>
      </c>
      <c r="I355" s="178">
        <v>7</v>
      </c>
      <c r="J355" s="179">
        <v>3</v>
      </c>
      <c r="K355" s="179" t="s">
        <v>126</v>
      </c>
      <c r="L355" s="179" t="s">
        <v>112</v>
      </c>
      <c r="M355" s="179" t="s">
        <v>106</v>
      </c>
      <c r="N355" s="179" t="s">
        <v>117</v>
      </c>
      <c r="O355" s="180">
        <v>350000</v>
      </c>
      <c r="P355" s="181">
        <v>350000000</v>
      </c>
      <c r="Q355" s="181">
        <v>1000</v>
      </c>
      <c r="R355" s="182">
        <v>44454</v>
      </c>
      <c r="S355" s="182">
        <v>48106</v>
      </c>
      <c r="T355" s="183" t="s">
        <v>2009</v>
      </c>
      <c r="U355" s="183" t="s">
        <v>1218</v>
      </c>
      <c r="V355" s="182" t="s">
        <v>105</v>
      </c>
      <c r="W355" s="182" t="s">
        <v>102</v>
      </c>
      <c r="X355" s="182" t="s">
        <v>1607</v>
      </c>
      <c r="Y355" s="182">
        <v>47710</v>
      </c>
      <c r="Z355" s="184">
        <f>IFERROR(INDEX(Base!G:G,MATCH('Debêntures IPCA-Spread'!Y355,Base!F:F,0)),"")</f>
        <v>6.3273999999999999</v>
      </c>
      <c r="AA355" s="115"/>
      <c r="AB355" s="185">
        <v>45552</v>
      </c>
      <c r="AC355" s="186">
        <v>8.8829999999999991</v>
      </c>
      <c r="AD355" s="187">
        <f t="shared" si="15"/>
        <v>2.5555999999999992</v>
      </c>
      <c r="AE355" s="188">
        <v>0.16</v>
      </c>
      <c r="AF355" s="189"/>
      <c r="AG355" s="189">
        <v>8.5099</v>
      </c>
      <c r="AH355" s="190">
        <v>1119.678277</v>
      </c>
      <c r="AI355" s="190">
        <v>1138.76875</v>
      </c>
      <c r="AJ355" s="191">
        <f t="shared" si="16"/>
        <v>0.98323586505161831</v>
      </c>
      <c r="AK355" s="192">
        <v>45517</v>
      </c>
      <c r="AL355" s="193">
        <v>94.54</v>
      </c>
      <c r="AM355" s="194">
        <v>1223</v>
      </c>
      <c r="AN355" s="115"/>
      <c r="AO355" s="195">
        <v>-1.8593491221999999E-4</v>
      </c>
      <c r="AP355" s="196">
        <f>IF(AO355="","",AO355-AO$6)</f>
        <v>-6.6607979714999996E-4</v>
      </c>
      <c r="AQ355" s="196">
        <v>-3.8135480736000002E-4</v>
      </c>
      <c r="AR355" s="196">
        <f>IF(AQ355="","",AQ355-AQ$6)</f>
        <v>-1.6384805440000002E-4</v>
      </c>
      <c r="AS355" s="196">
        <v>5.7696019128000001E-2</v>
      </c>
      <c r="AT355" s="196">
        <f>IF(AS355="","",AS355-AS$6)</f>
        <v>4.2970184073000003E-2</v>
      </c>
      <c r="AU355" s="196">
        <v>-2.6375399065999999E-3</v>
      </c>
      <c r="AV355" s="196">
        <f>IF(AU355="","",AU355-AU$6)</f>
        <v>1.04310426894E-2</v>
      </c>
      <c r="AW355" s="196">
        <v>3.0478921744E-2</v>
      </c>
      <c r="AX355" s="196">
        <f>IF(AW355="","",AW355-AW$6)</f>
        <v>6.4838539559999991E-3</v>
      </c>
      <c r="AY355" s="196">
        <v>3.7630657870999999E-2</v>
      </c>
      <c r="AZ355" s="196">
        <f>IF(AY355="","",AY355-AY$6)</f>
        <v>2.3388403081E-2</v>
      </c>
      <c r="BA355" s="196">
        <v>9.7381565426999994E-2</v>
      </c>
      <c r="BB355" s="196">
        <f>IF(BA355="","",BA355-BA$6)</f>
        <v>4.3894600868999996E-2</v>
      </c>
      <c r="BC355" s="196">
        <v>0.25825205231999998</v>
      </c>
      <c r="BD355" s="196">
        <f>IF(BC355="","",BC355-BC$6)</f>
        <v>6.394348582999998E-2</v>
      </c>
      <c r="BE355" s="196"/>
      <c r="BF355" s="196" t="str">
        <f>IF(BE355="","",BE355-BE$6)</f>
        <v/>
      </c>
      <c r="BG355" s="196"/>
      <c r="BH355" s="196" t="str">
        <f>IF(BG355="","",BG355-BG$6)</f>
        <v/>
      </c>
      <c r="BI355" s="196"/>
      <c r="BJ355" s="196" t="str">
        <f>IF(BI355="","",BI355-BI$6)</f>
        <v/>
      </c>
      <c r="BK355" s="197">
        <v>5.3147663860999996</v>
      </c>
      <c r="BL355" s="115"/>
      <c r="BM355" s="198">
        <v>1.0016530480999999E-2</v>
      </c>
      <c r="BN355" s="191">
        <v>-1.3972325145000001E-2</v>
      </c>
      <c r="BO355" s="191">
        <v>2.2030009408000002E-2</v>
      </c>
      <c r="BP355" s="191">
        <v>-2.9517350303999998E-3</v>
      </c>
      <c r="BQ355" s="199">
        <v>8</v>
      </c>
      <c r="BR355" s="199">
        <v>4</v>
      </c>
      <c r="BS355" s="199">
        <v>5</v>
      </c>
      <c r="BT355" s="199">
        <v>7</v>
      </c>
      <c r="BU355" s="200">
        <v>-0.21766468445000001</v>
      </c>
      <c r="BV355" s="200"/>
      <c r="BW355" s="191">
        <v>5.4863318027999998E-3</v>
      </c>
      <c r="BX355" s="191">
        <v>4.6170931789999998E-3</v>
      </c>
      <c r="BY355" s="189">
        <v>-1.8894923122</v>
      </c>
      <c r="BZ355" s="191">
        <v>-1.767704162E-2</v>
      </c>
      <c r="CA355" s="191">
        <v>-2.0422441781E-2</v>
      </c>
      <c r="CB355" s="182">
        <v>45517</v>
      </c>
      <c r="CC355" s="182">
        <v>45538</v>
      </c>
      <c r="CD355" s="201"/>
      <c r="CE355" s="202"/>
      <c r="CF355" s="116"/>
    </row>
    <row r="356" spans="2:84" ht="15.6" x14ac:dyDescent="0.3">
      <c r="B356" s="110" t="s">
        <v>1481</v>
      </c>
      <c r="C356" s="147" t="s">
        <v>2127</v>
      </c>
      <c r="D356" s="148" t="s">
        <v>1922</v>
      </c>
      <c r="E356" s="148" t="s">
        <v>607</v>
      </c>
      <c r="F356" s="149">
        <v>21314559000166</v>
      </c>
      <c r="G356" s="149" t="s">
        <v>1840</v>
      </c>
      <c r="H356" s="149" t="s">
        <v>388</v>
      </c>
      <c r="I356" s="150">
        <v>8</v>
      </c>
      <c r="J356" s="151">
        <v>1</v>
      </c>
      <c r="K356" s="151" t="s">
        <v>126</v>
      </c>
      <c r="L356" s="151" t="s">
        <v>125</v>
      </c>
      <c r="M356" s="151" t="s">
        <v>106</v>
      </c>
      <c r="N356" s="151" t="s">
        <v>117</v>
      </c>
      <c r="O356" s="152">
        <v>408169</v>
      </c>
      <c r="P356" s="153">
        <v>408169000</v>
      </c>
      <c r="Q356" s="153">
        <v>1000</v>
      </c>
      <c r="R356" s="154">
        <v>44727</v>
      </c>
      <c r="S356" s="154">
        <v>47284</v>
      </c>
      <c r="T356" s="155" t="s">
        <v>1984</v>
      </c>
      <c r="U356" s="155" t="s">
        <v>113</v>
      </c>
      <c r="V356" s="154" t="s">
        <v>105</v>
      </c>
      <c r="W356" s="154" t="s">
        <v>102</v>
      </c>
      <c r="X356" s="154" t="s">
        <v>1608</v>
      </c>
      <c r="Y356" s="154">
        <v>47253</v>
      </c>
      <c r="Z356" s="156">
        <f>IFERROR(INDEX(Base!G:G,MATCH('Debêntures IPCA-Spread'!Y356,Base!F:F,0)),"")</f>
        <v>6.41</v>
      </c>
      <c r="AA356" s="115"/>
      <c r="AB356" s="157">
        <v>45552</v>
      </c>
      <c r="AC356" s="158">
        <v>9.9336000000000002</v>
      </c>
      <c r="AD356" s="159">
        <f t="shared" si="15"/>
        <v>3.5236000000000001</v>
      </c>
      <c r="AE356" s="160">
        <v>0.1</v>
      </c>
      <c r="AF356" s="161"/>
      <c r="AG356" s="161"/>
      <c r="AH356" s="162">
        <v>1032.6239639999999</v>
      </c>
      <c r="AI356" s="162">
        <v>1045.544641</v>
      </c>
      <c r="AJ356" s="163">
        <f t="shared" si="16"/>
        <v>0.98764215654374909</v>
      </c>
      <c r="AK356" s="164">
        <v>45518</v>
      </c>
      <c r="AL356" s="165">
        <v>93.45</v>
      </c>
      <c r="AM356" s="166">
        <v>985</v>
      </c>
      <c r="AN356" s="115"/>
      <c r="AO356" s="167">
        <v>-2.0056919875000002E-3</v>
      </c>
      <c r="AP356" s="168">
        <f>IF(AO356="","",AO356-AO$6)</f>
        <v>-2.4858368724300002E-3</v>
      </c>
      <c r="AQ356" s="168">
        <v>5.0065557060999999E-3</v>
      </c>
      <c r="AR356" s="168">
        <f>IF(AQ356="","",AQ356-AQ$6)</f>
        <v>5.2240624590599999E-3</v>
      </c>
      <c r="AS356" s="168">
        <v>5.0835773415999999E-2</v>
      </c>
      <c r="AT356" s="168">
        <f>IF(AS356="","",AS356-AS$6)</f>
        <v>3.6109938361000002E-2</v>
      </c>
      <c r="AU356" s="168">
        <v>-5.9225540272000001E-3</v>
      </c>
      <c r="AV356" s="168">
        <f>IF(AU356="","",AU356-AU$6)</f>
        <v>7.1460285687999997E-3</v>
      </c>
      <c r="AW356" s="168">
        <v>3.5141411349999999E-2</v>
      </c>
      <c r="AX356" s="168">
        <f>IF(AW356="","",AW356-AW$6)</f>
        <v>1.1146343561999998E-2</v>
      </c>
      <c r="AY356" s="168">
        <v>3.6211439865E-2</v>
      </c>
      <c r="AZ356" s="168">
        <f>IF(AY356="","",AY356-AY$6)</f>
        <v>2.1969185075000001E-2</v>
      </c>
      <c r="BA356" s="168">
        <v>8.8363898587E-2</v>
      </c>
      <c r="BB356" s="168">
        <f>IF(BA356="","",BA356-BA$6)</f>
        <v>3.4876934029000002E-2</v>
      </c>
      <c r="BC356" s="168"/>
      <c r="BD356" s="168" t="str">
        <f>IF(BC356="","",BC356-BC$6)</f>
        <v/>
      </c>
      <c r="BE356" s="168"/>
      <c r="BF356" s="168" t="str">
        <f>IF(BE356="","",BE356-BE$6)</f>
        <v/>
      </c>
      <c r="BG356" s="168"/>
      <c r="BH356" s="168" t="str">
        <f>IF(BG356="","",BG356-BG$6)</f>
        <v/>
      </c>
      <c r="BI356" s="168"/>
      <c r="BJ356" s="168" t="str">
        <f>IF(BI356="","",BI356-BI$6)</f>
        <v/>
      </c>
      <c r="BK356" s="169">
        <v>4.9496558581999999</v>
      </c>
      <c r="BL356" s="115"/>
      <c r="BM356" s="170">
        <v>1.2498458127E-2</v>
      </c>
      <c r="BN356" s="163">
        <v>-9.6259573837999997E-3</v>
      </c>
      <c r="BO356" s="163">
        <v>2.6249484483000001E-2</v>
      </c>
      <c r="BP356" s="163">
        <v>-8.3708236934000001E-3</v>
      </c>
      <c r="BQ356" s="171">
        <v>10</v>
      </c>
      <c r="BR356" s="171">
        <v>2</v>
      </c>
      <c r="BS356" s="171">
        <v>6</v>
      </c>
      <c r="BT356" s="171">
        <v>6</v>
      </c>
      <c r="BU356" s="172">
        <v>-0.40066684838</v>
      </c>
      <c r="BV356" s="172"/>
      <c r="BW356" s="163">
        <v>5.1226436538999998E-3</v>
      </c>
      <c r="BX356" s="163">
        <v>4.8373615216000003E-3</v>
      </c>
      <c r="BY356" s="161">
        <v>-2.7796718919000001</v>
      </c>
      <c r="BZ356" s="163">
        <v>-1.6707867381E-2</v>
      </c>
      <c r="CA356" s="163">
        <v>-1.727789641E-2</v>
      </c>
      <c r="CB356" s="154">
        <v>45518</v>
      </c>
      <c r="CC356" s="154">
        <v>45534</v>
      </c>
      <c r="CD356" s="173"/>
      <c r="CE356" s="174"/>
      <c r="CF356" s="116"/>
    </row>
    <row r="357" spans="2:84" ht="15.6" x14ac:dyDescent="0.3">
      <c r="B357" s="98" t="s">
        <v>1482</v>
      </c>
      <c r="C357" s="175" t="s">
        <v>2128</v>
      </c>
      <c r="D357" s="176" t="s">
        <v>1922</v>
      </c>
      <c r="E357" s="176" t="s">
        <v>607</v>
      </c>
      <c r="F357" s="177">
        <v>21314559000166</v>
      </c>
      <c r="G357" s="177" t="s">
        <v>1841</v>
      </c>
      <c r="H357" s="177" t="s">
        <v>388</v>
      </c>
      <c r="I357" s="178">
        <v>8</v>
      </c>
      <c r="J357" s="179">
        <v>2</v>
      </c>
      <c r="K357" s="179" t="s">
        <v>126</v>
      </c>
      <c r="L357" s="179" t="s">
        <v>125</v>
      </c>
      <c r="M357" s="179" t="s">
        <v>106</v>
      </c>
      <c r="N357" s="179" t="s">
        <v>117</v>
      </c>
      <c r="O357" s="180">
        <v>591831</v>
      </c>
      <c r="P357" s="181">
        <v>591831000</v>
      </c>
      <c r="Q357" s="181">
        <v>1000</v>
      </c>
      <c r="R357" s="182">
        <v>44727</v>
      </c>
      <c r="S357" s="182">
        <v>48380</v>
      </c>
      <c r="T357" s="183" t="s">
        <v>1984</v>
      </c>
      <c r="U357" s="183" t="s">
        <v>1710</v>
      </c>
      <c r="V357" s="182" t="s">
        <v>105</v>
      </c>
      <c r="W357" s="182" t="s">
        <v>102</v>
      </c>
      <c r="X357" s="182" t="s">
        <v>1609</v>
      </c>
      <c r="Y357" s="182">
        <v>47710</v>
      </c>
      <c r="Z357" s="184">
        <f>IFERROR(INDEX(Base!G:G,MATCH('Debêntures IPCA-Spread'!Y357,Base!F:F,0)),"")</f>
        <v>6.3273999999999999</v>
      </c>
      <c r="AA357" s="115"/>
      <c r="AB357" s="185">
        <v>45427</v>
      </c>
      <c r="AC357" s="186"/>
      <c r="AD357" s="187" t="str">
        <f t="shared" si="15"/>
        <v/>
      </c>
      <c r="AE357" s="188"/>
      <c r="AF357" s="189"/>
      <c r="AG357" s="189"/>
      <c r="AH357" s="190"/>
      <c r="AI357" s="190">
        <v>1030.8005900000001</v>
      </c>
      <c r="AJ357" s="191">
        <f t="shared" si="16"/>
        <v>0</v>
      </c>
      <c r="AK357" s="192">
        <v>45401</v>
      </c>
      <c r="AL357" s="193"/>
      <c r="AM357" s="194"/>
      <c r="AN357" s="115"/>
      <c r="AO357" s="195"/>
      <c r="AP357" s="196" t="str">
        <f>IF(AO357="","",AO357-AO$6)</f>
        <v/>
      </c>
      <c r="AQ357" s="196"/>
      <c r="AR357" s="196" t="str">
        <f>IF(AQ357="","",AQ357-AQ$6)</f>
        <v/>
      </c>
      <c r="AS357" s="196"/>
      <c r="AT357" s="196" t="str">
        <f>IF(AS357="","",AS357-AS$6)</f>
        <v/>
      </c>
      <c r="AU357" s="196"/>
      <c r="AV357" s="196" t="str">
        <f>IF(AU357="","",AU357-AU$6)</f>
        <v/>
      </c>
      <c r="AW357" s="196"/>
      <c r="AX357" s="196" t="str">
        <f>IF(AW357="","",AW357-AW$6)</f>
        <v/>
      </c>
      <c r="AY357" s="196"/>
      <c r="AZ357" s="196" t="str">
        <f>IF(AY357="","",AY357-AY$6)</f>
        <v/>
      </c>
      <c r="BA357" s="196"/>
      <c r="BB357" s="196" t="str">
        <f>IF(BA357="","",BA357-BA$6)</f>
        <v/>
      </c>
      <c r="BC357" s="196"/>
      <c r="BD357" s="196" t="str">
        <f>IF(BC357="","",BC357-BC$6)</f>
        <v/>
      </c>
      <c r="BE357" s="196"/>
      <c r="BF357" s="196" t="str">
        <f>IF(BE357="","",BE357-BE$6)</f>
        <v/>
      </c>
      <c r="BG357" s="196"/>
      <c r="BH357" s="196" t="str">
        <f>IF(BG357="","",BG357-BG$6)</f>
        <v/>
      </c>
      <c r="BI357" s="196"/>
      <c r="BJ357" s="196" t="str">
        <f>IF(BI357="","",BI357-BI$6)</f>
        <v/>
      </c>
      <c r="BK357" s="197"/>
      <c r="BL357" s="115"/>
      <c r="BM357" s="198">
        <v>1.9664431034E-2</v>
      </c>
      <c r="BN357" s="191">
        <v>-1.3231056987000001E-2</v>
      </c>
      <c r="BO357" s="191">
        <v>3.9965244275999998E-2</v>
      </c>
      <c r="BP357" s="191">
        <v>-1.0149247809999999E-2</v>
      </c>
      <c r="BQ357" s="199"/>
      <c r="BR357" s="199"/>
      <c r="BS357" s="199"/>
      <c r="BT357" s="199"/>
      <c r="BU357" s="200"/>
      <c r="BV357" s="200"/>
      <c r="BW357" s="191"/>
      <c r="BX357" s="191"/>
      <c r="BY357" s="189"/>
      <c r="BZ357" s="191">
        <v>-3.5692770590999998E-2</v>
      </c>
      <c r="CA357" s="191">
        <v>-3.5692770590999998E-2</v>
      </c>
      <c r="CB357" s="182">
        <v>45295</v>
      </c>
      <c r="CC357" s="182">
        <v>45309</v>
      </c>
      <c r="CD357" s="201">
        <v>72</v>
      </c>
      <c r="CE357" s="202">
        <v>45400</v>
      </c>
      <c r="CF357" s="116"/>
    </row>
    <row r="358" spans="2:84" ht="15.6" x14ac:dyDescent="0.3">
      <c r="B358" s="110" t="s">
        <v>2296</v>
      </c>
      <c r="C358" s="147" t="s">
        <v>2681</v>
      </c>
      <c r="D358" s="148" t="s">
        <v>2858</v>
      </c>
      <c r="E358" s="148" t="s">
        <v>607</v>
      </c>
      <c r="F358" s="149">
        <v>7976147000160</v>
      </c>
      <c r="G358" s="149" t="s">
        <v>2432</v>
      </c>
      <c r="H358" s="149" t="s">
        <v>388</v>
      </c>
      <c r="I358" s="150">
        <v>6</v>
      </c>
      <c r="J358" s="151">
        <v>1</v>
      </c>
      <c r="K358" s="151" t="s">
        <v>128</v>
      </c>
      <c r="L358" s="151" t="s">
        <v>125</v>
      </c>
      <c r="M358" s="151" t="s">
        <v>128</v>
      </c>
      <c r="N358" s="151" t="s">
        <v>117</v>
      </c>
      <c r="O358" s="152">
        <v>400000</v>
      </c>
      <c r="P358" s="153">
        <v>400000000</v>
      </c>
      <c r="Q358" s="153">
        <v>1000</v>
      </c>
      <c r="R358" s="154">
        <v>44301</v>
      </c>
      <c r="S358" s="154">
        <v>46919</v>
      </c>
      <c r="T358" s="155" t="s">
        <v>2765</v>
      </c>
      <c r="U358" s="155" t="s">
        <v>2765</v>
      </c>
      <c r="V358" s="154" t="s">
        <v>1888</v>
      </c>
      <c r="W358" s="154" t="s">
        <v>102</v>
      </c>
      <c r="X358" s="154" t="s">
        <v>2551</v>
      </c>
      <c r="Y358" s="154">
        <v>46980</v>
      </c>
      <c r="Z358" s="156">
        <f>IFERROR(INDEX(Base!G:G,MATCH('Debêntures IPCA-Spread'!Y358,Base!F:F,0)),"")</f>
        <v>6.4702000000000002</v>
      </c>
      <c r="AA358" s="115"/>
      <c r="AB358" s="157">
        <v>45552</v>
      </c>
      <c r="AC358" s="158">
        <v>9.2887000000000004</v>
      </c>
      <c r="AD358" s="159">
        <f t="shared" si="15"/>
        <v>2.8185000000000002</v>
      </c>
      <c r="AE358" s="160">
        <v>0.11</v>
      </c>
      <c r="AF358" s="161"/>
      <c r="AG358" s="161">
        <v>9.1713000000000005</v>
      </c>
      <c r="AH358" s="162">
        <v>1445.811944</v>
      </c>
      <c r="AI358" s="162"/>
      <c r="AJ358" s="163" t="str">
        <f t="shared" si="16"/>
        <v/>
      </c>
      <c r="AK358" s="164"/>
      <c r="AL358" s="165">
        <v>92.97</v>
      </c>
      <c r="AM358" s="166">
        <v>938</v>
      </c>
      <c r="AN358" s="115"/>
      <c r="AO358" s="167">
        <v>5.8787893249000005E-4</v>
      </c>
      <c r="AP358" s="168">
        <f>IF(AO358="","",AO358-AO$6)</f>
        <v>1.0773404756000006E-4</v>
      </c>
      <c r="AQ358" s="168">
        <v>6.1790393282999999E-3</v>
      </c>
      <c r="AR358" s="168">
        <f>IF(AQ358="","",AQ358-AQ$6)</f>
        <v>6.3965460812599999E-3</v>
      </c>
      <c r="AS358" s="168"/>
      <c r="AT358" s="168" t="str">
        <f>IF(AS358="","",AS358-AS$6)</f>
        <v/>
      </c>
      <c r="AU358" s="168">
        <v>6.1833968574999997E-3</v>
      </c>
      <c r="AV358" s="168">
        <f>IF(AU358="","",AU358-AU$6)</f>
        <v>1.92519794535E-2</v>
      </c>
      <c r="AW358" s="168">
        <v>3.99905781E-2</v>
      </c>
      <c r="AX358" s="168">
        <f>IF(AW358="","",AW358-AW$6)</f>
        <v>1.5995510312E-2</v>
      </c>
      <c r="AY358" s="168">
        <v>3.9103608010999998E-2</v>
      </c>
      <c r="AZ358" s="168">
        <f>IF(AY358="","",AY358-AY$6)</f>
        <v>2.4861353220999999E-2</v>
      </c>
      <c r="BA358" s="168"/>
      <c r="BB358" s="168" t="str">
        <f>IF(BA358="","",BA358-BA$6)</f>
        <v/>
      </c>
      <c r="BC358" s="168"/>
      <c r="BD358" s="168" t="str">
        <f>IF(BC358="","",BC358-BC$6)</f>
        <v/>
      </c>
      <c r="BE358" s="168"/>
      <c r="BF358" s="168" t="str">
        <f>IF(BE358="","",BE358-BE$6)</f>
        <v/>
      </c>
      <c r="BG358" s="168"/>
      <c r="BH358" s="168" t="str">
        <f>IF(BG358="","",BG358-BG$6)</f>
        <v/>
      </c>
      <c r="BI358" s="168"/>
      <c r="BJ358" s="168" t="str">
        <f>IF(BI358="","",BI358-BI$6)</f>
        <v/>
      </c>
      <c r="BK358" s="169"/>
      <c r="BL358" s="115"/>
      <c r="BM358" s="170">
        <v>8.4683412132999999E-3</v>
      </c>
      <c r="BN358" s="163">
        <v>-6.9103771239000002E-3</v>
      </c>
      <c r="BO358" s="163">
        <v>1.7292073634999999E-2</v>
      </c>
      <c r="BP358" s="163">
        <v>-1.4049080889000001E-2</v>
      </c>
      <c r="BQ358" s="171"/>
      <c r="BR358" s="171"/>
      <c r="BS358" s="171"/>
      <c r="BT358" s="171"/>
      <c r="BU358" s="172"/>
      <c r="BV358" s="172"/>
      <c r="BW358" s="163"/>
      <c r="BX358" s="163">
        <v>5.5347433624999996E-3</v>
      </c>
      <c r="BY358" s="161"/>
      <c r="BZ358" s="163">
        <v>-1.7766624581E-2</v>
      </c>
      <c r="CA358" s="163">
        <v>-1.7766624581E-2</v>
      </c>
      <c r="CB358" s="154">
        <v>45378</v>
      </c>
      <c r="CC358" s="154">
        <v>45398</v>
      </c>
      <c r="CD358" s="173">
        <v>72</v>
      </c>
      <c r="CE358" s="174">
        <v>45483</v>
      </c>
      <c r="CF358" s="116"/>
    </row>
    <row r="359" spans="2:84" ht="15.6" x14ac:dyDescent="0.3">
      <c r="B359" s="98" t="s">
        <v>54</v>
      </c>
      <c r="C359" s="175" t="s">
        <v>317</v>
      </c>
      <c r="D359" s="176" t="s">
        <v>92</v>
      </c>
      <c r="E359" s="176" t="s">
        <v>232</v>
      </c>
      <c r="F359" s="177">
        <v>1417222000177</v>
      </c>
      <c r="G359" s="177" t="s">
        <v>373</v>
      </c>
      <c r="H359" s="177" t="s">
        <v>388</v>
      </c>
      <c r="I359" s="178">
        <v>7</v>
      </c>
      <c r="J359" s="179">
        <v>2</v>
      </c>
      <c r="K359" s="179" t="s">
        <v>126</v>
      </c>
      <c r="L359" s="179" t="s">
        <v>122</v>
      </c>
      <c r="M359" s="179" t="s">
        <v>114</v>
      </c>
      <c r="N359" s="179" t="s">
        <v>109</v>
      </c>
      <c r="O359" s="180">
        <v>214386</v>
      </c>
      <c r="P359" s="181">
        <v>214386000</v>
      </c>
      <c r="Q359" s="181">
        <v>1000</v>
      </c>
      <c r="R359" s="182">
        <v>42050</v>
      </c>
      <c r="S359" s="182">
        <v>45703</v>
      </c>
      <c r="T359" s="183" t="s">
        <v>153</v>
      </c>
      <c r="U359" s="183" t="s">
        <v>184</v>
      </c>
      <c r="V359" s="182" t="s">
        <v>105</v>
      </c>
      <c r="W359" s="182" t="s">
        <v>102</v>
      </c>
      <c r="X359" s="182" t="s">
        <v>209</v>
      </c>
      <c r="Y359" s="182">
        <v>45792</v>
      </c>
      <c r="Z359" s="184">
        <f>IFERROR(INDEX(Base!G:G,MATCH('Debêntures IPCA-Spread'!Y359,Base!F:F,0)),"")</f>
        <v>5.73</v>
      </c>
      <c r="AA359" s="115"/>
      <c r="AB359" s="185">
        <v>45552</v>
      </c>
      <c r="AC359" s="186">
        <v>6.0103999999999997</v>
      </c>
      <c r="AD359" s="187">
        <f t="shared" si="15"/>
        <v>0.28039999999999932</v>
      </c>
      <c r="AE359" s="188">
        <v>0.2</v>
      </c>
      <c r="AF359" s="189">
        <v>6.1181999999999999</v>
      </c>
      <c r="AG359" s="189">
        <v>5.7028999999999996</v>
      </c>
      <c r="AH359" s="190">
        <v>587.43646799999999</v>
      </c>
      <c r="AI359" s="190">
        <v>587.43646799999999</v>
      </c>
      <c r="AJ359" s="191">
        <f t="shared" si="16"/>
        <v>1</v>
      </c>
      <c r="AK359" s="192">
        <v>45552</v>
      </c>
      <c r="AL359" s="193">
        <v>100.16</v>
      </c>
      <c r="AM359" s="194">
        <v>105</v>
      </c>
      <c r="AN359" s="115"/>
      <c r="AO359" s="195">
        <v>5.0598717826000003E-4</v>
      </c>
      <c r="AP359" s="196">
        <f>IF(AO359="","",AO359-AO$6)</f>
        <v>2.5842293330000034E-5</v>
      </c>
      <c r="AQ359" s="196">
        <v>3.8847071883E-3</v>
      </c>
      <c r="AR359" s="196">
        <f>IF(AQ359="","",AQ359-AQ$6)</f>
        <v>4.10221394126E-3</v>
      </c>
      <c r="AS359" s="196">
        <v>8.7142075961000001E-2</v>
      </c>
      <c r="AT359" s="196">
        <f>IF(AS359="","",AS359-AS$6)</f>
        <v>7.2416240906000004E-2</v>
      </c>
      <c r="AU359" s="196">
        <v>7.8529120200999999E-3</v>
      </c>
      <c r="AV359" s="196">
        <f>IF(AU359="","",AU359-AU$6)</f>
        <v>2.09214946161E-2</v>
      </c>
      <c r="AW359" s="196">
        <v>2.5274335445000001E-2</v>
      </c>
      <c r="AX359" s="196">
        <f>IF(AW359="","",AW359-AW$6)</f>
        <v>1.2792676570000001E-3</v>
      </c>
      <c r="AY359" s="196">
        <v>4.9708204864000002E-2</v>
      </c>
      <c r="AZ359" s="196">
        <f>IF(AY359="","",AY359-AY$6)</f>
        <v>3.5465950074000004E-2</v>
      </c>
      <c r="BA359" s="196">
        <v>0.11748747641</v>
      </c>
      <c r="BB359" s="196">
        <f>IF(BA359="","",BA359-BA$6)</f>
        <v>6.4000511852000008E-2</v>
      </c>
      <c r="BC359" s="196">
        <v>0.25624527025999999</v>
      </c>
      <c r="BD359" s="196">
        <f>IF(BC359="","",BC359-BC$6)</f>
        <v>6.193670376999999E-2</v>
      </c>
      <c r="BE359" s="196">
        <v>0.38539575707000001</v>
      </c>
      <c r="BF359" s="196">
        <f>IF(BE359="","",BE359-BE$6)</f>
        <v>0.12367641753000003</v>
      </c>
      <c r="BG359" s="196">
        <v>0.49917729456999999</v>
      </c>
      <c r="BH359" s="196">
        <f>IF(BG359="","",BG359-BG$6)</f>
        <v>0.19026064575999996</v>
      </c>
      <c r="BI359" s="196">
        <v>0.61137501095000002</v>
      </c>
      <c r="BJ359" s="196">
        <f>IF(BI359="","",BI359-BI$6)</f>
        <v>0.23843200086999999</v>
      </c>
      <c r="BK359" s="197">
        <v>0.95427964264999998</v>
      </c>
      <c r="BL359" s="115"/>
      <c r="BM359" s="198">
        <v>6.4847295615999999E-3</v>
      </c>
      <c r="BN359" s="191">
        <v>-1.1037363638E-3</v>
      </c>
      <c r="BO359" s="191">
        <v>1.6803248544000001E-2</v>
      </c>
      <c r="BP359" s="191">
        <v>3.8847071883E-3</v>
      </c>
      <c r="BQ359" s="199">
        <v>12</v>
      </c>
      <c r="BR359" s="199">
        <v>0</v>
      </c>
      <c r="BS359" s="199">
        <v>6</v>
      </c>
      <c r="BT359" s="199">
        <v>6</v>
      </c>
      <c r="BU359" s="200">
        <v>0.54174062409000001</v>
      </c>
      <c r="BV359" s="200">
        <v>-0.11779464533</v>
      </c>
      <c r="BW359" s="191">
        <v>9.8745067087999995E-4</v>
      </c>
      <c r="BX359" s="191">
        <v>3.8154213457999999E-4</v>
      </c>
      <c r="BY359" s="189">
        <v>0.45521642551000002</v>
      </c>
      <c r="BZ359" s="191">
        <v>-2.0401073255999999E-3</v>
      </c>
      <c r="CA359" s="191">
        <v>-2.0401073255999999E-3</v>
      </c>
      <c r="CB359" s="182">
        <v>45198</v>
      </c>
      <c r="CC359" s="182">
        <v>45204</v>
      </c>
      <c r="CD359" s="201">
        <v>6</v>
      </c>
      <c r="CE359" s="202">
        <v>45208</v>
      </c>
      <c r="CF359" s="116"/>
    </row>
    <row r="360" spans="2:84" ht="15.6" x14ac:dyDescent="0.3">
      <c r="B360" s="110" t="s">
        <v>2297</v>
      </c>
      <c r="C360" s="147" t="s">
        <v>2682</v>
      </c>
      <c r="D360" s="148" t="s">
        <v>92</v>
      </c>
      <c r="E360" s="148" t="s">
        <v>232</v>
      </c>
      <c r="F360" s="149">
        <v>1417222000177</v>
      </c>
      <c r="G360" s="149" t="s">
        <v>2433</v>
      </c>
      <c r="H360" s="149" t="s">
        <v>388</v>
      </c>
      <c r="I360" s="150">
        <v>11</v>
      </c>
      <c r="J360" s="151">
        <v>1</v>
      </c>
      <c r="K360" s="151" t="s">
        <v>126</v>
      </c>
      <c r="L360" s="151" t="s">
        <v>122</v>
      </c>
      <c r="M360" s="151" t="s">
        <v>114</v>
      </c>
      <c r="N360" s="151" t="s">
        <v>109</v>
      </c>
      <c r="O360" s="152">
        <v>400000</v>
      </c>
      <c r="P360" s="153">
        <v>400000000</v>
      </c>
      <c r="Q360" s="153">
        <v>1000</v>
      </c>
      <c r="R360" s="154">
        <v>45184</v>
      </c>
      <c r="S360" s="154">
        <v>48837</v>
      </c>
      <c r="T360" s="155" t="s">
        <v>2828</v>
      </c>
      <c r="U360" s="155" t="s">
        <v>113</v>
      </c>
      <c r="V360" s="154" t="s">
        <v>105</v>
      </c>
      <c r="W360" s="154" t="s">
        <v>102</v>
      </c>
      <c r="X360" s="154" t="s">
        <v>2552</v>
      </c>
      <c r="Y360" s="154">
        <v>48714</v>
      </c>
      <c r="Z360" s="156">
        <f>IFERROR(INDEX(Base!G:G,MATCH('Debêntures IPCA-Spread'!Y360,Base!F:F,0)),"")</f>
        <v>6.3373999999999997</v>
      </c>
      <c r="AA360" s="115"/>
      <c r="AB360" s="157">
        <v>45552</v>
      </c>
      <c r="AC360" s="158">
        <v>6.4493</v>
      </c>
      <c r="AD360" s="159">
        <f t="shared" si="15"/>
        <v>0.11190000000000033</v>
      </c>
      <c r="AE360" s="160">
        <v>0.14000000000000001</v>
      </c>
      <c r="AF360" s="161">
        <v>6.6102999999999996</v>
      </c>
      <c r="AG360" s="161">
        <v>6.2625000000000002</v>
      </c>
      <c r="AH360" s="162">
        <v>1026.054423</v>
      </c>
      <c r="AI360" s="162"/>
      <c r="AJ360" s="163" t="str">
        <f t="shared" si="16"/>
        <v/>
      </c>
      <c r="AK360" s="164"/>
      <c r="AL360" s="165">
        <v>98.64</v>
      </c>
      <c r="AM360" s="166">
        <v>1763</v>
      </c>
      <c r="AN360" s="115"/>
      <c r="AO360" s="167">
        <v>2.6143796240000001E-3</v>
      </c>
      <c r="AP360" s="168">
        <f>IF(AO360="","",AO360-AO$6)</f>
        <v>2.1342347390700001E-3</v>
      </c>
      <c r="AQ360" s="168">
        <v>-1.7215669377E-3</v>
      </c>
      <c r="AR360" s="168">
        <f>IF(AQ360="","",AQ360-AQ$6)</f>
        <v>-1.50406018474E-3</v>
      </c>
      <c r="AS360" s="168">
        <v>4.0752696046E-2</v>
      </c>
      <c r="AT360" s="168">
        <f>IF(AS360="","",AS360-AS$6)</f>
        <v>2.6026860991E-2</v>
      </c>
      <c r="AU360" s="168">
        <v>-3.7784985787999999E-2</v>
      </c>
      <c r="AV360" s="168">
        <f>IF(AU360="","",AU360-AU$6)</f>
        <v>-2.4716403191999997E-2</v>
      </c>
      <c r="AW360" s="168">
        <v>3.5893861605000001E-2</v>
      </c>
      <c r="AX360" s="168">
        <f>IF(AW360="","",AW360-AW$6)</f>
        <v>1.1898793817E-2</v>
      </c>
      <c r="AY360" s="168">
        <v>1.0211221231E-2</v>
      </c>
      <c r="AZ360" s="168">
        <f>IF(AY360="","",AY360-AY$6)</f>
        <v>-4.0310335590000006E-3</v>
      </c>
      <c r="BA360" s="168"/>
      <c r="BB360" s="168" t="str">
        <f>IF(BA360="","",BA360-BA$6)</f>
        <v/>
      </c>
      <c r="BC360" s="168"/>
      <c r="BD360" s="168" t="str">
        <f>IF(BC360="","",BC360-BC$6)</f>
        <v/>
      </c>
      <c r="BE360" s="168"/>
      <c r="BF360" s="168" t="str">
        <f>IF(BE360="","",BE360-BE$6)</f>
        <v/>
      </c>
      <c r="BG360" s="168"/>
      <c r="BH360" s="168" t="str">
        <f>IF(BG360="","",BG360-BG$6)</f>
        <v/>
      </c>
      <c r="BI360" s="168"/>
      <c r="BJ360" s="168" t="str">
        <f>IF(BI360="","",BI360-BI$6)</f>
        <v/>
      </c>
      <c r="BK360" s="169"/>
      <c r="BL360" s="115"/>
      <c r="BM360" s="170">
        <v>1.9969820310999999E-2</v>
      </c>
      <c r="BN360" s="163">
        <v>-2.0943207379999999E-2</v>
      </c>
      <c r="BO360" s="163">
        <v>3.3039598149000003E-2</v>
      </c>
      <c r="BP360" s="163">
        <v>-2.9211995373E-2</v>
      </c>
      <c r="BQ360" s="171"/>
      <c r="BR360" s="171"/>
      <c r="BS360" s="171"/>
      <c r="BT360" s="171"/>
      <c r="BU360" s="172"/>
      <c r="BV360" s="172"/>
      <c r="BW360" s="163"/>
      <c r="BX360" s="163">
        <v>9.1585992142999995E-3</v>
      </c>
      <c r="BY360" s="161"/>
      <c r="BZ360" s="163">
        <v>-3.7485142276999998E-2</v>
      </c>
      <c r="CA360" s="163">
        <v>-4.1038506150000001E-2</v>
      </c>
      <c r="CB360" s="154">
        <v>45520</v>
      </c>
      <c r="CC360" s="154">
        <v>45547</v>
      </c>
      <c r="CD360" s="173"/>
      <c r="CE360" s="174"/>
      <c r="CF360" s="116"/>
    </row>
    <row r="361" spans="2:84" ht="15.6" x14ac:dyDescent="0.3">
      <c r="B361" s="98" t="s">
        <v>2298</v>
      </c>
      <c r="C361" s="175" t="s">
        <v>2683</v>
      </c>
      <c r="D361" s="176" t="s">
        <v>92</v>
      </c>
      <c r="E361" s="176" t="s">
        <v>232</v>
      </c>
      <c r="F361" s="177">
        <v>1417222000177</v>
      </c>
      <c r="G361" s="177" t="s">
        <v>2434</v>
      </c>
      <c r="H361" s="177" t="s">
        <v>388</v>
      </c>
      <c r="I361" s="178">
        <v>11</v>
      </c>
      <c r="J361" s="179">
        <v>2</v>
      </c>
      <c r="K361" s="179" t="s">
        <v>126</v>
      </c>
      <c r="L361" s="179" t="s">
        <v>122</v>
      </c>
      <c r="M361" s="179" t="s">
        <v>114</v>
      </c>
      <c r="N361" s="179" t="s">
        <v>109</v>
      </c>
      <c r="O361" s="180">
        <v>800000</v>
      </c>
      <c r="P361" s="181">
        <v>800000000</v>
      </c>
      <c r="Q361" s="181">
        <v>1000</v>
      </c>
      <c r="R361" s="182">
        <v>45184</v>
      </c>
      <c r="S361" s="182">
        <v>49567</v>
      </c>
      <c r="T361" s="183" t="s">
        <v>2828</v>
      </c>
      <c r="U361" s="183" t="s">
        <v>2766</v>
      </c>
      <c r="V361" s="182" t="s">
        <v>105</v>
      </c>
      <c r="W361" s="182" t="s">
        <v>102</v>
      </c>
      <c r="X361" s="182" t="s">
        <v>2553</v>
      </c>
      <c r="Y361" s="182">
        <v>49444</v>
      </c>
      <c r="Z361" s="184">
        <f>IFERROR(INDEX(Base!G:G,MATCH('Debêntures IPCA-Spread'!Y361,Base!F:F,0)),"")</f>
        <v>6.3137999999999996</v>
      </c>
      <c r="AA361" s="115"/>
      <c r="AB361" s="185">
        <v>45552</v>
      </c>
      <c r="AC361" s="186">
        <v>6.3472999999999997</v>
      </c>
      <c r="AD361" s="187">
        <f t="shared" ref="AD361:AD424" si="17">IF(AND(Z361&lt;&gt;"",AC361&lt;&gt;""),AC361-Z361,"")</f>
        <v>3.3500000000000085E-2</v>
      </c>
      <c r="AE361" s="188">
        <v>0.09</v>
      </c>
      <c r="AF361" s="189">
        <v>6.5951000000000004</v>
      </c>
      <c r="AG361" s="189">
        <v>6.2393000000000001</v>
      </c>
      <c r="AH361" s="190">
        <v>1039.9533039999999</v>
      </c>
      <c r="AI361" s="190"/>
      <c r="AJ361" s="191" t="str">
        <f t="shared" si="16"/>
        <v/>
      </c>
      <c r="AK361" s="192"/>
      <c r="AL361" s="193">
        <v>99.98</v>
      </c>
      <c r="AM361" s="194">
        <v>1900</v>
      </c>
      <c r="AN361" s="115"/>
      <c r="AO361" s="195">
        <v>8.4363160712999999E-3</v>
      </c>
      <c r="AP361" s="196">
        <f>IF(AO361="","",AO361-AO$6)</f>
        <v>7.9561711863700008E-3</v>
      </c>
      <c r="AQ361" s="196">
        <v>8.0996765446000006E-3</v>
      </c>
      <c r="AR361" s="196">
        <f>IF(AQ361="","",AQ361-AQ$6)</f>
        <v>8.3171832975599998E-3</v>
      </c>
      <c r="AS361" s="196">
        <v>5.7264508725000003E-2</v>
      </c>
      <c r="AT361" s="196">
        <f>IF(AS361="","",AS361-AS$6)</f>
        <v>4.2538673669999999E-2</v>
      </c>
      <c r="AU361" s="196">
        <v>-6.5602040739999997E-3</v>
      </c>
      <c r="AV361" s="196">
        <f>IF(AU361="","",AU361-AU$6)</f>
        <v>6.5083785220000001E-3</v>
      </c>
      <c r="AW361" s="196">
        <v>5.6399873500000003E-2</v>
      </c>
      <c r="AX361" s="196">
        <f>IF(AW361="","",AW361-AW$6)</f>
        <v>3.2404805712000002E-2</v>
      </c>
      <c r="AY361" s="196">
        <v>2.3189670110000001E-2</v>
      </c>
      <c r="AZ361" s="196">
        <f>IF(AY361="","",AY361-AY$6)</f>
        <v>8.9474153200000007E-3</v>
      </c>
      <c r="BA361" s="196"/>
      <c r="BB361" s="196" t="str">
        <f>IF(BA361="","",BA361-BA$6)</f>
        <v/>
      </c>
      <c r="BC361" s="196"/>
      <c r="BD361" s="196" t="str">
        <f>IF(BC361="","",BC361-BC$6)</f>
        <v/>
      </c>
      <c r="BE361" s="196"/>
      <c r="BF361" s="196" t="str">
        <f>IF(BE361="","",BE361-BE$6)</f>
        <v/>
      </c>
      <c r="BG361" s="196"/>
      <c r="BH361" s="196" t="str">
        <f>IF(BG361="","",BG361-BG$6)</f>
        <v/>
      </c>
      <c r="BI361" s="196"/>
      <c r="BJ361" s="196" t="str">
        <f>IF(BI361="","",BI361-BI$6)</f>
        <v/>
      </c>
      <c r="BK361" s="197"/>
      <c r="BL361" s="115"/>
      <c r="BM361" s="198">
        <v>1.616600868E-2</v>
      </c>
      <c r="BN361" s="191">
        <v>-1.2803203947E-2</v>
      </c>
      <c r="BO361" s="191">
        <v>3.1779022804000003E-2</v>
      </c>
      <c r="BP361" s="191">
        <v>-2.6243485399999999E-2</v>
      </c>
      <c r="BQ361" s="199"/>
      <c r="BR361" s="199"/>
      <c r="BS361" s="199"/>
      <c r="BT361" s="199"/>
      <c r="BU361" s="200"/>
      <c r="BV361" s="200"/>
      <c r="BW361" s="191"/>
      <c r="BX361" s="191">
        <v>6.3564681251000003E-3</v>
      </c>
      <c r="BY361" s="189"/>
      <c r="BZ361" s="191">
        <v>-4.3191506645000002E-2</v>
      </c>
      <c r="CA361" s="191">
        <v>-4.3191506645000002E-2</v>
      </c>
      <c r="CB361" s="182">
        <v>45364</v>
      </c>
      <c r="CC361" s="182">
        <v>45455</v>
      </c>
      <c r="CD361" s="201">
        <v>99</v>
      </c>
      <c r="CE361" s="202">
        <v>45506</v>
      </c>
      <c r="CF361" s="116"/>
    </row>
    <row r="362" spans="2:84" ht="15.6" x14ac:dyDescent="0.3">
      <c r="B362" s="110" t="s">
        <v>2299</v>
      </c>
      <c r="C362" s="147" t="s">
        <v>2684</v>
      </c>
      <c r="D362" s="148" t="s">
        <v>92</v>
      </c>
      <c r="E362" s="148" t="s">
        <v>232</v>
      </c>
      <c r="F362" s="149">
        <v>1417222000177</v>
      </c>
      <c r="G362" s="149" t="s">
        <v>2435</v>
      </c>
      <c r="H362" s="149" t="s">
        <v>388</v>
      </c>
      <c r="I362" s="150">
        <v>11</v>
      </c>
      <c r="J362" s="151">
        <v>3</v>
      </c>
      <c r="K362" s="151" t="s">
        <v>126</v>
      </c>
      <c r="L362" s="151" t="s">
        <v>122</v>
      </c>
      <c r="M362" s="151" t="s">
        <v>114</v>
      </c>
      <c r="N362" s="151" t="s">
        <v>109</v>
      </c>
      <c r="O362" s="152">
        <v>800000</v>
      </c>
      <c r="P362" s="153">
        <v>800000000</v>
      </c>
      <c r="Q362" s="153">
        <v>1000</v>
      </c>
      <c r="R362" s="154">
        <v>45184</v>
      </c>
      <c r="S362" s="154">
        <v>50663</v>
      </c>
      <c r="T362" s="155" t="s">
        <v>2828</v>
      </c>
      <c r="U362" s="155" t="s">
        <v>2767</v>
      </c>
      <c r="V362" s="154" t="s">
        <v>105</v>
      </c>
      <c r="W362" s="154" t="s">
        <v>102</v>
      </c>
      <c r="X362" s="154" t="s">
        <v>2554</v>
      </c>
      <c r="Y362" s="154">
        <v>49444</v>
      </c>
      <c r="Z362" s="156">
        <f>IFERROR(INDEX(Base!G:G,MATCH('Debêntures IPCA-Spread'!Y362,Base!F:F,0)),"")</f>
        <v>6.3137999999999996</v>
      </c>
      <c r="AA362" s="115"/>
      <c r="AB362" s="157">
        <v>45552</v>
      </c>
      <c r="AC362" s="158">
        <v>6.5201000000000002</v>
      </c>
      <c r="AD362" s="159">
        <f t="shared" si="17"/>
        <v>0.20630000000000059</v>
      </c>
      <c r="AE362" s="160">
        <v>0.04</v>
      </c>
      <c r="AF362" s="161">
        <v>6.6449999999999996</v>
      </c>
      <c r="AG362" s="161">
        <v>6.3932000000000002</v>
      </c>
      <c r="AH362" s="162">
        <v>1034.0415410000001</v>
      </c>
      <c r="AI362" s="162"/>
      <c r="AJ362" s="163" t="str">
        <f t="shared" si="16"/>
        <v/>
      </c>
      <c r="AK362" s="164"/>
      <c r="AL362" s="165">
        <v>99.41</v>
      </c>
      <c r="AM362" s="166">
        <v>2261</v>
      </c>
      <c r="AN362" s="115"/>
      <c r="AO362" s="167">
        <v>2.4490047472000001E-3</v>
      </c>
      <c r="AP362" s="168">
        <f>IF(AO362="","",AO362-AO$6)</f>
        <v>1.9688598622700001E-3</v>
      </c>
      <c r="AQ362" s="168">
        <v>1.1067037303000001E-4</v>
      </c>
      <c r="AR362" s="168">
        <f>IF(AQ362="","",AQ362-AQ$6)</f>
        <v>3.2817712599000003E-4</v>
      </c>
      <c r="AS362" s="168">
        <v>4.6380699485000003E-2</v>
      </c>
      <c r="AT362" s="168">
        <f>IF(AS362="","",AS362-AS$6)</f>
        <v>3.1654864429999999E-2</v>
      </c>
      <c r="AU362" s="168">
        <v>-1.7528567113999999E-2</v>
      </c>
      <c r="AV362" s="168">
        <f>IF(AU362="","",AU362-AU$6)</f>
        <v>-4.459984517999999E-3</v>
      </c>
      <c r="AW362" s="168">
        <v>4.9631071392999999E-2</v>
      </c>
      <c r="AX362" s="168">
        <f>IF(AW362="","",AW362-AW$6)</f>
        <v>2.5636003604999999E-2</v>
      </c>
      <c r="AY362" s="168">
        <v>9.9591698599000005E-3</v>
      </c>
      <c r="AZ362" s="168">
        <f>IF(AY362="","",AY362-AY$6)</f>
        <v>-4.2830849301E-3</v>
      </c>
      <c r="BA362" s="168"/>
      <c r="BB362" s="168" t="str">
        <f>IF(BA362="","",BA362-BA$6)</f>
        <v/>
      </c>
      <c r="BC362" s="168"/>
      <c r="BD362" s="168" t="str">
        <f>IF(BC362="","",BC362-BC$6)</f>
        <v/>
      </c>
      <c r="BE362" s="168"/>
      <c r="BF362" s="168" t="str">
        <f>IF(BE362="","",BE362-BE$6)</f>
        <v/>
      </c>
      <c r="BG362" s="168"/>
      <c r="BH362" s="168" t="str">
        <f>IF(BG362="","",BG362-BG$6)</f>
        <v/>
      </c>
      <c r="BI362" s="168"/>
      <c r="BJ362" s="168" t="str">
        <f>IF(BI362="","",BI362-BI$6)</f>
        <v/>
      </c>
      <c r="BK362" s="169"/>
      <c r="BL362" s="115"/>
      <c r="BM362" s="170">
        <v>1.8380885836000001E-2</v>
      </c>
      <c r="BN362" s="163">
        <v>-1.7287135596000001E-2</v>
      </c>
      <c r="BO362" s="163">
        <v>3.9074172289000002E-2</v>
      </c>
      <c r="BP362" s="163">
        <v>-3.4150573423999998E-2</v>
      </c>
      <c r="BQ362" s="171"/>
      <c r="BR362" s="171"/>
      <c r="BS362" s="171"/>
      <c r="BT362" s="171"/>
      <c r="BU362" s="172"/>
      <c r="BV362" s="172"/>
      <c r="BW362" s="163"/>
      <c r="BX362" s="163">
        <v>7.6234285678000004E-3</v>
      </c>
      <c r="BY362" s="161"/>
      <c r="BZ362" s="163">
        <v>-5.9864328155999999E-2</v>
      </c>
      <c r="CA362" s="163">
        <v>-5.9864328155999999E-2</v>
      </c>
      <c r="CB362" s="154">
        <v>45329</v>
      </c>
      <c r="CC362" s="154">
        <v>45474</v>
      </c>
      <c r="CD362" s="173">
        <v>122</v>
      </c>
      <c r="CE362" s="174">
        <v>45506</v>
      </c>
      <c r="CF362" s="116"/>
    </row>
    <row r="363" spans="2:84" ht="15.6" x14ac:dyDescent="0.3">
      <c r="B363" s="98" t="s">
        <v>1483</v>
      </c>
      <c r="C363" s="175" t="s">
        <v>2129</v>
      </c>
      <c r="D363" s="176" t="s">
        <v>1923</v>
      </c>
      <c r="E363" s="176" t="s">
        <v>1960</v>
      </c>
      <c r="F363" s="177">
        <v>4023261000188</v>
      </c>
      <c r="G363" s="177" t="s">
        <v>1842</v>
      </c>
      <c r="H363" s="177" t="s">
        <v>388</v>
      </c>
      <c r="I363" s="178">
        <v>1</v>
      </c>
      <c r="J363" s="179" t="s">
        <v>107</v>
      </c>
      <c r="K363" s="179" t="s">
        <v>2178</v>
      </c>
      <c r="L363" s="179" t="s">
        <v>122</v>
      </c>
      <c r="M363" s="179" t="s">
        <v>106</v>
      </c>
      <c r="N363" s="179" t="s">
        <v>109</v>
      </c>
      <c r="O363" s="180">
        <v>31600</v>
      </c>
      <c r="P363" s="181">
        <v>31600000</v>
      </c>
      <c r="Q363" s="181">
        <v>1000</v>
      </c>
      <c r="R363" s="182">
        <v>42278</v>
      </c>
      <c r="S363" s="182">
        <v>46006</v>
      </c>
      <c r="T363" s="183" t="s">
        <v>1998</v>
      </c>
      <c r="U363" s="183" t="s">
        <v>1711</v>
      </c>
      <c r="V363" s="182" t="s">
        <v>105</v>
      </c>
      <c r="W363" s="182" t="s">
        <v>102</v>
      </c>
      <c r="X363" s="182" t="s">
        <v>1610</v>
      </c>
      <c r="Y363" s="182">
        <v>45792</v>
      </c>
      <c r="Z363" s="184">
        <f>IFERROR(INDEX(Base!G:G,MATCH('Debêntures IPCA-Spread'!Y363,Base!F:F,0)),"")</f>
        <v>5.73</v>
      </c>
      <c r="AA363" s="115"/>
      <c r="AB363" s="185">
        <v>45546</v>
      </c>
      <c r="AC363" s="186"/>
      <c r="AD363" s="187" t="str">
        <f t="shared" si="17"/>
        <v/>
      </c>
      <c r="AE363" s="188"/>
      <c r="AF363" s="189"/>
      <c r="AG363" s="189"/>
      <c r="AH363" s="190"/>
      <c r="AI363" s="190">
        <v>501.85405600000001</v>
      </c>
      <c r="AJ363" s="191">
        <f t="shared" si="16"/>
        <v>0</v>
      </c>
      <c r="AK363" s="192">
        <v>45546</v>
      </c>
      <c r="AL363" s="193"/>
      <c r="AM363" s="194"/>
      <c r="AN363" s="115"/>
      <c r="AO363" s="195"/>
      <c r="AP363" s="196" t="str">
        <f>IF(AO363="","",AO363-AO$6)</f>
        <v/>
      </c>
      <c r="AQ363" s="196"/>
      <c r="AR363" s="196" t="str">
        <f>IF(AQ363="","",AQ363-AQ$6)</f>
        <v/>
      </c>
      <c r="AS363" s="196">
        <v>7.9527308884000003E-2</v>
      </c>
      <c r="AT363" s="196">
        <f>IF(AS363="","",AS363-AS$6)</f>
        <v>6.4801473829000006E-2</v>
      </c>
      <c r="AU363" s="196">
        <v>5.4515750852999999E-3</v>
      </c>
      <c r="AV363" s="196">
        <f>IF(AU363="","",AU363-AU$6)</f>
        <v>1.8520157681299998E-2</v>
      </c>
      <c r="AW363" s="196">
        <v>2.3949352342000001E-2</v>
      </c>
      <c r="AX363" s="196">
        <f>IF(AW363="","",AW363-AW$6)</f>
        <v>-4.5715445999999077E-5</v>
      </c>
      <c r="AY363" s="196">
        <v>4.5527759837999997E-2</v>
      </c>
      <c r="AZ363" s="196">
        <f>IF(AY363="","",AY363-AY$6)</f>
        <v>3.1285505047999998E-2</v>
      </c>
      <c r="BA363" s="196">
        <v>0.10889427584</v>
      </c>
      <c r="BB363" s="196">
        <f>IF(BA363="","",BA363-BA$6)</f>
        <v>5.5407311282E-2</v>
      </c>
      <c r="BC363" s="196"/>
      <c r="BD363" s="196" t="str">
        <f>IF(BC363="","",BC363-BC$6)</f>
        <v/>
      </c>
      <c r="BE363" s="196"/>
      <c r="BF363" s="196" t="str">
        <f>IF(BE363="","",BE363-BE$6)</f>
        <v/>
      </c>
      <c r="BG363" s="196"/>
      <c r="BH363" s="196" t="str">
        <f>IF(BG363="","",BG363-BG$6)</f>
        <v/>
      </c>
      <c r="BI363" s="196"/>
      <c r="BJ363" s="196" t="str">
        <f>IF(BI363="","",BI363-BI$6)</f>
        <v/>
      </c>
      <c r="BK363" s="197">
        <v>2.0431874603</v>
      </c>
      <c r="BL363" s="115"/>
      <c r="BM363" s="198">
        <v>5.9920066996999996E-3</v>
      </c>
      <c r="BN363" s="191">
        <v>-6.2327431633E-3</v>
      </c>
      <c r="BO363" s="191">
        <v>1.7442551410999999E-2</v>
      </c>
      <c r="BP363" s="191">
        <v>3.8671894854000002E-3</v>
      </c>
      <c r="BQ363" s="199">
        <v>12</v>
      </c>
      <c r="BR363" s="199">
        <v>0</v>
      </c>
      <c r="BS363" s="199">
        <v>5</v>
      </c>
      <c r="BT363" s="199">
        <v>7</v>
      </c>
      <c r="BU363" s="200">
        <v>-1.7442508475E-2</v>
      </c>
      <c r="BV363" s="200"/>
      <c r="BW363" s="191">
        <v>2.111528781E-3</v>
      </c>
      <c r="BX363" s="191"/>
      <c r="BY363" s="189">
        <v>-0.23685069019999999</v>
      </c>
      <c r="BZ363" s="191">
        <v>-7.1029050144999998E-3</v>
      </c>
      <c r="CA363" s="191">
        <v>-7.1029050144999998E-3</v>
      </c>
      <c r="CB363" s="182">
        <v>45303</v>
      </c>
      <c r="CC363" s="182">
        <v>45310</v>
      </c>
      <c r="CD363" s="201">
        <v>7</v>
      </c>
      <c r="CE363" s="202">
        <v>45314</v>
      </c>
      <c r="CF363" s="116"/>
    </row>
    <row r="364" spans="2:84" ht="15.6" x14ac:dyDescent="0.3">
      <c r="B364" s="110" t="s">
        <v>573</v>
      </c>
      <c r="C364" s="147" t="s">
        <v>738</v>
      </c>
      <c r="D364" s="148" t="s">
        <v>651</v>
      </c>
      <c r="E364" s="148" t="s">
        <v>226</v>
      </c>
      <c r="F364" s="149">
        <v>1083200000118</v>
      </c>
      <c r="G364" s="149" t="s">
        <v>892</v>
      </c>
      <c r="H364" s="149" t="s">
        <v>388</v>
      </c>
      <c r="I364" s="150">
        <v>6</v>
      </c>
      <c r="J364" s="151">
        <v>1</v>
      </c>
      <c r="K364" s="151" t="s">
        <v>126</v>
      </c>
      <c r="L364" s="151" t="s">
        <v>123</v>
      </c>
      <c r="M364" s="151" t="s">
        <v>106</v>
      </c>
      <c r="N364" s="151" t="s">
        <v>109</v>
      </c>
      <c r="O364" s="152">
        <v>802746</v>
      </c>
      <c r="P364" s="153">
        <v>802746000</v>
      </c>
      <c r="Q364" s="153">
        <v>1000</v>
      </c>
      <c r="R364" s="154">
        <v>43631</v>
      </c>
      <c r="S364" s="154">
        <v>47284</v>
      </c>
      <c r="T364" s="155" t="s">
        <v>804</v>
      </c>
      <c r="U364" s="155" t="s">
        <v>952</v>
      </c>
      <c r="V364" s="154" t="s">
        <v>105</v>
      </c>
      <c r="W364" s="154" t="s">
        <v>102</v>
      </c>
      <c r="X364" s="154" t="s">
        <v>1361</v>
      </c>
      <c r="Y364" s="154">
        <v>46980</v>
      </c>
      <c r="Z364" s="156">
        <f>IFERROR(INDEX(Base!G:G,MATCH('Debêntures IPCA-Spread'!Y364,Base!F:F,0)),"")</f>
        <v>6.4702000000000002</v>
      </c>
      <c r="AA364" s="115"/>
      <c r="AB364" s="157">
        <v>45552</v>
      </c>
      <c r="AC364" s="158">
        <v>6.4794999999999998</v>
      </c>
      <c r="AD364" s="159">
        <f t="shared" si="17"/>
        <v>9.2999999999996419E-3</v>
      </c>
      <c r="AE364" s="160">
        <v>0.18</v>
      </c>
      <c r="AF364" s="161">
        <v>6.6074000000000002</v>
      </c>
      <c r="AG364" s="161">
        <v>6.2708000000000004</v>
      </c>
      <c r="AH364" s="162">
        <v>1247.2350120000001</v>
      </c>
      <c r="AI364" s="162">
        <v>1254.4039190000001</v>
      </c>
      <c r="AJ364" s="163">
        <f t="shared" si="16"/>
        <v>0.99428500908565798</v>
      </c>
      <c r="AK364" s="164">
        <v>45541</v>
      </c>
      <c r="AL364" s="165">
        <v>92.37</v>
      </c>
      <c r="AM364" s="166">
        <v>870</v>
      </c>
      <c r="AN364" s="115"/>
      <c r="AO364" s="167">
        <v>-1.5921580452E-3</v>
      </c>
      <c r="AP364" s="168">
        <f>IF(AO364="","",AO364-AO$6)</f>
        <v>-2.0723029301299998E-3</v>
      </c>
      <c r="AQ364" s="168">
        <v>2.1762894284999999E-3</v>
      </c>
      <c r="AR364" s="168">
        <f>IF(AQ364="","",AQ364-AQ$6)</f>
        <v>2.3937961814599999E-3</v>
      </c>
      <c r="AS364" s="168">
        <v>6.6516338930999994E-2</v>
      </c>
      <c r="AT364" s="168">
        <f>IF(AS364="","",AS364-AS$6)</f>
        <v>5.1790503875999996E-2</v>
      </c>
      <c r="AU364" s="168">
        <v>-1.4469997949999999E-4</v>
      </c>
      <c r="AV364" s="168">
        <f>IF(AU364="","",AU364-AU$6)</f>
        <v>1.29238826165E-2</v>
      </c>
      <c r="AW364" s="168">
        <v>3.1479028389999997E-2</v>
      </c>
      <c r="AX364" s="168">
        <f>IF(AW364="","",AW364-AW$6)</f>
        <v>7.4839606019999963E-3</v>
      </c>
      <c r="AY364" s="168">
        <v>2.3248818500999999E-2</v>
      </c>
      <c r="AZ364" s="168">
        <f>IF(AY364="","",AY364-AY$6)</f>
        <v>9.0065637109999989E-3</v>
      </c>
      <c r="BA364" s="168">
        <v>9.6955725147999994E-2</v>
      </c>
      <c r="BB364" s="168">
        <f>IF(BA364="","",BA364-BA$6)</f>
        <v>4.3468760589999995E-2</v>
      </c>
      <c r="BC364" s="168">
        <v>0.22778973992000001</v>
      </c>
      <c r="BD364" s="168">
        <f>IF(BC364="","",BC364-BC$6)</f>
        <v>3.3481173430000011E-2</v>
      </c>
      <c r="BE364" s="168">
        <v>0.31751264317</v>
      </c>
      <c r="BF364" s="168">
        <f>IF(BE364="","",BE364-BE$6)</f>
        <v>5.5793303630000013E-2</v>
      </c>
      <c r="BG364" s="168">
        <v>0.41900866309000001</v>
      </c>
      <c r="BH364" s="168">
        <f>IF(BG364="","",BG364-BG$6)</f>
        <v>0.11009201427999998</v>
      </c>
      <c r="BI364" s="168">
        <v>0.49720573284000003</v>
      </c>
      <c r="BJ364" s="168">
        <f>IF(BI364="","",BI364-BI$6)</f>
        <v>0.12426272276</v>
      </c>
      <c r="BK364" s="169">
        <v>3.8664954284999999</v>
      </c>
      <c r="BL364" s="115"/>
      <c r="BM364" s="170">
        <v>8.6536851249999994E-3</v>
      </c>
      <c r="BN364" s="163">
        <v>-8.0833709861999996E-3</v>
      </c>
      <c r="BO364" s="163">
        <v>2.3010106509999999E-2</v>
      </c>
      <c r="BP364" s="163">
        <v>-1.2474315059999999E-2</v>
      </c>
      <c r="BQ364" s="171">
        <v>9</v>
      </c>
      <c r="BR364" s="171">
        <v>3</v>
      </c>
      <c r="BS364" s="171">
        <v>7</v>
      </c>
      <c r="BT364" s="171">
        <v>5</v>
      </c>
      <c r="BU364" s="172">
        <v>-0.32581580370000002</v>
      </c>
      <c r="BV364" s="172">
        <v>-0.36195853325999999</v>
      </c>
      <c r="BW364" s="163">
        <v>3.9946113733999996E-3</v>
      </c>
      <c r="BX364" s="163">
        <v>3.2413363885999999E-3</v>
      </c>
      <c r="BY364" s="161">
        <v>-1.9496402610000001</v>
      </c>
      <c r="BZ364" s="163">
        <v>-2.2010889124E-2</v>
      </c>
      <c r="CA364" s="163">
        <v>-2.2010889124E-2</v>
      </c>
      <c r="CB364" s="154">
        <v>45391</v>
      </c>
      <c r="CC364" s="154">
        <v>45399</v>
      </c>
      <c r="CD364" s="173">
        <v>63</v>
      </c>
      <c r="CE364" s="174">
        <v>45482</v>
      </c>
      <c r="CF364" s="116"/>
    </row>
    <row r="365" spans="2:84" ht="15.6" x14ac:dyDescent="0.3">
      <c r="B365" s="98" t="s">
        <v>574</v>
      </c>
      <c r="C365" s="175" t="s">
        <v>739</v>
      </c>
      <c r="D365" s="176" t="s">
        <v>651</v>
      </c>
      <c r="E365" s="176" t="s">
        <v>226</v>
      </c>
      <c r="F365" s="177">
        <v>1083200000118</v>
      </c>
      <c r="G365" s="177" t="s">
        <v>893</v>
      </c>
      <c r="H365" s="177" t="s">
        <v>388</v>
      </c>
      <c r="I365" s="178">
        <v>6</v>
      </c>
      <c r="J365" s="179">
        <v>2</v>
      </c>
      <c r="K365" s="179" t="s">
        <v>126</v>
      </c>
      <c r="L365" s="179" t="s">
        <v>123</v>
      </c>
      <c r="M365" s="179" t="s">
        <v>106</v>
      </c>
      <c r="N365" s="179" t="s">
        <v>109</v>
      </c>
      <c r="O365" s="180">
        <v>491703</v>
      </c>
      <c r="P365" s="181">
        <v>491703000</v>
      </c>
      <c r="Q365" s="181">
        <v>1000</v>
      </c>
      <c r="R365" s="182">
        <v>43631</v>
      </c>
      <c r="S365" s="182">
        <v>48745</v>
      </c>
      <c r="T365" s="183" t="s">
        <v>805</v>
      </c>
      <c r="U365" s="183" t="s">
        <v>953</v>
      </c>
      <c r="V365" s="182" t="s">
        <v>105</v>
      </c>
      <c r="W365" s="182" t="s">
        <v>102</v>
      </c>
      <c r="X365" s="182" t="s">
        <v>1362</v>
      </c>
      <c r="Y365" s="182">
        <v>47253</v>
      </c>
      <c r="Z365" s="184">
        <f>IFERROR(INDEX(Base!G:G,MATCH('Debêntures IPCA-Spread'!Y365,Base!F:F,0)),"")</f>
        <v>6.41</v>
      </c>
      <c r="AA365" s="115"/>
      <c r="AB365" s="185">
        <v>45552</v>
      </c>
      <c r="AC365" s="186">
        <v>6.3878000000000004</v>
      </c>
      <c r="AD365" s="187">
        <f t="shared" si="17"/>
        <v>-2.2199999999999775E-2</v>
      </c>
      <c r="AE365" s="188">
        <v>0.17</v>
      </c>
      <c r="AF365" s="189">
        <v>6.5481999999999996</v>
      </c>
      <c r="AG365" s="189">
        <v>6.2512999999999996</v>
      </c>
      <c r="AH365" s="190">
        <v>1014.743075</v>
      </c>
      <c r="AI365" s="190">
        <v>1019.899824</v>
      </c>
      <c r="AJ365" s="191">
        <f t="shared" si="16"/>
        <v>0.99494386715376082</v>
      </c>
      <c r="AK365" s="192">
        <v>45517</v>
      </c>
      <c r="AL365" s="193">
        <v>91.82</v>
      </c>
      <c r="AM365" s="194">
        <v>1028</v>
      </c>
      <c r="AN365" s="115"/>
      <c r="AO365" s="195">
        <v>-1.5727469199E-3</v>
      </c>
      <c r="AP365" s="196">
        <f>IF(AO365="","",AO365-AO$6)</f>
        <v>-2.0528918048299998E-3</v>
      </c>
      <c r="AQ365" s="196">
        <v>4.9273058447999998E-3</v>
      </c>
      <c r="AR365" s="196">
        <f>IF(AQ365="","",AQ365-AQ$6)</f>
        <v>5.1448125977599998E-3</v>
      </c>
      <c r="AS365" s="196">
        <v>6.9715114620999996E-2</v>
      </c>
      <c r="AT365" s="196">
        <f>IF(AS365="","",AS365-AS$6)</f>
        <v>5.4989279565999999E-2</v>
      </c>
      <c r="AU365" s="196">
        <v>-3.2575278965000002E-3</v>
      </c>
      <c r="AV365" s="196">
        <f>IF(AU365="","",AU365-AU$6)</f>
        <v>9.8110546994999992E-3</v>
      </c>
      <c r="AW365" s="196">
        <v>3.0212966154000001E-2</v>
      </c>
      <c r="AX365" s="196">
        <f>IF(AW365="","",AW365-AW$6)</f>
        <v>6.2178983660000006E-3</v>
      </c>
      <c r="AY365" s="196">
        <v>3.1703410709999998E-2</v>
      </c>
      <c r="AZ365" s="196">
        <f>IF(AY365="","",AY365-AY$6)</f>
        <v>1.7461155919999999E-2</v>
      </c>
      <c r="BA365" s="196">
        <v>9.6370640435000002E-2</v>
      </c>
      <c r="BB365" s="196">
        <f>IF(BA365="","",BA365-BA$6)</f>
        <v>4.2883675877000003E-2</v>
      </c>
      <c r="BC365" s="196">
        <v>0.23392021286</v>
      </c>
      <c r="BD365" s="196">
        <f>IF(BC365="","",BC365-BC$6)</f>
        <v>3.9611646370000003E-2</v>
      </c>
      <c r="BE365" s="196">
        <v>0.32999777457000001</v>
      </c>
      <c r="BF365" s="196">
        <f>IF(BE365="","",BE365-BE$6)</f>
        <v>6.8278435030000029E-2</v>
      </c>
      <c r="BG365" s="196">
        <v>0.43628197878000002</v>
      </c>
      <c r="BH365" s="196">
        <f>IF(BG365="","",BG365-BG$6)</f>
        <v>0.12736532997</v>
      </c>
      <c r="BI365" s="196">
        <v>0.52046829714999998</v>
      </c>
      <c r="BJ365" s="196">
        <f>IF(BI365="","",BI365-BI$6)</f>
        <v>0.14752528706999996</v>
      </c>
      <c r="BK365" s="197">
        <v>3.9811301121999998</v>
      </c>
      <c r="BL365" s="115"/>
      <c r="BM365" s="198">
        <v>9.0380895871999996E-3</v>
      </c>
      <c r="BN365" s="191">
        <v>-7.5855403283999999E-3</v>
      </c>
      <c r="BO365" s="191">
        <v>2.2914368471999999E-2</v>
      </c>
      <c r="BP365" s="191">
        <v>-1.1875259290000001E-2</v>
      </c>
      <c r="BQ365" s="199">
        <v>9</v>
      </c>
      <c r="BR365" s="199">
        <v>3</v>
      </c>
      <c r="BS365" s="199">
        <v>8</v>
      </c>
      <c r="BT365" s="199">
        <v>4</v>
      </c>
      <c r="BU365" s="200">
        <v>-0.32843773806999998</v>
      </c>
      <c r="BV365" s="200">
        <v>-0.32501724023</v>
      </c>
      <c r="BW365" s="191">
        <v>4.1133760255999997E-3</v>
      </c>
      <c r="BX365" s="191">
        <v>3.8429178909999999E-3</v>
      </c>
      <c r="BY365" s="189">
        <v>-1.981890629</v>
      </c>
      <c r="BZ365" s="191">
        <v>-1.8639058752E-2</v>
      </c>
      <c r="CA365" s="191">
        <v>-1.8639058752E-2</v>
      </c>
      <c r="CB365" s="182">
        <v>45187</v>
      </c>
      <c r="CC365" s="182">
        <v>45222</v>
      </c>
      <c r="CD365" s="201">
        <v>42</v>
      </c>
      <c r="CE365" s="202">
        <v>45250</v>
      </c>
      <c r="CF365" s="116"/>
    </row>
    <row r="366" spans="2:84" ht="15.6" x14ac:dyDescent="0.3">
      <c r="B366" s="110" t="s">
        <v>55</v>
      </c>
      <c r="C366" s="147" t="s">
        <v>318</v>
      </c>
      <c r="D366" s="148" t="s">
        <v>93</v>
      </c>
      <c r="E366" s="148" t="s">
        <v>226</v>
      </c>
      <c r="F366" s="149">
        <v>9625321000156</v>
      </c>
      <c r="G366" s="149" t="s">
        <v>374</v>
      </c>
      <c r="H366" s="149" t="s">
        <v>388</v>
      </c>
      <c r="I366" s="150">
        <v>1</v>
      </c>
      <c r="J366" s="151">
        <v>1</v>
      </c>
      <c r="K366" s="151" t="s">
        <v>126</v>
      </c>
      <c r="L366" s="151" t="s">
        <v>118</v>
      </c>
      <c r="M366" s="151" t="s">
        <v>114</v>
      </c>
      <c r="N366" s="151" t="s">
        <v>109</v>
      </c>
      <c r="O366" s="152">
        <v>100000</v>
      </c>
      <c r="P366" s="153">
        <v>100000000</v>
      </c>
      <c r="Q366" s="153">
        <v>1000</v>
      </c>
      <c r="R366" s="154">
        <v>41532</v>
      </c>
      <c r="S366" s="154">
        <v>46280</v>
      </c>
      <c r="T366" s="155" t="s">
        <v>154</v>
      </c>
      <c r="U366" s="155" t="s">
        <v>185</v>
      </c>
      <c r="V366" s="154" t="s">
        <v>194</v>
      </c>
      <c r="W366" s="154" t="s">
        <v>102</v>
      </c>
      <c r="X366" s="154" t="s">
        <v>1363</v>
      </c>
      <c r="Y366" s="154">
        <v>45792</v>
      </c>
      <c r="Z366" s="156">
        <f>IFERROR(INDEX(Base!G:G,MATCH('Debêntures IPCA-Spread'!Y366,Base!F:F,0)),"")</f>
        <v>5.73</v>
      </c>
      <c r="AA366" s="115"/>
      <c r="AB366" s="157">
        <v>45552</v>
      </c>
      <c r="AC366" s="158">
        <v>5.8159999999999998</v>
      </c>
      <c r="AD366" s="159">
        <f t="shared" si="17"/>
        <v>8.599999999999941E-2</v>
      </c>
      <c r="AE366" s="160">
        <v>0.12</v>
      </c>
      <c r="AF366" s="161">
        <v>6.0113000000000003</v>
      </c>
      <c r="AG366" s="161">
        <v>5.6554000000000002</v>
      </c>
      <c r="AH366" s="162">
        <v>579.13812600000006</v>
      </c>
      <c r="AI366" s="162">
        <v>579.13812600000006</v>
      </c>
      <c r="AJ366" s="163">
        <f t="shared" si="16"/>
        <v>1</v>
      </c>
      <c r="AK366" s="164">
        <v>45552</v>
      </c>
      <c r="AL366" s="165">
        <v>101.5</v>
      </c>
      <c r="AM366" s="166">
        <v>300</v>
      </c>
      <c r="AN366" s="115"/>
      <c r="AO366" s="167">
        <v>5.8754170822999995E-4</v>
      </c>
      <c r="AP366" s="168">
        <f>IF(AO366="","",AO366-AO$6)</f>
        <v>1.0739682329999995E-4</v>
      </c>
      <c r="AQ366" s="168">
        <v>7.5238568570000003E-3</v>
      </c>
      <c r="AR366" s="168">
        <f>IF(AQ366="","",AQ366-AQ$6)</f>
        <v>7.7413636099600003E-3</v>
      </c>
      <c r="AS366" s="168">
        <v>8.2844057065999996E-2</v>
      </c>
      <c r="AT366" s="168">
        <f>IF(AS366="","",AS366-AS$6)</f>
        <v>6.8118222010999999E-2</v>
      </c>
      <c r="AU366" s="168">
        <v>1.0198959283999999E-2</v>
      </c>
      <c r="AV366" s="168">
        <f>IF(AU366="","",AU366-AU$6)</f>
        <v>2.3267541879999999E-2</v>
      </c>
      <c r="AW366" s="168">
        <v>2.86310665E-2</v>
      </c>
      <c r="AX366" s="168">
        <f>IF(AW366="","",AW366-AW$6)</f>
        <v>4.6359987119999994E-3</v>
      </c>
      <c r="AY366" s="168">
        <v>5.4068513601999997E-2</v>
      </c>
      <c r="AZ366" s="168">
        <f>IF(AY366="","",AY366-AY$6)</f>
        <v>3.9826258811999998E-2</v>
      </c>
      <c r="BA366" s="168">
        <v>0.11894411004</v>
      </c>
      <c r="BB366" s="168">
        <f>IF(BA366="","",BA366-BA$6)</f>
        <v>6.545714548199999E-2</v>
      </c>
      <c r="BC366" s="168">
        <v>0.25631757772000002</v>
      </c>
      <c r="BD366" s="168">
        <f>IF(BC366="","",BC366-BC$6)</f>
        <v>6.2009011230000022E-2</v>
      </c>
      <c r="BE366" s="168">
        <v>0.37934827208999999</v>
      </c>
      <c r="BF366" s="168">
        <f>IF(BE366="","",BE366-BE$6)</f>
        <v>0.11762893255000001</v>
      </c>
      <c r="BG366" s="168"/>
      <c r="BH366" s="168" t="str">
        <f>IF(BG366="","",BG366-BG$6)</f>
        <v/>
      </c>
      <c r="BI366" s="168"/>
      <c r="BJ366" s="168" t="str">
        <f>IF(BI366="","",BI366-BI$6)</f>
        <v/>
      </c>
      <c r="BK366" s="169">
        <v>1.595224795</v>
      </c>
      <c r="BL366" s="115"/>
      <c r="BM366" s="170">
        <v>5.0321945855000003E-3</v>
      </c>
      <c r="BN366" s="163">
        <v>-3.7940305901E-3</v>
      </c>
      <c r="BO366" s="163">
        <v>1.7732490197999998E-2</v>
      </c>
      <c r="BP366" s="163">
        <v>6.8489245314000001E-4</v>
      </c>
      <c r="BQ366" s="171">
        <v>12</v>
      </c>
      <c r="BR366" s="171">
        <v>0</v>
      </c>
      <c r="BS366" s="171">
        <v>8</v>
      </c>
      <c r="BT366" s="171">
        <v>4</v>
      </c>
      <c r="BU366" s="172">
        <v>0.41174104662</v>
      </c>
      <c r="BV366" s="172">
        <v>-0.14728543578</v>
      </c>
      <c r="BW366" s="163">
        <v>1.6487073144000001E-3</v>
      </c>
      <c r="BX366" s="163">
        <v>1.2191105668E-3</v>
      </c>
      <c r="BY366" s="161">
        <v>0.55367729984000003</v>
      </c>
      <c r="BZ366" s="163">
        <v>-4.7435410291999996E-3</v>
      </c>
      <c r="CA366" s="163">
        <v>-4.7435410291999996E-3</v>
      </c>
      <c r="CB366" s="154">
        <v>45391</v>
      </c>
      <c r="CC366" s="154">
        <v>45399</v>
      </c>
      <c r="CD366" s="173">
        <v>19</v>
      </c>
      <c r="CE366" s="174">
        <v>45419</v>
      </c>
      <c r="CF366" s="116"/>
    </row>
    <row r="367" spans="2:84" ht="15.6" x14ac:dyDescent="0.3">
      <c r="B367" s="98" t="s">
        <v>56</v>
      </c>
      <c r="C367" s="175" t="s">
        <v>319</v>
      </c>
      <c r="D367" s="176" t="s">
        <v>93</v>
      </c>
      <c r="E367" s="176" t="s">
        <v>226</v>
      </c>
      <c r="F367" s="177">
        <v>9625321000156</v>
      </c>
      <c r="G367" s="177" t="s">
        <v>375</v>
      </c>
      <c r="H367" s="177" t="s">
        <v>388</v>
      </c>
      <c r="I367" s="178">
        <v>1</v>
      </c>
      <c r="J367" s="179">
        <v>2</v>
      </c>
      <c r="K367" s="179" t="s">
        <v>126</v>
      </c>
      <c r="L367" s="179" t="s">
        <v>118</v>
      </c>
      <c r="M367" s="179" t="s">
        <v>114</v>
      </c>
      <c r="N367" s="179" t="s">
        <v>109</v>
      </c>
      <c r="O367" s="180">
        <v>100000</v>
      </c>
      <c r="P367" s="181">
        <v>100000000</v>
      </c>
      <c r="Q367" s="181">
        <v>1000</v>
      </c>
      <c r="R367" s="182">
        <v>41532</v>
      </c>
      <c r="S367" s="182">
        <v>46280</v>
      </c>
      <c r="T367" s="183" t="s">
        <v>155</v>
      </c>
      <c r="U367" s="183" t="s">
        <v>185</v>
      </c>
      <c r="V367" s="182" t="s">
        <v>194</v>
      </c>
      <c r="W367" s="182" t="s">
        <v>102</v>
      </c>
      <c r="X367" s="182" t="s">
        <v>1363</v>
      </c>
      <c r="Y367" s="182">
        <v>45792</v>
      </c>
      <c r="Z367" s="184">
        <f>IFERROR(INDEX(Base!G:G,MATCH('Debêntures IPCA-Spread'!Y367,Base!F:F,0)),"")</f>
        <v>5.73</v>
      </c>
      <c r="AA367" s="115"/>
      <c r="AB367" s="185">
        <v>45552</v>
      </c>
      <c r="AC367" s="186">
        <v>5.8174000000000001</v>
      </c>
      <c r="AD367" s="187">
        <f t="shared" si="17"/>
        <v>8.73999999999997E-2</v>
      </c>
      <c r="AE367" s="188">
        <v>0.24</v>
      </c>
      <c r="AF367" s="189">
        <v>5.9884000000000004</v>
      </c>
      <c r="AG367" s="189">
        <v>5.7794999999999996</v>
      </c>
      <c r="AH367" s="190">
        <v>687.69957299999999</v>
      </c>
      <c r="AI367" s="190">
        <v>687.69957299999999</v>
      </c>
      <c r="AJ367" s="191">
        <f t="shared" si="16"/>
        <v>1</v>
      </c>
      <c r="AK367" s="192">
        <v>45552</v>
      </c>
      <c r="AL367" s="193">
        <v>101.5</v>
      </c>
      <c r="AM367" s="194">
        <v>300</v>
      </c>
      <c r="AN367" s="115"/>
      <c r="AO367" s="195">
        <v>7.6500870637E-4</v>
      </c>
      <c r="AP367" s="196">
        <f>IF(AO367="","",AO367-AO$6)</f>
        <v>2.8486382144E-4</v>
      </c>
      <c r="AQ367" s="196">
        <v>8.3435248524999991E-3</v>
      </c>
      <c r="AR367" s="196">
        <f>IF(AQ367="","",AQ367-AQ$6)</f>
        <v>8.5610316054599983E-3</v>
      </c>
      <c r="AS367" s="196">
        <v>8.7855653655000004E-2</v>
      </c>
      <c r="AT367" s="196">
        <f>IF(AS367="","",AS367-AS$6)</f>
        <v>7.3129818600000007E-2</v>
      </c>
      <c r="AU367" s="196">
        <v>1.0661163863000001E-2</v>
      </c>
      <c r="AV367" s="196">
        <f>IF(AU367="","",AU367-AU$6)</f>
        <v>2.3729746459000001E-2</v>
      </c>
      <c r="AW367" s="196">
        <v>3.0052804023999999E-2</v>
      </c>
      <c r="AX367" s="196">
        <f>IF(AW367="","",AW367-AW$6)</f>
        <v>6.0577362359999984E-3</v>
      </c>
      <c r="AY367" s="196">
        <v>6.0305505401999998E-2</v>
      </c>
      <c r="AZ367" s="196">
        <f>IF(AY367="","",AY367-AY$6)</f>
        <v>4.6063250611999999E-2</v>
      </c>
      <c r="BA367" s="196">
        <v>0.11909319706</v>
      </c>
      <c r="BB367" s="196">
        <f>IF(BA367="","",BA367-BA$6)</f>
        <v>6.5606232502000011E-2</v>
      </c>
      <c r="BC367" s="196">
        <v>0.25896682925999998</v>
      </c>
      <c r="BD367" s="196">
        <f>IF(BC367="","",BC367-BC$6)</f>
        <v>6.4658262769999975E-2</v>
      </c>
      <c r="BE367" s="196">
        <v>0.38239910425000001</v>
      </c>
      <c r="BF367" s="196">
        <f>IF(BE367="","",BE367-BE$6)</f>
        <v>0.12067976471000003</v>
      </c>
      <c r="BG367" s="196"/>
      <c r="BH367" s="196" t="str">
        <f>IF(BG367="","",BG367-BG$6)</f>
        <v/>
      </c>
      <c r="BI367" s="196"/>
      <c r="BJ367" s="196" t="str">
        <f>IF(BI367="","",BI367-BI$6)</f>
        <v/>
      </c>
      <c r="BK367" s="197">
        <v>1.6755223411</v>
      </c>
      <c r="BL367" s="115"/>
      <c r="BM367" s="198">
        <v>3.6214978753999999E-3</v>
      </c>
      <c r="BN367" s="191">
        <v>-2.6977900825000001E-3</v>
      </c>
      <c r="BO367" s="191">
        <v>1.7354791553000001E-2</v>
      </c>
      <c r="BP367" s="191">
        <v>5.7767962062000005E-4</v>
      </c>
      <c r="BQ367" s="199">
        <v>12</v>
      </c>
      <c r="BR367" s="199">
        <v>0</v>
      </c>
      <c r="BS367" s="199">
        <v>8</v>
      </c>
      <c r="BT367" s="199">
        <v>4</v>
      </c>
      <c r="BU367" s="200">
        <v>0.40058408203000001</v>
      </c>
      <c r="BV367" s="200">
        <v>-0.11366020245</v>
      </c>
      <c r="BW367" s="191">
        <v>1.7318687650000001E-3</v>
      </c>
      <c r="BX367" s="191">
        <v>1.4365195879E-3</v>
      </c>
      <c r="BY367" s="189">
        <v>0.58922012060999995</v>
      </c>
      <c r="BZ367" s="191">
        <v>-4.3402484769999999E-3</v>
      </c>
      <c r="CA367" s="191">
        <v>-4.3402484769999999E-3</v>
      </c>
      <c r="CB367" s="182">
        <v>45390</v>
      </c>
      <c r="CC367" s="182">
        <v>45399</v>
      </c>
      <c r="CD367" s="201">
        <v>19</v>
      </c>
      <c r="CE367" s="202">
        <v>45418</v>
      </c>
      <c r="CF367" s="116"/>
    </row>
    <row r="368" spans="2:84" ht="15.6" x14ac:dyDescent="0.3">
      <c r="B368" s="110" t="s">
        <v>575</v>
      </c>
      <c r="C368" s="147" t="s">
        <v>740</v>
      </c>
      <c r="D368" s="148" t="s">
        <v>652</v>
      </c>
      <c r="E368" s="148" t="s">
        <v>226</v>
      </c>
      <c r="F368" s="149">
        <v>12300288000107</v>
      </c>
      <c r="G368" s="149" t="s">
        <v>894</v>
      </c>
      <c r="H368" s="149" t="s">
        <v>388</v>
      </c>
      <c r="I368" s="150">
        <v>1</v>
      </c>
      <c r="J368" s="151" t="s">
        <v>107</v>
      </c>
      <c r="K368" s="151" t="s">
        <v>126</v>
      </c>
      <c r="L368" s="151" t="s">
        <v>118</v>
      </c>
      <c r="M368" s="151" t="s">
        <v>114</v>
      </c>
      <c r="N368" s="151" t="s">
        <v>109</v>
      </c>
      <c r="O368" s="152">
        <v>700000</v>
      </c>
      <c r="P368" s="153">
        <v>700000000</v>
      </c>
      <c r="Q368" s="153">
        <v>1000</v>
      </c>
      <c r="R368" s="154">
        <v>43966</v>
      </c>
      <c r="S368" s="154">
        <v>47618</v>
      </c>
      <c r="T368" s="155" t="s">
        <v>806</v>
      </c>
      <c r="U368" s="155" t="s">
        <v>954</v>
      </c>
      <c r="V368" s="154" t="s">
        <v>194</v>
      </c>
      <c r="W368" s="154" t="s">
        <v>102</v>
      </c>
      <c r="X368" s="154" t="s">
        <v>1364</v>
      </c>
      <c r="Y368" s="154">
        <v>46522</v>
      </c>
      <c r="Z368" s="156">
        <f>IFERROR(INDEX(Base!G:G,MATCH('Debêntures IPCA-Spread'!Y368,Base!F:F,0)),"")</f>
        <v>6.391</v>
      </c>
      <c r="AA368" s="115"/>
      <c r="AB368" s="157">
        <v>45552</v>
      </c>
      <c r="AC368" s="158">
        <v>8.5485000000000007</v>
      </c>
      <c r="AD368" s="159">
        <f t="shared" si="17"/>
        <v>2.1575000000000006</v>
      </c>
      <c r="AE368" s="160">
        <v>0.08</v>
      </c>
      <c r="AF368" s="161">
        <v>8.8594000000000008</v>
      </c>
      <c r="AG368" s="161">
        <v>8.2226999999999997</v>
      </c>
      <c r="AH368" s="162">
        <v>1299.4992130000001</v>
      </c>
      <c r="AI368" s="162">
        <v>1303.8260250000001</v>
      </c>
      <c r="AJ368" s="163">
        <f t="shared" si="16"/>
        <v>0.9966814498889911</v>
      </c>
      <c r="AK368" s="164">
        <v>45545</v>
      </c>
      <c r="AL368" s="165">
        <v>96.81</v>
      </c>
      <c r="AM368" s="166">
        <v>674</v>
      </c>
      <c r="AN368" s="115"/>
      <c r="AO368" s="167">
        <v>8.2135637058000004E-4</v>
      </c>
      <c r="AP368" s="168">
        <f>IF(AO368="","",AO368-AO$6)</f>
        <v>3.4121148565000004E-4</v>
      </c>
      <c r="AQ368" s="168">
        <v>6.9163338830999996E-3</v>
      </c>
      <c r="AR368" s="168">
        <f>IF(AQ368="","",AQ368-AQ$6)</f>
        <v>7.1338406360599996E-3</v>
      </c>
      <c r="AS368" s="168">
        <v>9.2918882187999999E-2</v>
      </c>
      <c r="AT368" s="168">
        <f>IF(AS368="","",AS368-AS$6)</f>
        <v>7.8193047133000002E-2</v>
      </c>
      <c r="AU368" s="168">
        <v>8.3165025608000001E-3</v>
      </c>
      <c r="AV368" s="168">
        <f>IF(AU368="","",AU368-AU$6)</f>
        <v>2.1385085156800002E-2</v>
      </c>
      <c r="AW368" s="168">
        <v>3.3922033381E-2</v>
      </c>
      <c r="AX368" s="168">
        <f>IF(AW368="","",AW368-AW$6)</f>
        <v>9.9269655929999992E-3</v>
      </c>
      <c r="AY368" s="168">
        <v>3.8766934710999998E-2</v>
      </c>
      <c r="AZ368" s="168">
        <f>IF(AY368="","",AY368-AY$6)</f>
        <v>2.4524679920999999E-2</v>
      </c>
      <c r="BA368" s="168">
        <v>0.16039506881000001</v>
      </c>
      <c r="BB368" s="168">
        <f>IF(BA368="","",BA368-BA$6)</f>
        <v>0.10690810425200001</v>
      </c>
      <c r="BC368" s="168">
        <v>0.21784861813</v>
      </c>
      <c r="BD368" s="168">
        <f>IF(BC368="","",BC368-BC$6)</f>
        <v>2.3540051640000004E-2</v>
      </c>
      <c r="BE368" s="168">
        <v>0.34865345252000002</v>
      </c>
      <c r="BF368" s="168">
        <f>IF(BE368="","",BE368-BE$6)</f>
        <v>8.6934112980000033E-2</v>
      </c>
      <c r="BG368" s="168"/>
      <c r="BH368" s="168" t="str">
        <f>IF(BG368="","",BG368-BG$6)</f>
        <v/>
      </c>
      <c r="BI368" s="168"/>
      <c r="BJ368" s="168" t="str">
        <f>IF(BI368="","",BI368-BI$6)</f>
        <v/>
      </c>
      <c r="BK368" s="169">
        <v>4.5561244566000001</v>
      </c>
      <c r="BL368" s="115"/>
      <c r="BM368" s="170">
        <v>1.0129947386E-2</v>
      </c>
      <c r="BN368" s="163">
        <v>-1.0734231028E-2</v>
      </c>
      <c r="BO368" s="163">
        <v>3.0633828886000001E-2</v>
      </c>
      <c r="BP368" s="163">
        <v>-5.2438721568000002E-3</v>
      </c>
      <c r="BQ368" s="171">
        <v>11</v>
      </c>
      <c r="BR368" s="171">
        <v>1</v>
      </c>
      <c r="BS368" s="171">
        <v>8</v>
      </c>
      <c r="BT368" s="171">
        <v>4</v>
      </c>
      <c r="BU368" s="172">
        <v>0.98440175432999999</v>
      </c>
      <c r="BV368" s="172">
        <v>-0.20645816457999999</v>
      </c>
      <c r="BW368" s="163">
        <v>4.7085673566999997E-3</v>
      </c>
      <c r="BX368" s="163">
        <v>3.6364422240000001E-3</v>
      </c>
      <c r="BY368" s="161">
        <v>4.5066150552000002</v>
      </c>
      <c r="BZ368" s="163">
        <v>-1.7177434040000002E-2</v>
      </c>
      <c r="CA368" s="163">
        <v>-1.7177434040000002E-2</v>
      </c>
      <c r="CB368" s="154">
        <v>45282</v>
      </c>
      <c r="CC368" s="154">
        <v>45293</v>
      </c>
      <c r="CD368" s="173">
        <v>12</v>
      </c>
      <c r="CE368" s="174">
        <v>45302</v>
      </c>
      <c r="CF368" s="116"/>
    </row>
    <row r="369" spans="2:84" ht="15.6" x14ac:dyDescent="0.3">
      <c r="B369" s="98" t="s">
        <v>57</v>
      </c>
      <c r="C369" s="175" t="s">
        <v>320</v>
      </c>
      <c r="D369" s="176" t="s">
        <v>94</v>
      </c>
      <c r="E369" s="176" t="s">
        <v>104</v>
      </c>
      <c r="F369" s="177">
        <v>12251483000186</v>
      </c>
      <c r="G369" s="177" t="s">
        <v>376</v>
      </c>
      <c r="H369" s="177" t="s">
        <v>388</v>
      </c>
      <c r="I369" s="178">
        <v>1</v>
      </c>
      <c r="J369" s="179" t="s">
        <v>107</v>
      </c>
      <c r="K369" s="179" t="s">
        <v>111</v>
      </c>
      <c r="L369" s="179" t="s">
        <v>114</v>
      </c>
      <c r="M369" s="179" t="s">
        <v>115</v>
      </c>
      <c r="N369" s="179" t="s">
        <v>109</v>
      </c>
      <c r="O369" s="180">
        <v>30000</v>
      </c>
      <c r="P369" s="181">
        <v>300000000</v>
      </c>
      <c r="Q369" s="181">
        <v>10000</v>
      </c>
      <c r="R369" s="182">
        <v>41562</v>
      </c>
      <c r="S369" s="182">
        <v>45945</v>
      </c>
      <c r="T369" s="183" t="s">
        <v>156</v>
      </c>
      <c r="U369" s="183" t="s">
        <v>113</v>
      </c>
      <c r="V369" s="182" t="s">
        <v>194</v>
      </c>
      <c r="W369" s="182" t="s">
        <v>102</v>
      </c>
      <c r="X369" s="182" t="s">
        <v>1365</v>
      </c>
      <c r="Y369" s="182">
        <v>45792</v>
      </c>
      <c r="Z369" s="184">
        <f>IFERROR(INDEX(Base!G:G,MATCH('Debêntures IPCA-Spread'!Y369,Base!F:F,0)),"")</f>
        <v>5.73</v>
      </c>
      <c r="AA369" s="115"/>
      <c r="AB369" s="185">
        <v>45552</v>
      </c>
      <c r="AC369" s="186">
        <v>5.7419000000000002</v>
      </c>
      <c r="AD369" s="187">
        <f t="shared" si="17"/>
        <v>1.18999999999998E-2</v>
      </c>
      <c r="AE369" s="188">
        <v>0.44</v>
      </c>
      <c r="AF369" s="189">
        <v>6.1890000000000001</v>
      </c>
      <c r="AG369" s="189">
        <v>5.4131</v>
      </c>
      <c r="AH369" s="190">
        <v>19856.948297999999</v>
      </c>
      <c r="AI369" s="190">
        <v>19856.948297999999</v>
      </c>
      <c r="AJ369" s="191">
        <f t="shared" si="16"/>
        <v>1</v>
      </c>
      <c r="AK369" s="192">
        <v>45552</v>
      </c>
      <c r="AL369" s="193">
        <v>100.92</v>
      </c>
      <c r="AM369" s="194">
        <v>255</v>
      </c>
      <c r="AN369" s="115"/>
      <c r="AO369" s="195">
        <v>1.8244675993999999E-4</v>
      </c>
      <c r="AP369" s="196">
        <f>IF(AO369="","",AO369-AO$6)</f>
        <v>-2.9769812499000001E-4</v>
      </c>
      <c r="AQ369" s="196">
        <v>7.2100232536999997E-3</v>
      </c>
      <c r="AR369" s="196">
        <f>IF(AQ369="","",AQ369-AQ$6)</f>
        <v>7.4275300066599997E-3</v>
      </c>
      <c r="AS369" s="196">
        <v>8.3274531203999996E-2</v>
      </c>
      <c r="AT369" s="196">
        <f>IF(AS369="","",AS369-AS$6)</f>
        <v>6.8548696148999999E-2</v>
      </c>
      <c r="AU369" s="196">
        <v>1.2234747371E-2</v>
      </c>
      <c r="AV369" s="196">
        <f>IF(AU369="","",AU369-AU$6)</f>
        <v>2.5303329967E-2</v>
      </c>
      <c r="AW369" s="196">
        <v>2.9907272804999999E-2</v>
      </c>
      <c r="AX369" s="196">
        <f>IF(AW369="","",AW369-AW$6)</f>
        <v>5.9122050169999989E-3</v>
      </c>
      <c r="AY369" s="196">
        <v>5.9391924998999999E-2</v>
      </c>
      <c r="AZ369" s="196">
        <f>IF(AY369="","",AY369-AY$6)</f>
        <v>4.5149670209000001E-2</v>
      </c>
      <c r="BA369" s="196">
        <v>0.1158581721</v>
      </c>
      <c r="BB369" s="196">
        <f>IF(BA369="","",BA369-BA$6)</f>
        <v>6.2371207542000005E-2</v>
      </c>
      <c r="BC369" s="196">
        <v>0.24528462744999999</v>
      </c>
      <c r="BD369" s="196">
        <f>IF(BC369="","",BC369-BC$6)</f>
        <v>5.0976060959999986E-2</v>
      </c>
      <c r="BE369" s="196">
        <v>0.38771659382000001</v>
      </c>
      <c r="BF369" s="196">
        <f>IF(BE369="","",BE369-BE$6)</f>
        <v>0.12599725428000003</v>
      </c>
      <c r="BG369" s="196">
        <v>0.51134335010999998</v>
      </c>
      <c r="BH369" s="196">
        <f>IF(BG369="","",BG369-BG$6)</f>
        <v>0.20242670129999996</v>
      </c>
      <c r="BI369" s="196">
        <v>0.64523049311000003</v>
      </c>
      <c r="BJ369" s="196">
        <f>IF(BI369="","",BI369-BI$6)</f>
        <v>0.27228748303</v>
      </c>
      <c r="BK369" s="197">
        <v>1.6666899692999999</v>
      </c>
      <c r="BL369" s="115"/>
      <c r="BM369" s="198">
        <v>4.0058523300000003E-3</v>
      </c>
      <c r="BN369" s="191">
        <v>-2.6176188849E-3</v>
      </c>
      <c r="BO369" s="191">
        <v>1.7935490355999999E-2</v>
      </c>
      <c r="BP369" s="191">
        <v>-8.6438825928999996E-4</v>
      </c>
      <c r="BQ369" s="199">
        <v>11</v>
      </c>
      <c r="BR369" s="199">
        <v>1</v>
      </c>
      <c r="BS369" s="199">
        <v>7</v>
      </c>
      <c r="BT369" s="199">
        <v>5</v>
      </c>
      <c r="BU369" s="200">
        <v>0.22832729122000001</v>
      </c>
      <c r="BV369" s="200">
        <v>-4.0105741314E-2</v>
      </c>
      <c r="BW369" s="191">
        <v>1.7226851286999999E-3</v>
      </c>
      <c r="BX369" s="191">
        <v>1.3119753324E-3</v>
      </c>
      <c r="BY369" s="189">
        <v>0.23009545283999999</v>
      </c>
      <c r="BZ369" s="191">
        <v>-7.7144006478E-3</v>
      </c>
      <c r="CA369" s="191">
        <v>-7.7144006478E-3</v>
      </c>
      <c r="CB369" s="182">
        <v>45191</v>
      </c>
      <c r="CC369" s="182">
        <v>45218</v>
      </c>
      <c r="CD369" s="201">
        <v>23</v>
      </c>
      <c r="CE369" s="202">
        <v>45225</v>
      </c>
      <c r="CF369" s="116"/>
    </row>
    <row r="370" spans="2:84" ht="15.6" x14ac:dyDescent="0.3">
      <c r="B370" s="110" t="s">
        <v>402</v>
      </c>
      <c r="C370" s="147" t="s">
        <v>423</v>
      </c>
      <c r="D370" s="148" t="s">
        <v>1924</v>
      </c>
      <c r="E370" s="148" t="s">
        <v>226</v>
      </c>
      <c r="F370" s="149">
        <v>20514590000188</v>
      </c>
      <c r="G370" s="149" t="s">
        <v>438</v>
      </c>
      <c r="H370" s="149" t="s">
        <v>388</v>
      </c>
      <c r="I370" s="150">
        <v>1</v>
      </c>
      <c r="J370" s="151" t="s">
        <v>107</v>
      </c>
      <c r="K370" s="151" t="s">
        <v>111</v>
      </c>
      <c r="L370" s="151" t="s">
        <v>112</v>
      </c>
      <c r="M370" s="151" t="s">
        <v>114</v>
      </c>
      <c r="N370" s="151" t="s">
        <v>109</v>
      </c>
      <c r="O370" s="152">
        <v>74000</v>
      </c>
      <c r="P370" s="153">
        <v>74000000</v>
      </c>
      <c r="Q370" s="153">
        <v>1000</v>
      </c>
      <c r="R370" s="154">
        <v>43054</v>
      </c>
      <c r="S370" s="154">
        <v>48106</v>
      </c>
      <c r="T370" s="155" t="s">
        <v>414</v>
      </c>
      <c r="U370" s="155" t="s">
        <v>430</v>
      </c>
      <c r="V370" s="154" t="s">
        <v>194</v>
      </c>
      <c r="W370" s="154" t="s">
        <v>102</v>
      </c>
      <c r="X370" s="154" t="s">
        <v>205</v>
      </c>
      <c r="Y370" s="154">
        <v>46980</v>
      </c>
      <c r="Z370" s="156">
        <f>IFERROR(INDEX(Base!G:G,MATCH('Debêntures IPCA-Spread'!Y370,Base!F:F,0)),"")</f>
        <v>6.4702000000000002</v>
      </c>
      <c r="AA370" s="115"/>
      <c r="AB370" s="157">
        <v>45552</v>
      </c>
      <c r="AC370" s="158">
        <v>6.4398999999999997</v>
      </c>
      <c r="AD370" s="159">
        <f t="shared" si="17"/>
        <v>-3.0300000000000438E-2</v>
      </c>
      <c r="AE370" s="160">
        <v>0.16</v>
      </c>
      <c r="AF370" s="161">
        <v>6.6764000000000001</v>
      </c>
      <c r="AG370" s="161">
        <v>6.2340999999999998</v>
      </c>
      <c r="AH370" s="162">
        <v>1006.1568109999999</v>
      </c>
      <c r="AI370" s="162">
        <v>1007.477382</v>
      </c>
      <c r="AJ370" s="163">
        <f t="shared" si="16"/>
        <v>0.99868923012705402</v>
      </c>
      <c r="AK370" s="164">
        <v>45548</v>
      </c>
      <c r="AL370" s="165">
        <v>101.05</v>
      </c>
      <c r="AM370" s="166">
        <v>787</v>
      </c>
      <c r="AN370" s="115"/>
      <c r="AO370" s="167">
        <v>1.8917557918000001E-3</v>
      </c>
      <c r="AP370" s="168">
        <f>IF(AO370="","",AO370-AO$6)</f>
        <v>1.4116109068700001E-3</v>
      </c>
      <c r="AQ370" s="168">
        <v>6.8158852118000001E-3</v>
      </c>
      <c r="AR370" s="168">
        <f>IF(AQ370="","",AQ370-AQ$6)</f>
        <v>7.0333919647600001E-3</v>
      </c>
      <c r="AS370" s="168">
        <v>7.8250087763000006E-2</v>
      </c>
      <c r="AT370" s="168">
        <f>IF(AS370="","",AS370-AS$6)</f>
        <v>6.3524252708000009E-2</v>
      </c>
      <c r="AU370" s="168">
        <v>2.9912887566999999E-3</v>
      </c>
      <c r="AV370" s="168">
        <f>IF(AU370="","",AU370-AU$6)</f>
        <v>1.6059871352700001E-2</v>
      </c>
      <c r="AW370" s="168">
        <v>3.5030531039000001E-2</v>
      </c>
      <c r="AX370" s="168">
        <f>IF(AW370="","",AW370-AW$6)</f>
        <v>1.1035463251000001E-2</v>
      </c>
      <c r="AY370" s="168">
        <v>4.1202448447000002E-2</v>
      </c>
      <c r="AZ370" s="168">
        <f>IF(AY370="","",AY370-AY$6)</f>
        <v>2.6960193657000003E-2</v>
      </c>
      <c r="BA370" s="168">
        <v>0.10355975940999999</v>
      </c>
      <c r="BB370" s="168">
        <f>IF(BA370="","",BA370-BA$6)</f>
        <v>5.0072794851999995E-2</v>
      </c>
      <c r="BC370" s="168"/>
      <c r="BD370" s="168" t="str">
        <f>IF(BC370="","",BC370-BC$6)</f>
        <v/>
      </c>
      <c r="BE370" s="168"/>
      <c r="BF370" s="168" t="str">
        <f>IF(BE370="","",BE370-BE$6)</f>
        <v/>
      </c>
      <c r="BG370" s="168"/>
      <c r="BH370" s="168" t="str">
        <f>IF(BG370="","",BG370-BG$6)</f>
        <v/>
      </c>
      <c r="BI370" s="168"/>
      <c r="BJ370" s="168" t="str">
        <f>IF(BI370="","",BI370-BI$6)</f>
        <v/>
      </c>
      <c r="BK370" s="169">
        <v>4.4903206295000002</v>
      </c>
      <c r="BL370" s="115"/>
      <c r="BM370" s="170">
        <v>8.8031977301999999E-3</v>
      </c>
      <c r="BN370" s="163">
        <v>-7.9842284066999995E-3</v>
      </c>
      <c r="BO370" s="163">
        <v>2.4993922918000001E-2</v>
      </c>
      <c r="BP370" s="163">
        <v>-1.7231671502000001E-2</v>
      </c>
      <c r="BQ370" s="171">
        <v>9</v>
      </c>
      <c r="BR370" s="171">
        <v>3</v>
      </c>
      <c r="BS370" s="171">
        <v>9</v>
      </c>
      <c r="BT370" s="171">
        <v>3</v>
      </c>
      <c r="BU370" s="172">
        <v>-0.14234899980999999</v>
      </c>
      <c r="BV370" s="172"/>
      <c r="BW370" s="163">
        <v>4.6390344795999997E-3</v>
      </c>
      <c r="BX370" s="163">
        <v>3.5064530981E-3</v>
      </c>
      <c r="BY370" s="161">
        <v>-1.2169784974</v>
      </c>
      <c r="BZ370" s="163">
        <v>-1.7787335883000001E-2</v>
      </c>
      <c r="CA370" s="163">
        <v>-1.7787335883000001E-2</v>
      </c>
      <c r="CB370" s="154">
        <v>45379</v>
      </c>
      <c r="CC370" s="154">
        <v>45398</v>
      </c>
      <c r="CD370" s="173">
        <v>45</v>
      </c>
      <c r="CE370" s="174">
        <v>45447</v>
      </c>
      <c r="CF370" s="116"/>
    </row>
    <row r="371" spans="2:84" ht="15.6" x14ac:dyDescent="0.3">
      <c r="B371" s="98" t="s">
        <v>58</v>
      </c>
      <c r="C371" s="175" t="s">
        <v>321</v>
      </c>
      <c r="D371" s="176" t="s">
        <v>95</v>
      </c>
      <c r="E371" s="176" t="s">
        <v>226</v>
      </c>
      <c r="F371" s="177">
        <v>14797436000168</v>
      </c>
      <c r="G371" s="177" t="s">
        <v>377</v>
      </c>
      <c r="H371" s="177" t="s">
        <v>388</v>
      </c>
      <c r="I371" s="178">
        <v>2</v>
      </c>
      <c r="J371" s="179" t="s">
        <v>107</v>
      </c>
      <c r="K371" s="179" t="s">
        <v>127</v>
      </c>
      <c r="L371" s="179" t="s">
        <v>125</v>
      </c>
      <c r="M371" s="179" t="s">
        <v>116</v>
      </c>
      <c r="N371" s="179" t="s">
        <v>109</v>
      </c>
      <c r="O371" s="180">
        <v>220000</v>
      </c>
      <c r="P371" s="181">
        <v>220000000</v>
      </c>
      <c r="Q371" s="181">
        <v>1000</v>
      </c>
      <c r="R371" s="182">
        <v>43023</v>
      </c>
      <c r="S371" s="182">
        <v>47467</v>
      </c>
      <c r="T371" s="183" t="s">
        <v>157</v>
      </c>
      <c r="U371" s="183" t="s">
        <v>186</v>
      </c>
      <c r="V371" s="182" t="s">
        <v>194</v>
      </c>
      <c r="W371" s="182" t="s">
        <v>102</v>
      </c>
      <c r="X371" s="182" t="s">
        <v>210</v>
      </c>
      <c r="Y371" s="182">
        <v>46522</v>
      </c>
      <c r="Z371" s="184">
        <f>IFERROR(INDEX(Base!G:G,MATCH('Debêntures IPCA-Spread'!Y371,Base!F:F,0)),"")</f>
        <v>6.391</v>
      </c>
      <c r="AA371" s="115"/>
      <c r="AB371" s="185">
        <v>45552</v>
      </c>
      <c r="AC371" s="186">
        <v>6.5644999999999998</v>
      </c>
      <c r="AD371" s="187">
        <f t="shared" si="17"/>
        <v>0.17349999999999977</v>
      </c>
      <c r="AE371" s="188">
        <v>0.24</v>
      </c>
      <c r="AF371" s="189">
        <v>6.8821000000000003</v>
      </c>
      <c r="AG371" s="189">
        <v>6.4455999999999998</v>
      </c>
      <c r="AH371" s="190">
        <v>912.17549099999997</v>
      </c>
      <c r="AI371" s="190">
        <v>912.17549099999997</v>
      </c>
      <c r="AJ371" s="191">
        <f t="shared" si="16"/>
        <v>1</v>
      </c>
      <c r="AK371" s="192">
        <v>45552</v>
      </c>
      <c r="AL371" s="193">
        <v>101.3</v>
      </c>
      <c r="AM371" s="194">
        <v>641</v>
      </c>
      <c r="AN371" s="115"/>
      <c r="AO371" s="195">
        <v>3.1070299101E-3</v>
      </c>
      <c r="AP371" s="196">
        <f>IF(AO371="","",AO371-AO$6)</f>
        <v>2.62688502517E-3</v>
      </c>
      <c r="AQ371" s="196">
        <v>1.0900247768999999E-2</v>
      </c>
      <c r="AR371" s="196">
        <f>IF(AQ371="","",AQ371-AQ$6)</f>
        <v>1.1117754521959998E-2</v>
      </c>
      <c r="AS371" s="196">
        <v>8.6252549551999999E-2</v>
      </c>
      <c r="AT371" s="196">
        <f>IF(AS371="","",AS371-AS$6)</f>
        <v>7.1526714497000002E-2</v>
      </c>
      <c r="AU371" s="196">
        <v>1.0714160451E-2</v>
      </c>
      <c r="AV371" s="196">
        <f>IF(AU371="","",AU371-AU$6)</f>
        <v>2.3782743047E-2</v>
      </c>
      <c r="AW371" s="196">
        <v>3.7828183484000001E-2</v>
      </c>
      <c r="AX371" s="196">
        <f>IF(AW371="","",AW371-AW$6)</f>
        <v>1.3833115696000001E-2</v>
      </c>
      <c r="AY371" s="196">
        <v>4.3388334624999997E-2</v>
      </c>
      <c r="AZ371" s="196">
        <f>IF(AY371="","",AY371-AY$6)</f>
        <v>2.9146079834999998E-2</v>
      </c>
      <c r="BA371" s="196">
        <v>0.11202117372000001</v>
      </c>
      <c r="BB371" s="196">
        <f>IF(BA371="","",BA371-BA$6)</f>
        <v>5.8534209162000007E-2</v>
      </c>
      <c r="BC371" s="196">
        <v>0.23749558792</v>
      </c>
      <c r="BD371" s="196">
        <f>IF(BC371="","",BC371-BC$6)</f>
        <v>4.318702143E-2</v>
      </c>
      <c r="BE371" s="196">
        <v>0.37221835119000002</v>
      </c>
      <c r="BF371" s="196">
        <f>IF(BE371="","",BE371-BE$6)</f>
        <v>0.11049901165000003</v>
      </c>
      <c r="BG371" s="196">
        <v>0.50642878892999998</v>
      </c>
      <c r="BH371" s="196">
        <f>IF(BG371="","",BG371-BG$6)</f>
        <v>0.19751214011999996</v>
      </c>
      <c r="BI371" s="196">
        <v>0.58362664209000004</v>
      </c>
      <c r="BJ371" s="196">
        <f>IF(BI371="","",BI371-BI$6)</f>
        <v>0.21068363201000001</v>
      </c>
      <c r="BK371" s="197">
        <v>3.5739336865000002</v>
      </c>
      <c r="BL371" s="115"/>
      <c r="BM371" s="198">
        <v>7.6457143932E-3</v>
      </c>
      <c r="BN371" s="191">
        <v>-7.8778522510999996E-3</v>
      </c>
      <c r="BO371" s="191">
        <v>2.0471155934999999E-2</v>
      </c>
      <c r="BP371" s="191">
        <v>-9.4732107308999995E-3</v>
      </c>
      <c r="BQ371" s="199">
        <v>9</v>
      </c>
      <c r="BR371" s="199">
        <v>3</v>
      </c>
      <c r="BS371" s="199">
        <v>9</v>
      </c>
      <c r="BT371" s="199">
        <v>3</v>
      </c>
      <c r="BU371" s="200">
        <v>2.4023668017999999E-2</v>
      </c>
      <c r="BV371" s="200">
        <v>-0.11471225848</v>
      </c>
      <c r="BW371" s="191">
        <v>3.6928887295E-3</v>
      </c>
      <c r="BX371" s="191">
        <v>3.1732824821E-3</v>
      </c>
      <c r="BY371" s="189">
        <v>-0.31222728690000001</v>
      </c>
      <c r="BZ371" s="191">
        <v>-1.7754251576E-2</v>
      </c>
      <c r="CA371" s="191">
        <v>-1.7754251576E-2</v>
      </c>
      <c r="CB371" s="182">
        <v>45187</v>
      </c>
      <c r="CC371" s="182">
        <v>45222</v>
      </c>
      <c r="CD371" s="201">
        <v>44</v>
      </c>
      <c r="CE371" s="202">
        <v>45252</v>
      </c>
      <c r="CF371" s="116"/>
    </row>
    <row r="372" spans="2:84" ht="15.6" x14ac:dyDescent="0.3">
      <c r="B372" s="110" t="s">
        <v>2300</v>
      </c>
      <c r="C372" s="147" t="s">
        <v>2685</v>
      </c>
      <c r="D372" s="148" t="s">
        <v>2809</v>
      </c>
      <c r="E372" s="148" t="s">
        <v>233</v>
      </c>
      <c r="F372" s="149">
        <v>32021201000161</v>
      </c>
      <c r="G372" s="149" t="s">
        <v>2436</v>
      </c>
      <c r="H372" s="149" t="s">
        <v>388</v>
      </c>
      <c r="I372" s="150">
        <v>1</v>
      </c>
      <c r="J372" s="151">
        <v>1</v>
      </c>
      <c r="K372" s="151" t="s">
        <v>128</v>
      </c>
      <c r="L372" s="151" t="s">
        <v>2466</v>
      </c>
      <c r="M372" s="151" t="s">
        <v>2465</v>
      </c>
      <c r="N372" s="151" t="s">
        <v>109</v>
      </c>
      <c r="O372" s="152">
        <v>369414</v>
      </c>
      <c r="P372" s="153">
        <v>369414000</v>
      </c>
      <c r="Q372" s="153">
        <v>1000</v>
      </c>
      <c r="R372" s="154">
        <v>45275</v>
      </c>
      <c r="S372" s="154">
        <v>49658</v>
      </c>
      <c r="T372" s="155" t="s">
        <v>2001</v>
      </c>
      <c r="U372" s="155" t="s">
        <v>2768</v>
      </c>
      <c r="V372" s="154" t="s">
        <v>194</v>
      </c>
      <c r="W372" s="154" t="s">
        <v>102</v>
      </c>
      <c r="X372" s="154" t="s">
        <v>2555</v>
      </c>
      <c r="Y372" s="154">
        <v>48441</v>
      </c>
      <c r="Z372" s="156">
        <f>IFERROR(INDEX(Base!G:G,MATCH('Debêntures IPCA-Spread'!Y372,Base!F:F,0)),"")</f>
        <v>6.3467000000000002</v>
      </c>
      <c r="AA372" s="115"/>
      <c r="AB372" s="157">
        <v>45552</v>
      </c>
      <c r="AC372" s="158">
        <v>8.4269999999999996</v>
      </c>
      <c r="AD372" s="159">
        <f t="shared" si="17"/>
        <v>2.0802999999999994</v>
      </c>
      <c r="AE372" s="160">
        <v>0.14000000000000001</v>
      </c>
      <c r="AF372" s="161">
        <v>8.6536000000000008</v>
      </c>
      <c r="AG372" s="161">
        <v>8.2670999999999992</v>
      </c>
      <c r="AH372" s="162">
        <v>1052.573167</v>
      </c>
      <c r="AI372" s="162"/>
      <c r="AJ372" s="163" t="str">
        <f t="shared" si="16"/>
        <v/>
      </c>
      <c r="AK372" s="164"/>
      <c r="AL372" s="165">
        <v>99.85</v>
      </c>
      <c r="AM372" s="166">
        <v>1538</v>
      </c>
      <c r="AN372" s="115"/>
      <c r="AO372" s="167">
        <v>1.6439849423E-4</v>
      </c>
      <c r="AP372" s="168">
        <f>IF(AO372="","",AO372-AO$6)</f>
        <v>-3.1574639070000002E-4</v>
      </c>
      <c r="AQ372" s="168">
        <v>-1.1770242598999999E-4</v>
      </c>
      <c r="AR372" s="168">
        <f>IF(AQ372="","",AQ372-AQ$6)</f>
        <v>9.9804326970000007E-5</v>
      </c>
      <c r="AS372" s="168"/>
      <c r="AT372" s="168" t="str">
        <f>IF(AS372="","",AS372-AS$6)</f>
        <v/>
      </c>
      <c r="AU372" s="168">
        <v>-1.148305711E-2</v>
      </c>
      <c r="AV372" s="168">
        <f>IF(AU372="","",AU372-AU$6)</f>
        <v>1.5855254859999997E-3</v>
      </c>
      <c r="AW372" s="168">
        <v>4.1506024005000003E-2</v>
      </c>
      <c r="AX372" s="168">
        <f>IF(AW372="","",AW372-AW$6)</f>
        <v>1.7510956217000002E-2</v>
      </c>
      <c r="AY372" s="168">
        <v>3.2266309276999999E-2</v>
      </c>
      <c r="AZ372" s="168">
        <f>IF(AY372="","",AY372-AY$6)</f>
        <v>1.8024054487000001E-2</v>
      </c>
      <c r="BA372" s="168"/>
      <c r="BB372" s="168" t="str">
        <f>IF(BA372="","",BA372-BA$6)</f>
        <v/>
      </c>
      <c r="BC372" s="168"/>
      <c r="BD372" s="168" t="str">
        <f>IF(BC372="","",BC372-BC$6)</f>
        <v/>
      </c>
      <c r="BE372" s="168"/>
      <c r="BF372" s="168" t="str">
        <f>IF(BE372="","",BE372-BE$6)</f>
        <v/>
      </c>
      <c r="BG372" s="168"/>
      <c r="BH372" s="168" t="str">
        <f>IF(BG372="","",BG372-BG$6)</f>
        <v/>
      </c>
      <c r="BI372" s="168"/>
      <c r="BJ372" s="168" t="str">
        <f>IF(BI372="","",BI372-BI$6)</f>
        <v/>
      </c>
      <c r="BK372" s="169"/>
      <c r="BL372" s="115"/>
      <c r="BM372" s="170">
        <v>1.3252463939E-2</v>
      </c>
      <c r="BN372" s="163">
        <v>-1.2161368515E-2</v>
      </c>
      <c r="BO372" s="163">
        <v>2.5232236705000001E-2</v>
      </c>
      <c r="BP372" s="163">
        <v>-2.7024185690000001E-2</v>
      </c>
      <c r="BQ372" s="171"/>
      <c r="BR372" s="171"/>
      <c r="BS372" s="171"/>
      <c r="BT372" s="171"/>
      <c r="BU372" s="172"/>
      <c r="BV372" s="172"/>
      <c r="BW372" s="163"/>
      <c r="BX372" s="163">
        <v>4.9206011324999998E-3</v>
      </c>
      <c r="BY372" s="161"/>
      <c r="BZ372" s="163">
        <v>-2.7024185688999999E-2</v>
      </c>
      <c r="CA372" s="163">
        <v>-2.7024185688999999E-2</v>
      </c>
      <c r="CB372" s="154">
        <v>45379</v>
      </c>
      <c r="CC372" s="154">
        <v>45412</v>
      </c>
      <c r="CD372" s="173">
        <v>71</v>
      </c>
      <c r="CE372" s="174">
        <v>45483</v>
      </c>
      <c r="CF372" s="116"/>
    </row>
    <row r="373" spans="2:84" ht="15.6" x14ac:dyDescent="0.3">
      <c r="B373" s="98" t="s">
        <v>1484</v>
      </c>
      <c r="C373" s="175" t="s">
        <v>2130</v>
      </c>
      <c r="D373" s="176" t="s">
        <v>1925</v>
      </c>
      <c r="E373" s="176" t="s">
        <v>1961</v>
      </c>
      <c r="F373" s="177">
        <v>3279285000130</v>
      </c>
      <c r="G373" s="177" t="s">
        <v>2437</v>
      </c>
      <c r="H373" s="177" t="s">
        <v>388</v>
      </c>
      <c r="I373" s="178">
        <v>4</v>
      </c>
      <c r="J373" s="179">
        <v>1</v>
      </c>
      <c r="K373" s="179" t="s">
        <v>128</v>
      </c>
      <c r="L373" s="179" t="s">
        <v>1744</v>
      </c>
      <c r="M373" s="179" t="s">
        <v>128</v>
      </c>
      <c r="N373" s="179" t="s">
        <v>109</v>
      </c>
      <c r="O373" s="180">
        <v>250000</v>
      </c>
      <c r="P373" s="181">
        <v>250000000</v>
      </c>
      <c r="Q373" s="181">
        <v>1000</v>
      </c>
      <c r="R373" s="182">
        <v>44515</v>
      </c>
      <c r="S373" s="182">
        <v>49628</v>
      </c>
      <c r="T373" s="183" t="s">
        <v>2010</v>
      </c>
      <c r="U373" s="183" t="s">
        <v>1712</v>
      </c>
      <c r="V373" s="182" t="s">
        <v>194</v>
      </c>
      <c r="W373" s="182" t="s">
        <v>102</v>
      </c>
      <c r="X373" s="182" t="s">
        <v>1611</v>
      </c>
      <c r="Y373" s="182">
        <v>47710</v>
      </c>
      <c r="Z373" s="184">
        <f>IFERROR(INDEX(Base!G:G,MATCH('Debêntures IPCA-Spread'!Y373,Base!F:F,0)),"")</f>
        <v>6.3273999999999999</v>
      </c>
      <c r="AA373" s="115"/>
      <c r="AB373" s="185">
        <v>45552</v>
      </c>
      <c r="AC373" s="186">
        <v>7.1192000000000002</v>
      </c>
      <c r="AD373" s="187">
        <f t="shared" si="17"/>
        <v>0.79180000000000028</v>
      </c>
      <c r="AE373" s="188">
        <v>0.14000000000000001</v>
      </c>
      <c r="AF373" s="189">
        <v>7.2976000000000001</v>
      </c>
      <c r="AG373" s="189">
        <v>6.875</v>
      </c>
      <c r="AH373" s="190">
        <v>1130.0040570000001</v>
      </c>
      <c r="AI373" s="190">
        <v>1138.8543010000001</v>
      </c>
      <c r="AJ373" s="191">
        <f t="shared" si="16"/>
        <v>0.99222881803912155</v>
      </c>
      <c r="AK373" s="192">
        <v>45519</v>
      </c>
      <c r="AL373" s="193">
        <v>98.36</v>
      </c>
      <c r="AM373" s="194">
        <v>1235</v>
      </c>
      <c r="AN373" s="115"/>
      <c r="AO373" s="195">
        <v>8.6421037121999997E-4</v>
      </c>
      <c r="AP373" s="196">
        <f>IF(AO373="","",AO373-AO$6)</f>
        <v>3.8406548628999997E-4</v>
      </c>
      <c r="AQ373" s="196">
        <v>5.8236427958000001E-3</v>
      </c>
      <c r="AR373" s="196">
        <f>IF(AQ373="","",AQ373-AQ$6)</f>
        <v>6.0411495487600001E-3</v>
      </c>
      <c r="AS373" s="196">
        <v>8.7830314214999997E-2</v>
      </c>
      <c r="AT373" s="196">
        <f>IF(AS373="","",AS373-AS$6)</f>
        <v>7.3104479159999999E-2</v>
      </c>
      <c r="AU373" s="196">
        <v>-5.7847966363999996E-3</v>
      </c>
      <c r="AV373" s="196">
        <f>IF(AU373="","",AU373-AU$6)</f>
        <v>7.2837859596000002E-3</v>
      </c>
      <c r="AW373" s="196">
        <v>3.3983657825999998E-2</v>
      </c>
      <c r="AX373" s="196">
        <f>IF(AW373="","",AW373-AW$6)</f>
        <v>9.9885900379999976E-3</v>
      </c>
      <c r="AY373" s="196">
        <v>5.2915866564999997E-2</v>
      </c>
      <c r="AZ373" s="196">
        <f>IF(AY373="","",AY373-AY$6)</f>
        <v>3.8673611774999998E-2</v>
      </c>
      <c r="BA373" s="196">
        <v>0.13315378678000001</v>
      </c>
      <c r="BB373" s="196">
        <f>IF(BA373="","",BA373-BA$6)</f>
        <v>7.9666822222E-2</v>
      </c>
      <c r="BC373" s="196">
        <v>0.24131155475999999</v>
      </c>
      <c r="BD373" s="196">
        <f>IF(BC373="","",BC373-BC$6)</f>
        <v>4.700298826999999E-2</v>
      </c>
      <c r="BE373" s="196"/>
      <c r="BF373" s="196" t="str">
        <f>IF(BE373="","",BE373-BE$6)</f>
        <v/>
      </c>
      <c r="BG373" s="196"/>
      <c r="BH373" s="196" t="str">
        <f>IF(BG373="","",BG373-BG$6)</f>
        <v/>
      </c>
      <c r="BI373" s="196"/>
      <c r="BJ373" s="196" t="str">
        <f>IF(BI373="","",BI373-BI$6)</f>
        <v/>
      </c>
      <c r="BK373" s="197">
        <v>5.5499589216</v>
      </c>
      <c r="BL373" s="115"/>
      <c r="BM373" s="198">
        <v>1.1131089566000001E-2</v>
      </c>
      <c r="BN373" s="191">
        <v>-1.1188598587E-2</v>
      </c>
      <c r="BO373" s="191">
        <v>3.3477649190999999E-2</v>
      </c>
      <c r="BP373" s="191">
        <v>-1.2904540313E-2</v>
      </c>
      <c r="BQ373" s="199">
        <v>10</v>
      </c>
      <c r="BR373" s="199">
        <v>2</v>
      </c>
      <c r="BS373" s="199">
        <v>7</v>
      </c>
      <c r="BT373" s="199">
        <v>5</v>
      </c>
      <c r="BU373" s="200">
        <v>0.37487842833000001</v>
      </c>
      <c r="BV373" s="200"/>
      <c r="BW373" s="191">
        <v>5.7335317943999998E-3</v>
      </c>
      <c r="BX373" s="191">
        <v>4.4035576718999998E-3</v>
      </c>
      <c r="BY373" s="189">
        <v>1.7182645887000001</v>
      </c>
      <c r="BZ373" s="191">
        <v>-2.2730060587999999E-2</v>
      </c>
      <c r="CA373" s="191">
        <v>-2.2730060587999999E-2</v>
      </c>
      <c r="CB373" s="182">
        <v>45391</v>
      </c>
      <c r="CC373" s="182">
        <v>45412</v>
      </c>
      <c r="CD373" s="201">
        <v>32</v>
      </c>
      <c r="CE373" s="202">
        <v>45436</v>
      </c>
      <c r="CF373" s="116"/>
    </row>
    <row r="374" spans="2:84" ht="15.6" x14ac:dyDescent="0.3">
      <c r="B374" s="110" t="s">
        <v>1118</v>
      </c>
      <c r="C374" s="147" t="s">
        <v>1282</v>
      </c>
      <c r="D374" s="148" t="s">
        <v>1144</v>
      </c>
      <c r="E374" s="148" t="s">
        <v>231</v>
      </c>
      <c r="F374" s="149">
        <v>1691945000160</v>
      </c>
      <c r="G374" s="149" t="s">
        <v>1179</v>
      </c>
      <c r="H374" s="149" t="s">
        <v>388</v>
      </c>
      <c r="I374" s="150">
        <v>2</v>
      </c>
      <c r="J374" s="151" t="s">
        <v>107</v>
      </c>
      <c r="K374" s="151" t="s">
        <v>128</v>
      </c>
      <c r="L374" s="151" t="s">
        <v>118</v>
      </c>
      <c r="M374" s="151" t="s">
        <v>128</v>
      </c>
      <c r="N374" s="151" t="s">
        <v>109</v>
      </c>
      <c r="O374" s="152">
        <v>259804</v>
      </c>
      <c r="P374" s="153">
        <v>259804000</v>
      </c>
      <c r="Q374" s="153">
        <v>1000</v>
      </c>
      <c r="R374" s="154">
        <v>44027</v>
      </c>
      <c r="S374" s="154">
        <v>47679</v>
      </c>
      <c r="T374" s="155" t="s">
        <v>1245</v>
      </c>
      <c r="U374" s="155" t="s">
        <v>1220</v>
      </c>
      <c r="V374" s="154" t="s">
        <v>105</v>
      </c>
      <c r="W374" s="154" t="s">
        <v>102</v>
      </c>
      <c r="X374" s="154" t="s">
        <v>1355</v>
      </c>
      <c r="Y374" s="154">
        <v>46522</v>
      </c>
      <c r="Z374" s="156">
        <f>IFERROR(INDEX(Base!G:G,MATCH('Debêntures IPCA-Spread'!Y374,Base!F:F,0)),"")</f>
        <v>6.391</v>
      </c>
      <c r="AA374" s="115"/>
      <c r="AB374" s="157">
        <v>45552</v>
      </c>
      <c r="AC374" s="158">
        <v>7.5285000000000002</v>
      </c>
      <c r="AD374" s="159">
        <f t="shared" si="17"/>
        <v>1.1375000000000002</v>
      </c>
      <c r="AE374" s="160">
        <v>0.04</v>
      </c>
      <c r="AF374" s="161">
        <v>7.7127999999999997</v>
      </c>
      <c r="AG374" s="161">
        <v>7.3384</v>
      </c>
      <c r="AH374" s="162">
        <v>804.099875</v>
      </c>
      <c r="AI374" s="162">
        <v>806.55039899999997</v>
      </c>
      <c r="AJ374" s="163">
        <f t="shared" si="16"/>
        <v>0.9969617224130839</v>
      </c>
      <c r="AK374" s="164">
        <v>45540</v>
      </c>
      <c r="AL374" s="165">
        <v>96.43</v>
      </c>
      <c r="AM374" s="166">
        <v>679</v>
      </c>
      <c r="AN374" s="115"/>
      <c r="AO374" s="167">
        <v>2.5013472258999999E-4</v>
      </c>
      <c r="AP374" s="168">
        <f>IF(AO374="","",AO374-AO$6)</f>
        <v>-2.3001016234000001E-4</v>
      </c>
      <c r="AQ374" s="168">
        <v>6.8447018892999999E-3</v>
      </c>
      <c r="AR374" s="168">
        <f>IF(AQ374="","",AQ374-AQ$6)</f>
        <v>7.0622086422599999E-3</v>
      </c>
      <c r="AS374" s="168">
        <v>8.9324832034999996E-2</v>
      </c>
      <c r="AT374" s="168">
        <f>IF(AS374="","",AS374-AS$6)</f>
        <v>7.4598996979999999E-2</v>
      </c>
      <c r="AU374" s="168">
        <v>1.0364887801E-2</v>
      </c>
      <c r="AV374" s="168">
        <f>IF(AU374="","",AU374-AU$6)</f>
        <v>2.3433470397E-2</v>
      </c>
      <c r="AW374" s="168">
        <v>4.0123724120000002E-2</v>
      </c>
      <c r="AX374" s="168">
        <f>IF(AW374="","",AW374-AW$6)</f>
        <v>1.6128656332000002E-2</v>
      </c>
      <c r="AY374" s="168">
        <v>4.7192540253000001E-2</v>
      </c>
      <c r="AZ374" s="168">
        <f>IF(AY374="","",AY374-AY$6)</f>
        <v>3.2950285463000002E-2</v>
      </c>
      <c r="BA374" s="168">
        <v>0.12086933871</v>
      </c>
      <c r="BB374" s="168">
        <f>IF(BA374="","",BA374-BA$6)</f>
        <v>6.7382374151999991E-2</v>
      </c>
      <c r="BC374" s="168">
        <v>0.25475813350999998</v>
      </c>
      <c r="BD374" s="168">
        <f>IF(BC374="","",BC374-BC$6)</f>
        <v>6.0449567019999983E-2</v>
      </c>
      <c r="BE374" s="168">
        <v>0.37848350180000001</v>
      </c>
      <c r="BF374" s="168">
        <f>IF(BE374="","",BE374-BE$6)</f>
        <v>0.11676416226000003</v>
      </c>
      <c r="BG374" s="168"/>
      <c r="BH374" s="168" t="str">
        <f>IF(BG374="","",BG374-BG$6)</f>
        <v/>
      </c>
      <c r="BI374" s="168"/>
      <c r="BJ374" s="168" t="str">
        <f>IF(BI374="","",BI374-BI$6)</f>
        <v/>
      </c>
      <c r="BK374" s="169">
        <v>3.5805340604000002</v>
      </c>
      <c r="BL374" s="115"/>
      <c r="BM374" s="170">
        <v>9.0851824406999997E-3</v>
      </c>
      <c r="BN374" s="163">
        <v>-6.2962253014000004E-3</v>
      </c>
      <c r="BO374" s="163">
        <v>2.6558667429999998E-2</v>
      </c>
      <c r="BP374" s="163">
        <v>-8.7136201528000001E-3</v>
      </c>
      <c r="BQ374" s="171">
        <v>10</v>
      </c>
      <c r="BR374" s="171">
        <v>2</v>
      </c>
      <c r="BS374" s="171">
        <v>9</v>
      </c>
      <c r="BT374" s="171">
        <v>3</v>
      </c>
      <c r="BU374" s="172">
        <v>0.24634230184</v>
      </c>
      <c r="BV374" s="172">
        <v>-8.1094227057000007E-2</v>
      </c>
      <c r="BW374" s="163">
        <v>3.7014892053000002E-3</v>
      </c>
      <c r="BX374" s="163">
        <v>4.1822268228999997E-3</v>
      </c>
      <c r="BY374" s="161">
        <v>0.52480577544999996</v>
      </c>
      <c r="BZ374" s="163">
        <v>-1.3726244453000001E-2</v>
      </c>
      <c r="CA374" s="163">
        <v>-1.3726244453000001E-2</v>
      </c>
      <c r="CB374" s="154">
        <v>45187</v>
      </c>
      <c r="CC374" s="154">
        <v>45230</v>
      </c>
      <c r="CD374" s="173">
        <v>40</v>
      </c>
      <c r="CE374" s="174">
        <v>45246</v>
      </c>
      <c r="CF374" s="116"/>
    </row>
    <row r="375" spans="2:84" ht="15.6" x14ac:dyDescent="0.3">
      <c r="B375" s="98" t="s">
        <v>59</v>
      </c>
      <c r="C375" s="175" t="s">
        <v>322</v>
      </c>
      <c r="D375" s="176" t="s">
        <v>96</v>
      </c>
      <c r="E375" s="176" t="s">
        <v>226</v>
      </c>
      <c r="F375" s="177">
        <v>17553029000101</v>
      </c>
      <c r="G375" s="177" t="s">
        <v>378</v>
      </c>
      <c r="H375" s="177" t="s">
        <v>388</v>
      </c>
      <c r="I375" s="178">
        <v>2</v>
      </c>
      <c r="J375" s="179" t="s">
        <v>108</v>
      </c>
      <c r="K375" s="179" t="s">
        <v>127</v>
      </c>
      <c r="L375" s="179" t="s">
        <v>124</v>
      </c>
      <c r="M375" s="179" t="s">
        <v>106</v>
      </c>
      <c r="N375" s="179" t="s">
        <v>109</v>
      </c>
      <c r="O375" s="180">
        <v>120000</v>
      </c>
      <c r="P375" s="181">
        <v>120000000</v>
      </c>
      <c r="Q375" s="181">
        <v>1000</v>
      </c>
      <c r="R375" s="182">
        <v>42750</v>
      </c>
      <c r="S375" s="182">
        <v>46827</v>
      </c>
      <c r="T375" s="183" t="s">
        <v>158</v>
      </c>
      <c r="U375" s="183" t="s">
        <v>187</v>
      </c>
      <c r="V375" s="182" t="s">
        <v>194</v>
      </c>
      <c r="W375" s="182" t="s">
        <v>102</v>
      </c>
      <c r="X375" s="182" t="s">
        <v>211</v>
      </c>
      <c r="Y375" s="182">
        <v>46249</v>
      </c>
      <c r="Z375" s="184">
        <f>IFERROR(INDEX(Base!G:G,MATCH('Debêntures IPCA-Spread'!Y375,Base!F:F,0)),"")</f>
        <v>6.5365000000000002</v>
      </c>
      <c r="AA375" s="115"/>
      <c r="AB375" s="185">
        <v>45552</v>
      </c>
      <c r="AC375" s="186">
        <v>6.2012999999999998</v>
      </c>
      <c r="AD375" s="187">
        <f t="shared" si="17"/>
        <v>-0.33520000000000039</v>
      </c>
      <c r="AE375" s="188">
        <v>0.15</v>
      </c>
      <c r="AF375" s="189">
        <v>6.4564000000000004</v>
      </c>
      <c r="AG375" s="189">
        <v>5.9097999999999997</v>
      </c>
      <c r="AH375" s="190">
        <v>660.24668099999997</v>
      </c>
      <c r="AI375" s="190">
        <v>660.24668099999997</v>
      </c>
      <c r="AJ375" s="191">
        <f t="shared" si="16"/>
        <v>1</v>
      </c>
      <c r="AK375" s="192">
        <v>45552</v>
      </c>
      <c r="AL375" s="193">
        <v>101.27</v>
      </c>
      <c r="AM375" s="194">
        <v>481</v>
      </c>
      <c r="AN375" s="115"/>
      <c r="AO375" s="195">
        <v>1.1032569673E-3</v>
      </c>
      <c r="AP375" s="196">
        <f>IF(AO375="","",AO375-AO$6)</f>
        <v>6.2311208237000003E-4</v>
      </c>
      <c r="AQ375" s="196">
        <v>7.7962119757999998E-3</v>
      </c>
      <c r="AR375" s="196">
        <f>IF(AQ375="","",AQ375-AQ$6)</f>
        <v>8.0137187287599998E-3</v>
      </c>
      <c r="AS375" s="196">
        <v>0.27803072775999998</v>
      </c>
      <c r="AT375" s="196">
        <f>IF(AS375="","",AS375-AS$6)</f>
        <v>0.26330489270499996</v>
      </c>
      <c r="AU375" s="196">
        <v>6.9616983527999998E-3</v>
      </c>
      <c r="AV375" s="196">
        <f>IF(AU375="","",AU375-AU$6)</f>
        <v>2.0030280948800001E-2</v>
      </c>
      <c r="AW375" s="196">
        <v>2.8460291232000001E-2</v>
      </c>
      <c r="AX375" s="196">
        <f>IF(AW375="","",AW375-AW$6)</f>
        <v>4.4652234440000008E-3</v>
      </c>
      <c r="AY375" s="196">
        <v>0.24000891814</v>
      </c>
      <c r="AZ375" s="196">
        <f>IF(AY375="","",AY375-AY$6)</f>
        <v>0.22576666335000001</v>
      </c>
      <c r="BA375" s="196">
        <v>0.30721138406999998</v>
      </c>
      <c r="BB375" s="196">
        <f>IF(BA375="","",BA375-BA$6)</f>
        <v>0.25372441951199998</v>
      </c>
      <c r="BC375" s="196">
        <v>0.48104078978999998</v>
      </c>
      <c r="BD375" s="196">
        <f>IF(BC375="","",BC375-BC$6)</f>
        <v>0.28673222329999998</v>
      </c>
      <c r="BE375" s="196">
        <v>0.64260339113999998</v>
      </c>
      <c r="BF375" s="196">
        <f>IF(BE375="","",BE375-BE$6)</f>
        <v>0.3808840516</v>
      </c>
      <c r="BG375" s="196">
        <v>0.78626108260000005</v>
      </c>
      <c r="BH375" s="196">
        <f>IF(BG375="","",BG375-BG$6)</f>
        <v>0.47734443379000002</v>
      </c>
      <c r="BI375" s="196">
        <v>0.87499050390999999</v>
      </c>
      <c r="BJ375" s="196">
        <f>IF(BI375="","",BI375-BI$6)</f>
        <v>0.50204749382999991</v>
      </c>
      <c r="BK375" s="197">
        <v>17.920649523000002</v>
      </c>
      <c r="BL375" s="115"/>
      <c r="BM375" s="198">
        <v>0.19518511178</v>
      </c>
      <c r="BN375" s="191">
        <v>-5.3930398498999998E-3</v>
      </c>
      <c r="BO375" s="191">
        <v>0.20542771134999999</v>
      </c>
      <c r="BP375" s="191">
        <v>-4.6182389805999998E-3</v>
      </c>
      <c r="BQ375" s="199">
        <v>10</v>
      </c>
      <c r="BR375" s="199">
        <v>2</v>
      </c>
      <c r="BS375" s="199">
        <v>8</v>
      </c>
      <c r="BT375" s="199">
        <v>4</v>
      </c>
      <c r="BU375" s="200">
        <v>1.0007528198</v>
      </c>
      <c r="BV375" s="200">
        <v>0.53508834916000003</v>
      </c>
      <c r="BW375" s="191">
        <v>2.0240302668999999E-2</v>
      </c>
      <c r="BX375" s="191">
        <v>1.5974461804999999E-3</v>
      </c>
      <c r="BY375" s="189">
        <v>21.526599358999999</v>
      </c>
      <c r="BZ375" s="191">
        <v>-1.2804854318999999E-2</v>
      </c>
      <c r="CA375" s="191">
        <v>-1.2804854318999999E-2</v>
      </c>
      <c r="CB375" s="182">
        <v>45187</v>
      </c>
      <c r="CC375" s="182">
        <v>45218</v>
      </c>
      <c r="CD375" s="201">
        <v>39</v>
      </c>
      <c r="CE375" s="202">
        <v>45244</v>
      </c>
      <c r="CF375" s="116"/>
    </row>
    <row r="376" spans="2:84" ht="15.6" x14ac:dyDescent="0.3">
      <c r="B376" s="110" t="s">
        <v>1485</v>
      </c>
      <c r="C376" s="147" t="s">
        <v>2131</v>
      </c>
      <c r="D376" s="148" t="s">
        <v>1926</v>
      </c>
      <c r="E376" s="148" t="s">
        <v>226</v>
      </c>
      <c r="F376" s="149">
        <v>32667691000178</v>
      </c>
      <c r="G376" s="149" t="s">
        <v>1843</v>
      </c>
      <c r="H376" s="149" t="s">
        <v>388</v>
      </c>
      <c r="I376" s="150">
        <v>1</v>
      </c>
      <c r="J376" s="151" t="s">
        <v>107</v>
      </c>
      <c r="K376" s="151" t="s">
        <v>111</v>
      </c>
      <c r="L376" s="151" t="s">
        <v>112</v>
      </c>
      <c r="M376" s="151" t="s">
        <v>986</v>
      </c>
      <c r="N376" s="151" t="s">
        <v>109</v>
      </c>
      <c r="O376" s="152">
        <v>220000</v>
      </c>
      <c r="P376" s="153">
        <v>220000000</v>
      </c>
      <c r="Q376" s="153">
        <v>1000</v>
      </c>
      <c r="R376" s="154">
        <v>44301</v>
      </c>
      <c r="S376" s="154">
        <v>53432</v>
      </c>
      <c r="T376" s="155" t="s">
        <v>2011</v>
      </c>
      <c r="U376" s="155" t="s">
        <v>1698</v>
      </c>
      <c r="V376" s="154" t="s">
        <v>105</v>
      </c>
      <c r="W376" s="154" t="s">
        <v>102</v>
      </c>
      <c r="X376" s="154" t="s">
        <v>1612</v>
      </c>
      <c r="Y376" s="154">
        <v>51363</v>
      </c>
      <c r="Z376" s="156">
        <f>IFERROR(INDEX(Base!G:G,MATCH('Debêntures IPCA-Spread'!Y376,Base!F:F,0)),"")</f>
        <v>6.2279</v>
      </c>
      <c r="AA376" s="115"/>
      <c r="AB376" s="157">
        <v>45552</v>
      </c>
      <c r="AC376" s="158">
        <v>6.7946999999999997</v>
      </c>
      <c r="AD376" s="159">
        <f t="shared" si="17"/>
        <v>0.56679999999999975</v>
      </c>
      <c r="AE376" s="160">
        <v>0.13</v>
      </c>
      <c r="AF376" s="161">
        <v>7.0022000000000002</v>
      </c>
      <c r="AG376" s="161">
        <v>6.6242000000000001</v>
      </c>
      <c r="AH376" s="162">
        <v>1131.1984520000001</v>
      </c>
      <c r="AI376" s="162">
        <v>1157.8494800000001</v>
      </c>
      <c r="AJ376" s="163">
        <f t="shared" si="16"/>
        <v>0.97698230343377623</v>
      </c>
      <c r="AK376" s="164">
        <v>45520</v>
      </c>
      <c r="AL376" s="165">
        <v>90.65</v>
      </c>
      <c r="AM376" s="166">
        <v>2324</v>
      </c>
      <c r="AN376" s="115"/>
      <c r="AO376" s="167">
        <v>7.2264016508000002E-3</v>
      </c>
      <c r="AP376" s="168">
        <f>IF(AO376="","",AO376-AO$6)</f>
        <v>6.7462567658700002E-3</v>
      </c>
      <c r="AQ376" s="168">
        <v>5.6957307133000002E-3</v>
      </c>
      <c r="AR376" s="168">
        <f>IF(AQ376="","",AQ376-AQ$6)</f>
        <v>5.9132374662600002E-3</v>
      </c>
      <c r="AS376" s="168">
        <v>9.3367902146999998E-2</v>
      </c>
      <c r="AT376" s="168">
        <f>IF(AS376="","",AS376-AS$6)</f>
        <v>7.8642067092000001E-2</v>
      </c>
      <c r="AU376" s="168">
        <v>-2.3017696566000001E-2</v>
      </c>
      <c r="AV376" s="168">
        <f>IF(AU376="","",AU376-AU$6)</f>
        <v>-9.9491139700000012E-3</v>
      </c>
      <c r="AW376" s="168">
        <v>4.5038396044999998E-2</v>
      </c>
      <c r="AX376" s="168">
        <f>IF(AW376="","",AW376-AW$6)</f>
        <v>2.1043328256999998E-2</v>
      </c>
      <c r="AY376" s="168">
        <v>2.3240312313999999E-2</v>
      </c>
      <c r="AZ376" s="168">
        <f>IF(AY376="","",AY376-AY$6)</f>
        <v>8.9980575239999982E-3</v>
      </c>
      <c r="BA376" s="168">
        <v>0.15100191655</v>
      </c>
      <c r="BB376" s="168">
        <f>IF(BA376="","",BA376-BA$6)</f>
        <v>9.7514951991999999E-2</v>
      </c>
      <c r="BC376" s="168">
        <v>0.31368941256999999</v>
      </c>
      <c r="BD376" s="168">
        <f>IF(BC376="","",BC376-BC$6)</f>
        <v>0.11938084607999999</v>
      </c>
      <c r="BE376" s="168"/>
      <c r="BF376" s="168" t="str">
        <f>IF(BE376="","",BE376-BE$6)</f>
        <v/>
      </c>
      <c r="BG376" s="168"/>
      <c r="BH376" s="168" t="str">
        <f>IF(BG376="","",BG376-BG$6)</f>
        <v/>
      </c>
      <c r="BI376" s="168"/>
      <c r="BJ376" s="168" t="str">
        <f>IF(BI376="","",BI376-BI$6)</f>
        <v/>
      </c>
      <c r="BK376" s="169">
        <v>9.8882857209000008</v>
      </c>
      <c r="BL376" s="115"/>
      <c r="BM376" s="170">
        <v>2.7776761723000001E-2</v>
      </c>
      <c r="BN376" s="163">
        <v>-1.8714365295E-2</v>
      </c>
      <c r="BO376" s="163">
        <v>4.8063421625999997E-2</v>
      </c>
      <c r="BP376" s="163">
        <v>-2.2103156738999999E-2</v>
      </c>
      <c r="BQ376" s="171">
        <v>8</v>
      </c>
      <c r="BR376" s="171">
        <v>4</v>
      </c>
      <c r="BS376" s="171">
        <v>7</v>
      </c>
      <c r="BT376" s="171">
        <v>5</v>
      </c>
      <c r="BU376" s="172">
        <v>0.40815394549</v>
      </c>
      <c r="BV376" s="172"/>
      <c r="BW376" s="163">
        <v>1.0219589085E-2</v>
      </c>
      <c r="BX376" s="163">
        <v>1.02493768E-2</v>
      </c>
      <c r="BY376" s="161">
        <v>3.6082907935000001</v>
      </c>
      <c r="BZ376" s="163">
        <v>-4.3373362255999998E-2</v>
      </c>
      <c r="CA376" s="163">
        <v>-4.3373362255999998E-2</v>
      </c>
      <c r="CB376" s="154">
        <v>45364</v>
      </c>
      <c r="CC376" s="154">
        <v>45475</v>
      </c>
      <c r="CD376" s="173">
        <v>97</v>
      </c>
      <c r="CE376" s="174">
        <v>45504</v>
      </c>
      <c r="CF376" s="116"/>
    </row>
    <row r="377" spans="2:84" ht="15.6" x14ac:dyDescent="0.3">
      <c r="B377" s="98" t="s">
        <v>60</v>
      </c>
      <c r="C377" s="175" t="s">
        <v>323</v>
      </c>
      <c r="D377" s="176" t="s">
        <v>97</v>
      </c>
      <c r="E377" s="176" t="s">
        <v>226</v>
      </c>
      <c r="F377" s="177">
        <v>33050196000188</v>
      </c>
      <c r="G377" s="177" t="s">
        <v>379</v>
      </c>
      <c r="H377" s="177" t="s">
        <v>388</v>
      </c>
      <c r="I377" s="178">
        <v>8</v>
      </c>
      <c r="J377" s="179">
        <v>3</v>
      </c>
      <c r="K377" s="179" t="s">
        <v>126</v>
      </c>
      <c r="L377" s="179" t="s">
        <v>119</v>
      </c>
      <c r="M377" s="179" t="s">
        <v>106</v>
      </c>
      <c r="N377" s="179" t="s">
        <v>109</v>
      </c>
      <c r="O377" s="180">
        <v>130478</v>
      </c>
      <c r="P377" s="181">
        <v>130478</v>
      </c>
      <c r="Q377" s="181">
        <v>1000</v>
      </c>
      <c r="R377" s="182">
        <v>42993</v>
      </c>
      <c r="S377" s="182">
        <v>46645</v>
      </c>
      <c r="T377" s="183" t="s">
        <v>159</v>
      </c>
      <c r="U377" s="183" t="s">
        <v>188</v>
      </c>
      <c r="V377" s="182" t="s">
        <v>105</v>
      </c>
      <c r="W377" s="182" t="s">
        <v>102</v>
      </c>
      <c r="X377" s="182" t="s">
        <v>1339</v>
      </c>
      <c r="Y377" s="182">
        <v>46249</v>
      </c>
      <c r="Z377" s="184">
        <f>IFERROR(INDEX(Base!G:G,MATCH('Debêntures IPCA-Spread'!Y377,Base!F:F,0)),"")</f>
        <v>6.5365000000000002</v>
      </c>
      <c r="AA377" s="115"/>
      <c r="AB377" s="185">
        <v>45552</v>
      </c>
      <c r="AC377" s="186">
        <v>6.4463999999999997</v>
      </c>
      <c r="AD377" s="187">
        <f t="shared" si="17"/>
        <v>-9.0100000000000513E-2</v>
      </c>
      <c r="AE377" s="188">
        <v>0.19</v>
      </c>
      <c r="AF377" s="189">
        <v>6.6337000000000002</v>
      </c>
      <c r="AG377" s="189">
        <v>6.2210000000000001</v>
      </c>
      <c r="AH377" s="190">
        <v>1396.7879700000001</v>
      </c>
      <c r="AI377" s="190">
        <v>1396.7879700000001</v>
      </c>
      <c r="AJ377" s="191">
        <f t="shared" si="16"/>
        <v>1</v>
      </c>
      <c r="AK377" s="192">
        <v>45552</v>
      </c>
      <c r="AL377" s="193">
        <v>97.53</v>
      </c>
      <c r="AM377" s="194">
        <v>476</v>
      </c>
      <c r="AN377" s="115"/>
      <c r="AO377" s="195">
        <v>2.3653205608000001E-4</v>
      </c>
      <c r="AP377" s="196">
        <f>IF(AO377="","",AO377-AO$6)</f>
        <v>-2.4361282884999998E-4</v>
      </c>
      <c r="AQ377" s="196">
        <v>5.9357186837999997E-3</v>
      </c>
      <c r="AR377" s="196">
        <f>IF(AQ377="","",AQ377-AQ$6)</f>
        <v>6.1532254367599997E-3</v>
      </c>
      <c r="AS377" s="196">
        <v>6.1596318249999997E-2</v>
      </c>
      <c r="AT377" s="196">
        <f>IF(AS377="","",AS377-AS$6)</f>
        <v>4.6870483194999993E-2</v>
      </c>
      <c r="AU377" s="196">
        <v>7.3566502997000002E-3</v>
      </c>
      <c r="AV377" s="196">
        <f>IF(AU377="","",AU377-AU$6)</f>
        <v>2.0425232895700002E-2</v>
      </c>
      <c r="AW377" s="196">
        <v>2.5623432804E-2</v>
      </c>
      <c r="AX377" s="196">
        <f>IF(AW377="","",AW377-AW$6)</f>
        <v>1.6283650159999996E-3</v>
      </c>
      <c r="AY377" s="196">
        <v>3.3244534574E-2</v>
      </c>
      <c r="AZ377" s="196">
        <f>IF(AY377="","",AY377-AY$6)</f>
        <v>1.9002279784000001E-2</v>
      </c>
      <c r="BA377" s="196">
        <v>9.1798656433000003E-2</v>
      </c>
      <c r="BB377" s="196">
        <f>IF(BA377="","",BA377-BA$6)</f>
        <v>3.8311691875000005E-2</v>
      </c>
      <c r="BC377" s="196">
        <v>0.21572303205000001</v>
      </c>
      <c r="BD377" s="196">
        <f>IF(BC377="","",BC377-BC$6)</f>
        <v>2.1414465560000012E-2</v>
      </c>
      <c r="BE377" s="196">
        <v>0.32383096322999999</v>
      </c>
      <c r="BF377" s="196">
        <f>IF(BE377="","",BE377-BE$6)</f>
        <v>6.2111623690000006E-2</v>
      </c>
      <c r="BG377" s="196">
        <v>0.44509534119999999</v>
      </c>
      <c r="BH377" s="196">
        <f>IF(BG377="","",BG377-BG$6)</f>
        <v>0.13617869238999997</v>
      </c>
      <c r="BI377" s="196">
        <v>0.49520210902</v>
      </c>
      <c r="BJ377" s="196">
        <f>IF(BI377="","",BI377-BI$6)</f>
        <v>0.12225909893999998</v>
      </c>
      <c r="BK377" s="197">
        <v>2.4157993847000001</v>
      </c>
      <c r="BL377" s="115"/>
      <c r="BM377" s="198">
        <v>4.5426975012E-3</v>
      </c>
      <c r="BN377" s="191">
        <v>-5.5863869893E-3</v>
      </c>
      <c r="BO377" s="191">
        <v>2.2264590765000002E-2</v>
      </c>
      <c r="BP377" s="191">
        <v>-8.4242630392000004E-3</v>
      </c>
      <c r="BQ377" s="199">
        <v>10</v>
      </c>
      <c r="BR377" s="199">
        <v>2</v>
      </c>
      <c r="BS377" s="199">
        <v>7</v>
      </c>
      <c r="BT377" s="199">
        <v>5</v>
      </c>
      <c r="BU377" s="200">
        <v>-0.73214838235000002</v>
      </c>
      <c r="BV377" s="200">
        <v>-0.45293377614000002</v>
      </c>
      <c r="BW377" s="191">
        <v>2.4955565814000001E-3</v>
      </c>
      <c r="BX377" s="191">
        <v>1.47332248E-3</v>
      </c>
      <c r="BY377" s="189">
        <v>-2.3191578714999999</v>
      </c>
      <c r="BZ377" s="191">
        <v>-1.4075335245999999E-2</v>
      </c>
      <c r="CA377" s="191">
        <v>-1.4075335245999999E-2</v>
      </c>
      <c r="CB377" s="182">
        <v>45189</v>
      </c>
      <c r="CC377" s="182">
        <v>45202</v>
      </c>
      <c r="CD377" s="201">
        <v>37</v>
      </c>
      <c r="CE377" s="202">
        <v>45244</v>
      </c>
      <c r="CF377" s="116"/>
    </row>
    <row r="378" spans="2:84" ht="15.6" x14ac:dyDescent="0.3">
      <c r="B378" s="110" t="s">
        <v>2301</v>
      </c>
      <c r="C378" s="147" t="s">
        <v>2686</v>
      </c>
      <c r="D378" s="148" t="s">
        <v>97</v>
      </c>
      <c r="E378" s="148" t="s">
        <v>226</v>
      </c>
      <c r="F378" s="149">
        <v>33050196000188</v>
      </c>
      <c r="G378" s="149" t="s">
        <v>2438</v>
      </c>
      <c r="H378" s="149" t="s">
        <v>388</v>
      </c>
      <c r="I378" s="150">
        <v>13</v>
      </c>
      <c r="J378" s="151">
        <v>1</v>
      </c>
      <c r="K378" s="151" t="s">
        <v>126</v>
      </c>
      <c r="L378" s="151" t="s">
        <v>112</v>
      </c>
      <c r="M378" s="151" t="s">
        <v>114</v>
      </c>
      <c r="N378" s="151" t="s">
        <v>109</v>
      </c>
      <c r="O378" s="152">
        <v>199538</v>
      </c>
      <c r="P378" s="153">
        <v>199538000</v>
      </c>
      <c r="Q378" s="153">
        <v>1000</v>
      </c>
      <c r="R378" s="154">
        <v>45214</v>
      </c>
      <c r="S378" s="154">
        <v>48867</v>
      </c>
      <c r="T378" s="155" t="s">
        <v>2771</v>
      </c>
      <c r="U378" s="155" t="s">
        <v>2711</v>
      </c>
      <c r="V378" s="154" t="s">
        <v>105</v>
      </c>
      <c r="W378" s="154" t="s">
        <v>102</v>
      </c>
      <c r="X378" s="154" t="s">
        <v>2471</v>
      </c>
      <c r="Y378" s="154">
        <v>48441</v>
      </c>
      <c r="Z378" s="156">
        <f>IFERROR(INDEX(Base!G:G,MATCH('Debêntures IPCA-Spread'!Y378,Base!F:F,0)),"")</f>
        <v>6.3467000000000002</v>
      </c>
      <c r="AA378" s="115"/>
      <c r="AB378" s="157">
        <v>45552</v>
      </c>
      <c r="AC378" s="158">
        <v>6.5213999999999999</v>
      </c>
      <c r="AD378" s="159">
        <f t="shared" si="17"/>
        <v>0.17469999999999963</v>
      </c>
      <c r="AE378" s="160">
        <v>0.08</v>
      </c>
      <c r="AF378" s="161">
        <v>6.6866000000000003</v>
      </c>
      <c r="AG378" s="161">
        <v>6.4259000000000004</v>
      </c>
      <c r="AH378" s="162">
        <v>1043.77162</v>
      </c>
      <c r="AI378" s="162"/>
      <c r="AJ378" s="163" t="str">
        <f t="shared" si="16"/>
        <v/>
      </c>
      <c r="AK378" s="164"/>
      <c r="AL378" s="165">
        <v>97.99</v>
      </c>
      <c r="AM378" s="166">
        <v>1580</v>
      </c>
      <c r="AN378" s="115"/>
      <c r="AO378" s="167">
        <v>1.4539899257000001E-3</v>
      </c>
      <c r="AP378" s="168">
        <f>IF(AO378="","",AO378-AO$6)</f>
        <v>9.738450407700001E-4</v>
      </c>
      <c r="AQ378" s="168">
        <v>-1.4315400957999999E-3</v>
      </c>
      <c r="AR378" s="168">
        <f>IF(AQ378="","",AQ378-AQ$6)</f>
        <v>-1.2140333428399999E-3</v>
      </c>
      <c r="AS378" s="168">
        <v>4.823474413E-2</v>
      </c>
      <c r="AT378" s="168">
        <f>IF(AS378="","",AS378-AS$6)</f>
        <v>3.3508909074999996E-2</v>
      </c>
      <c r="AU378" s="168">
        <v>-1.4187670176999999E-2</v>
      </c>
      <c r="AV378" s="168">
        <f>IF(AU378="","",AU378-AU$6)</f>
        <v>-1.1190875809999994E-3</v>
      </c>
      <c r="AW378" s="168">
        <v>3.4443569591999998E-2</v>
      </c>
      <c r="AX378" s="168">
        <f>IF(AW378="","",AW378-AW$6)</f>
        <v>1.0448501803999997E-2</v>
      </c>
      <c r="AY378" s="168">
        <v>1.6270057506999999E-2</v>
      </c>
      <c r="AZ378" s="168">
        <f>IF(AY378="","",AY378-AY$6)</f>
        <v>2.027802716999998E-3</v>
      </c>
      <c r="BA378" s="168"/>
      <c r="BB378" s="168" t="str">
        <f>IF(BA378="","",BA378-BA$6)</f>
        <v/>
      </c>
      <c r="BC378" s="168"/>
      <c r="BD378" s="168" t="str">
        <f>IF(BC378="","",BC378-BC$6)</f>
        <v/>
      </c>
      <c r="BE378" s="168"/>
      <c r="BF378" s="168" t="str">
        <f>IF(BE378="","",BE378-BE$6)</f>
        <v/>
      </c>
      <c r="BG378" s="168"/>
      <c r="BH378" s="168" t="str">
        <f>IF(BG378="","",BG378-BG$6)</f>
        <v/>
      </c>
      <c r="BI378" s="168"/>
      <c r="BJ378" s="168" t="str">
        <f>IF(BI378="","",BI378-BI$6)</f>
        <v/>
      </c>
      <c r="BK378" s="169"/>
      <c r="BL378" s="115"/>
      <c r="BM378" s="170">
        <v>1.0704043215E-2</v>
      </c>
      <c r="BN378" s="163">
        <v>-1.0998304297E-2</v>
      </c>
      <c r="BO378" s="163">
        <v>3.4407982990000002E-2</v>
      </c>
      <c r="BP378" s="163">
        <v>-2.4083711042000001E-2</v>
      </c>
      <c r="BQ378" s="171"/>
      <c r="BR378" s="171"/>
      <c r="BS378" s="171"/>
      <c r="BT378" s="171"/>
      <c r="BU378" s="172"/>
      <c r="BV378" s="172"/>
      <c r="BW378" s="163"/>
      <c r="BX378" s="163">
        <v>5.6018227376000004E-3</v>
      </c>
      <c r="BY378" s="161"/>
      <c r="BZ378" s="163">
        <v>-3.0190699846000001E-2</v>
      </c>
      <c r="CA378" s="163">
        <v>-3.0190699846000001E-2</v>
      </c>
      <c r="CB378" s="154">
        <v>45364</v>
      </c>
      <c r="CC378" s="154">
        <v>45455</v>
      </c>
      <c r="CD378" s="173">
        <v>83</v>
      </c>
      <c r="CE378" s="174">
        <v>45484</v>
      </c>
      <c r="CF378" s="116"/>
    </row>
    <row r="379" spans="2:84" ht="15.6" x14ac:dyDescent="0.3">
      <c r="B379" s="98" t="s">
        <v>2302</v>
      </c>
      <c r="C379" s="175" t="s">
        <v>2687</v>
      </c>
      <c r="D379" s="176" t="s">
        <v>97</v>
      </c>
      <c r="E379" s="176" t="s">
        <v>226</v>
      </c>
      <c r="F379" s="177">
        <v>33050196000188</v>
      </c>
      <c r="G379" s="177" t="s">
        <v>2439</v>
      </c>
      <c r="H379" s="177" t="s">
        <v>388</v>
      </c>
      <c r="I379" s="178">
        <v>13</v>
      </c>
      <c r="J379" s="179">
        <v>2</v>
      </c>
      <c r="K379" s="179" t="s">
        <v>126</v>
      </c>
      <c r="L379" s="179" t="s">
        <v>112</v>
      </c>
      <c r="M379" s="179" t="s">
        <v>114</v>
      </c>
      <c r="N379" s="179" t="s">
        <v>109</v>
      </c>
      <c r="O379" s="180">
        <v>550462</v>
      </c>
      <c r="P379" s="181">
        <v>550462000</v>
      </c>
      <c r="Q379" s="181">
        <v>1000</v>
      </c>
      <c r="R379" s="182">
        <v>45214</v>
      </c>
      <c r="S379" s="182">
        <v>49597</v>
      </c>
      <c r="T379" s="183" t="s">
        <v>2771</v>
      </c>
      <c r="U379" s="183" t="s">
        <v>2769</v>
      </c>
      <c r="V379" s="182" t="s">
        <v>105</v>
      </c>
      <c r="W379" s="182" t="s">
        <v>102</v>
      </c>
      <c r="X379" s="182" t="s">
        <v>2556</v>
      </c>
      <c r="Y379" s="182">
        <v>49444</v>
      </c>
      <c r="Z379" s="184">
        <f>IFERROR(INDEX(Base!G:G,MATCH('Debêntures IPCA-Spread'!Y379,Base!F:F,0)),"")</f>
        <v>6.3137999999999996</v>
      </c>
      <c r="AA379" s="115"/>
      <c r="AB379" s="185">
        <v>45552</v>
      </c>
      <c r="AC379" s="186">
        <v>6.5350000000000001</v>
      </c>
      <c r="AD379" s="187">
        <f t="shared" si="17"/>
        <v>0.22120000000000051</v>
      </c>
      <c r="AE379" s="188">
        <v>0.09</v>
      </c>
      <c r="AF379" s="189">
        <v>6.7356999999999996</v>
      </c>
      <c r="AG379" s="189">
        <v>6.3982000000000001</v>
      </c>
      <c r="AH379" s="190">
        <v>1038.7847420000001</v>
      </c>
      <c r="AI379" s="190"/>
      <c r="AJ379" s="191" t="str">
        <f t="shared" si="16"/>
        <v/>
      </c>
      <c r="AK379" s="192"/>
      <c r="AL379" s="193">
        <v>97.52</v>
      </c>
      <c r="AM379" s="194">
        <v>1865</v>
      </c>
      <c r="AN379" s="115"/>
      <c r="AO379" s="195">
        <v>1.2092225006E-4</v>
      </c>
      <c r="AP379" s="196">
        <f>IF(AO379="","",AO379-AO$6)</f>
        <v>-3.5922263486999997E-4</v>
      </c>
      <c r="AQ379" s="196">
        <v>5.0494336210000004E-3</v>
      </c>
      <c r="AR379" s="196">
        <f>IF(AQ379="","",AQ379-AQ$6)</f>
        <v>5.2669403739600005E-3</v>
      </c>
      <c r="AS379" s="196">
        <v>3.8518322101000001E-2</v>
      </c>
      <c r="AT379" s="196">
        <f>IF(AS379="","",AS379-AS$6)</f>
        <v>2.3792487046E-2</v>
      </c>
      <c r="AU379" s="196">
        <v>-1.6142706122999999E-2</v>
      </c>
      <c r="AV379" s="196">
        <f>IF(AU379="","",AU379-AU$6)</f>
        <v>-3.074123526999999E-3</v>
      </c>
      <c r="AW379" s="196">
        <v>3.1269051158000001E-2</v>
      </c>
      <c r="AX379" s="196">
        <f>IF(AW379="","",AW379-AW$6)</f>
        <v>7.2739833700000006E-3</v>
      </c>
      <c r="AY379" s="196">
        <v>8.2222735782000005E-3</v>
      </c>
      <c r="AZ379" s="196">
        <f>IF(AY379="","",AY379-AY$6)</f>
        <v>-6.0199812118000001E-3</v>
      </c>
      <c r="BA379" s="196"/>
      <c r="BB379" s="196" t="str">
        <f>IF(BA379="","",BA379-BA$6)</f>
        <v/>
      </c>
      <c r="BC379" s="196"/>
      <c r="BD379" s="196" t="str">
        <f>IF(BC379="","",BC379-BC$6)</f>
        <v/>
      </c>
      <c r="BE379" s="196"/>
      <c r="BF379" s="196" t="str">
        <f>IF(BE379="","",BE379-BE$6)</f>
        <v/>
      </c>
      <c r="BG379" s="196"/>
      <c r="BH379" s="196" t="str">
        <f>IF(BG379="","",BG379-BG$6)</f>
        <v/>
      </c>
      <c r="BI379" s="196"/>
      <c r="BJ379" s="196" t="str">
        <f>IF(BI379="","",BI379-BI$6)</f>
        <v/>
      </c>
      <c r="BK379" s="197"/>
      <c r="BL379" s="115"/>
      <c r="BM379" s="198">
        <v>2.0455905595000001E-2</v>
      </c>
      <c r="BN379" s="191">
        <v>-1.0890980664999999E-2</v>
      </c>
      <c r="BO379" s="191">
        <v>2.8236064843000001E-2</v>
      </c>
      <c r="BP379" s="191">
        <v>-2.9487008265999998E-2</v>
      </c>
      <c r="BQ379" s="199"/>
      <c r="BR379" s="199"/>
      <c r="BS379" s="199"/>
      <c r="BT379" s="199"/>
      <c r="BU379" s="200"/>
      <c r="BV379" s="200"/>
      <c r="BW379" s="191"/>
      <c r="BX379" s="191">
        <v>7.2777991744000002E-3</v>
      </c>
      <c r="BY379" s="189"/>
      <c r="BZ379" s="191">
        <v>-4.6836814939999999E-2</v>
      </c>
      <c r="CA379" s="191">
        <v>-4.6836814939999999E-2</v>
      </c>
      <c r="CB379" s="182">
        <v>45356</v>
      </c>
      <c r="CC379" s="182">
        <v>45475</v>
      </c>
      <c r="CD379" s="201">
        <v>105</v>
      </c>
      <c r="CE379" s="202">
        <v>45506</v>
      </c>
      <c r="CF379" s="116"/>
    </row>
    <row r="380" spans="2:84" ht="15.6" x14ac:dyDescent="0.3">
      <c r="B380" s="110" t="s">
        <v>1486</v>
      </c>
      <c r="C380" s="147" t="s">
        <v>2132</v>
      </c>
      <c r="D380" s="148" t="s">
        <v>1927</v>
      </c>
      <c r="E380" s="148" t="s">
        <v>233</v>
      </c>
      <c r="F380" s="149">
        <v>2031413000169</v>
      </c>
      <c r="G380" s="149" t="s">
        <v>1844</v>
      </c>
      <c r="H380" s="149" t="s">
        <v>388</v>
      </c>
      <c r="I380" s="150">
        <v>1</v>
      </c>
      <c r="J380" s="151">
        <v>1</v>
      </c>
      <c r="K380" s="151" t="s">
        <v>126</v>
      </c>
      <c r="L380" s="151" t="s">
        <v>118</v>
      </c>
      <c r="M380" s="151" t="s">
        <v>114</v>
      </c>
      <c r="N380" s="151" t="s">
        <v>109</v>
      </c>
      <c r="O380" s="152">
        <v>1500000</v>
      </c>
      <c r="P380" s="153">
        <v>1500000000</v>
      </c>
      <c r="Q380" s="153">
        <v>1000</v>
      </c>
      <c r="R380" s="154">
        <v>44788</v>
      </c>
      <c r="S380" s="154">
        <v>48441</v>
      </c>
      <c r="T380" s="155" t="s">
        <v>2012</v>
      </c>
      <c r="U380" s="155" t="s">
        <v>1713</v>
      </c>
      <c r="V380" s="154" t="s">
        <v>105</v>
      </c>
      <c r="W380" s="154" t="s">
        <v>102</v>
      </c>
      <c r="X380" s="154" t="s">
        <v>1376</v>
      </c>
      <c r="Y380" s="154">
        <v>47253</v>
      </c>
      <c r="Z380" s="156">
        <f>IFERROR(INDEX(Base!G:G,MATCH('Debêntures IPCA-Spread'!Y380,Base!F:F,0)),"")</f>
        <v>6.41</v>
      </c>
      <c r="AA380" s="115"/>
      <c r="AB380" s="157">
        <v>45552</v>
      </c>
      <c r="AC380" s="158">
        <v>6.6821000000000002</v>
      </c>
      <c r="AD380" s="159">
        <f t="shared" si="17"/>
        <v>0.27210000000000001</v>
      </c>
      <c r="AE380" s="160">
        <v>0.04</v>
      </c>
      <c r="AF380" s="161">
        <v>6.8903999999999996</v>
      </c>
      <c r="AG380" s="161">
        <v>6.6310000000000002</v>
      </c>
      <c r="AH380" s="162">
        <v>1128.6648740000001</v>
      </c>
      <c r="AI380" s="162">
        <v>1130.8150370000001</v>
      </c>
      <c r="AJ380" s="163">
        <f t="shared" si="16"/>
        <v>0.99809857233088772</v>
      </c>
      <c r="AK380" s="164">
        <v>45541</v>
      </c>
      <c r="AL380" s="165">
        <v>103.08</v>
      </c>
      <c r="AM380" s="166">
        <v>1127</v>
      </c>
      <c r="AN380" s="115"/>
      <c r="AO380" s="167">
        <v>1.9113842608999999E-4</v>
      </c>
      <c r="AP380" s="168">
        <f>IF(AO380="","",AO380-AO$6)</f>
        <v>-2.8900645884000003E-4</v>
      </c>
      <c r="AQ380" s="168">
        <v>7.2071686080999999E-3</v>
      </c>
      <c r="AR380" s="168">
        <f>IF(AQ380="","",AQ380-AQ$6)</f>
        <v>7.42467536106E-3</v>
      </c>
      <c r="AS380" s="168">
        <v>8.1177852017999999E-2</v>
      </c>
      <c r="AT380" s="168">
        <f>IF(AS380="","",AS380-AS$6)</f>
        <v>6.6452016963000002E-2</v>
      </c>
      <c r="AU380" s="168">
        <v>3.3195059331999999E-3</v>
      </c>
      <c r="AV380" s="168">
        <f>IF(AU380="","",AU380-AU$6)</f>
        <v>1.6388088529199998E-2</v>
      </c>
      <c r="AW380" s="168">
        <v>4.2870449287999997E-2</v>
      </c>
      <c r="AX380" s="168">
        <f>IF(AW380="","",AW380-AW$6)</f>
        <v>1.8875381499999996E-2</v>
      </c>
      <c r="AY380" s="168">
        <v>3.3195912661999998E-2</v>
      </c>
      <c r="AZ380" s="168">
        <f>IF(AY380="","",AY380-AY$6)</f>
        <v>1.8953657871999999E-2</v>
      </c>
      <c r="BA380" s="168">
        <v>0.12543235777</v>
      </c>
      <c r="BB380" s="168">
        <f>IF(BA380="","",BA380-BA$6)</f>
        <v>7.1945393211999997E-2</v>
      </c>
      <c r="BC380" s="168"/>
      <c r="BD380" s="168" t="str">
        <f>IF(BC380="","",BC380-BC$6)</f>
        <v/>
      </c>
      <c r="BE380" s="168"/>
      <c r="BF380" s="168" t="str">
        <f>IF(BE380="","",BE380-BE$6)</f>
        <v/>
      </c>
      <c r="BG380" s="168"/>
      <c r="BH380" s="168" t="str">
        <f>IF(BG380="","",BG380-BG$6)</f>
        <v/>
      </c>
      <c r="BI380" s="168"/>
      <c r="BJ380" s="168" t="str">
        <f>IF(BI380="","",BI380-BI$6)</f>
        <v/>
      </c>
      <c r="BK380" s="169">
        <v>4.3536179927000003</v>
      </c>
      <c r="BL380" s="115"/>
      <c r="BM380" s="170">
        <v>1.4825287078E-2</v>
      </c>
      <c r="BN380" s="163">
        <v>-7.6007852430999999E-3</v>
      </c>
      <c r="BO380" s="163">
        <v>3.3566782619999999E-2</v>
      </c>
      <c r="BP380" s="163">
        <v>-1.7224380304E-2</v>
      </c>
      <c r="BQ380" s="171">
        <v>9</v>
      </c>
      <c r="BR380" s="171">
        <v>3</v>
      </c>
      <c r="BS380" s="171">
        <v>7</v>
      </c>
      <c r="BT380" s="171">
        <v>5</v>
      </c>
      <c r="BU380" s="172">
        <v>0.30402994955000001</v>
      </c>
      <c r="BV380" s="172"/>
      <c r="BW380" s="163">
        <v>4.5015611555000003E-3</v>
      </c>
      <c r="BX380" s="163">
        <v>3.6594214103999999E-3</v>
      </c>
      <c r="BY380" s="161">
        <v>0.84500913638999997</v>
      </c>
      <c r="BZ380" s="163">
        <v>-1.9916628392000001E-2</v>
      </c>
      <c r="CA380" s="163">
        <v>-1.9916628392000001E-2</v>
      </c>
      <c r="CB380" s="154">
        <v>45391</v>
      </c>
      <c r="CC380" s="154">
        <v>45412</v>
      </c>
      <c r="CD380" s="173">
        <v>64</v>
      </c>
      <c r="CE380" s="174">
        <v>45483</v>
      </c>
      <c r="CF380" s="116"/>
    </row>
    <row r="381" spans="2:84" ht="15.6" x14ac:dyDescent="0.3">
      <c r="B381" s="98" t="s">
        <v>2303</v>
      </c>
      <c r="C381" s="175" t="s">
        <v>2688</v>
      </c>
      <c r="D381" s="176" t="s">
        <v>1927</v>
      </c>
      <c r="E381" s="176" t="s">
        <v>233</v>
      </c>
      <c r="F381" s="177">
        <v>2031413000169</v>
      </c>
      <c r="G381" s="177" t="s">
        <v>2440</v>
      </c>
      <c r="H381" s="177" t="s">
        <v>388</v>
      </c>
      <c r="I381" s="178">
        <v>2</v>
      </c>
      <c r="J381" s="179">
        <v>2</v>
      </c>
      <c r="K381" s="179" t="s">
        <v>126</v>
      </c>
      <c r="L381" s="179" t="s">
        <v>112</v>
      </c>
      <c r="M381" s="179" t="s">
        <v>114</v>
      </c>
      <c r="N381" s="179" t="s">
        <v>109</v>
      </c>
      <c r="O381" s="180">
        <v>1200000</v>
      </c>
      <c r="P381" s="181">
        <v>1200000000</v>
      </c>
      <c r="Q381" s="181">
        <v>1000</v>
      </c>
      <c r="R381" s="182">
        <v>45337</v>
      </c>
      <c r="S381" s="182">
        <v>48990</v>
      </c>
      <c r="T381" s="183" t="s">
        <v>2829</v>
      </c>
      <c r="U381" s="183" t="s">
        <v>2733</v>
      </c>
      <c r="V381" s="182" t="s">
        <v>105</v>
      </c>
      <c r="W381" s="182" t="s">
        <v>102</v>
      </c>
      <c r="X381" s="182" t="s">
        <v>2557</v>
      </c>
      <c r="Y381" s="182">
        <v>48714</v>
      </c>
      <c r="Z381" s="184">
        <f>IFERROR(INDEX(Base!G:G,MATCH('Debêntures IPCA-Spread'!Y381,Base!F:F,0)),"")</f>
        <v>6.3373999999999997</v>
      </c>
      <c r="AA381" s="115"/>
      <c r="AB381" s="185">
        <v>45552</v>
      </c>
      <c r="AC381" s="186">
        <v>6.7824</v>
      </c>
      <c r="AD381" s="187">
        <f t="shared" si="17"/>
        <v>0.44500000000000028</v>
      </c>
      <c r="AE381" s="188">
        <v>0.04</v>
      </c>
      <c r="AF381" s="189">
        <v>6.9888000000000003</v>
      </c>
      <c r="AG381" s="189">
        <v>6.7290000000000001</v>
      </c>
      <c r="AH381" s="190">
        <v>1006.573676</v>
      </c>
      <c r="AI381" s="190"/>
      <c r="AJ381" s="191" t="str">
        <f t="shared" si="16"/>
        <v/>
      </c>
      <c r="AK381" s="192"/>
      <c r="AL381" s="193">
        <v>98.08</v>
      </c>
      <c r="AM381" s="194">
        <v>1649</v>
      </c>
      <c r="AN381" s="115"/>
      <c r="AO381" s="195">
        <v>9.8042261924999991E-4</v>
      </c>
      <c r="AP381" s="196">
        <f>IF(AO381="","",AO381-AO$6)</f>
        <v>5.0027773431999992E-4</v>
      </c>
      <c r="AQ381" s="196">
        <v>1.2517638520000001E-2</v>
      </c>
      <c r="AR381" s="196">
        <f>IF(AQ381="","",AQ381-AQ$6)</f>
        <v>1.273514527296E-2</v>
      </c>
      <c r="AS381" s="196"/>
      <c r="AT381" s="196" t="str">
        <f>IF(AS381="","",AS381-AS$6)</f>
        <v/>
      </c>
      <c r="AU381" s="196">
        <v>4.7917943084000002E-3</v>
      </c>
      <c r="AV381" s="196">
        <f>IF(AU381="","",AU381-AU$6)</f>
        <v>1.78603769044E-2</v>
      </c>
      <c r="AW381" s="196">
        <v>5.4483457196E-2</v>
      </c>
      <c r="AX381" s="196">
        <f>IF(AW381="","",AW381-AW$6)</f>
        <v>3.0488389408E-2</v>
      </c>
      <c r="AY381" s="196"/>
      <c r="AZ381" s="196" t="str">
        <f>IF(AY381="","",AY381-AY$6)</f>
        <v/>
      </c>
      <c r="BA381" s="196"/>
      <c r="BB381" s="196" t="str">
        <f>IF(BA381="","",BA381-BA$6)</f>
        <v/>
      </c>
      <c r="BC381" s="196"/>
      <c r="BD381" s="196" t="str">
        <f>IF(BC381="","",BC381-BC$6)</f>
        <v/>
      </c>
      <c r="BE381" s="196"/>
      <c r="BF381" s="196" t="str">
        <f>IF(BE381="","",BE381-BE$6)</f>
        <v/>
      </c>
      <c r="BG381" s="196"/>
      <c r="BH381" s="196" t="str">
        <f>IF(BG381="","",BG381-BG$6)</f>
        <v/>
      </c>
      <c r="BI381" s="196"/>
      <c r="BJ381" s="196" t="str">
        <f>IF(BI381="","",BI381-BI$6)</f>
        <v/>
      </c>
      <c r="BK381" s="197"/>
      <c r="BL381" s="115"/>
      <c r="BM381" s="198">
        <v>1.1772567253000001E-2</v>
      </c>
      <c r="BN381" s="191">
        <v>-1.2051986281E-2</v>
      </c>
      <c r="BO381" s="191">
        <v>2.7901000878000001E-2</v>
      </c>
      <c r="BP381" s="191">
        <v>-2.6756100708E-2</v>
      </c>
      <c r="BQ381" s="199"/>
      <c r="BR381" s="199"/>
      <c r="BS381" s="199"/>
      <c r="BT381" s="199"/>
      <c r="BU381" s="200"/>
      <c r="BV381" s="200"/>
      <c r="BW381" s="191"/>
      <c r="BX381" s="191">
        <v>4.9607329901000001E-3</v>
      </c>
      <c r="BY381" s="189"/>
      <c r="BZ381" s="191">
        <v>-2.8336316539000001E-2</v>
      </c>
      <c r="CA381" s="191">
        <v>-2.8336316539000001E-2</v>
      </c>
      <c r="CB381" s="182">
        <v>45383</v>
      </c>
      <c r="CC381" s="182">
        <v>45474</v>
      </c>
      <c r="CD381" s="201">
        <v>85</v>
      </c>
      <c r="CE381" s="202">
        <v>45504</v>
      </c>
      <c r="CF381" s="116"/>
    </row>
    <row r="382" spans="2:84" ht="15.6" x14ac:dyDescent="0.3">
      <c r="B382" s="110" t="s">
        <v>2304</v>
      </c>
      <c r="C382" s="147" t="s">
        <v>2689</v>
      </c>
      <c r="D382" s="148" t="s">
        <v>1927</v>
      </c>
      <c r="E382" s="148" t="s">
        <v>233</v>
      </c>
      <c r="F382" s="149">
        <v>2031413000169</v>
      </c>
      <c r="G382" s="149" t="s">
        <v>2441</v>
      </c>
      <c r="H382" s="149" t="s">
        <v>388</v>
      </c>
      <c r="I382" s="150">
        <v>3</v>
      </c>
      <c r="J382" s="151">
        <v>2</v>
      </c>
      <c r="K382" s="151" t="s">
        <v>126</v>
      </c>
      <c r="L382" s="151" t="s">
        <v>122</v>
      </c>
      <c r="M382" s="151" t="s">
        <v>114</v>
      </c>
      <c r="N382" s="151" t="s">
        <v>109</v>
      </c>
      <c r="O382" s="152">
        <v>780000</v>
      </c>
      <c r="P382" s="153">
        <v>780000000</v>
      </c>
      <c r="Q382" s="153">
        <v>1000</v>
      </c>
      <c r="R382" s="154">
        <v>45397</v>
      </c>
      <c r="S382" s="154">
        <v>49049</v>
      </c>
      <c r="T382" s="155" t="s">
        <v>2816</v>
      </c>
      <c r="U382" s="155" t="s">
        <v>2712</v>
      </c>
      <c r="V382" s="154" t="s">
        <v>105</v>
      </c>
      <c r="W382" s="154" t="s">
        <v>102</v>
      </c>
      <c r="X382" s="154" t="s">
        <v>2558</v>
      </c>
      <c r="Y382" s="154">
        <v>48441</v>
      </c>
      <c r="Z382" s="156">
        <f>IFERROR(INDEX(Base!G:G,MATCH('Debêntures IPCA-Spread'!Y382,Base!F:F,0)),"")</f>
        <v>6.3467000000000002</v>
      </c>
      <c r="AA382" s="115"/>
      <c r="AB382" s="157">
        <v>45552</v>
      </c>
      <c r="AC382" s="158">
        <v>6.9410999999999996</v>
      </c>
      <c r="AD382" s="159">
        <f t="shared" si="17"/>
        <v>0.59439999999999937</v>
      </c>
      <c r="AE382" s="160">
        <v>0.18</v>
      </c>
      <c r="AF382" s="161">
        <v>7.1307</v>
      </c>
      <c r="AG382" s="161">
        <v>6.8529999999999998</v>
      </c>
      <c r="AH382" s="162">
        <v>1015.5287970000001</v>
      </c>
      <c r="AI382" s="162"/>
      <c r="AJ382" s="163" t="str">
        <f t="shared" si="16"/>
        <v/>
      </c>
      <c r="AK382" s="164"/>
      <c r="AL382" s="165">
        <v>97.41</v>
      </c>
      <c r="AM382" s="166">
        <v>1632</v>
      </c>
      <c r="AN382" s="115"/>
      <c r="AO382" s="167">
        <v>9.0657731033999996E-3</v>
      </c>
      <c r="AP382" s="168">
        <f>IF(AO382="","",AO382-AO$6)</f>
        <v>8.5856282184700004E-3</v>
      </c>
      <c r="AQ382" s="168">
        <v>1.5533421737E-2</v>
      </c>
      <c r="AR382" s="168">
        <f>IF(AQ382="","",AQ382-AQ$6)</f>
        <v>1.5750928489960001E-2</v>
      </c>
      <c r="AS382" s="168"/>
      <c r="AT382" s="168" t="str">
        <f>IF(AS382="","",AS382-AS$6)</f>
        <v/>
      </c>
      <c r="AU382" s="168">
        <v>4.6198556446999997E-4</v>
      </c>
      <c r="AV382" s="168">
        <f>IF(AU382="","",AU382-AU$6)</f>
        <v>1.353056816047E-2</v>
      </c>
      <c r="AW382" s="168">
        <v>4.8940888388000002E-2</v>
      </c>
      <c r="AX382" s="168">
        <f>IF(AW382="","",AW382-AW$6)</f>
        <v>2.4945820600000002E-2</v>
      </c>
      <c r="AY382" s="168"/>
      <c r="AZ382" s="168" t="str">
        <f>IF(AY382="","",AY382-AY$6)</f>
        <v/>
      </c>
      <c r="BA382" s="168"/>
      <c r="BB382" s="168" t="str">
        <f>IF(BA382="","",BA382-BA$6)</f>
        <v/>
      </c>
      <c r="BC382" s="168"/>
      <c r="BD382" s="168" t="str">
        <f>IF(BC382="","",BC382-BC$6)</f>
        <v/>
      </c>
      <c r="BE382" s="168"/>
      <c r="BF382" s="168" t="str">
        <f>IF(BE382="","",BE382-BE$6)</f>
        <v/>
      </c>
      <c r="BG382" s="168"/>
      <c r="BH382" s="168" t="str">
        <f>IF(BG382="","",BG382-BG$6)</f>
        <v/>
      </c>
      <c r="BI382" s="168"/>
      <c r="BJ382" s="168" t="str">
        <f>IF(BI382="","",BI382-BI$6)</f>
        <v/>
      </c>
      <c r="BK382" s="169"/>
      <c r="BL382" s="115"/>
      <c r="BM382" s="170">
        <v>9.0657731033999996E-3</v>
      </c>
      <c r="BN382" s="163">
        <v>-8.2943004672000002E-3</v>
      </c>
      <c r="BO382" s="163">
        <v>2.963477133E-2</v>
      </c>
      <c r="BP382" s="163">
        <v>-1.1400834699000001E-2</v>
      </c>
      <c r="BQ382" s="171"/>
      <c r="BR382" s="171"/>
      <c r="BS382" s="171"/>
      <c r="BT382" s="171"/>
      <c r="BU382" s="172"/>
      <c r="BV382" s="172"/>
      <c r="BW382" s="163"/>
      <c r="BX382" s="163">
        <v>8.0803354286000002E-3</v>
      </c>
      <c r="BY382" s="161"/>
      <c r="BZ382" s="163">
        <v>-1.7017365707E-2</v>
      </c>
      <c r="CA382" s="163">
        <v>-2.1831480726E-2</v>
      </c>
      <c r="CB382" s="154">
        <v>45517</v>
      </c>
      <c r="CC382" s="154">
        <v>45547</v>
      </c>
      <c r="CD382" s="173"/>
      <c r="CE382" s="174"/>
      <c r="CF382" s="116"/>
    </row>
    <row r="383" spans="2:84" ht="15.6" x14ac:dyDescent="0.3">
      <c r="B383" s="98" t="s">
        <v>452</v>
      </c>
      <c r="C383" s="175" t="s">
        <v>474</v>
      </c>
      <c r="D383" s="176" t="s">
        <v>20</v>
      </c>
      <c r="E383" s="176" t="s">
        <v>233</v>
      </c>
      <c r="F383" s="177">
        <v>33000167000101</v>
      </c>
      <c r="G383" s="177" t="s">
        <v>464</v>
      </c>
      <c r="H383" s="177" t="s">
        <v>388</v>
      </c>
      <c r="I383" s="178">
        <v>6</v>
      </c>
      <c r="J383" s="179">
        <v>1</v>
      </c>
      <c r="K383" s="179" t="s">
        <v>126</v>
      </c>
      <c r="L383" s="179" t="s">
        <v>112</v>
      </c>
      <c r="M383" s="179" t="s">
        <v>116</v>
      </c>
      <c r="N383" s="179" t="s">
        <v>109</v>
      </c>
      <c r="O383" s="180">
        <v>873296</v>
      </c>
      <c r="P383" s="181">
        <v>873296000</v>
      </c>
      <c r="Q383" s="181">
        <v>1000</v>
      </c>
      <c r="R383" s="182">
        <v>43480</v>
      </c>
      <c r="S383" s="182">
        <v>46037</v>
      </c>
      <c r="T383" s="183" t="s">
        <v>485</v>
      </c>
      <c r="U383" s="183" t="s">
        <v>166</v>
      </c>
      <c r="V383" s="182" t="s">
        <v>105</v>
      </c>
      <c r="W383" s="182" t="s">
        <v>102</v>
      </c>
      <c r="X383" s="182" t="s">
        <v>1366</v>
      </c>
      <c r="Y383" s="182">
        <v>46249</v>
      </c>
      <c r="Z383" s="184">
        <f>IFERROR(INDEX(Base!G:G,MATCH('Debêntures IPCA-Spread'!Y383,Base!F:F,0)),"")</f>
        <v>6.5365000000000002</v>
      </c>
      <c r="AA383" s="115"/>
      <c r="AB383" s="185">
        <v>45552</v>
      </c>
      <c r="AC383" s="186">
        <v>6.3178999999999998</v>
      </c>
      <c r="AD383" s="187">
        <f t="shared" si="17"/>
        <v>-0.21860000000000035</v>
      </c>
      <c r="AE383" s="188">
        <v>0.22</v>
      </c>
      <c r="AF383" s="189">
        <v>6.4485000000000001</v>
      </c>
      <c r="AG383" s="189">
        <v>6.0791000000000004</v>
      </c>
      <c r="AH383" s="190">
        <v>1334.4184029999999</v>
      </c>
      <c r="AI383" s="190">
        <v>1335.344891</v>
      </c>
      <c r="AJ383" s="191">
        <f t="shared" ref="AJ383:AJ446" si="18">IFERROR(AH383/AI383,"")</f>
        <v>0.99930618074308408</v>
      </c>
      <c r="AK383" s="192">
        <v>45551</v>
      </c>
      <c r="AL383" s="193">
        <v>97.24</v>
      </c>
      <c r="AM383" s="194">
        <v>326</v>
      </c>
      <c r="AN383" s="115"/>
      <c r="AO383" s="195">
        <v>-6.9381925731999998E-4</v>
      </c>
      <c r="AP383" s="196">
        <f>IF(AO383="","",AO383-AO$6)</f>
        <v>-1.17396414225E-3</v>
      </c>
      <c r="AQ383" s="196">
        <v>2.9304360360000001E-3</v>
      </c>
      <c r="AR383" s="196">
        <f>IF(AQ383="","",AQ383-AQ$6)</f>
        <v>3.1479427889600001E-3</v>
      </c>
      <c r="AS383" s="196">
        <v>6.2425160241999997E-2</v>
      </c>
      <c r="AT383" s="196">
        <f>IF(AS383="","",AS383-AS$6)</f>
        <v>4.7699325187E-2</v>
      </c>
      <c r="AU383" s="196">
        <v>1.7310678558999999E-3</v>
      </c>
      <c r="AV383" s="196">
        <f>IF(AU383="","",AU383-AU$6)</f>
        <v>1.4799650451899999E-2</v>
      </c>
      <c r="AW383" s="196">
        <v>2.0983573980999998E-2</v>
      </c>
      <c r="AX383" s="196">
        <f>IF(AW383="","",AW383-AW$6)</f>
        <v>-3.011493807000002E-3</v>
      </c>
      <c r="AY383" s="196">
        <v>3.5781261382000003E-2</v>
      </c>
      <c r="AZ383" s="196">
        <f>IF(AY383="","",AY383-AY$6)</f>
        <v>2.1539006592000004E-2</v>
      </c>
      <c r="BA383" s="196">
        <v>8.9116102737999997E-2</v>
      </c>
      <c r="BB383" s="196">
        <f>IF(BA383="","",BA383-BA$6)</f>
        <v>3.5629138179999999E-2</v>
      </c>
      <c r="BC383" s="196">
        <v>0.2167396248</v>
      </c>
      <c r="BD383" s="196">
        <f>IF(BC383="","",BC383-BC$6)</f>
        <v>2.2431058310000002E-2</v>
      </c>
      <c r="BE383" s="196">
        <v>0.33028743104000002</v>
      </c>
      <c r="BF383" s="196">
        <f>IF(BE383="","",BE383-BE$6)</f>
        <v>6.8568091500000039E-2</v>
      </c>
      <c r="BG383" s="196">
        <v>0.43514559948999998</v>
      </c>
      <c r="BH383" s="196">
        <f>IF(BG383="","",BG383-BG$6)</f>
        <v>0.12622895067999995</v>
      </c>
      <c r="BI383" s="196">
        <v>0.52372413373000004</v>
      </c>
      <c r="BJ383" s="196">
        <f>IF(BI383="","",BI383-BI$6)</f>
        <v>0.15078112365000002</v>
      </c>
      <c r="BK383" s="197">
        <v>2.0688919774999999</v>
      </c>
      <c r="BL383" s="115"/>
      <c r="BM383" s="198">
        <v>4.0053936555000001E-3</v>
      </c>
      <c r="BN383" s="191">
        <v>-3.3047219485999998E-3</v>
      </c>
      <c r="BO383" s="191">
        <v>1.9202175453999999E-2</v>
      </c>
      <c r="BP383" s="191">
        <v>-4.0182959183000001E-3</v>
      </c>
      <c r="BQ383" s="199">
        <v>10</v>
      </c>
      <c r="BR383" s="199">
        <v>2</v>
      </c>
      <c r="BS383" s="199">
        <v>5</v>
      </c>
      <c r="BT383" s="199">
        <v>7</v>
      </c>
      <c r="BU383" s="200">
        <v>-0.97469258844999995</v>
      </c>
      <c r="BV383" s="200">
        <v>-0.45883506293999998</v>
      </c>
      <c r="BW383" s="191">
        <v>2.1377740627999998E-3</v>
      </c>
      <c r="BX383" s="191">
        <v>1.8524401014999999E-3</v>
      </c>
      <c r="BY383" s="189">
        <v>-2.5097179498000002</v>
      </c>
      <c r="BZ383" s="191">
        <v>-9.6370577954000003E-3</v>
      </c>
      <c r="CA383" s="191">
        <v>-9.6370577954000003E-3</v>
      </c>
      <c r="CB383" s="182">
        <v>45189</v>
      </c>
      <c r="CC383" s="182">
        <v>45219</v>
      </c>
      <c r="CD383" s="201">
        <v>36</v>
      </c>
      <c r="CE383" s="202">
        <v>45243</v>
      </c>
      <c r="CF383" s="116"/>
    </row>
    <row r="384" spans="2:84" ht="15.6" x14ac:dyDescent="0.3">
      <c r="B384" s="110" t="s">
        <v>453</v>
      </c>
      <c r="C384" s="147" t="s">
        <v>475</v>
      </c>
      <c r="D384" s="148" t="s">
        <v>20</v>
      </c>
      <c r="E384" s="148" t="s">
        <v>233</v>
      </c>
      <c r="F384" s="149">
        <v>33000167000101</v>
      </c>
      <c r="G384" s="149" t="s">
        <v>465</v>
      </c>
      <c r="H384" s="149" t="s">
        <v>388</v>
      </c>
      <c r="I384" s="150">
        <v>6</v>
      </c>
      <c r="J384" s="151">
        <v>2</v>
      </c>
      <c r="K384" s="151" t="s">
        <v>126</v>
      </c>
      <c r="L384" s="151" t="s">
        <v>112</v>
      </c>
      <c r="M384" s="151" t="s">
        <v>116</v>
      </c>
      <c r="N384" s="151" t="s">
        <v>109</v>
      </c>
      <c r="O384" s="152">
        <v>1684942</v>
      </c>
      <c r="P384" s="153">
        <v>1684942000</v>
      </c>
      <c r="Q384" s="153">
        <v>1000</v>
      </c>
      <c r="R384" s="154">
        <v>43480</v>
      </c>
      <c r="S384" s="154">
        <v>47133</v>
      </c>
      <c r="T384" s="155" t="s">
        <v>485</v>
      </c>
      <c r="U384" s="155" t="s">
        <v>166</v>
      </c>
      <c r="V384" s="154" t="s">
        <v>105</v>
      </c>
      <c r="W384" s="154" t="s">
        <v>102</v>
      </c>
      <c r="X384" s="154" t="s">
        <v>470</v>
      </c>
      <c r="Y384" s="154">
        <v>47253</v>
      </c>
      <c r="Z384" s="156">
        <f>IFERROR(INDEX(Base!G:G,MATCH('Debêntures IPCA-Spread'!Y384,Base!F:F,0)),"")</f>
        <v>6.41</v>
      </c>
      <c r="AA384" s="115"/>
      <c r="AB384" s="157">
        <v>45552</v>
      </c>
      <c r="AC384" s="158">
        <v>6.1524000000000001</v>
      </c>
      <c r="AD384" s="159">
        <f t="shared" si="17"/>
        <v>-0.25760000000000005</v>
      </c>
      <c r="AE384" s="160">
        <v>0.06</v>
      </c>
      <c r="AF384" s="161">
        <v>6.4200999999999997</v>
      </c>
      <c r="AG384" s="161">
        <v>5.8864999999999998</v>
      </c>
      <c r="AH384" s="162">
        <v>1276.8298580000001</v>
      </c>
      <c r="AI384" s="162">
        <v>1284.4373230000001</v>
      </c>
      <c r="AJ384" s="163">
        <f t="shared" si="18"/>
        <v>0.99407720029325242</v>
      </c>
      <c r="AK384" s="164">
        <v>45519</v>
      </c>
      <c r="AL384" s="165">
        <v>93.02</v>
      </c>
      <c r="AM384" s="166">
        <v>990</v>
      </c>
      <c r="AN384" s="115"/>
      <c r="AO384" s="167">
        <v>5.7341358297000001E-4</v>
      </c>
      <c r="AP384" s="168">
        <f>IF(AO384="","",AO384-AO$6)</f>
        <v>9.3268698040000018E-5</v>
      </c>
      <c r="AQ384" s="168">
        <v>4.6834883651000001E-3</v>
      </c>
      <c r="AR384" s="168">
        <f>IF(AQ384="","",AQ384-AQ$6)</f>
        <v>4.9009951180600001E-3</v>
      </c>
      <c r="AS384" s="168">
        <v>5.0895625327000003E-2</v>
      </c>
      <c r="AT384" s="168">
        <f>IF(AS384="","",AS384-AS$6)</f>
        <v>3.6169790271999999E-2</v>
      </c>
      <c r="AU384" s="168">
        <v>-1.3851452721999999E-3</v>
      </c>
      <c r="AV384" s="168">
        <f>IF(AU384="","",AU384-AU$6)</f>
        <v>1.16834373238E-2</v>
      </c>
      <c r="AW384" s="168">
        <v>3.3106654059999997E-2</v>
      </c>
      <c r="AX384" s="168">
        <f>IF(AW384="","",AW384-AW$6)</f>
        <v>9.1115862719999968E-3</v>
      </c>
      <c r="AY384" s="168">
        <v>2.8767375174E-2</v>
      </c>
      <c r="AZ384" s="168">
        <f>IF(AY384="","",AY384-AY$6)</f>
        <v>1.4525120383999999E-2</v>
      </c>
      <c r="BA384" s="168">
        <v>8.2366425561999995E-2</v>
      </c>
      <c r="BB384" s="168">
        <f>IF(BA384="","",BA384-BA$6)</f>
        <v>2.8879461003999997E-2</v>
      </c>
      <c r="BC384" s="168">
        <v>0.21061921195</v>
      </c>
      <c r="BD384" s="168">
        <f>IF(BC384="","",BC384-BC$6)</f>
        <v>1.6310645459999995E-2</v>
      </c>
      <c r="BE384" s="168">
        <v>0.29349250201999999</v>
      </c>
      <c r="BF384" s="168">
        <f>IF(BE384="","",BE384-BE$6)</f>
        <v>3.1773162480000006E-2</v>
      </c>
      <c r="BG384" s="168">
        <v>0.37433420646999999</v>
      </c>
      <c r="BH384" s="168">
        <f>IF(BG384="","",BG384-BG$6)</f>
        <v>6.5417557659999959E-2</v>
      </c>
      <c r="BI384" s="168">
        <v>0.46403812699000002</v>
      </c>
      <c r="BJ384" s="168">
        <f>IF(BI384="","",BI384-BI$6)</f>
        <v>9.1095116909999996E-2</v>
      </c>
      <c r="BK384" s="169">
        <v>4.2317347185000003</v>
      </c>
      <c r="BL384" s="115"/>
      <c r="BM384" s="170">
        <v>9.5324348567000002E-3</v>
      </c>
      <c r="BN384" s="163">
        <v>-8.3298719727999994E-3</v>
      </c>
      <c r="BO384" s="163">
        <v>2.3532572503000001E-2</v>
      </c>
      <c r="BP384" s="163">
        <v>-1.5508405443999999E-2</v>
      </c>
      <c r="BQ384" s="171">
        <v>9</v>
      </c>
      <c r="BR384" s="171">
        <v>3</v>
      </c>
      <c r="BS384" s="171">
        <v>6</v>
      </c>
      <c r="BT384" s="171">
        <v>6</v>
      </c>
      <c r="BU384" s="172">
        <v>-0.60452713234</v>
      </c>
      <c r="BV384" s="172">
        <v>-0.45816299117999998</v>
      </c>
      <c r="BW384" s="163">
        <v>4.3728729939000004E-3</v>
      </c>
      <c r="BX384" s="163">
        <v>3.5026012188E-3</v>
      </c>
      <c r="BY384" s="161">
        <v>-3.3964129353999999</v>
      </c>
      <c r="BZ384" s="163">
        <v>-2.0337628371000002E-2</v>
      </c>
      <c r="CA384" s="163">
        <v>-2.0337628371000002E-2</v>
      </c>
      <c r="CB384" s="154">
        <v>45187</v>
      </c>
      <c r="CC384" s="154">
        <v>45202</v>
      </c>
      <c r="CD384" s="173">
        <v>40</v>
      </c>
      <c r="CE384" s="174">
        <v>45246</v>
      </c>
      <c r="CF384" s="116"/>
    </row>
    <row r="385" spans="2:84" ht="15.6" x14ac:dyDescent="0.3">
      <c r="B385" s="98" t="s">
        <v>579</v>
      </c>
      <c r="C385" s="175" t="s">
        <v>994</v>
      </c>
      <c r="D385" s="176" t="s">
        <v>20</v>
      </c>
      <c r="E385" s="176" t="s">
        <v>233</v>
      </c>
      <c r="F385" s="177">
        <v>33000167000101</v>
      </c>
      <c r="G385" s="177" t="s">
        <v>1022</v>
      </c>
      <c r="H385" s="177" t="s">
        <v>388</v>
      </c>
      <c r="I385" s="178">
        <v>7</v>
      </c>
      <c r="J385" s="179">
        <v>1</v>
      </c>
      <c r="K385" s="179" t="s">
        <v>126</v>
      </c>
      <c r="L385" s="179" t="s">
        <v>122</v>
      </c>
      <c r="M385" s="179" t="s">
        <v>106</v>
      </c>
      <c r="N385" s="179" t="s">
        <v>109</v>
      </c>
      <c r="O385" s="180">
        <v>1529339</v>
      </c>
      <c r="P385" s="181">
        <v>1529339000</v>
      </c>
      <c r="Q385" s="181">
        <v>1000</v>
      </c>
      <c r="R385" s="182">
        <v>43692</v>
      </c>
      <c r="S385" s="182">
        <v>47376</v>
      </c>
      <c r="T385" s="183" t="s">
        <v>1049</v>
      </c>
      <c r="U385" s="183" t="s">
        <v>161</v>
      </c>
      <c r="V385" s="182" t="s">
        <v>105</v>
      </c>
      <c r="W385" s="182" t="s">
        <v>102</v>
      </c>
      <c r="X385" s="182" t="s">
        <v>1345</v>
      </c>
      <c r="Y385" s="182">
        <v>47710</v>
      </c>
      <c r="Z385" s="184">
        <f>IFERROR(INDEX(Base!G:G,MATCH('Debêntures IPCA-Spread'!Y385,Base!F:F,0)),"")</f>
        <v>6.3273999999999999</v>
      </c>
      <c r="AA385" s="115"/>
      <c r="AB385" s="185">
        <v>45552</v>
      </c>
      <c r="AC385" s="186">
        <v>6.2043999999999997</v>
      </c>
      <c r="AD385" s="187">
        <f t="shared" si="17"/>
        <v>-0.12300000000000022</v>
      </c>
      <c r="AE385" s="188">
        <v>0.13</v>
      </c>
      <c r="AF385" s="189">
        <v>6.4444999999999997</v>
      </c>
      <c r="AG385" s="189">
        <v>5.9158999999999997</v>
      </c>
      <c r="AH385" s="190">
        <v>1189.762258</v>
      </c>
      <c r="AI385" s="190">
        <v>1201.1660969</v>
      </c>
      <c r="AJ385" s="191">
        <f t="shared" si="18"/>
        <v>0.99050602666073306</v>
      </c>
      <c r="AK385" s="192">
        <v>45517</v>
      </c>
      <c r="AL385" s="193">
        <v>89.25</v>
      </c>
      <c r="AM385" s="194">
        <v>1150</v>
      </c>
      <c r="AN385" s="115"/>
      <c r="AO385" s="195">
        <v>-1.2115734953000001E-3</v>
      </c>
      <c r="AP385" s="196">
        <f>IF(AO385="","",AO385-AO$6)</f>
        <v>-1.6917183802300001E-3</v>
      </c>
      <c r="AQ385" s="196">
        <v>4.1129065812E-3</v>
      </c>
      <c r="AR385" s="196">
        <f>IF(AQ385="","",AQ385-AQ$6)</f>
        <v>4.33041333416E-3</v>
      </c>
      <c r="AS385" s="196">
        <v>4.5304141040000002E-2</v>
      </c>
      <c r="AT385" s="196">
        <f>IF(AS385="","",AS385-AS$6)</f>
        <v>3.0578305985000002E-2</v>
      </c>
      <c r="AU385" s="196">
        <v>-3.4088398925E-3</v>
      </c>
      <c r="AV385" s="196">
        <f>IF(AU385="","",AU385-AU$6)</f>
        <v>9.6597427035000002E-3</v>
      </c>
      <c r="AW385" s="196">
        <v>2.9910662925000001E-2</v>
      </c>
      <c r="AX385" s="196">
        <f>IF(AW385="","",AW385-AW$6)</f>
        <v>5.9155951370000008E-3</v>
      </c>
      <c r="AY385" s="196">
        <v>2.4170915920000001E-2</v>
      </c>
      <c r="AZ385" s="196">
        <f>IF(AY385="","",AY385-AY$6)</f>
        <v>9.9286611300000004E-3</v>
      </c>
      <c r="BA385" s="196">
        <v>7.9400758269999996E-2</v>
      </c>
      <c r="BB385" s="196">
        <f>IF(BA385="","",BA385-BA$6)</f>
        <v>2.5913793711999998E-2</v>
      </c>
      <c r="BC385" s="196">
        <v>0.20744986819</v>
      </c>
      <c r="BD385" s="196">
        <f>IF(BC385="","",BC385-BC$6)</f>
        <v>1.3141301699999997E-2</v>
      </c>
      <c r="BE385" s="196">
        <v>0.27492602315999998</v>
      </c>
      <c r="BF385" s="196">
        <f>IF(BE385="","",BE385-BE$6)</f>
        <v>1.3206683619999993E-2</v>
      </c>
      <c r="BG385" s="196">
        <v>0.38992835937999998</v>
      </c>
      <c r="BH385" s="196">
        <f>IF(BG385="","",BG385-BG$6)</f>
        <v>8.1011710569999951E-2</v>
      </c>
      <c r="BI385" s="196"/>
      <c r="BJ385" s="196" t="str">
        <f>IF(BI385="","",BI385-BI$6)</f>
        <v/>
      </c>
      <c r="BK385" s="197">
        <v>4.4821268673999999</v>
      </c>
      <c r="BL385" s="115"/>
      <c r="BM385" s="198">
        <v>8.0284909218000002E-3</v>
      </c>
      <c r="BN385" s="191">
        <v>-1.0391800882E-2</v>
      </c>
      <c r="BO385" s="191">
        <v>2.4867266908000001E-2</v>
      </c>
      <c r="BP385" s="191">
        <v>-1.7179557953999999E-2</v>
      </c>
      <c r="BQ385" s="199">
        <v>9</v>
      </c>
      <c r="BR385" s="199">
        <v>3</v>
      </c>
      <c r="BS385" s="199">
        <v>5</v>
      </c>
      <c r="BT385" s="199">
        <v>7</v>
      </c>
      <c r="BU385" s="200">
        <v>-0.62804640487999996</v>
      </c>
      <c r="BV385" s="200">
        <v>-0.49165503503000002</v>
      </c>
      <c r="BW385" s="191">
        <v>4.6311356757999999E-3</v>
      </c>
      <c r="BX385" s="191">
        <v>3.1830830712999999E-3</v>
      </c>
      <c r="BY385" s="189">
        <v>-3.726264757</v>
      </c>
      <c r="BZ385" s="191">
        <v>-2.0192571765999999E-2</v>
      </c>
      <c r="CA385" s="191">
        <v>-2.0192571765999999E-2</v>
      </c>
      <c r="CB385" s="182">
        <v>45190</v>
      </c>
      <c r="CC385" s="182">
        <v>45202</v>
      </c>
      <c r="CD385" s="201">
        <v>37</v>
      </c>
      <c r="CE385" s="202">
        <v>45246</v>
      </c>
      <c r="CF385" s="116"/>
    </row>
    <row r="386" spans="2:84" ht="15.6" x14ac:dyDescent="0.3">
      <c r="B386" s="110" t="s">
        <v>580</v>
      </c>
      <c r="C386" s="147" t="s">
        <v>995</v>
      </c>
      <c r="D386" s="148" t="s">
        <v>20</v>
      </c>
      <c r="E386" s="148" t="s">
        <v>233</v>
      </c>
      <c r="F386" s="149">
        <v>33000167000101</v>
      </c>
      <c r="G386" s="149" t="s">
        <v>1023</v>
      </c>
      <c r="H386" s="149" t="s">
        <v>388</v>
      </c>
      <c r="I386" s="150">
        <v>7</v>
      </c>
      <c r="J386" s="151">
        <v>2</v>
      </c>
      <c r="K386" s="151" t="s">
        <v>126</v>
      </c>
      <c r="L386" s="151" t="s">
        <v>122</v>
      </c>
      <c r="M386" s="151" t="s">
        <v>106</v>
      </c>
      <c r="N386" s="151" t="s">
        <v>109</v>
      </c>
      <c r="O386" s="152">
        <v>1478670</v>
      </c>
      <c r="P386" s="153">
        <v>1478670000</v>
      </c>
      <c r="Q386" s="153">
        <v>1000</v>
      </c>
      <c r="R386" s="154">
        <v>43692</v>
      </c>
      <c r="S386" s="154">
        <v>49202</v>
      </c>
      <c r="T386" s="155" t="s">
        <v>1049</v>
      </c>
      <c r="U386" s="155" t="s">
        <v>161</v>
      </c>
      <c r="V386" s="154" t="s">
        <v>105</v>
      </c>
      <c r="W386" s="154" t="s">
        <v>102</v>
      </c>
      <c r="X386" s="154" t="s">
        <v>1326</v>
      </c>
      <c r="Y386" s="154">
        <v>49444</v>
      </c>
      <c r="Z386" s="156">
        <f>IFERROR(INDEX(Base!G:G,MATCH('Debêntures IPCA-Spread'!Y386,Base!F:F,0)),"")</f>
        <v>6.3137999999999996</v>
      </c>
      <c r="AA386" s="115"/>
      <c r="AB386" s="157">
        <v>45552</v>
      </c>
      <c r="AC386" s="158">
        <v>6.2563000000000004</v>
      </c>
      <c r="AD386" s="159">
        <f t="shared" si="17"/>
        <v>-5.7499999999999218E-2</v>
      </c>
      <c r="AE386" s="160">
        <v>0.09</v>
      </c>
      <c r="AF386" s="161">
        <v>6.5096999999999996</v>
      </c>
      <c r="AG386" s="161">
        <v>6.0244</v>
      </c>
      <c r="AH386" s="162">
        <v>1107.7430959999999</v>
      </c>
      <c r="AI386" s="162">
        <v>1137.4391125</v>
      </c>
      <c r="AJ386" s="163">
        <f t="shared" si="18"/>
        <v>0.97389221438435458</v>
      </c>
      <c r="AK386" s="164">
        <v>45518</v>
      </c>
      <c r="AL386" s="165">
        <v>83.1</v>
      </c>
      <c r="AM386" s="166">
        <v>2056</v>
      </c>
      <c r="AN386" s="115"/>
      <c r="AO386" s="167">
        <v>-2.9225310390999998E-4</v>
      </c>
      <c r="AP386" s="168">
        <f>IF(AO386="","",AO386-AO$6)</f>
        <v>-7.7239798883999998E-4</v>
      </c>
      <c r="AQ386" s="168">
        <v>-1.9760669383999999E-3</v>
      </c>
      <c r="AR386" s="168">
        <f>IF(AQ386="","",AQ386-AQ$6)</f>
        <v>-1.7585601854399999E-3</v>
      </c>
      <c r="AS386" s="168">
        <v>4.102856278E-2</v>
      </c>
      <c r="AT386" s="168">
        <f>IF(AS386="","",AS386-AS$6)</f>
        <v>2.6302727724999999E-2</v>
      </c>
      <c r="AU386" s="168">
        <v>-2.1858072148999999E-2</v>
      </c>
      <c r="AV386" s="168">
        <f>IF(AU386="","",AU386-AU$6)</f>
        <v>-8.7894895529999992E-3</v>
      </c>
      <c r="AW386" s="168">
        <v>3.2691186092000002E-2</v>
      </c>
      <c r="AX386" s="168">
        <f>IF(AW386="","",AW386-AW$6)</f>
        <v>8.6961183040000015E-3</v>
      </c>
      <c r="AY386" s="168">
        <v>1.2585776694E-2</v>
      </c>
      <c r="AZ386" s="168">
        <f>IF(AY386="","",AY386-AY$6)</f>
        <v>-1.6564780960000008E-3</v>
      </c>
      <c r="BA386" s="168">
        <v>8.5888374148999996E-2</v>
      </c>
      <c r="BB386" s="168">
        <f>IF(BA386="","",BA386-BA$6)</f>
        <v>3.2401409590999998E-2</v>
      </c>
      <c r="BC386" s="168">
        <v>0.21837026571000001</v>
      </c>
      <c r="BD386" s="168">
        <f>IF(BC386="","",BC386-BC$6)</f>
        <v>2.406169922000001E-2</v>
      </c>
      <c r="BE386" s="168">
        <v>0.25594722826999999</v>
      </c>
      <c r="BF386" s="168">
        <f>IF(BE386="","",BE386-BE$6)</f>
        <v>-5.772111269999991E-3</v>
      </c>
      <c r="BG386" s="168">
        <v>0.36108762164000002</v>
      </c>
      <c r="BH386" s="168">
        <f>IF(BG386="","",BG386-BG$6)</f>
        <v>5.2170972829999995E-2</v>
      </c>
      <c r="BI386" s="168"/>
      <c r="BJ386" s="168" t="str">
        <f>IF(BI386="","",BI386-BI$6)</f>
        <v/>
      </c>
      <c r="BK386" s="169">
        <v>7.0374556510000001</v>
      </c>
      <c r="BL386" s="115"/>
      <c r="BM386" s="170">
        <v>1.4247463377000001E-2</v>
      </c>
      <c r="BN386" s="163">
        <v>-1.4411153925E-2</v>
      </c>
      <c r="BO386" s="163">
        <v>3.9888864096000003E-2</v>
      </c>
      <c r="BP386" s="163">
        <v>-2.6602059880000001E-2</v>
      </c>
      <c r="BQ386" s="171">
        <v>7</v>
      </c>
      <c r="BR386" s="171">
        <v>5</v>
      </c>
      <c r="BS386" s="171">
        <v>5</v>
      </c>
      <c r="BT386" s="171">
        <v>7</v>
      </c>
      <c r="BU386" s="172">
        <v>-0.29656742667000002</v>
      </c>
      <c r="BV386" s="172">
        <v>-0.41476258107000002</v>
      </c>
      <c r="BW386" s="163">
        <v>7.2717083165999997E-3</v>
      </c>
      <c r="BX386" s="163">
        <v>5.5945729883999998E-3</v>
      </c>
      <c r="BY386" s="161">
        <v>-3.1817213664000001</v>
      </c>
      <c r="BZ386" s="163">
        <v>-3.3544907473999998E-2</v>
      </c>
      <c r="CA386" s="163">
        <v>-3.3544907473999998E-2</v>
      </c>
      <c r="CB386" s="154">
        <v>45357</v>
      </c>
      <c r="CC386" s="154">
        <v>45412</v>
      </c>
      <c r="CD386" s="173">
        <v>102</v>
      </c>
      <c r="CE386" s="174">
        <v>45504</v>
      </c>
      <c r="CF386" s="116"/>
    </row>
    <row r="387" spans="2:84" ht="15.6" x14ac:dyDescent="0.3">
      <c r="B387" s="98" t="s">
        <v>2305</v>
      </c>
      <c r="C387" s="175" t="s">
        <v>2690</v>
      </c>
      <c r="D387" s="176" t="s">
        <v>2810</v>
      </c>
      <c r="E387" s="176" t="s">
        <v>233</v>
      </c>
      <c r="F387" s="177">
        <v>3342704000130</v>
      </c>
      <c r="G387" s="177" t="s">
        <v>2442</v>
      </c>
      <c r="H387" s="177" t="s">
        <v>388</v>
      </c>
      <c r="I387" s="178">
        <v>1</v>
      </c>
      <c r="J387" s="179">
        <v>1</v>
      </c>
      <c r="K387" s="179" t="s">
        <v>126</v>
      </c>
      <c r="L387" s="179" t="s">
        <v>114</v>
      </c>
      <c r="M387" s="179" t="s">
        <v>114</v>
      </c>
      <c r="N387" s="179" t="s">
        <v>109</v>
      </c>
      <c r="O387" s="180">
        <v>753000</v>
      </c>
      <c r="P387" s="181">
        <v>753000000</v>
      </c>
      <c r="Q387" s="181">
        <v>1000</v>
      </c>
      <c r="R387" s="182">
        <v>45427</v>
      </c>
      <c r="S387" s="182">
        <v>47983</v>
      </c>
      <c r="T387" s="183" t="s">
        <v>2718</v>
      </c>
      <c r="U387" s="183" t="s">
        <v>1682</v>
      </c>
      <c r="V387" s="182" t="s">
        <v>105</v>
      </c>
      <c r="W387" s="182" t="s">
        <v>102</v>
      </c>
      <c r="X387" s="182" t="s">
        <v>2559</v>
      </c>
      <c r="Y387" s="182">
        <v>47710</v>
      </c>
      <c r="Z387" s="184">
        <f>IFERROR(INDEX(Base!G:G,MATCH('Debêntures IPCA-Spread'!Y387,Base!F:F,0)),"")</f>
        <v>6.3273999999999999</v>
      </c>
      <c r="AA387" s="115"/>
      <c r="AB387" s="185">
        <v>45552</v>
      </c>
      <c r="AC387" s="186">
        <v>7.1638999999999999</v>
      </c>
      <c r="AD387" s="187">
        <f t="shared" si="17"/>
        <v>0.83650000000000002</v>
      </c>
      <c r="AE387" s="188">
        <v>0.18</v>
      </c>
      <c r="AF387" s="189">
        <v>7.4316000000000004</v>
      </c>
      <c r="AG387" s="189"/>
      <c r="AH387" s="190">
        <v>1036.4323380000001</v>
      </c>
      <c r="AI387" s="190"/>
      <c r="AJ387" s="191" t="str">
        <f t="shared" si="18"/>
        <v/>
      </c>
      <c r="AK387" s="192"/>
      <c r="AL387" s="193">
        <v>100.69</v>
      </c>
      <c r="AM387" s="194">
        <v>1161</v>
      </c>
      <c r="AN387" s="115"/>
      <c r="AO387" s="195">
        <v>7.8735054666999992E-3</v>
      </c>
      <c r="AP387" s="196">
        <f>IF(AO387="","",AO387-AO$6)</f>
        <v>7.3933605817699992E-3</v>
      </c>
      <c r="AQ387" s="196">
        <v>7.4649746366000002E-3</v>
      </c>
      <c r="AR387" s="196">
        <f>IF(AQ387="","",AQ387-AQ$6)</f>
        <v>7.6824813895600003E-3</v>
      </c>
      <c r="AS387" s="196"/>
      <c r="AT387" s="196" t="str">
        <f>IF(AS387="","",AS387-AS$6)</f>
        <v/>
      </c>
      <c r="AU387" s="196">
        <v>2.8989348411000001E-3</v>
      </c>
      <c r="AV387" s="196">
        <f>IF(AU387="","",AU387-AU$6)</f>
        <v>1.5967517437099999E-2</v>
      </c>
      <c r="AW387" s="196"/>
      <c r="AX387" s="196" t="str">
        <f>IF(AW387="","",AW387-AW$6)</f>
        <v/>
      </c>
      <c r="AY387" s="196"/>
      <c r="AZ387" s="196" t="str">
        <f>IF(AY387="","",AY387-AY$6)</f>
        <v/>
      </c>
      <c r="BA387" s="196"/>
      <c r="BB387" s="196" t="str">
        <f>IF(BA387="","",BA387-BA$6)</f>
        <v/>
      </c>
      <c r="BC387" s="196"/>
      <c r="BD387" s="196" t="str">
        <f>IF(BC387="","",BC387-BC$6)</f>
        <v/>
      </c>
      <c r="BE387" s="196"/>
      <c r="BF387" s="196" t="str">
        <f>IF(BE387="","",BE387-BE$6)</f>
        <v/>
      </c>
      <c r="BG387" s="196"/>
      <c r="BH387" s="196" t="str">
        <f>IF(BG387="","",BG387-BG$6)</f>
        <v/>
      </c>
      <c r="BI387" s="196"/>
      <c r="BJ387" s="196" t="str">
        <f>IF(BI387="","",BI387-BI$6)</f>
        <v/>
      </c>
      <c r="BK387" s="197"/>
      <c r="BL387" s="115"/>
      <c r="BM387" s="198">
        <v>1.1695670384E-2</v>
      </c>
      <c r="BN387" s="191">
        <v>-6.5250142397000003E-3</v>
      </c>
      <c r="BO387" s="191">
        <v>2.3823715640999998E-2</v>
      </c>
      <c r="BP387" s="191">
        <v>7.4649746366000002E-3</v>
      </c>
      <c r="BQ387" s="199"/>
      <c r="BR387" s="199"/>
      <c r="BS387" s="199"/>
      <c r="BT387" s="199"/>
      <c r="BU387" s="200"/>
      <c r="BV387" s="200"/>
      <c r="BW387" s="191"/>
      <c r="BX387" s="191">
        <v>6.7697204909000002E-3</v>
      </c>
      <c r="BY387" s="189"/>
      <c r="BZ387" s="191">
        <v>-1.3899597822000001E-2</v>
      </c>
      <c r="CA387" s="191">
        <v>-1.5120921318E-2</v>
      </c>
      <c r="CB387" s="182">
        <v>45527</v>
      </c>
      <c r="CC387" s="182">
        <v>45538</v>
      </c>
      <c r="CD387" s="201"/>
      <c r="CE387" s="202"/>
      <c r="CF387" s="116"/>
    </row>
    <row r="388" spans="2:84" ht="15.6" x14ac:dyDescent="0.3">
      <c r="B388" s="110" t="s">
        <v>1487</v>
      </c>
      <c r="C388" s="147" t="s">
        <v>2133</v>
      </c>
      <c r="D388" s="148" t="s">
        <v>1928</v>
      </c>
      <c r="E388" s="148" t="s">
        <v>226</v>
      </c>
      <c r="F388" s="149">
        <v>27219024000192</v>
      </c>
      <c r="G388" s="149" t="s">
        <v>1845</v>
      </c>
      <c r="H388" s="149" t="s">
        <v>388</v>
      </c>
      <c r="I388" s="150">
        <v>2</v>
      </c>
      <c r="J388" s="151" t="s">
        <v>107</v>
      </c>
      <c r="K388" s="151" t="s">
        <v>126</v>
      </c>
      <c r="L388" s="151" t="s">
        <v>118</v>
      </c>
      <c r="M388" s="151" t="s">
        <v>116</v>
      </c>
      <c r="N388" s="151" t="s">
        <v>109</v>
      </c>
      <c r="O388" s="152">
        <v>118000</v>
      </c>
      <c r="P388" s="153">
        <v>118000000</v>
      </c>
      <c r="Q388" s="153">
        <v>1000</v>
      </c>
      <c r="R388" s="154">
        <v>43723</v>
      </c>
      <c r="S388" s="154">
        <v>48197</v>
      </c>
      <c r="T388" s="155" t="s">
        <v>2013</v>
      </c>
      <c r="U388" s="155" t="s">
        <v>754</v>
      </c>
      <c r="V388" s="154" t="s">
        <v>194</v>
      </c>
      <c r="W388" s="154" t="s">
        <v>102</v>
      </c>
      <c r="X388" s="154" t="s">
        <v>1362</v>
      </c>
      <c r="Y388" s="154">
        <v>46980</v>
      </c>
      <c r="Z388" s="156">
        <f>IFERROR(INDEX(Base!G:G,MATCH('Debêntures IPCA-Spread'!Y388,Base!F:F,0)),"")</f>
        <v>6.4702000000000002</v>
      </c>
      <c r="AA388" s="115"/>
      <c r="AB388" s="157">
        <v>45552</v>
      </c>
      <c r="AC388" s="158">
        <v>7.3017000000000003</v>
      </c>
      <c r="AD388" s="159">
        <f t="shared" si="17"/>
        <v>0.83150000000000013</v>
      </c>
      <c r="AE388" s="160">
        <v>0.03</v>
      </c>
      <c r="AF388" s="161">
        <v>7.4550999999999998</v>
      </c>
      <c r="AG388" s="161">
        <v>7.1475999999999997</v>
      </c>
      <c r="AH388" s="162">
        <v>1030.158222</v>
      </c>
      <c r="AI388" s="162">
        <v>1035.008924</v>
      </c>
      <c r="AJ388" s="163">
        <f t="shared" si="18"/>
        <v>0.99531337181011592</v>
      </c>
      <c r="AK388" s="164">
        <v>45518</v>
      </c>
      <c r="AL388" s="165">
        <v>89.59</v>
      </c>
      <c r="AM388" s="166">
        <v>934</v>
      </c>
      <c r="AN388" s="115"/>
      <c r="AO388" s="167">
        <v>-1.2392223116E-3</v>
      </c>
      <c r="AP388" s="168">
        <f>IF(AO388="","",AO388-AO$6)</f>
        <v>-1.71936719653E-3</v>
      </c>
      <c r="AQ388" s="168">
        <v>2.3424823939000002E-3</v>
      </c>
      <c r="AR388" s="168">
        <f>IF(AQ388="","",AQ388-AQ$6)</f>
        <v>2.5599891468600002E-3</v>
      </c>
      <c r="AS388" s="168">
        <v>5.7251559620000003E-2</v>
      </c>
      <c r="AT388" s="168">
        <f>IF(AS388="","",AS388-AS$6)</f>
        <v>4.2525724565000006E-2</v>
      </c>
      <c r="AU388" s="168">
        <v>-2.1641904276999998E-3</v>
      </c>
      <c r="AV388" s="168">
        <f>IF(AU388="","",AU388-AU$6)</f>
        <v>1.09043921683E-2</v>
      </c>
      <c r="AW388" s="168">
        <v>2.5455099342999998E-2</v>
      </c>
      <c r="AX388" s="168">
        <f>IF(AW388="","",AW388-AW$6)</f>
        <v>1.4600315549999979E-3</v>
      </c>
      <c r="AY388" s="168">
        <v>3.5286863053000002E-2</v>
      </c>
      <c r="AZ388" s="168">
        <f>IF(AY388="","",AY388-AY$6)</f>
        <v>2.1044608263000003E-2</v>
      </c>
      <c r="BA388" s="168">
        <v>8.4466356389000005E-2</v>
      </c>
      <c r="BB388" s="168">
        <f>IF(BA388="","",BA388-BA$6)</f>
        <v>3.0979391831000007E-2</v>
      </c>
      <c r="BC388" s="168">
        <v>0.20023927904</v>
      </c>
      <c r="BD388" s="168">
        <f>IF(BC388="","",BC388-BC$6)</f>
        <v>5.9307125499999946E-3</v>
      </c>
      <c r="BE388" s="168"/>
      <c r="BF388" s="168" t="str">
        <f>IF(BE388="","",BE388-BE$6)</f>
        <v/>
      </c>
      <c r="BG388" s="168"/>
      <c r="BH388" s="168" t="str">
        <f>IF(BG388="","",BG388-BG$6)</f>
        <v/>
      </c>
      <c r="BI388" s="168"/>
      <c r="BJ388" s="168" t="str">
        <f>IF(BI388="","",BI388-BI$6)</f>
        <v/>
      </c>
      <c r="BK388" s="169">
        <v>4.6876505771000003</v>
      </c>
      <c r="BL388" s="115"/>
      <c r="BM388" s="170">
        <v>8.6636865053000001E-3</v>
      </c>
      <c r="BN388" s="163">
        <v>-1.0797860761E-2</v>
      </c>
      <c r="BO388" s="163">
        <v>2.6272926041000001E-2</v>
      </c>
      <c r="BP388" s="163">
        <v>-1.1912176415E-2</v>
      </c>
      <c r="BQ388" s="171">
        <v>9</v>
      </c>
      <c r="BR388" s="171">
        <v>3</v>
      </c>
      <c r="BS388" s="171">
        <v>5</v>
      </c>
      <c r="BT388" s="171">
        <v>7</v>
      </c>
      <c r="BU388" s="172">
        <v>-0.50152777823000005</v>
      </c>
      <c r="BV388" s="172"/>
      <c r="BW388" s="163">
        <v>4.8404313621000002E-3</v>
      </c>
      <c r="BX388" s="163">
        <v>3.1559734233999998E-3</v>
      </c>
      <c r="BY388" s="161">
        <v>-3.1141450958000001</v>
      </c>
      <c r="BZ388" s="163">
        <v>-1.9617893510000001E-2</v>
      </c>
      <c r="CA388" s="163">
        <v>-1.9617893510000001E-2</v>
      </c>
      <c r="CB388" s="154">
        <v>45188</v>
      </c>
      <c r="CC388" s="154">
        <v>45229</v>
      </c>
      <c r="CD388" s="173">
        <v>40</v>
      </c>
      <c r="CE388" s="174">
        <v>45247</v>
      </c>
      <c r="CF388" s="116"/>
    </row>
    <row r="389" spans="2:84" ht="15.6" x14ac:dyDescent="0.3">
      <c r="B389" s="98" t="s">
        <v>454</v>
      </c>
      <c r="C389" s="175" t="s">
        <v>476</v>
      </c>
      <c r="D389" s="176" t="s">
        <v>459</v>
      </c>
      <c r="E389" s="176" t="s">
        <v>226</v>
      </c>
      <c r="F389" s="177">
        <v>25117259000148</v>
      </c>
      <c r="G389" s="177" t="s">
        <v>466</v>
      </c>
      <c r="H389" s="177" t="s">
        <v>388</v>
      </c>
      <c r="I389" s="178">
        <v>1</v>
      </c>
      <c r="J389" s="179" t="s">
        <v>107</v>
      </c>
      <c r="K389" s="179" t="s">
        <v>126</v>
      </c>
      <c r="L389" s="179" t="s">
        <v>118</v>
      </c>
      <c r="M389" s="179" t="s">
        <v>116</v>
      </c>
      <c r="N389" s="179" t="s">
        <v>109</v>
      </c>
      <c r="O389" s="180">
        <v>220000</v>
      </c>
      <c r="P389" s="181">
        <v>220000000</v>
      </c>
      <c r="Q389" s="181">
        <v>1000</v>
      </c>
      <c r="R389" s="182">
        <v>43327</v>
      </c>
      <c r="S389" s="182">
        <v>49171</v>
      </c>
      <c r="T389" s="183" t="s">
        <v>486</v>
      </c>
      <c r="U389" s="183" t="s">
        <v>480</v>
      </c>
      <c r="V389" s="182" t="s">
        <v>105</v>
      </c>
      <c r="W389" s="182" t="s">
        <v>102</v>
      </c>
      <c r="X389" s="182" t="s">
        <v>471</v>
      </c>
      <c r="Y389" s="182">
        <v>47710</v>
      </c>
      <c r="Z389" s="184">
        <f>IFERROR(INDEX(Base!G:G,MATCH('Debêntures IPCA-Spread'!Y389,Base!F:F,0)),"")</f>
        <v>6.3273999999999999</v>
      </c>
      <c r="AA389" s="115"/>
      <c r="AB389" s="185">
        <v>45552</v>
      </c>
      <c r="AC389" s="186">
        <v>6.6581000000000001</v>
      </c>
      <c r="AD389" s="187">
        <f t="shared" si="17"/>
        <v>0.33070000000000022</v>
      </c>
      <c r="AE389" s="188">
        <v>0.49</v>
      </c>
      <c r="AF389" s="189">
        <v>6.9051999999999998</v>
      </c>
      <c r="AG389" s="189">
        <v>6.5522999999999998</v>
      </c>
      <c r="AH389" s="190">
        <v>1043.3790320000001</v>
      </c>
      <c r="AI389" s="190">
        <v>1056.5368189999999</v>
      </c>
      <c r="AJ389" s="191">
        <f t="shared" si="18"/>
        <v>0.98754630528403775</v>
      </c>
      <c r="AK389" s="192">
        <v>45519</v>
      </c>
      <c r="AL389" s="193">
        <v>96.09</v>
      </c>
      <c r="AM389" s="194">
        <v>1187</v>
      </c>
      <c r="AN389" s="115"/>
      <c r="AO389" s="195">
        <v>-8.3133097450999996E-4</v>
      </c>
      <c r="AP389" s="196">
        <f>IF(AO389="","",AO389-AO$6)</f>
        <v>-1.31147585944E-3</v>
      </c>
      <c r="AQ389" s="196">
        <v>2.5401701860000001E-3</v>
      </c>
      <c r="AR389" s="196">
        <f>IF(AQ389="","",AQ389-AQ$6)</f>
        <v>2.7576769389600002E-3</v>
      </c>
      <c r="AS389" s="196">
        <v>8.2500815222000007E-2</v>
      </c>
      <c r="AT389" s="196">
        <f>IF(AS389="","",AS389-AS$6)</f>
        <v>6.777498016700001E-2</v>
      </c>
      <c r="AU389" s="196">
        <v>-9.0930230308000001E-3</v>
      </c>
      <c r="AV389" s="196">
        <f>IF(AU389="","",AU389-AU$6)</f>
        <v>3.9755595651999997E-3</v>
      </c>
      <c r="AW389" s="196">
        <v>4.5450507899999999E-2</v>
      </c>
      <c r="AX389" s="196">
        <f>IF(AW389="","",AW389-AW$6)</f>
        <v>2.1455440111999999E-2</v>
      </c>
      <c r="AY389" s="196">
        <v>5.2259653125E-2</v>
      </c>
      <c r="AZ389" s="196">
        <f>IF(AY389="","",AY389-AY$6)</f>
        <v>3.8017398335000001E-2</v>
      </c>
      <c r="BA389" s="196">
        <v>0.12710939525000001</v>
      </c>
      <c r="BB389" s="196">
        <f>IF(BA389="","",BA389-BA$6)</f>
        <v>7.3622430692000002E-2</v>
      </c>
      <c r="BC389" s="196">
        <v>0.22395233084999999</v>
      </c>
      <c r="BD389" s="196">
        <f>IF(BC389="","",BC389-BC$6)</f>
        <v>2.9643764359999991E-2</v>
      </c>
      <c r="BE389" s="196">
        <v>0.33847516914999998</v>
      </c>
      <c r="BF389" s="196">
        <f>IF(BE389="","",BE389-BE$6)</f>
        <v>7.6755829609999993E-2</v>
      </c>
      <c r="BG389" s="196">
        <v>0.41764163494000001</v>
      </c>
      <c r="BH389" s="196">
        <f>IF(BG389="","",BG389-BG$6)</f>
        <v>0.10872498612999998</v>
      </c>
      <c r="BI389" s="196">
        <v>0.45732218499999999</v>
      </c>
      <c r="BJ389" s="196">
        <f>IF(BI389="","",BI389-BI$6)</f>
        <v>8.4379174919999966E-2</v>
      </c>
      <c r="BK389" s="197">
        <v>7.9444041047000002</v>
      </c>
      <c r="BL389" s="115"/>
      <c r="BM389" s="198">
        <v>2.8634706975999999E-2</v>
      </c>
      <c r="BN389" s="191">
        <v>-1.8261800746E-2</v>
      </c>
      <c r="BO389" s="191">
        <v>3.6285067402999999E-2</v>
      </c>
      <c r="BP389" s="191">
        <v>-2.1377149630000002E-2</v>
      </c>
      <c r="BQ389" s="199">
        <v>8</v>
      </c>
      <c r="BR389" s="199">
        <v>4</v>
      </c>
      <c r="BS389" s="199">
        <v>6</v>
      </c>
      <c r="BT389" s="199">
        <v>6</v>
      </c>
      <c r="BU389" s="200">
        <v>0.21365059349000001</v>
      </c>
      <c r="BV389" s="200">
        <v>-0.17009151136</v>
      </c>
      <c r="BW389" s="191">
        <v>8.2212022688E-3</v>
      </c>
      <c r="BX389" s="191">
        <v>5.2830504106000003E-3</v>
      </c>
      <c r="BY389" s="189">
        <v>1.2019970391999999</v>
      </c>
      <c r="BZ389" s="191">
        <v>-2.9093710496E-2</v>
      </c>
      <c r="CA389" s="191">
        <v>-2.9093710496E-2</v>
      </c>
      <c r="CB389" s="182">
        <v>45187</v>
      </c>
      <c r="CC389" s="182">
        <v>45196</v>
      </c>
      <c r="CD389" s="201">
        <v>41</v>
      </c>
      <c r="CE389" s="202">
        <v>45247</v>
      </c>
      <c r="CF389" s="116"/>
    </row>
    <row r="390" spans="2:84" ht="15.6" x14ac:dyDescent="0.3">
      <c r="B390" s="110" t="s">
        <v>581</v>
      </c>
      <c r="C390" s="147" t="s">
        <v>996</v>
      </c>
      <c r="D390" s="148" t="s">
        <v>987</v>
      </c>
      <c r="E390" s="148" t="s">
        <v>226</v>
      </c>
      <c r="F390" s="149">
        <v>7081291000139</v>
      </c>
      <c r="G390" s="149" t="s">
        <v>1024</v>
      </c>
      <c r="H390" s="149" t="s">
        <v>388</v>
      </c>
      <c r="I390" s="150">
        <v>1</v>
      </c>
      <c r="J390" s="151" t="s">
        <v>107</v>
      </c>
      <c r="K390" s="151" t="s">
        <v>126</v>
      </c>
      <c r="L390" s="151" t="s">
        <v>124</v>
      </c>
      <c r="M390" s="151" t="s">
        <v>116</v>
      </c>
      <c r="N390" s="151" t="s">
        <v>109</v>
      </c>
      <c r="O390" s="152">
        <v>112310</v>
      </c>
      <c r="P390" s="153">
        <v>112310000</v>
      </c>
      <c r="Q390" s="153">
        <v>1000</v>
      </c>
      <c r="R390" s="154">
        <v>43511</v>
      </c>
      <c r="S390" s="154">
        <v>47164</v>
      </c>
      <c r="T390" s="155" t="s">
        <v>1050</v>
      </c>
      <c r="U390" s="155" t="s">
        <v>1063</v>
      </c>
      <c r="V390" s="154" t="s">
        <v>194</v>
      </c>
      <c r="W390" s="154" t="s">
        <v>102</v>
      </c>
      <c r="X390" s="154" t="s">
        <v>1367</v>
      </c>
      <c r="Y390" s="154">
        <v>46522</v>
      </c>
      <c r="Z390" s="156">
        <f>IFERROR(INDEX(Base!G:G,MATCH('Debêntures IPCA-Spread'!Y390,Base!F:F,0)),"")</f>
        <v>6.391</v>
      </c>
      <c r="AA390" s="115"/>
      <c r="AB390" s="157">
        <v>45552</v>
      </c>
      <c r="AC390" s="158">
        <v>6.3691000000000004</v>
      </c>
      <c r="AD390" s="159">
        <f t="shared" si="17"/>
        <v>-2.1899999999999586E-2</v>
      </c>
      <c r="AE390" s="160">
        <v>0.53</v>
      </c>
      <c r="AF390" s="161">
        <v>6.7801</v>
      </c>
      <c r="AG390" s="161"/>
      <c r="AH390" s="162">
        <v>897.07223399999998</v>
      </c>
      <c r="AI390" s="162">
        <v>898.02985000000001</v>
      </c>
      <c r="AJ390" s="163">
        <f t="shared" si="18"/>
        <v>0.99893364791827355</v>
      </c>
      <c r="AK390" s="164">
        <v>45548</v>
      </c>
      <c r="AL390" s="165">
        <v>95.33</v>
      </c>
      <c r="AM390" s="166">
        <v>657</v>
      </c>
      <c r="AN390" s="115"/>
      <c r="AO390" s="167">
        <v>1.9166120546000001E-4</v>
      </c>
      <c r="AP390" s="168">
        <f>IF(AO390="","",AO390-AO$6)</f>
        <v>-2.8848367946999998E-4</v>
      </c>
      <c r="AQ390" s="168">
        <v>1.361417036E-2</v>
      </c>
      <c r="AR390" s="168">
        <f>IF(AQ390="","",AQ390-AQ$6)</f>
        <v>1.383167711296E-2</v>
      </c>
      <c r="AS390" s="168">
        <v>7.3389537559999996E-2</v>
      </c>
      <c r="AT390" s="168">
        <f>IF(AS390="","",AS390-AS$6)</f>
        <v>5.8663702504999998E-2</v>
      </c>
      <c r="AU390" s="168">
        <v>3.6668482644000001E-3</v>
      </c>
      <c r="AV390" s="168">
        <f>IF(AU390="","",AU390-AU$6)</f>
        <v>1.67354308604E-2</v>
      </c>
      <c r="AW390" s="168">
        <v>3.8465429406999999E-2</v>
      </c>
      <c r="AX390" s="168">
        <f>IF(AW390="","",AW390-AW$6)</f>
        <v>1.4470361618999998E-2</v>
      </c>
      <c r="AY390" s="168">
        <v>5.8092667647000003E-2</v>
      </c>
      <c r="AZ390" s="168">
        <f>IF(AY390="","",AY390-AY$6)</f>
        <v>4.3850412857000004E-2</v>
      </c>
      <c r="BA390" s="168">
        <v>0.10077774144</v>
      </c>
      <c r="BB390" s="168">
        <f>IF(BA390="","",BA390-BA$6)</f>
        <v>4.7290776882E-2</v>
      </c>
      <c r="BC390" s="168">
        <v>0.23213007153000001</v>
      </c>
      <c r="BD390" s="168">
        <f>IF(BC390="","",BC390-BC$6)</f>
        <v>3.7821505040000009E-2</v>
      </c>
      <c r="BE390" s="168">
        <v>0.37319853381000001</v>
      </c>
      <c r="BF390" s="168">
        <f>IF(BE390="","",BE390-BE$6)</f>
        <v>0.11147919427000003</v>
      </c>
      <c r="BG390" s="168"/>
      <c r="BH390" s="168" t="str">
        <f>IF(BG390="","",BG390-BG$6)</f>
        <v/>
      </c>
      <c r="BI390" s="168"/>
      <c r="BJ390" s="168" t="str">
        <f>IF(BI390="","",BI390-BI$6)</f>
        <v/>
      </c>
      <c r="BK390" s="169">
        <v>4.3992231618000002</v>
      </c>
      <c r="BL390" s="115"/>
      <c r="BM390" s="170">
        <v>1.1975845092E-2</v>
      </c>
      <c r="BN390" s="163">
        <v>-1.0026331081E-2</v>
      </c>
      <c r="BO390" s="163">
        <v>2.280309153E-2</v>
      </c>
      <c r="BP390" s="163">
        <v>-9.6615667461999993E-3</v>
      </c>
      <c r="BQ390" s="171">
        <v>10</v>
      </c>
      <c r="BR390" s="171">
        <v>2</v>
      </c>
      <c r="BS390" s="171">
        <v>8</v>
      </c>
      <c r="BT390" s="171">
        <v>4</v>
      </c>
      <c r="BU390" s="172">
        <v>-0.20300857129</v>
      </c>
      <c r="BV390" s="172">
        <v>-0.10850946869</v>
      </c>
      <c r="BW390" s="163">
        <v>4.5464897686000004E-3</v>
      </c>
      <c r="BX390" s="163">
        <v>4.0165360295999998E-3</v>
      </c>
      <c r="BY390" s="161">
        <v>-1.4025963715</v>
      </c>
      <c r="BZ390" s="163">
        <v>-1.5413029735E-2</v>
      </c>
      <c r="CA390" s="163">
        <v>-1.5413029735E-2</v>
      </c>
      <c r="CB390" s="154">
        <v>45187</v>
      </c>
      <c r="CC390" s="154">
        <v>45229</v>
      </c>
      <c r="CD390" s="173">
        <v>41</v>
      </c>
      <c r="CE390" s="174">
        <v>45247</v>
      </c>
      <c r="CF390" s="115"/>
    </row>
    <row r="391" spans="2:84" ht="15.6" x14ac:dyDescent="0.3">
      <c r="B391" s="98" t="s">
        <v>582</v>
      </c>
      <c r="C391" s="175" t="s">
        <v>997</v>
      </c>
      <c r="D391" s="176" t="s">
        <v>98</v>
      </c>
      <c r="E391" s="176" t="s">
        <v>226</v>
      </c>
      <c r="F391" s="177">
        <v>8070508000178</v>
      </c>
      <c r="G391" s="177" t="s">
        <v>1025</v>
      </c>
      <c r="H391" s="177" t="s">
        <v>388</v>
      </c>
      <c r="I391" s="178">
        <v>4</v>
      </c>
      <c r="J391" s="179" t="s">
        <v>107</v>
      </c>
      <c r="K391" s="179" t="s">
        <v>126</v>
      </c>
      <c r="L391" s="179" t="s">
        <v>112</v>
      </c>
      <c r="M391" s="179" t="s">
        <v>106</v>
      </c>
      <c r="N391" s="179" t="s">
        <v>109</v>
      </c>
      <c r="O391" s="180">
        <v>700400</v>
      </c>
      <c r="P391" s="181">
        <v>700400000</v>
      </c>
      <c r="Q391" s="181">
        <v>1000</v>
      </c>
      <c r="R391" s="182">
        <v>43784</v>
      </c>
      <c r="S391" s="182">
        <v>47437</v>
      </c>
      <c r="T391" s="183" t="s">
        <v>1051</v>
      </c>
      <c r="U391" s="183" t="s">
        <v>1064</v>
      </c>
      <c r="V391" s="182" t="s">
        <v>105</v>
      </c>
      <c r="W391" s="182" t="s">
        <v>102</v>
      </c>
      <c r="X391" s="182" t="s">
        <v>1078</v>
      </c>
      <c r="Y391" s="182">
        <v>46980</v>
      </c>
      <c r="Z391" s="184">
        <f>IFERROR(INDEX(Base!G:G,MATCH('Debêntures IPCA-Spread'!Y391,Base!F:F,0)),"")</f>
        <v>6.4702000000000002</v>
      </c>
      <c r="AA391" s="115"/>
      <c r="AB391" s="185">
        <v>45552</v>
      </c>
      <c r="AC391" s="186">
        <v>6.4539999999999997</v>
      </c>
      <c r="AD391" s="187">
        <f t="shared" si="17"/>
        <v>-1.6200000000000436E-2</v>
      </c>
      <c r="AE391" s="188">
        <v>0.06</v>
      </c>
      <c r="AF391" s="189">
        <v>6.6565000000000003</v>
      </c>
      <c r="AG391" s="189">
        <v>6.2393999999999998</v>
      </c>
      <c r="AH391" s="190">
        <v>1231.9081590000001</v>
      </c>
      <c r="AI391" s="190">
        <v>1238.5881010000001</v>
      </c>
      <c r="AJ391" s="191">
        <f t="shared" si="18"/>
        <v>0.99460680916068323</v>
      </c>
      <c r="AK391" s="192">
        <v>45518</v>
      </c>
      <c r="AL391" s="193">
        <v>90.04</v>
      </c>
      <c r="AM391" s="194">
        <v>947</v>
      </c>
      <c r="AN391" s="115"/>
      <c r="AO391" s="195">
        <v>-1.1430718431999999E-3</v>
      </c>
      <c r="AP391" s="196">
        <f>IF(AO391="","",AO391-AO$6)</f>
        <v>-1.6232167281299999E-3</v>
      </c>
      <c r="AQ391" s="196">
        <v>1.9489465611999999E-3</v>
      </c>
      <c r="AR391" s="196">
        <f>IF(AQ391="","",AQ391-AQ$6)</f>
        <v>2.1664533141599997E-3</v>
      </c>
      <c r="AS391" s="196">
        <v>5.6769042518000003E-2</v>
      </c>
      <c r="AT391" s="196">
        <f>IF(AS391="","",AS391-AS$6)</f>
        <v>4.2043207462999999E-2</v>
      </c>
      <c r="AU391" s="196">
        <v>-3.3839143316000001E-3</v>
      </c>
      <c r="AV391" s="196">
        <f>IF(AU391="","",AU391-AU$6)</f>
        <v>9.6846682643999989E-3</v>
      </c>
      <c r="AW391" s="196">
        <v>2.9916143696E-2</v>
      </c>
      <c r="AX391" s="196">
        <f>IF(AW391="","",AW391-AW$6)</f>
        <v>5.9210759079999994E-3</v>
      </c>
      <c r="AY391" s="196">
        <v>2.4314344179999999E-2</v>
      </c>
      <c r="AZ391" s="196">
        <f>IF(AY391="","",AY391-AY$6)</f>
        <v>1.0072089389999999E-2</v>
      </c>
      <c r="BA391" s="196">
        <v>9.2635755254000002E-2</v>
      </c>
      <c r="BB391" s="196">
        <f>IF(BA391="","",BA391-BA$6)</f>
        <v>3.9148790696000003E-2</v>
      </c>
      <c r="BC391" s="196">
        <v>0.21549408804</v>
      </c>
      <c r="BD391" s="196">
        <f>IF(BC391="","",BC391-BC$6)</f>
        <v>2.1185521550000003E-2</v>
      </c>
      <c r="BE391" s="196">
        <v>0.29468844016000001</v>
      </c>
      <c r="BF391" s="196">
        <f>IF(BE391="","",BE391-BE$6)</f>
        <v>3.2969100620000025E-2</v>
      </c>
      <c r="BG391" s="196">
        <v>0.41614689057999998</v>
      </c>
      <c r="BH391" s="196">
        <f>IF(BG391="","",BG391-BG$6)</f>
        <v>0.10723024176999996</v>
      </c>
      <c r="BI391" s="196"/>
      <c r="BJ391" s="196" t="str">
        <f>IF(BI391="","",BI391-BI$6)</f>
        <v/>
      </c>
      <c r="BK391" s="197">
        <v>4.0902837954000004</v>
      </c>
      <c r="BL391" s="115"/>
      <c r="BM391" s="198">
        <v>8.2836258624999996E-3</v>
      </c>
      <c r="BN391" s="191">
        <v>-8.0329815137000007E-3</v>
      </c>
      <c r="BO391" s="191">
        <v>2.6315301563999999E-2</v>
      </c>
      <c r="BP391" s="191">
        <v>-1.665468975E-2</v>
      </c>
      <c r="BQ391" s="199">
        <v>9</v>
      </c>
      <c r="BR391" s="199">
        <v>3</v>
      </c>
      <c r="BS391" s="199">
        <v>6</v>
      </c>
      <c r="BT391" s="199">
        <v>6</v>
      </c>
      <c r="BU391" s="200">
        <v>-0.40100935402999999</v>
      </c>
      <c r="BV391" s="200">
        <v>-0.43537241064999999</v>
      </c>
      <c r="BW391" s="191">
        <v>4.2253555989E-3</v>
      </c>
      <c r="BX391" s="191">
        <v>3.3394329924000001E-3</v>
      </c>
      <c r="BY391" s="189">
        <v>-2.3849223493</v>
      </c>
      <c r="BZ391" s="191">
        <v>-2.2543112133E-2</v>
      </c>
      <c r="CA391" s="191">
        <v>-2.2543112133E-2</v>
      </c>
      <c r="CB391" s="182">
        <v>45364</v>
      </c>
      <c r="CC391" s="182">
        <v>45412</v>
      </c>
      <c r="CD391" s="201">
        <v>82</v>
      </c>
      <c r="CE391" s="202">
        <v>45483</v>
      </c>
      <c r="CF391" s="115"/>
    </row>
    <row r="392" spans="2:84" ht="15.6" x14ac:dyDescent="0.3">
      <c r="B392" s="110" t="s">
        <v>583</v>
      </c>
      <c r="C392" s="147" t="s">
        <v>998</v>
      </c>
      <c r="D392" s="148" t="s">
        <v>98</v>
      </c>
      <c r="E392" s="148" t="s">
        <v>226</v>
      </c>
      <c r="F392" s="149">
        <v>8070508000178</v>
      </c>
      <c r="G392" s="149" t="s">
        <v>1026</v>
      </c>
      <c r="H392" s="149" t="s">
        <v>388</v>
      </c>
      <c r="I392" s="150">
        <v>5</v>
      </c>
      <c r="J392" s="151" t="s">
        <v>107</v>
      </c>
      <c r="K392" s="151" t="s">
        <v>126</v>
      </c>
      <c r="L392" s="151" t="s">
        <v>125</v>
      </c>
      <c r="M392" s="151" t="s">
        <v>106</v>
      </c>
      <c r="N392" s="151" t="s">
        <v>109</v>
      </c>
      <c r="O392" s="152">
        <v>169518</v>
      </c>
      <c r="P392" s="153">
        <v>169518000</v>
      </c>
      <c r="Q392" s="153">
        <v>1000</v>
      </c>
      <c r="R392" s="154">
        <v>43997</v>
      </c>
      <c r="S392" s="154">
        <v>47649</v>
      </c>
      <c r="T392" s="155" t="s">
        <v>785</v>
      </c>
      <c r="U392" s="155" t="s">
        <v>1065</v>
      </c>
      <c r="V392" s="154" t="s">
        <v>105</v>
      </c>
      <c r="W392" s="154" t="s">
        <v>102</v>
      </c>
      <c r="X392" s="154" t="s">
        <v>1292</v>
      </c>
      <c r="Y392" s="154">
        <v>47253</v>
      </c>
      <c r="Z392" s="156">
        <f>IFERROR(INDEX(Base!G:G,MATCH('Debêntures IPCA-Spread'!Y392,Base!F:F,0)),"")</f>
        <v>6.41</v>
      </c>
      <c r="AA392" s="115"/>
      <c r="AB392" s="157">
        <v>45552</v>
      </c>
      <c r="AC392" s="158">
        <v>6.5922000000000001</v>
      </c>
      <c r="AD392" s="159">
        <f t="shared" si="17"/>
        <v>0.18219999999999992</v>
      </c>
      <c r="AE392" s="160">
        <v>7.0000000000000007E-2</v>
      </c>
      <c r="AF392" s="161">
        <v>6.8261000000000003</v>
      </c>
      <c r="AG392" s="161">
        <v>6.4295999999999998</v>
      </c>
      <c r="AH392" s="162">
        <v>1291.1875339999999</v>
      </c>
      <c r="AI392" s="162">
        <v>1301.220468</v>
      </c>
      <c r="AJ392" s="163">
        <f t="shared" si="18"/>
        <v>0.99228959715380061</v>
      </c>
      <c r="AK392" s="164">
        <v>45518</v>
      </c>
      <c r="AL392" s="165">
        <v>96.98</v>
      </c>
      <c r="AM392" s="166">
        <v>1035</v>
      </c>
      <c r="AN392" s="115"/>
      <c r="AO392" s="167">
        <v>2.0313878849E-4</v>
      </c>
      <c r="AP392" s="168">
        <f>IF(AO392="","",AO392-AO$6)</f>
        <v>-2.7700609643999997E-4</v>
      </c>
      <c r="AQ392" s="168">
        <v>3.6278473307999998E-3</v>
      </c>
      <c r="AR392" s="168">
        <f>IF(AQ392="","",AQ392-AQ$6)</f>
        <v>3.8453540837599999E-3</v>
      </c>
      <c r="AS392" s="168">
        <v>5.0206794834999999E-2</v>
      </c>
      <c r="AT392" s="168">
        <f>IF(AS392="","",AS392-AS$6)</f>
        <v>3.5480959780000002E-2</v>
      </c>
      <c r="AU392" s="168">
        <v>-3.2552252459999999E-3</v>
      </c>
      <c r="AV392" s="168">
        <f>IF(AU392="","",AU392-AU$6)</f>
        <v>9.8133573499999995E-3</v>
      </c>
      <c r="AW392" s="168">
        <v>2.3850841976999999E-2</v>
      </c>
      <c r="AX392" s="168">
        <f>IF(AW392="","",AW392-AW$6)</f>
        <v>-1.4422581100000109E-4</v>
      </c>
      <c r="AY392" s="168">
        <v>2.7843538734000001E-2</v>
      </c>
      <c r="AZ392" s="168">
        <f>IF(AY392="","",AY392-AY$6)</f>
        <v>1.3601283944E-2</v>
      </c>
      <c r="BA392" s="168">
        <v>8.5709659997999996E-2</v>
      </c>
      <c r="BB392" s="168">
        <f>IF(BA392="","",BA392-BA$6)</f>
        <v>3.2222695439999997E-2</v>
      </c>
      <c r="BC392" s="168">
        <v>0.20815668097000001</v>
      </c>
      <c r="BD392" s="168">
        <f>IF(BC392="","",BC392-BC$6)</f>
        <v>1.3848114480000007E-2</v>
      </c>
      <c r="BE392" s="168">
        <v>0.28833698593000001</v>
      </c>
      <c r="BF392" s="168">
        <f>IF(BE392="","",BE392-BE$6)</f>
        <v>2.6617646390000027E-2</v>
      </c>
      <c r="BG392" s="168">
        <v>0.40333860548</v>
      </c>
      <c r="BH392" s="168">
        <f>IF(BG392="","",BG392-BG$6)</f>
        <v>9.4421956669999973E-2</v>
      </c>
      <c r="BI392" s="168"/>
      <c r="BJ392" s="168" t="str">
        <f>IF(BI392="","",BI392-BI$6)</f>
        <v/>
      </c>
      <c r="BK392" s="169">
        <v>4.2484161620999998</v>
      </c>
      <c r="BL392" s="115"/>
      <c r="BM392" s="170">
        <v>1.0646015181E-2</v>
      </c>
      <c r="BN392" s="163">
        <v>-1.1690338422999999E-2</v>
      </c>
      <c r="BO392" s="163">
        <v>2.6994175676000001E-2</v>
      </c>
      <c r="BP392" s="163">
        <v>-1.5479971734E-2</v>
      </c>
      <c r="BQ392" s="171">
        <v>8</v>
      </c>
      <c r="BR392" s="171">
        <v>4</v>
      </c>
      <c r="BS392" s="171">
        <v>6</v>
      </c>
      <c r="BT392" s="171">
        <v>6</v>
      </c>
      <c r="BU392" s="172">
        <v>-0.53121078319000004</v>
      </c>
      <c r="BV392" s="172">
        <v>-0.49177284184999998</v>
      </c>
      <c r="BW392" s="163">
        <v>4.3898780303000002E-3</v>
      </c>
      <c r="BX392" s="163">
        <v>2.7100005996999999E-3</v>
      </c>
      <c r="BY392" s="161">
        <v>-3.0934716791999999</v>
      </c>
      <c r="BZ392" s="163">
        <v>-2.2188342178E-2</v>
      </c>
      <c r="CA392" s="163">
        <v>-2.2188342178E-2</v>
      </c>
      <c r="CB392" s="154">
        <v>45187</v>
      </c>
      <c r="CC392" s="154">
        <v>45202</v>
      </c>
      <c r="CD392" s="173">
        <v>40</v>
      </c>
      <c r="CE392" s="174">
        <v>45246</v>
      </c>
      <c r="CF392" s="115"/>
    </row>
    <row r="393" spans="2:84" ht="15.6" x14ac:dyDescent="0.3">
      <c r="B393" s="98" t="s">
        <v>1488</v>
      </c>
      <c r="C393" s="175" t="s">
        <v>2134</v>
      </c>
      <c r="D393" s="176" t="s">
        <v>98</v>
      </c>
      <c r="E393" s="176" t="s">
        <v>226</v>
      </c>
      <c r="F393" s="177">
        <v>8070508000178</v>
      </c>
      <c r="G393" s="177" t="s">
        <v>1846</v>
      </c>
      <c r="H393" s="177" t="s">
        <v>388</v>
      </c>
      <c r="I393" s="178">
        <v>7</v>
      </c>
      <c r="J393" s="179">
        <v>1</v>
      </c>
      <c r="K393" s="179" t="s">
        <v>126</v>
      </c>
      <c r="L393" s="179" t="s">
        <v>112</v>
      </c>
      <c r="M393" s="179" t="s">
        <v>114</v>
      </c>
      <c r="N393" s="179" t="s">
        <v>109</v>
      </c>
      <c r="O393" s="180">
        <v>768094</v>
      </c>
      <c r="P393" s="181">
        <v>768094000</v>
      </c>
      <c r="Q393" s="181">
        <v>1000</v>
      </c>
      <c r="R393" s="182">
        <v>44635</v>
      </c>
      <c r="S393" s="182">
        <v>47192</v>
      </c>
      <c r="T393" s="183" t="s">
        <v>1735</v>
      </c>
      <c r="U393" s="183" t="s">
        <v>166</v>
      </c>
      <c r="V393" s="182" t="s">
        <v>105</v>
      </c>
      <c r="W393" s="182" t="s">
        <v>102</v>
      </c>
      <c r="X393" s="182" t="s">
        <v>1613</v>
      </c>
      <c r="Y393" s="182">
        <v>47253</v>
      </c>
      <c r="Z393" s="184">
        <f>IFERROR(INDEX(Base!G:G,MATCH('Debêntures IPCA-Spread'!Y393,Base!F:F,0)),"")</f>
        <v>6.41</v>
      </c>
      <c r="AA393" s="115"/>
      <c r="AB393" s="185">
        <v>45552</v>
      </c>
      <c r="AC393" s="186">
        <v>6.4226000000000001</v>
      </c>
      <c r="AD393" s="187">
        <f t="shared" si="17"/>
        <v>1.2599999999999945E-2</v>
      </c>
      <c r="AE393" s="188">
        <v>0.14000000000000001</v>
      </c>
      <c r="AF393" s="189">
        <v>6.5538999999999996</v>
      </c>
      <c r="AG393" s="189">
        <v>6.1974</v>
      </c>
      <c r="AH393" s="190">
        <v>1116.9632099999999</v>
      </c>
      <c r="AI393" s="190">
        <v>1122.1788819999999</v>
      </c>
      <c r="AJ393" s="191">
        <f t="shared" si="18"/>
        <v>0.99535219198680303</v>
      </c>
      <c r="AK393" s="192">
        <v>45541</v>
      </c>
      <c r="AL393" s="193">
        <v>98.16</v>
      </c>
      <c r="AM393" s="194">
        <v>990</v>
      </c>
      <c r="AN393" s="115"/>
      <c r="AO393" s="195">
        <v>-3.3688324765999999E-4</v>
      </c>
      <c r="AP393" s="196">
        <f>IF(AO393="","",AO393-AO$6)</f>
        <v>-8.1702813258999999E-4</v>
      </c>
      <c r="AQ393" s="196">
        <v>3.1836340258E-3</v>
      </c>
      <c r="AR393" s="196">
        <f>IF(AQ393="","",AQ393-AQ$6)</f>
        <v>3.40114077876E-3</v>
      </c>
      <c r="AS393" s="196">
        <v>5.4286368824000002E-2</v>
      </c>
      <c r="AT393" s="196">
        <f>IF(AS393="","",AS393-AS$6)</f>
        <v>3.9560533768999998E-2</v>
      </c>
      <c r="AU393" s="196">
        <v>1.5854436151E-3</v>
      </c>
      <c r="AV393" s="196">
        <f>IF(AU393="","",AU393-AU$6)</f>
        <v>1.4654026211099999E-2</v>
      </c>
      <c r="AW393" s="196">
        <v>3.4774068312E-2</v>
      </c>
      <c r="AX393" s="196">
        <f>IF(AW393="","",AW393-AW$6)</f>
        <v>1.0779000524E-2</v>
      </c>
      <c r="AY393" s="196">
        <v>2.9380430696999998E-2</v>
      </c>
      <c r="AZ393" s="196">
        <f>IF(AY393="","",AY393-AY$6)</f>
        <v>1.5138175906999998E-2</v>
      </c>
      <c r="BA393" s="196">
        <v>8.9307033265999994E-2</v>
      </c>
      <c r="BB393" s="196">
        <f>IF(BA393="","",BA393-BA$6)</f>
        <v>3.5820068707999995E-2</v>
      </c>
      <c r="BC393" s="196">
        <v>0.22914809480000001</v>
      </c>
      <c r="BD393" s="196">
        <f>IF(BC393="","",BC393-BC$6)</f>
        <v>3.4839528310000006E-2</v>
      </c>
      <c r="BE393" s="196"/>
      <c r="BF393" s="196" t="str">
        <f>IF(BE393="","",BE393-BE$6)</f>
        <v/>
      </c>
      <c r="BG393" s="196"/>
      <c r="BH393" s="196" t="str">
        <f>IF(BG393="","",BG393-BG$6)</f>
        <v/>
      </c>
      <c r="BI393" s="196"/>
      <c r="BJ393" s="196" t="str">
        <f>IF(BI393="","",BI393-BI$6)</f>
        <v/>
      </c>
      <c r="BK393" s="197">
        <v>3.7634559063999999</v>
      </c>
      <c r="BL393" s="115"/>
      <c r="BM393" s="198">
        <v>7.2246174041E-3</v>
      </c>
      <c r="BN393" s="191">
        <v>-6.4363359998000002E-3</v>
      </c>
      <c r="BO393" s="191">
        <v>2.5585582007E-2</v>
      </c>
      <c r="BP393" s="191">
        <v>-1.5214389805000001E-2</v>
      </c>
      <c r="BQ393" s="199">
        <v>9</v>
      </c>
      <c r="BR393" s="199">
        <v>3</v>
      </c>
      <c r="BS393" s="199">
        <v>7</v>
      </c>
      <c r="BT393" s="199">
        <v>5</v>
      </c>
      <c r="BU393" s="200">
        <v>-0.51864150927999997</v>
      </c>
      <c r="BV393" s="200"/>
      <c r="BW393" s="191">
        <v>3.8883922632000001E-3</v>
      </c>
      <c r="BX393" s="191">
        <v>3.3931683617E-3</v>
      </c>
      <c r="BY393" s="189">
        <v>-2.6728614672000002</v>
      </c>
      <c r="BZ393" s="191">
        <v>-2.0631084662000001E-2</v>
      </c>
      <c r="CA393" s="191">
        <v>-2.0631084662000001E-2</v>
      </c>
      <c r="CB393" s="182">
        <v>45187</v>
      </c>
      <c r="CC393" s="182">
        <v>45202</v>
      </c>
      <c r="CD393" s="201">
        <v>40</v>
      </c>
      <c r="CE393" s="202">
        <v>45246</v>
      </c>
      <c r="CF393" s="115"/>
    </row>
    <row r="394" spans="2:84" ht="15.6" x14ac:dyDescent="0.3">
      <c r="B394" s="110" t="s">
        <v>1489</v>
      </c>
      <c r="C394" s="147" t="s">
        <v>2135</v>
      </c>
      <c r="D394" s="148" t="s">
        <v>98</v>
      </c>
      <c r="E394" s="148" t="s">
        <v>226</v>
      </c>
      <c r="F394" s="149">
        <v>8070508000178</v>
      </c>
      <c r="G394" s="149" t="s">
        <v>1847</v>
      </c>
      <c r="H394" s="149" t="s">
        <v>388</v>
      </c>
      <c r="I394" s="150">
        <v>7</v>
      </c>
      <c r="J394" s="151">
        <v>2</v>
      </c>
      <c r="K394" s="151" t="s">
        <v>126</v>
      </c>
      <c r="L394" s="151" t="s">
        <v>112</v>
      </c>
      <c r="M394" s="151" t="s">
        <v>114</v>
      </c>
      <c r="N394" s="151" t="s">
        <v>109</v>
      </c>
      <c r="O394" s="152">
        <v>428591</v>
      </c>
      <c r="P394" s="153">
        <v>428591000</v>
      </c>
      <c r="Q394" s="153">
        <v>1000</v>
      </c>
      <c r="R394" s="154">
        <v>44635</v>
      </c>
      <c r="S394" s="154">
        <v>48288</v>
      </c>
      <c r="T394" s="155" t="s">
        <v>1735</v>
      </c>
      <c r="U394" s="155" t="s">
        <v>166</v>
      </c>
      <c r="V394" s="154" t="s">
        <v>105</v>
      </c>
      <c r="W394" s="154" t="s">
        <v>102</v>
      </c>
      <c r="X394" s="154" t="s">
        <v>1614</v>
      </c>
      <c r="Y394" s="154">
        <v>47710</v>
      </c>
      <c r="Z394" s="156">
        <f>IFERROR(INDEX(Base!G:G,MATCH('Debêntures IPCA-Spread'!Y394,Base!F:F,0)),"")</f>
        <v>6.3273999999999999</v>
      </c>
      <c r="AA394" s="115"/>
      <c r="AB394" s="157">
        <v>45552</v>
      </c>
      <c r="AC394" s="158">
        <v>6.5655999999999999</v>
      </c>
      <c r="AD394" s="159">
        <f t="shared" si="17"/>
        <v>0.23819999999999997</v>
      </c>
      <c r="AE394" s="160">
        <v>0.13</v>
      </c>
      <c r="AF394" s="161">
        <v>6.9039000000000001</v>
      </c>
      <c r="AG394" s="161">
        <v>6.3384999999999998</v>
      </c>
      <c r="AH394" s="162">
        <v>1104.143898</v>
      </c>
      <c r="AI394" s="162">
        <v>1117.8695070000001</v>
      </c>
      <c r="AJ394" s="163">
        <f t="shared" si="18"/>
        <v>0.98772163574187188</v>
      </c>
      <c r="AK394" s="164">
        <v>45530</v>
      </c>
      <c r="AL394" s="165">
        <v>97.02</v>
      </c>
      <c r="AM394" s="166">
        <v>1346</v>
      </c>
      <c r="AN394" s="115"/>
      <c r="AO394" s="167">
        <v>-1.1901108336999999E-4</v>
      </c>
      <c r="AP394" s="168">
        <f>IF(AO394="","",AO394-AO$6)</f>
        <v>-5.9915596829999995E-4</v>
      </c>
      <c r="AQ394" s="168">
        <v>-7.6180946261999996E-3</v>
      </c>
      <c r="AR394" s="168">
        <f>IF(AQ394="","",AQ394-AQ$6)</f>
        <v>-7.4005878732399995E-3</v>
      </c>
      <c r="AS394" s="168">
        <v>4.5820723559E-2</v>
      </c>
      <c r="AT394" s="168">
        <f>IF(AS394="","",AS394-AS$6)</f>
        <v>3.1094888503999999E-2</v>
      </c>
      <c r="AU394" s="168">
        <v>-7.7149490435000001E-3</v>
      </c>
      <c r="AV394" s="168">
        <f>IF(AU394="","",AU394-AU$6)</f>
        <v>5.3536335524999997E-3</v>
      </c>
      <c r="AW394" s="168">
        <v>2.5082823046E-2</v>
      </c>
      <c r="AX394" s="168">
        <f>IF(AW394="","",AW394-AW$6)</f>
        <v>1.0877552579999991E-3</v>
      </c>
      <c r="AY394" s="168">
        <v>1.9198117460999999E-2</v>
      </c>
      <c r="AZ394" s="168">
        <f>IF(AY394="","",AY394-AY$6)</f>
        <v>4.9558626709999987E-3</v>
      </c>
      <c r="BA394" s="168">
        <v>8.3939754992999993E-2</v>
      </c>
      <c r="BB394" s="168">
        <f>IF(BA394="","",BA394-BA$6)</f>
        <v>3.0452790434999995E-2</v>
      </c>
      <c r="BC394" s="168">
        <v>0.22265746005000001</v>
      </c>
      <c r="BD394" s="168">
        <f>IF(BC394="","",BC394-BC$6)</f>
        <v>2.8348893560000005E-2</v>
      </c>
      <c r="BE394" s="168"/>
      <c r="BF394" s="168" t="str">
        <f>IF(BE394="","",BE394-BE$6)</f>
        <v/>
      </c>
      <c r="BG394" s="168"/>
      <c r="BH394" s="168" t="str">
        <f>IF(BG394="","",BG394-BG$6)</f>
        <v/>
      </c>
      <c r="BI394" s="168"/>
      <c r="BJ394" s="168" t="str">
        <f>IF(BI394="","",BI394-BI$6)</f>
        <v/>
      </c>
      <c r="BK394" s="169">
        <v>4.9990948820999996</v>
      </c>
      <c r="BL394" s="115"/>
      <c r="BM394" s="170">
        <v>9.4763369415999995E-3</v>
      </c>
      <c r="BN394" s="163">
        <v>-1.3279943365E-2</v>
      </c>
      <c r="BO394" s="163">
        <v>2.8699039889000001E-2</v>
      </c>
      <c r="BP394" s="163">
        <v>-1.9708358482000001E-2</v>
      </c>
      <c r="BQ394" s="171">
        <v>8</v>
      </c>
      <c r="BR394" s="171">
        <v>4</v>
      </c>
      <c r="BS394" s="171">
        <v>6</v>
      </c>
      <c r="BT394" s="171">
        <v>6</v>
      </c>
      <c r="BU394" s="172">
        <v>-0.47664852006000002</v>
      </c>
      <c r="BV394" s="172"/>
      <c r="BW394" s="163">
        <v>5.1649491956999999E-3</v>
      </c>
      <c r="BX394" s="163">
        <v>3.5937192366999999E-3</v>
      </c>
      <c r="BY394" s="161">
        <v>-3.3567308839000001</v>
      </c>
      <c r="BZ394" s="163">
        <v>-2.7470978145000002E-2</v>
      </c>
      <c r="CA394" s="163">
        <v>-2.7470978145000002E-2</v>
      </c>
      <c r="CB394" s="154">
        <v>45189</v>
      </c>
      <c r="CC394" s="154">
        <v>45196</v>
      </c>
      <c r="CD394" s="173">
        <v>45</v>
      </c>
      <c r="CE394" s="174">
        <v>45257</v>
      </c>
      <c r="CF394" s="115"/>
    </row>
    <row r="395" spans="2:84" ht="15.6" x14ac:dyDescent="0.3">
      <c r="B395" s="98" t="s">
        <v>1490</v>
      </c>
      <c r="C395" s="175" t="s">
        <v>2136</v>
      </c>
      <c r="D395" s="176" t="s">
        <v>1929</v>
      </c>
      <c r="E395" s="176" t="s">
        <v>104</v>
      </c>
      <c r="F395" s="177">
        <v>42596330000131</v>
      </c>
      <c r="G395" s="177" t="s">
        <v>1848</v>
      </c>
      <c r="H395" s="177" t="s">
        <v>388</v>
      </c>
      <c r="I395" s="178">
        <v>1</v>
      </c>
      <c r="J395" s="179" t="s">
        <v>107</v>
      </c>
      <c r="K395" s="179" t="s">
        <v>128</v>
      </c>
      <c r="L395" s="179" t="s">
        <v>118</v>
      </c>
      <c r="M395" s="179" t="s">
        <v>128</v>
      </c>
      <c r="N395" s="179" t="s">
        <v>109</v>
      </c>
      <c r="O395" s="180">
        <v>430000</v>
      </c>
      <c r="P395" s="181">
        <v>430000000</v>
      </c>
      <c r="Q395" s="181">
        <v>1000</v>
      </c>
      <c r="R395" s="182">
        <v>44666</v>
      </c>
      <c r="S395" s="182">
        <v>50510</v>
      </c>
      <c r="T395" s="183" t="s">
        <v>2014</v>
      </c>
      <c r="U395" s="183" t="s">
        <v>1714</v>
      </c>
      <c r="V395" s="182" t="s">
        <v>194</v>
      </c>
      <c r="W395" s="182" t="s">
        <v>102</v>
      </c>
      <c r="X395" s="182" t="s">
        <v>1615</v>
      </c>
      <c r="Y395" s="182">
        <v>47710</v>
      </c>
      <c r="Z395" s="184">
        <f>IFERROR(INDEX(Base!G:G,MATCH('Debêntures IPCA-Spread'!Y395,Base!F:F,0)),"")</f>
        <v>6.3273999999999999</v>
      </c>
      <c r="AA395" s="115"/>
      <c r="AB395" s="185">
        <v>45552</v>
      </c>
      <c r="AC395" s="186">
        <v>6.8874000000000004</v>
      </c>
      <c r="AD395" s="187">
        <f t="shared" si="17"/>
        <v>0.5600000000000005</v>
      </c>
      <c r="AE395" s="188">
        <v>0.15</v>
      </c>
      <c r="AF395" s="189">
        <v>7.0389999999999997</v>
      </c>
      <c r="AG395" s="189">
        <v>6.8030999999999997</v>
      </c>
      <c r="AH395" s="190">
        <v>1299.5414310000001</v>
      </c>
      <c r="AI395" s="190">
        <v>1312.5365340000001</v>
      </c>
      <c r="AJ395" s="191">
        <f t="shared" si="18"/>
        <v>0.99009924473462319</v>
      </c>
      <c r="AK395" s="192">
        <v>45518</v>
      </c>
      <c r="AL395" s="193">
        <v>100.7</v>
      </c>
      <c r="AM395" s="194">
        <v>1213</v>
      </c>
      <c r="AN395" s="115"/>
      <c r="AO395" s="195">
        <v>2.6900680314000001E-3</v>
      </c>
      <c r="AP395" s="196">
        <f>IF(AO395="","",AO395-AO$6)</f>
        <v>2.2099231464700001E-3</v>
      </c>
      <c r="AQ395" s="196">
        <v>6.0718865115999996E-3</v>
      </c>
      <c r="AR395" s="196">
        <f>IF(AQ395="","",AQ395-AQ$6)</f>
        <v>6.2893932645599997E-3</v>
      </c>
      <c r="AS395" s="196">
        <v>6.3201426825000004E-2</v>
      </c>
      <c r="AT395" s="196">
        <f>IF(AS395="","",AS395-AS$6)</f>
        <v>4.8475591770000007E-2</v>
      </c>
      <c r="AU395" s="196">
        <v>-8.1834188168000005E-3</v>
      </c>
      <c r="AV395" s="196">
        <f>IF(AU395="","",AU395-AU$6)</f>
        <v>4.8851637791999993E-3</v>
      </c>
      <c r="AW395" s="196">
        <v>3.6339449931000002E-2</v>
      </c>
      <c r="AX395" s="196">
        <f>IF(AW395="","",AW395-AW$6)</f>
        <v>1.2344382143000002E-2</v>
      </c>
      <c r="AY395" s="196">
        <v>2.8037449842999999E-2</v>
      </c>
      <c r="AZ395" s="196">
        <f>IF(AY395="","",AY395-AY$6)</f>
        <v>1.3795195052999998E-2</v>
      </c>
      <c r="BA395" s="196">
        <v>9.8992506575E-2</v>
      </c>
      <c r="BB395" s="196">
        <f>IF(BA395="","",BA395-BA$6)</f>
        <v>4.5505542017000002E-2</v>
      </c>
      <c r="BC395" s="196">
        <v>0.26959845918000003</v>
      </c>
      <c r="BD395" s="196">
        <f>IF(BC395="","",BC395-BC$6)</f>
        <v>7.5289892690000026E-2</v>
      </c>
      <c r="BE395" s="196"/>
      <c r="BF395" s="196" t="str">
        <f>IF(BE395="","",BE395-BE$6)</f>
        <v/>
      </c>
      <c r="BG395" s="196"/>
      <c r="BH395" s="196" t="str">
        <f>IF(BG395="","",BG395-BG$6)</f>
        <v/>
      </c>
      <c r="BI395" s="196"/>
      <c r="BJ395" s="196" t="str">
        <f>IF(BI395="","",BI395-BI$6)</f>
        <v/>
      </c>
      <c r="BK395" s="197">
        <v>5.4610430708999997</v>
      </c>
      <c r="BL395" s="115"/>
      <c r="BM395" s="198">
        <v>1.364207775E-2</v>
      </c>
      <c r="BN395" s="191">
        <v>-1.0465280924E-2</v>
      </c>
      <c r="BO395" s="191">
        <v>3.3724362830999999E-2</v>
      </c>
      <c r="BP395" s="191">
        <v>-1.6668804022000001E-2</v>
      </c>
      <c r="BQ395" s="199">
        <v>9</v>
      </c>
      <c r="BR395" s="199">
        <v>3</v>
      </c>
      <c r="BS395" s="199">
        <v>7</v>
      </c>
      <c r="BT395" s="199">
        <v>5</v>
      </c>
      <c r="BU395" s="200">
        <v>-0.18354622680999999</v>
      </c>
      <c r="BV395" s="200"/>
      <c r="BW395" s="191">
        <v>5.6435286985000001E-3</v>
      </c>
      <c r="BX395" s="191">
        <v>5.5607473711000001E-3</v>
      </c>
      <c r="BY395" s="189">
        <v>-1.8022788085000001</v>
      </c>
      <c r="BZ395" s="191">
        <v>-2.5306705020999999E-2</v>
      </c>
      <c r="CA395" s="191">
        <v>-2.5306705020999999E-2</v>
      </c>
      <c r="CB395" s="182">
        <v>45187</v>
      </c>
      <c r="CC395" s="182">
        <v>45224</v>
      </c>
      <c r="CD395" s="201">
        <v>49</v>
      </c>
      <c r="CE395" s="202">
        <v>45259</v>
      </c>
      <c r="CF395" s="115"/>
    </row>
    <row r="396" spans="2:84" ht="15.6" x14ac:dyDescent="0.3">
      <c r="B396" s="110" t="s">
        <v>61</v>
      </c>
      <c r="C396" s="147" t="s">
        <v>324</v>
      </c>
      <c r="D396" s="148" t="s">
        <v>99</v>
      </c>
      <c r="E396" s="148" t="s">
        <v>226</v>
      </c>
      <c r="F396" s="149">
        <v>11289590000130</v>
      </c>
      <c r="G396" s="149" t="s">
        <v>380</v>
      </c>
      <c r="H396" s="149" t="s">
        <v>388</v>
      </c>
      <c r="I396" s="150">
        <v>1</v>
      </c>
      <c r="J396" s="151">
        <v>1</v>
      </c>
      <c r="K396" s="151" t="s">
        <v>126</v>
      </c>
      <c r="L396" s="151" t="s">
        <v>122</v>
      </c>
      <c r="M396" s="151" t="s">
        <v>114</v>
      </c>
      <c r="N396" s="151" t="s">
        <v>109</v>
      </c>
      <c r="O396" s="152">
        <v>7300</v>
      </c>
      <c r="P396" s="153">
        <v>73000000</v>
      </c>
      <c r="Q396" s="153">
        <v>10000</v>
      </c>
      <c r="R396" s="154">
        <v>41958</v>
      </c>
      <c r="S396" s="154">
        <v>46006</v>
      </c>
      <c r="T396" s="155" t="s">
        <v>160</v>
      </c>
      <c r="U396" s="155" t="s">
        <v>110</v>
      </c>
      <c r="V396" s="154" t="s">
        <v>194</v>
      </c>
      <c r="W396" s="154" t="s">
        <v>102</v>
      </c>
      <c r="X396" s="154" t="s">
        <v>212</v>
      </c>
      <c r="Y396" s="154">
        <v>44331</v>
      </c>
      <c r="Z396" s="156" t="str">
        <f>IFERROR(INDEX(Base!G:G,MATCH('Debêntures IPCA-Spread'!Y396,Base!F:F,0)),"")</f>
        <v/>
      </c>
      <c r="AA396" s="115"/>
      <c r="AB396" s="157">
        <v>44162</v>
      </c>
      <c r="AC396" s="158"/>
      <c r="AD396" s="159" t="str">
        <f t="shared" si="17"/>
        <v/>
      </c>
      <c r="AE396" s="160"/>
      <c r="AF396" s="161"/>
      <c r="AG396" s="161"/>
      <c r="AH396" s="162"/>
      <c r="AI396" s="162"/>
      <c r="AJ396" s="163" t="str">
        <f t="shared" si="18"/>
        <v/>
      </c>
      <c r="AK396" s="164"/>
      <c r="AL396" s="165"/>
      <c r="AM396" s="166"/>
      <c r="AN396" s="115"/>
      <c r="AO396" s="167"/>
      <c r="AP396" s="168" t="str">
        <f>IF(AO396="","",AO396-AO$6)</f>
        <v/>
      </c>
      <c r="AQ396" s="168"/>
      <c r="AR396" s="168" t="str">
        <f>IF(AQ396="","",AQ396-AQ$6)</f>
        <v/>
      </c>
      <c r="AS396" s="168"/>
      <c r="AT396" s="168" t="str">
        <f>IF(AS396="","",AS396-AS$6)</f>
        <v/>
      </c>
      <c r="AU396" s="168"/>
      <c r="AV396" s="168" t="str">
        <f>IF(AU396="","",AU396-AU$6)</f>
        <v/>
      </c>
      <c r="AW396" s="168"/>
      <c r="AX396" s="168" t="str">
        <f>IF(AW396="","",AW396-AW$6)</f>
        <v/>
      </c>
      <c r="AY396" s="168"/>
      <c r="AZ396" s="168" t="str">
        <f>IF(AY396="","",AY396-AY$6)</f>
        <v/>
      </c>
      <c r="BA396" s="168"/>
      <c r="BB396" s="168" t="str">
        <f>IF(BA396="","",BA396-BA$6)</f>
        <v/>
      </c>
      <c r="BC396" s="168"/>
      <c r="BD396" s="168" t="str">
        <f>IF(BC396="","",BC396-BC$6)</f>
        <v/>
      </c>
      <c r="BE396" s="168"/>
      <c r="BF396" s="168" t="str">
        <f>IF(BE396="","",BE396-BE$6)</f>
        <v/>
      </c>
      <c r="BG396" s="168"/>
      <c r="BH396" s="168" t="str">
        <f>IF(BG396="","",BG396-BG$6)</f>
        <v/>
      </c>
      <c r="BI396" s="168"/>
      <c r="BJ396" s="168" t="str">
        <f>IF(BI396="","",BI396-BI$6)</f>
        <v/>
      </c>
      <c r="BK396" s="169"/>
      <c r="BL396" s="115"/>
      <c r="BM396" s="170"/>
      <c r="BN396" s="163"/>
      <c r="BO396" s="163"/>
      <c r="BP396" s="163"/>
      <c r="BQ396" s="171"/>
      <c r="BR396" s="171"/>
      <c r="BS396" s="171"/>
      <c r="BT396" s="171"/>
      <c r="BU396" s="172"/>
      <c r="BV396" s="172"/>
      <c r="BW396" s="163"/>
      <c r="BX396" s="163"/>
      <c r="BY396" s="161"/>
      <c r="BZ396" s="163"/>
      <c r="CA396" s="163"/>
      <c r="CB396" s="154"/>
      <c r="CC396" s="154"/>
      <c r="CD396" s="173"/>
      <c r="CE396" s="174"/>
      <c r="CF396" s="115"/>
    </row>
    <row r="397" spans="2:84" ht="15.6" x14ac:dyDescent="0.3">
      <c r="B397" s="98" t="s">
        <v>2306</v>
      </c>
      <c r="C397" s="175" t="s">
        <v>2691</v>
      </c>
      <c r="D397" s="176" t="s">
        <v>2811</v>
      </c>
      <c r="E397" s="176" t="s">
        <v>231</v>
      </c>
      <c r="F397" s="177">
        <v>42292007000174</v>
      </c>
      <c r="G397" s="177" t="s">
        <v>2443</v>
      </c>
      <c r="H397" s="177" t="s">
        <v>388</v>
      </c>
      <c r="I397" s="178">
        <v>2</v>
      </c>
      <c r="J397" s="179">
        <v>1</v>
      </c>
      <c r="K397" s="179" t="s">
        <v>128</v>
      </c>
      <c r="L397" s="179" t="s">
        <v>112</v>
      </c>
      <c r="M397" s="179" t="s">
        <v>114</v>
      </c>
      <c r="N397" s="179" t="s">
        <v>109</v>
      </c>
      <c r="O397" s="180">
        <v>1350000</v>
      </c>
      <c r="P397" s="181">
        <v>1350000000</v>
      </c>
      <c r="Q397" s="181">
        <v>1000</v>
      </c>
      <c r="R397" s="182">
        <v>45245</v>
      </c>
      <c r="S397" s="182">
        <v>52550</v>
      </c>
      <c r="T397" s="183" t="s">
        <v>2751</v>
      </c>
      <c r="U397" s="183" t="s">
        <v>2770</v>
      </c>
      <c r="V397" s="182" t="s">
        <v>194</v>
      </c>
      <c r="W397" s="182" t="s">
        <v>102</v>
      </c>
      <c r="X397" s="182" t="s">
        <v>2560</v>
      </c>
      <c r="Y397" s="182">
        <v>49444</v>
      </c>
      <c r="Z397" s="184">
        <f>IFERROR(INDEX(Base!G:G,MATCH('Debêntures IPCA-Spread'!Y397,Base!F:F,0)),"")</f>
        <v>6.3137999999999996</v>
      </c>
      <c r="AA397" s="115"/>
      <c r="AB397" s="185">
        <v>45552</v>
      </c>
      <c r="AC397" s="186">
        <v>7.7122999999999999</v>
      </c>
      <c r="AD397" s="187">
        <f t="shared" si="17"/>
        <v>1.3985000000000003</v>
      </c>
      <c r="AE397" s="188">
        <v>0.13</v>
      </c>
      <c r="AF397" s="189">
        <v>7.8901000000000003</v>
      </c>
      <c r="AG397" s="189">
        <v>7.6039000000000003</v>
      </c>
      <c r="AH397" s="190">
        <v>1061.3000959999999</v>
      </c>
      <c r="AI397" s="190"/>
      <c r="AJ397" s="191" t="str">
        <f t="shared" si="18"/>
        <v/>
      </c>
      <c r="AK397" s="192"/>
      <c r="AL397" s="193">
        <v>96.94</v>
      </c>
      <c r="AM397" s="194">
        <v>2181</v>
      </c>
      <c r="AN397" s="115"/>
      <c r="AO397" s="195">
        <v>2.7737685577000001E-3</v>
      </c>
      <c r="AP397" s="196">
        <f>IF(AO397="","",AO397-AO$6)</f>
        <v>2.2936236727700001E-3</v>
      </c>
      <c r="AQ397" s="196">
        <v>1.8752813412E-3</v>
      </c>
      <c r="AR397" s="196">
        <f>IF(AQ397="","",AQ397-AQ$6)</f>
        <v>2.09278809416E-3</v>
      </c>
      <c r="AS397" s="196">
        <v>5.8733480417000002E-2</v>
      </c>
      <c r="AT397" s="196">
        <f>IF(AS397="","",AS397-AS$6)</f>
        <v>4.4007645361999997E-2</v>
      </c>
      <c r="AU397" s="196">
        <v>-1.6927523715999999E-2</v>
      </c>
      <c r="AV397" s="196">
        <f>IF(AU397="","",AU397-AU$6)</f>
        <v>-3.8589411199999989E-3</v>
      </c>
      <c r="AW397" s="196">
        <v>4.0243954308999998E-2</v>
      </c>
      <c r="AX397" s="196">
        <f>IF(AW397="","",AW397-AW$6)</f>
        <v>1.6248886520999997E-2</v>
      </c>
      <c r="AY397" s="196">
        <v>8.6992705474000006E-3</v>
      </c>
      <c r="AZ397" s="196">
        <f>IF(AY397="","",AY397-AY$6)</f>
        <v>-5.5429842425999999E-3</v>
      </c>
      <c r="BA397" s="196"/>
      <c r="BB397" s="196" t="str">
        <f>IF(BA397="","",BA397-BA$6)</f>
        <v/>
      </c>
      <c r="BC397" s="196"/>
      <c r="BD397" s="196" t="str">
        <f>IF(BC397="","",BC397-BC$6)</f>
        <v/>
      </c>
      <c r="BE397" s="196"/>
      <c r="BF397" s="196" t="str">
        <f>IF(BE397="","",BE397-BE$6)</f>
        <v/>
      </c>
      <c r="BG397" s="196"/>
      <c r="BH397" s="196" t="str">
        <f>IF(BG397="","",BG397-BG$6)</f>
        <v/>
      </c>
      <c r="BI397" s="196"/>
      <c r="BJ397" s="196" t="str">
        <f>IF(BI397="","",BI397-BI$6)</f>
        <v/>
      </c>
      <c r="BK397" s="197"/>
      <c r="BL397" s="115"/>
      <c r="BM397" s="198">
        <v>2.0964486361000002E-2</v>
      </c>
      <c r="BN397" s="191">
        <v>-1.8064740381000002E-2</v>
      </c>
      <c r="BO397" s="191">
        <v>5.3557697871000003E-2</v>
      </c>
      <c r="BP397" s="191">
        <v>-4.7345138034999998E-2</v>
      </c>
      <c r="BQ397" s="199"/>
      <c r="BR397" s="199"/>
      <c r="BS397" s="199"/>
      <c r="BT397" s="199"/>
      <c r="BU397" s="200"/>
      <c r="BV397" s="200"/>
      <c r="BW397" s="191"/>
      <c r="BX397" s="191">
        <v>7.8924579487000008E-3</v>
      </c>
      <c r="BY397" s="189"/>
      <c r="BZ397" s="191">
        <v>-5.4897842252E-2</v>
      </c>
      <c r="CA397" s="191">
        <v>-5.4897842252E-2</v>
      </c>
      <c r="CB397" s="182">
        <v>45358</v>
      </c>
      <c r="CC397" s="182">
        <v>45474</v>
      </c>
      <c r="CD397" s="201">
        <v>103</v>
      </c>
      <c r="CE397" s="202">
        <v>45506</v>
      </c>
      <c r="CF397" s="115"/>
    </row>
    <row r="398" spans="2:84" ht="15.6" x14ac:dyDescent="0.3">
      <c r="B398" s="110" t="s">
        <v>2307</v>
      </c>
      <c r="C398" s="147" t="s">
        <v>2692</v>
      </c>
      <c r="D398" s="148" t="s">
        <v>2812</v>
      </c>
      <c r="E398" s="148" t="s">
        <v>104</v>
      </c>
      <c r="F398" s="149">
        <v>40480481000102</v>
      </c>
      <c r="G398" s="149" t="s">
        <v>2444</v>
      </c>
      <c r="H398" s="149" t="s">
        <v>388</v>
      </c>
      <c r="I398" s="150">
        <v>1</v>
      </c>
      <c r="J398" s="151" t="s">
        <v>107</v>
      </c>
      <c r="K398" s="151" t="s">
        <v>128</v>
      </c>
      <c r="L398" s="151" t="s">
        <v>118</v>
      </c>
      <c r="M398" s="151" t="s">
        <v>128</v>
      </c>
      <c r="N398" s="151" t="s">
        <v>109</v>
      </c>
      <c r="O398" s="152">
        <v>465000</v>
      </c>
      <c r="P398" s="153">
        <v>465000000</v>
      </c>
      <c r="Q398" s="153">
        <v>1000</v>
      </c>
      <c r="R398" s="154">
        <v>44849</v>
      </c>
      <c r="S398" s="154">
        <v>51424</v>
      </c>
      <c r="T398" s="155" t="s">
        <v>2771</v>
      </c>
      <c r="U398" s="155" t="s">
        <v>2771</v>
      </c>
      <c r="V398" s="154" t="s">
        <v>194</v>
      </c>
      <c r="W398" s="154" t="s">
        <v>102</v>
      </c>
      <c r="X398" s="154" t="s">
        <v>2561</v>
      </c>
      <c r="Y398" s="154">
        <v>48441</v>
      </c>
      <c r="Z398" s="156">
        <f>IFERROR(INDEX(Base!G:G,MATCH('Debêntures IPCA-Spread'!Y398,Base!F:F,0)),"")</f>
        <v>6.3467000000000002</v>
      </c>
      <c r="AA398" s="115"/>
      <c r="AB398" s="157">
        <v>45552</v>
      </c>
      <c r="AC398" s="158">
        <v>8.8828999999999994</v>
      </c>
      <c r="AD398" s="159">
        <f t="shared" si="17"/>
        <v>2.5361999999999991</v>
      </c>
      <c r="AE398" s="160">
        <v>0.09</v>
      </c>
      <c r="AF398" s="161"/>
      <c r="AG398" s="161">
        <v>8.7603000000000009</v>
      </c>
      <c r="AH398" s="162">
        <v>1109.990186</v>
      </c>
      <c r="AI398" s="162"/>
      <c r="AJ398" s="163" t="str">
        <f t="shared" si="18"/>
        <v/>
      </c>
      <c r="AK398" s="164"/>
      <c r="AL398" s="165">
        <v>94.52</v>
      </c>
      <c r="AM398" s="166">
        <v>1467</v>
      </c>
      <c r="AN398" s="115"/>
      <c r="AO398" s="167">
        <v>2.7199618489E-4</v>
      </c>
      <c r="AP398" s="168">
        <f>IF(AO398="","",AO398-AO$6)</f>
        <v>-2.0814870003999999E-4</v>
      </c>
      <c r="AQ398" s="168">
        <v>-1.5233939665999999E-4</v>
      </c>
      <c r="AR398" s="168">
        <f>IF(AQ398="","",AQ398-AQ$6)</f>
        <v>6.516735630000001E-5</v>
      </c>
      <c r="AS398" s="168"/>
      <c r="AT398" s="168" t="str">
        <f>IF(AS398="","",AS398-AS$6)</f>
        <v/>
      </c>
      <c r="AU398" s="168">
        <v>-1.3366157065E-2</v>
      </c>
      <c r="AV398" s="168">
        <f>IF(AU398="","",AU398-AU$6)</f>
        <v>-2.975744690000004E-4</v>
      </c>
      <c r="AW398" s="168">
        <v>3.0607845496E-2</v>
      </c>
      <c r="AX398" s="168">
        <f>IF(AW398="","",AW398-AW$6)</f>
        <v>6.6127777079999991E-3</v>
      </c>
      <c r="AY398" s="168">
        <v>1.3592528788E-2</v>
      </c>
      <c r="AZ398" s="168">
        <f>IF(AY398="","",AY398-AY$6)</f>
        <v>-6.4972600200000064E-4</v>
      </c>
      <c r="BA398" s="168"/>
      <c r="BB398" s="168" t="str">
        <f>IF(BA398="","",BA398-BA$6)</f>
        <v/>
      </c>
      <c r="BC398" s="168"/>
      <c r="BD398" s="168" t="str">
        <f>IF(BC398="","",BC398-BC$6)</f>
        <v/>
      </c>
      <c r="BE398" s="168"/>
      <c r="BF398" s="168" t="str">
        <f>IF(BE398="","",BE398-BE$6)</f>
        <v/>
      </c>
      <c r="BG398" s="168"/>
      <c r="BH398" s="168" t="str">
        <f>IF(BG398="","",BG398-BG$6)</f>
        <v/>
      </c>
      <c r="BI398" s="168"/>
      <c r="BJ398" s="168" t="str">
        <f>IF(BI398="","",BI398-BI$6)</f>
        <v/>
      </c>
      <c r="BK398" s="169"/>
      <c r="BL398" s="115"/>
      <c r="BM398" s="170">
        <v>1.7018843238E-2</v>
      </c>
      <c r="BN398" s="163">
        <v>-1.0464037121000001E-2</v>
      </c>
      <c r="BO398" s="163">
        <v>2.4153847103999999E-2</v>
      </c>
      <c r="BP398" s="163">
        <v>-1.9744534901000001E-2</v>
      </c>
      <c r="BQ398" s="171"/>
      <c r="BR398" s="171"/>
      <c r="BS398" s="171"/>
      <c r="BT398" s="171"/>
      <c r="BU398" s="172"/>
      <c r="BV398" s="172"/>
      <c r="BW398" s="163"/>
      <c r="BX398" s="163">
        <v>4.2112935559000001E-3</v>
      </c>
      <c r="BY398" s="161"/>
      <c r="BZ398" s="163">
        <v>-2.9475248450000002E-2</v>
      </c>
      <c r="CA398" s="163">
        <v>-2.9475248450000002E-2</v>
      </c>
      <c r="CB398" s="154">
        <v>45362</v>
      </c>
      <c r="CC398" s="154">
        <v>45412</v>
      </c>
      <c r="CD398" s="173">
        <v>84</v>
      </c>
      <c r="CE398" s="174">
        <v>45483</v>
      </c>
      <c r="CF398" s="115"/>
    </row>
    <row r="399" spans="2:84" ht="15.6" x14ac:dyDescent="0.3">
      <c r="B399" s="98" t="s">
        <v>1119</v>
      </c>
      <c r="C399" s="175" t="s">
        <v>1283</v>
      </c>
      <c r="D399" s="176" t="s">
        <v>1145</v>
      </c>
      <c r="E399" s="176" t="s">
        <v>226</v>
      </c>
      <c r="F399" s="177">
        <v>23096269000119</v>
      </c>
      <c r="G399" s="177" t="s">
        <v>1180</v>
      </c>
      <c r="H399" s="177" t="s">
        <v>388</v>
      </c>
      <c r="I399" s="178">
        <v>2</v>
      </c>
      <c r="J399" s="179">
        <v>2</v>
      </c>
      <c r="K399" s="179" t="s">
        <v>126</v>
      </c>
      <c r="L399" s="179" t="s">
        <v>119</v>
      </c>
      <c r="M399" s="179" t="s">
        <v>106</v>
      </c>
      <c r="N399" s="179" t="s">
        <v>109</v>
      </c>
      <c r="O399" s="180">
        <v>650000</v>
      </c>
      <c r="P399" s="181">
        <v>650000000</v>
      </c>
      <c r="Q399" s="181">
        <v>1000</v>
      </c>
      <c r="R399" s="182">
        <v>44362</v>
      </c>
      <c r="S399" s="182">
        <v>48014</v>
      </c>
      <c r="T399" s="183" t="s">
        <v>1246</v>
      </c>
      <c r="U399" s="183" t="s">
        <v>1211</v>
      </c>
      <c r="V399" s="182" t="s">
        <v>105</v>
      </c>
      <c r="W399" s="182" t="s">
        <v>102</v>
      </c>
      <c r="X399" s="182" t="s">
        <v>1368</v>
      </c>
      <c r="Y399" s="182">
        <v>47710</v>
      </c>
      <c r="Z399" s="184">
        <f>IFERROR(INDEX(Base!G:G,MATCH('Debêntures IPCA-Spread'!Y399,Base!F:F,0)),"")</f>
        <v>6.3273999999999999</v>
      </c>
      <c r="AA399" s="115"/>
      <c r="AB399" s="185">
        <v>45552</v>
      </c>
      <c r="AC399" s="186">
        <v>6.4622999999999999</v>
      </c>
      <c r="AD399" s="187">
        <f t="shared" si="17"/>
        <v>0.13490000000000002</v>
      </c>
      <c r="AE399" s="188">
        <v>0.1</v>
      </c>
      <c r="AF399" s="189">
        <v>6.7107000000000001</v>
      </c>
      <c r="AG399" s="189">
        <v>6.3883999999999999</v>
      </c>
      <c r="AH399" s="190">
        <v>1125.2343499999999</v>
      </c>
      <c r="AI399" s="190">
        <v>1137.3043029999999</v>
      </c>
      <c r="AJ399" s="191">
        <f t="shared" si="18"/>
        <v>0.98938722647213972</v>
      </c>
      <c r="AK399" s="192">
        <v>45517</v>
      </c>
      <c r="AL399" s="193">
        <v>91.7</v>
      </c>
      <c r="AM399" s="194">
        <v>1250</v>
      </c>
      <c r="AN399" s="115"/>
      <c r="AO399" s="195">
        <v>2.4572156090000002E-3</v>
      </c>
      <c r="AP399" s="196">
        <f>IF(AO399="","",AO399-AO$6)</f>
        <v>1.9770707240700002E-3</v>
      </c>
      <c r="AQ399" s="196">
        <v>2.7574578361999999E-3</v>
      </c>
      <c r="AR399" s="196">
        <f>IF(AQ399="","",AQ399-AQ$6)</f>
        <v>2.9749645891599999E-3</v>
      </c>
      <c r="AS399" s="196">
        <v>5.1943621868999999E-2</v>
      </c>
      <c r="AT399" s="196">
        <f>IF(AS399="","",AS399-AS$6)</f>
        <v>3.7217786813999995E-2</v>
      </c>
      <c r="AU399" s="196">
        <v>-8.1772810826999994E-3</v>
      </c>
      <c r="AV399" s="196">
        <f>IF(AU399="","",AU399-AU$6)</f>
        <v>4.8913015133000004E-3</v>
      </c>
      <c r="AW399" s="196">
        <v>3.0347995728999998E-2</v>
      </c>
      <c r="AX399" s="196">
        <f>IF(AW399="","",AW399-AW$6)</f>
        <v>6.3529279409999979E-3</v>
      </c>
      <c r="AY399" s="196">
        <v>1.8931150138000001E-2</v>
      </c>
      <c r="AZ399" s="196">
        <f>IF(AY399="","",AY399-AY$6)</f>
        <v>4.6888953480000006E-3</v>
      </c>
      <c r="BA399" s="196">
        <v>8.2809602608999999E-2</v>
      </c>
      <c r="BB399" s="196">
        <f>IF(BA399="","",BA399-BA$6)</f>
        <v>2.9322638051000001E-2</v>
      </c>
      <c r="BC399" s="196">
        <v>0.22894589909999999</v>
      </c>
      <c r="BD399" s="196">
        <f>IF(BC399="","",BC399-BC$6)</f>
        <v>3.4637332609999988E-2</v>
      </c>
      <c r="BE399" s="196"/>
      <c r="BF399" s="196" t="str">
        <f>IF(BE399="","",BE399-BE$6)</f>
        <v/>
      </c>
      <c r="BG399" s="196"/>
      <c r="BH399" s="196" t="str">
        <f>IF(BG399="","",BG399-BG$6)</f>
        <v/>
      </c>
      <c r="BI399" s="196"/>
      <c r="BJ399" s="196" t="str">
        <f>IF(BI399="","",BI399-BI$6)</f>
        <v/>
      </c>
      <c r="BK399" s="197">
        <v>4.6123266457999996</v>
      </c>
      <c r="BL399" s="115"/>
      <c r="BM399" s="198">
        <v>9.1472065978000002E-3</v>
      </c>
      <c r="BN399" s="191">
        <v>-1.1005208698000001E-2</v>
      </c>
      <c r="BO399" s="191">
        <v>2.9758101522000001E-2</v>
      </c>
      <c r="BP399" s="191">
        <v>-1.1889251324E-2</v>
      </c>
      <c r="BQ399" s="199">
        <v>8</v>
      </c>
      <c r="BR399" s="199">
        <v>4</v>
      </c>
      <c r="BS399" s="199">
        <v>6</v>
      </c>
      <c r="BT399" s="199">
        <v>6</v>
      </c>
      <c r="BU399" s="200">
        <v>-0.54268954685000004</v>
      </c>
      <c r="BV399" s="200">
        <v>-7.6378531085000007E-2</v>
      </c>
      <c r="BW399" s="191">
        <v>4.7643225954999997E-3</v>
      </c>
      <c r="BX399" s="191">
        <v>4.1817968870000001E-3</v>
      </c>
      <c r="BY399" s="189">
        <v>-3.4346531622000001</v>
      </c>
      <c r="BZ399" s="191">
        <v>-2.3923295750999999E-2</v>
      </c>
      <c r="CA399" s="191">
        <v>-2.3923295750999999E-2</v>
      </c>
      <c r="CB399" s="182">
        <v>45187</v>
      </c>
      <c r="CC399" s="182">
        <v>45202</v>
      </c>
      <c r="CD399" s="201">
        <v>44</v>
      </c>
      <c r="CE399" s="202">
        <v>45252</v>
      </c>
      <c r="CF399" s="115"/>
    </row>
    <row r="400" spans="2:84" ht="15.6" x14ac:dyDescent="0.3">
      <c r="B400" s="110" t="s">
        <v>1491</v>
      </c>
      <c r="C400" s="147" t="s">
        <v>2137</v>
      </c>
      <c r="D400" s="148" t="s">
        <v>1930</v>
      </c>
      <c r="E400" s="148" t="s">
        <v>232</v>
      </c>
      <c r="F400" s="149">
        <v>2502844000166</v>
      </c>
      <c r="G400" s="149" t="s">
        <v>1849</v>
      </c>
      <c r="H400" s="149" t="s">
        <v>388</v>
      </c>
      <c r="I400" s="150">
        <v>2</v>
      </c>
      <c r="J400" s="151">
        <v>2</v>
      </c>
      <c r="K400" s="151" t="s">
        <v>126</v>
      </c>
      <c r="L400" s="151" t="s">
        <v>112</v>
      </c>
      <c r="M400" s="151" t="s">
        <v>114</v>
      </c>
      <c r="N400" s="151" t="s">
        <v>109</v>
      </c>
      <c r="O400" s="152">
        <v>750000</v>
      </c>
      <c r="P400" s="153">
        <v>750000000</v>
      </c>
      <c r="Q400" s="153">
        <v>1000</v>
      </c>
      <c r="R400" s="154">
        <v>44301</v>
      </c>
      <c r="S400" s="154">
        <v>48014</v>
      </c>
      <c r="T400" s="155" t="s">
        <v>2015</v>
      </c>
      <c r="U400" s="155" t="s">
        <v>1715</v>
      </c>
      <c r="V400" s="154" t="s">
        <v>105</v>
      </c>
      <c r="W400" s="154" t="s">
        <v>102</v>
      </c>
      <c r="X400" s="154" t="s">
        <v>2562</v>
      </c>
      <c r="Y400" s="154">
        <v>47710</v>
      </c>
      <c r="Z400" s="156">
        <f>IFERROR(INDEX(Base!G:G,MATCH('Debêntures IPCA-Spread'!Y400,Base!F:F,0)),"")</f>
        <v>6.3273999999999999</v>
      </c>
      <c r="AA400" s="115"/>
      <c r="AB400" s="157">
        <v>45552</v>
      </c>
      <c r="AC400" s="158">
        <v>6.3842999999999996</v>
      </c>
      <c r="AD400" s="159">
        <f t="shared" si="17"/>
        <v>5.6899999999999729E-2</v>
      </c>
      <c r="AE400" s="160">
        <v>0.15</v>
      </c>
      <c r="AF400" s="161">
        <v>6.5416999999999996</v>
      </c>
      <c r="AG400" s="161">
        <v>6.1879999999999997</v>
      </c>
      <c r="AH400" s="162">
        <v>1135.4937159999999</v>
      </c>
      <c r="AI400" s="162">
        <v>1143.793541</v>
      </c>
      <c r="AJ400" s="163">
        <f t="shared" si="18"/>
        <v>0.99274359864565798</v>
      </c>
      <c r="AK400" s="164">
        <v>45523</v>
      </c>
      <c r="AL400" s="165">
        <v>91.54</v>
      </c>
      <c r="AM400" s="166">
        <v>1254</v>
      </c>
      <c r="AN400" s="115"/>
      <c r="AO400" s="167">
        <v>-5.1837426599000004E-4</v>
      </c>
      <c r="AP400" s="168">
        <f>IF(AO400="","",AO400-AO$6)</f>
        <v>-9.9851915092000003E-4</v>
      </c>
      <c r="AQ400" s="168">
        <v>-1.6661479731000001E-3</v>
      </c>
      <c r="AR400" s="168">
        <f>IF(AQ400="","",AQ400-AQ$6)</f>
        <v>-1.4486412201400001E-3</v>
      </c>
      <c r="AS400" s="168">
        <v>4.8180560211999998E-2</v>
      </c>
      <c r="AT400" s="168">
        <f>IF(AS400="","",AS400-AS$6)</f>
        <v>3.3454725157000001E-2</v>
      </c>
      <c r="AU400" s="168">
        <v>-6.1258592259000001E-3</v>
      </c>
      <c r="AV400" s="168">
        <f>IF(AU400="","",AU400-AU$6)</f>
        <v>6.9427233700999997E-3</v>
      </c>
      <c r="AW400" s="168">
        <v>3.4982802834000001E-2</v>
      </c>
      <c r="AX400" s="168">
        <f>IF(AW400="","",AW400-AW$6)</f>
        <v>1.0987735046000001E-2</v>
      </c>
      <c r="AY400" s="168">
        <v>1.5190562631E-2</v>
      </c>
      <c r="AZ400" s="168">
        <f>IF(AY400="","",AY400-AY$6)</f>
        <v>9.4830784099999947E-4</v>
      </c>
      <c r="BA400" s="168">
        <v>7.9199765406999995E-2</v>
      </c>
      <c r="BB400" s="168">
        <f>IF(BA400="","",BA400-BA$6)</f>
        <v>2.5712800848999996E-2</v>
      </c>
      <c r="BC400" s="168">
        <v>0.22792974193000001</v>
      </c>
      <c r="BD400" s="168">
        <f>IF(BC400="","",BC400-BC$6)</f>
        <v>3.3621175440000012E-2</v>
      </c>
      <c r="BE400" s="168"/>
      <c r="BF400" s="168" t="str">
        <f>IF(BE400="","",BE400-BE$6)</f>
        <v/>
      </c>
      <c r="BG400" s="168"/>
      <c r="BH400" s="168" t="str">
        <f>IF(BG400="","",BG400-BG$6)</f>
        <v/>
      </c>
      <c r="BI400" s="168"/>
      <c r="BJ400" s="168" t="str">
        <f>IF(BI400="","",BI400-BI$6)</f>
        <v/>
      </c>
      <c r="BK400" s="169">
        <v>5.4713241087000002</v>
      </c>
      <c r="BL400" s="115"/>
      <c r="BM400" s="170">
        <v>1.4568283291E-2</v>
      </c>
      <c r="BN400" s="163">
        <v>-1.2208440173000001E-2</v>
      </c>
      <c r="BO400" s="163">
        <v>2.4042284657999999E-2</v>
      </c>
      <c r="BP400" s="163">
        <v>-2.1261032597999999E-2</v>
      </c>
      <c r="BQ400" s="171">
        <v>9</v>
      </c>
      <c r="BR400" s="171">
        <v>3</v>
      </c>
      <c r="BS400" s="171">
        <v>5</v>
      </c>
      <c r="BT400" s="171">
        <v>7</v>
      </c>
      <c r="BU400" s="172">
        <v>-0.50894684410000002</v>
      </c>
      <c r="BV400" s="172"/>
      <c r="BW400" s="163">
        <v>5.6550046600999998E-3</v>
      </c>
      <c r="BX400" s="163">
        <v>3.7685035037999999E-3</v>
      </c>
      <c r="BY400" s="161">
        <v>-3.8139834163000002</v>
      </c>
      <c r="BZ400" s="163">
        <v>-3.5007065157999999E-2</v>
      </c>
      <c r="CA400" s="163">
        <v>-3.5007065157999999E-2</v>
      </c>
      <c r="CB400" s="154">
        <v>45364</v>
      </c>
      <c r="CC400" s="154">
        <v>45455</v>
      </c>
      <c r="CD400" s="173">
        <v>99</v>
      </c>
      <c r="CE400" s="174">
        <v>45506</v>
      </c>
      <c r="CF400" s="115"/>
    </row>
    <row r="401" spans="2:84" ht="15.6" x14ac:dyDescent="0.3">
      <c r="B401" s="98" t="s">
        <v>1492</v>
      </c>
      <c r="C401" s="175" t="s">
        <v>2138</v>
      </c>
      <c r="D401" s="176" t="s">
        <v>1930</v>
      </c>
      <c r="E401" s="176" t="s">
        <v>232</v>
      </c>
      <c r="F401" s="177">
        <v>2502844000166</v>
      </c>
      <c r="G401" s="177" t="s">
        <v>1850</v>
      </c>
      <c r="H401" s="177" t="s">
        <v>388</v>
      </c>
      <c r="I401" s="178">
        <v>3</v>
      </c>
      <c r="J401" s="179">
        <v>2</v>
      </c>
      <c r="K401" s="179" t="s">
        <v>126</v>
      </c>
      <c r="L401" s="179" t="s">
        <v>112</v>
      </c>
      <c r="M401" s="179" t="s">
        <v>114</v>
      </c>
      <c r="N401" s="179" t="s">
        <v>109</v>
      </c>
      <c r="O401" s="180">
        <v>500000</v>
      </c>
      <c r="P401" s="181">
        <v>500000000</v>
      </c>
      <c r="Q401" s="181">
        <v>1000</v>
      </c>
      <c r="R401" s="182">
        <v>44484</v>
      </c>
      <c r="S401" s="182">
        <v>48867</v>
      </c>
      <c r="T401" s="183" t="s">
        <v>1199</v>
      </c>
      <c r="U401" s="183" t="s">
        <v>161</v>
      </c>
      <c r="V401" s="182" t="s">
        <v>105</v>
      </c>
      <c r="W401" s="182" t="s">
        <v>102</v>
      </c>
      <c r="X401" s="182" t="s">
        <v>1616</v>
      </c>
      <c r="Y401" s="182">
        <v>48714</v>
      </c>
      <c r="Z401" s="184">
        <f>IFERROR(INDEX(Base!G:G,MATCH('Debêntures IPCA-Spread'!Y401,Base!F:F,0)),"")</f>
        <v>6.3373999999999997</v>
      </c>
      <c r="AA401" s="115"/>
      <c r="AB401" s="185">
        <v>45552</v>
      </c>
      <c r="AC401" s="186">
        <v>6.4695999999999998</v>
      </c>
      <c r="AD401" s="187">
        <f t="shared" si="17"/>
        <v>0.1322000000000001</v>
      </c>
      <c r="AE401" s="188">
        <v>0.08</v>
      </c>
      <c r="AF401" s="189">
        <v>6.6318999999999999</v>
      </c>
      <c r="AG401" s="189">
        <v>6.3868999999999998</v>
      </c>
      <c r="AH401" s="190">
        <v>1140.055681</v>
      </c>
      <c r="AI401" s="190">
        <v>1153.7966550000001</v>
      </c>
      <c r="AJ401" s="191">
        <f t="shared" si="18"/>
        <v>0.98809064496724508</v>
      </c>
      <c r="AK401" s="192">
        <v>45527</v>
      </c>
      <c r="AL401" s="193">
        <v>95.23</v>
      </c>
      <c r="AM401" s="194">
        <v>1755</v>
      </c>
      <c r="AN401" s="115"/>
      <c r="AO401" s="195">
        <v>4.8207453800999997E-4</v>
      </c>
      <c r="AP401" s="196">
        <f>IF(AO401="","",AO401-AO$6)</f>
        <v>1.9296530799999792E-6</v>
      </c>
      <c r="AQ401" s="196">
        <v>6.3235997004000002E-5</v>
      </c>
      <c r="AR401" s="196">
        <f>IF(AQ401="","",AQ401-AQ$6)</f>
        <v>2.8074274996400003E-4</v>
      </c>
      <c r="AS401" s="196">
        <v>6.0079298019999998E-2</v>
      </c>
      <c r="AT401" s="196">
        <f>IF(AS401="","",AS401-AS$6)</f>
        <v>4.5353462964999994E-2</v>
      </c>
      <c r="AU401" s="196">
        <v>-5.2890716552000004E-3</v>
      </c>
      <c r="AV401" s="196">
        <f>IF(AU401="","",AU401-AU$6)</f>
        <v>7.7795109407999994E-3</v>
      </c>
      <c r="AW401" s="196">
        <v>4.2673105512000001E-2</v>
      </c>
      <c r="AX401" s="196">
        <f>IF(AW401="","",AW401-AW$6)</f>
        <v>1.8678037724E-2</v>
      </c>
      <c r="AY401" s="196">
        <v>2.6344755495E-2</v>
      </c>
      <c r="AZ401" s="196">
        <f>IF(AY401="","",AY401-AY$6)</f>
        <v>1.2102500705E-2</v>
      </c>
      <c r="BA401" s="196">
        <v>0.10684253143</v>
      </c>
      <c r="BB401" s="196">
        <f>IF(BA401="","",BA401-BA$6)</f>
        <v>5.3355566872E-2</v>
      </c>
      <c r="BC401" s="196">
        <v>0.24113678455000001</v>
      </c>
      <c r="BD401" s="196">
        <f>IF(BC401="","",BC401-BC$6)</f>
        <v>4.682821806000001E-2</v>
      </c>
      <c r="BE401" s="196"/>
      <c r="BF401" s="196" t="str">
        <f>IF(BE401="","",BE401-BE$6)</f>
        <v/>
      </c>
      <c r="BG401" s="196"/>
      <c r="BH401" s="196" t="str">
        <f>IF(BG401="","",BG401-BG$6)</f>
        <v/>
      </c>
      <c r="BI401" s="196"/>
      <c r="BJ401" s="196" t="str">
        <f>IF(BI401="","",BI401-BI$6)</f>
        <v/>
      </c>
      <c r="BK401" s="197">
        <v>6.2263979671999996</v>
      </c>
      <c r="BL401" s="115"/>
      <c r="BM401" s="198">
        <v>1.6525558156E-2</v>
      </c>
      <c r="BN401" s="191">
        <v>-1.2326348001E-2</v>
      </c>
      <c r="BO401" s="191">
        <v>3.2426955317000003E-2</v>
      </c>
      <c r="BP401" s="191">
        <v>-2.3972463780000001E-2</v>
      </c>
      <c r="BQ401" s="199">
        <v>9</v>
      </c>
      <c r="BR401" s="199">
        <v>3</v>
      </c>
      <c r="BS401" s="199">
        <v>6</v>
      </c>
      <c r="BT401" s="199">
        <v>6</v>
      </c>
      <c r="BU401" s="200">
        <v>-4.0220955746000001E-2</v>
      </c>
      <c r="BV401" s="200"/>
      <c r="BW401" s="191">
        <v>6.4387740209999999E-3</v>
      </c>
      <c r="BX401" s="191">
        <v>5.4017992914000001E-3</v>
      </c>
      <c r="BY401" s="189">
        <v>-1.0627573732</v>
      </c>
      <c r="BZ401" s="191">
        <v>-2.9988344058999999E-2</v>
      </c>
      <c r="CA401" s="191">
        <v>-2.9988344058999999E-2</v>
      </c>
      <c r="CB401" s="182">
        <v>45364</v>
      </c>
      <c r="CC401" s="182">
        <v>45474</v>
      </c>
      <c r="CD401" s="201">
        <v>97</v>
      </c>
      <c r="CE401" s="202">
        <v>45504</v>
      </c>
      <c r="CF401" s="115"/>
    </row>
    <row r="402" spans="2:84" ht="15.6" x14ac:dyDescent="0.3">
      <c r="B402" s="110" t="s">
        <v>2308</v>
      </c>
      <c r="C402" s="147" t="s">
        <v>2693</v>
      </c>
      <c r="D402" s="148" t="s">
        <v>1930</v>
      </c>
      <c r="E402" s="148" t="s">
        <v>232</v>
      </c>
      <c r="F402" s="149">
        <v>2502844000166</v>
      </c>
      <c r="G402" s="149" t="s">
        <v>2445</v>
      </c>
      <c r="H402" s="149" t="s">
        <v>388</v>
      </c>
      <c r="I402" s="150">
        <v>5</v>
      </c>
      <c r="J402" s="151">
        <v>1</v>
      </c>
      <c r="K402" s="151" t="s">
        <v>126</v>
      </c>
      <c r="L402" s="151" t="s">
        <v>2466</v>
      </c>
      <c r="M402" s="151" t="s">
        <v>114</v>
      </c>
      <c r="N402" s="151" t="s">
        <v>109</v>
      </c>
      <c r="O402" s="152">
        <v>532243</v>
      </c>
      <c r="P402" s="153">
        <v>532243000</v>
      </c>
      <c r="Q402" s="153">
        <v>1000</v>
      </c>
      <c r="R402" s="154">
        <v>45366</v>
      </c>
      <c r="S402" s="154">
        <v>49018</v>
      </c>
      <c r="T402" s="155" t="s">
        <v>2818</v>
      </c>
      <c r="U402" s="155" t="s">
        <v>113</v>
      </c>
      <c r="V402" s="154" t="s">
        <v>105</v>
      </c>
      <c r="W402" s="154" t="s">
        <v>102</v>
      </c>
      <c r="X402" s="154" t="s">
        <v>2563</v>
      </c>
      <c r="Y402" s="154">
        <v>49444</v>
      </c>
      <c r="Z402" s="156">
        <f>IFERROR(INDEX(Base!G:G,MATCH('Debêntures IPCA-Spread'!Y402,Base!F:F,0)),"")</f>
        <v>6.3137999999999996</v>
      </c>
      <c r="AA402" s="115"/>
      <c r="AB402" s="157">
        <v>45552</v>
      </c>
      <c r="AC402" s="158">
        <v>6.4875999999999996</v>
      </c>
      <c r="AD402" s="159">
        <f t="shared" si="17"/>
        <v>0.17379999999999995</v>
      </c>
      <c r="AE402" s="160">
        <v>0.05</v>
      </c>
      <c r="AF402" s="161">
        <v>6.6150000000000002</v>
      </c>
      <c r="AG402" s="161">
        <v>6.3697999999999997</v>
      </c>
      <c r="AH402" s="162">
        <v>968.09573999999998</v>
      </c>
      <c r="AI402" s="162"/>
      <c r="AJ402" s="163" t="str">
        <f t="shared" si="18"/>
        <v/>
      </c>
      <c r="AK402" s="164"/>
      <c r="AL402" s="165">
        <v>95.3</v>
      </c>
      <c r="AM402" s="166">
        <v>1856</v>
      </c>
      <c r="AN402" s="115"/>
      <c r="AO402" s="167">
        <v>-2.4587594999000002E-4</v>
      </c>
      <c r="AP402" s="168">
        <f>IF(AO402="","",AO402-AO$6)</f>
        <v>-7.2602083492000007E-4</v>
      </c>
      <c r="AQ402" s="168">
        <v>-3.6524644628999998E-3</v>
      </c>
      <c r="AR402" s="168">
        <f>IF(AQ402="","",AQ402-AQ$6)</f>
        <v>-3.4349577099399998E-3</v>
      </c>
      <c r="AS402" s="168"/>
      <c r="AT402" s="168" t="str">
        <f>IF(AS402="","",AS402-AS$6)</f>
        <v/>
      </c>
      <c r="AU402" s="168">
        <v>-1.9756443299999999E-2</v>
      </c>
      <c r="AV402" s="168">
        <f>IF(AU402="","",AU402-AU$6)</f>
        <v>-6.6878607039999993E-3</v>
      </c>
      <c r="AW402" s="168">
        <v>3.6958872699E-2</v>
      </c>
      <c r="AX402" s="168">
        <f>IF(AW402="","",AW402-AW$6)</f>
        <v>1.2963804911E-2</v>
      </c>
      <c r="AY402" s="168"/>
      <c r="AZ402" s="168" t="str">
        <f>IF(AY402="","",AY402-AY$6)</f>
        <v/>
      </c>
      <c r="BA402" s="168"/>
      <c r="BB402" s="168" t="str">
        <f>IF(BA402="","",BA402-BA$6)</f>
        <v/>
      </c>
      <c r="BC402" s="168"/>
      <c r="BD402" s="168" t="str">
        <f>IF(BC402="","",BC402-BC$6)</f>
        <v/>
      </c>
      <c r="BE402" s="168"/>
      <c r="BF402" s="168" t="str">
        <f>IF(BE402="","",BE402-BE$6)</f>
        <v/>
      </c>
      <c r="BG402" s="168"/>
      <c r="BH402" s="168" t="str">
        <f>IF(BG402="","",BG402-BG$6)</f>
        <v/>
      </c>
      <c r="BI402" s="168"/>
      <c r="BJ402" s="168" t="str">
        <f>IF(BI402="","",BI402-BI$6)</f>
        <v/>
      </c>
      <c r="BK402" s="169"/>
      <c r="BL402" s="115"/>
      <c r="BM402" s="170">
        <v>1.1520750922E-2</v>
      </c>
      <c r="BN402" s="163">
        <v>-1.3014512646999999E-2</v>
      </c>
      <c r="BO402" s="163">
        <v>3.0690410569000001E-2</v>
      </c>
      <c r="BP402" s="163">
        <v>-1.3705720252E-2</v>
      </c>
      <c r="BQ402" s="171"/>
      <c r="BR402" s="171"/>
      <c r="BS402" s="171"/>
      <c r="BT402" s="171"/>
      <c r="BU402" s="172"/>
      <c r="BV402" s="172"/>
      <c r="BW402" s="163"/>
      <c r="BX402" s="163">
        <v>4.6642835126999996E-3</v>
      </c>
      <c r="BY402" s="161"/>
      <c r="BZ402" s="163">
        <v>-2.3440124377999999E-2</v>
      </c>
      <c r="CA402" s="163">
        <v>-2.7814939688000001E-2</v>
      </c>
      <c r="CB402" s="154">
        <v>45518</v>
      </c>
      <c r="CC402" s="154">
        <v>45547</v>
      </c>
      <c r="CD402" s="173"/>
      <c r="CE402" s="174"/>
      <c r="CF402" s="115"/>
    </row>
    <row r="403" spans="2:84" ht="15.6" x14ac:dyDescent="0.3">
      <c r="B403" s="98" t="s">
        <v>2309</v>
      </c>
      <c r="C403" s="175" t="s">
        <v>2694</v>
      </c>
      <c r="D403" s="176" t="s">
        <v>1930</v>
      </c>
      <c r="E403" s="176" t="s">
        <v>232</v>
      </c>
      <c r="F403" s="177">
        <v>2502844000166</v>
      </c>
      <c r="G403" s="177" t="s">
        <v>2446</v>
      </c>
      <c r="H403" s="177" t="s">
        <v>388</v>
      </c>
      <c r="I403" s="178">
        <v>5</v>
      </c>
      <c r="J403" s="179">
        <v>2</v>
      </c>
      <c r="K403" s="179" t="s">
        <v>126</v>
      </c>
      <c r="L403" s="179" t="s">
        <v>2466</v>
      </c>
      <c r="M403" s="179" t="s">
        <v>114</v>
      </c>
      <c r="N403" s="179" t="s">
        <v>109</v>
      </c>
      <c r="O403" s="180">
        <v>667757</v>
      </c>
      <c r="P403" s="181">
        <v>667757000</v>
      </c>
      <c r="Q403" s="181">
        <v>1000</v>
      </c>
      <c r="R403" s="182">
        <v>45366</v>
      </c>
      <c r="S403" s="182">
        <v>50844</v>
      </c>
      <c r="T403" s="183" t="s">
        <v>2818</v>
      </c>
      <c r="U403" s="183" t="s">
        <v>2772</v>
      </c>
      <c r="V403" s="182" t="s">
        <v>105</v>
      </c>
      <c r="W403" s="182" t="s">
        <v>102</v>
      </c>
      <c r="X403" s="182" t="s">
        <v>2564</v>
      </c>
      <c r="Y403" s="182">
        <v>51363</v>
      </c>
      <c r="Z403" s="184">
        <f>IFERROR(INDEX(Base!G:G,MATCH('Debêntures IPCA-Spread'!Y403,Base!F:F,0)),"")</f>
        <v>6.2279</v>
      </c>
      <c r="AA403" s="115"/>
      <c r="AB403" s="185">
        <v>45552</v>
      </c>
      <c r="AC403" s="186">
        <v>6.4340000000000002</v>
      </c>
      <c r="AD403" s="187">
        <f t="shared" si="17"/>
        <v>0.20610000000000017</v>
      </c>
      <c r="AE403" s="188">
        <v>0.02</v>
      </c>
      <c r="AF403" s="189">
        <v>6.5697999999999999</v>
      </c>
      <c r="AG403" s="189">
        <v>6.2887000000000004</v>
      </c>
      <c r="AH403" s="190">
        <v>971.29471999999998</v>
      </c>
      <c r="AI403" s="190"/>
      <c r="AJ403" s="191" t="str">
        <f t="shared" si="18"/>
        <v/>
      </c>
      <c r="AK403" s="192"/>
      <c r="AL403" s="193">
        <v>95.62</v>
      </c>
      <c r="AM403" s="194">
        <v>2359</v>
      </c>
      <c r="AN403" s="115"/>
      <c r="AO403" s="195">
        <v>-2.5993922963999999E-3</v>
      </c>
      <c r="AP403" s="196">
        <f>IF(AO403="","",AO403-AO$6)</f>
        <v>-3.0795371813299999E-3</v>
      </c>
      <c r="AQ403" s="196">
        <v>-1.6447773122999999E-3</v>
      </c>
      <c r="AR403" s="196">
        <f>IF(AQ403="","",AQ403-AQ$6)</f>
        <v>-1.4272705593399999E-3</v>
      </c>
      <c r="AS403" s="196"/>
      <c r="AT403" s="196" t="str">
        <f>IF(AS403="","",AS403-AS$6)</f>
        <v/>
      </c>
      <c r="AU403" s="196">
        <v>-1.9792480255000001E-2</v>
      </c>
      <c r="AV403" s="196">
        <f>IF(AU403="","",AU403-AU$6)</f>
        <v>-6.7238976590000017E-3</v>
      </c>
      <c r="AW403" s="196">
        <v>4.5232828777000002E-2</v>
      </c>
      <c r="AX403" s="196">
        <f>IF(AW403="","",AW403-AW$6)</f>
        <v>2.1237760989000001E-2</v>
      </c>
      <c r="AY403" s="196"/>
      <c r="AZ403" s="196" t="str">
        <f>IF(AY403="","",AY403-AY$6)</f>
        <v/>
      </c>
      <c r="BA403" s="196"/>
      <c r="BB403" s="196" t="str">
        <f>IF(BA403="","",BA403-BA$6)</f>
        <v/>
      </c>
      <c r="BC403" s="196"/>
      <c r="BD403" s="196" t="str">
        <f>IF(BC403="","",BC403-BC$6)</f>
        <v/>
      </c>
      <c r="BE403" s="196"/>
      <c r="BF403" s="196" t="str">
        <f>IF(BE403="","",BE403-BE$6)</f>
        <v/>
      </c>
      <c r="BG403" s="196"/>
      <c r="BH403" s="196" t="str">
        <f>IF(BG403="","",BG403-BG$6)</f>
        <v/>
      </c>
      <c r="BI403" s="196"/>
      <c r="BJ403" s="196" t="str">
        <f>IF(BI403="","",BI403-BI$6)</f>
        <v/>
      </c>
      <c r="BK403" s="197"/>
      <c r="BL403" s="115"/>
      <c r="BM403" s="198">
        <v>1.1171212732E-2</v>
      </c>
      <c r="BN403" s="191">
        <v>-1.2702940588E-2</v>
      </c>
      <c r="BO403" s="191">
        <v>3.9039911411000001E-2</v>
      </c>
      <c r="BP403" s="191">
        <v>-1.8460003826E-2</v>
      </c>
      <c r="BQ403" s="199"/>
      <c r="BR403" s="199"/>
      <c r="BS403" s="199"/>
      <c r="BT403" s="199"/>
      <c r="BU403" s="200"/>
      <c r="BV403" s="200"/>
      <c r="BW403" s="191"/>
      <c r="BX403" s="191">
        <v>7.4075318409E-3</v>
      </c>
      <c r="BY403" s="189"/>
      <c r="BZ403" s="191">
        <v>-2.885987131E-2</v>
      </c>
      <c r="CA403" s="191">
        <v>-2.885987131E-2</v>
      </c>
      <c r="CB403" s="182">
        <v>45449</v>
      </c>
      <c r="CC403" s="182">
        <v>45475</v>
      </c>
      <c r="CD403" s="201">
        <v>24</v>
      </c>
      <c r="CE403" s="202">
        <v>45483</v>
      </c>
      <c r="CF403" s="115"/>
    </row>
    <row r="404" spans="2:84" ht="15.6" x14ac:dyDescent="0.3">
      <c r="B404" s="110" t="s">
        <v>2310</v>
      </c>
      <c r="C404" s="147" t="s">
        <v>2695</v>
      </c>
      <c r="D404" s="148" t="s">
        <v>1930</v>
      </c>
      <c r="E404" s="148" t="s">
        <v>232</v>
      </c>
      <c r="F404" s="149">
        <v>2502844000166</v>
      </c>
      <c r="G404" s="149" t="s">
        <v>2447</v>
      </c>
      <c r="H404" s="149" t="s">
        <v>388</v>
      </c>
      <c r="I404" s="150">
        <v>6</v>
      </c>
      <c r="J404" s="151">
        <v>1</v>
      </c>
      <c r="K404" s="151" t="s">
        <v>126</v>
      </c>
      <c r="L404" s="151" t="s">
        <v>2467</v>
      </c>
      <c r="M404" s="151" t="s">
        <v>114</v>
      </c>
      <c r="N404" s="151" t="s">
        <v>109</v>
      </c>
      <c r="O404" s="152">
        <v>547950</v>
      </c>
      <c r="P404" s="153">
        <v>547950000</v>
      </c>
      <c r="Q404" s="153">
        <v>1000</v>
      </c>
      <c r="R404" s="154">
        <v>45458</v>
      </c>
      <c r="S404" s="154">
        <v>49110</v>
      </c>
      <c r="T404" s="155" t="s">
        <v>2819</v>
      </c>
      <c r="U404" s="155" t="s">
        <v>113</v>
      </c>
      <c r="V404" s="154" t="s">
        <v>105</v>
      </c>
      <c r="W404" s="154" t="s">
        <v>102</v>
      </c>
      <c r="X404" s="154" t="s">
        <v>2565</v>
      </c>
      <c r="Y404" s="154">
        <v>49444</v>
      </c>
      <c r="Z404" s="156">
        <f>IFERROR(INDEX(Base!G:G,MATCH('Debêntures IPCA-Spread'!Y404,Base!F:F,0)),"")</f>
        <v>6.3137999999999996</v>
      </c>
      <c r="AA404" s="115"/>
      <c r="AB404" s="157">
        <v>45552</v>
      </c>
      <c r="AC404" s="158">
        <v>6.4676999999999998</v>
      </c>
      <c r="AD404" s="159">
        <f t="shared" si="17"/>
        <v>0.15390000000000015</v>
      </c>
      <c r="AE404" s="160">
        <v>0.09</v>
      </c>
      <c r="AF404" s="161">
        <v>6.6227999999999998</v>
      </c>
      <c r="AG404" s="161">
        <v>6.3167</v>
      </c>
      <c r="AH404" s="162">
        <v>1016.565609</v>
      </c>
      <c r="AI404" s="162"/>
      <c r="AJ404" s="163" t="str">
        <f t="shared" si="18"/>
        <v/>
      </c>
      <c r="AK404" s="164"/>
      <c r="AL404" s="165">
        <v>99.66</v>
      </c>
      <c r="AM404" s="166">
        <v>1834</v>
      </c>
      <c r="AN404" s="115"/>
      <c r="AO404" s="167">
        <v>1.0075679946999999E-3</v>
      </c>
      <c r="AP404" s="168">
        <f>IF(AO404="","",AO404-AO$6)</f>
        <v>5.274231097699999E-4</v>
      </c>
      <c r="AQ404" s="168">
        <v>4.5378205686999999E-4</v>
      </c>
      <c r="AR404" s="168">
        <f>IF(AQ404="","",AQ404-AQ$6)</f>
        <v>6.7128880982999996E-4</v>
      </c>
      <c r="AS404" s="168"/>
      <c r="AT404" s="168" t="str">
        <f>IF(AS404="","",AS404-AS$6)</f>
        <v/>
      </c>
      <c r="AU404" s="168">
        <v>-1.6360492014E-2</v>
      </c>
      <c r="AV404" s="168">
        <f>IF(AU404="","",AU404-AU$6)</f>
        <v>-3.291909418E-3</v>
      </c>
      <c r="AW404" s="168"/>
      <c r="AX404" s="168" t="str">
        <f>IF(AW404="","",AW404-AW$6)</f>
        <v/>
      </c>
      <c r="AY404" s="168"/>
      <c r="AZ404" s="168" t="str">
        <f>IF(AY404="","",AY404-AY$6)</f>
        <v/>
      </c>
      <c r="BA404" s="168"/>
      <c r="BB404" s="168" t="str">
        <f>IF(BA404="","",BA404-BA$6)</f>
        <v/>
      </c>
      <c r="BC404" s="168"/>
      <c r="BD404" s="168" t="str">
        <f>IF(BC404="","",BC404-BC$6)</f>
        <v/>
      </c>
      <c r="BE404" s="168"/>
      <c r="BF404" s="168" t="str">
        <f>IF(BE404="","",BE404-BE$6)</f>
        <v/>
      </c>
      <c r="BG404" s="168"/>
      <c r="BH404" s="168" t="str">
        <f>IF(BG404="","",BG404-BG$6)</f>
        <v/>
      </c>
      <c r="BI404" s="168"/>
      <c r="BJ404" s="168" t="str">
        <f>IF(BI404="","",BI404-BI$6)</f>
        <v/>
      </c>
      <c r="BK404" s="169"/>
      <c r="BL404" s="115"/>
      <c r="BM404" s="170">
        <v>1.421575515E-2</v>
      </c>
      <c r="BN404" s="163">
        <v>-7.8051716790999998E-3</v>
      </c>
      <c r="BO404" s="163">
        <v>1.1682884091E-2</v>
      </c>
      <c r="BP404" s="163">
        <v>4.5378205686999999E-4</v>
      </c>
      <c r="BQ404" s="171"/>
      <c r="BR404" s="171"/>
      <c r="BS404" s="171"/>
      <c r="BT404" s="171"/>
      <c r="BU404" s="172"/>
      <c r="BV404" s="172"/>
      <c r="BW404" s="163"/>
      <c r="BX404" s="163">
        <v>5.8265889902999997E-3</v>
      </c>
      <c r="BY404" s="161"/>
      <c r="BZ404" s="163">
        <v>-4.3175090110000001E-3</v>
      </c>
      <c r="CA404" s="163">
        <v>-2.4758060495000001E-2</v>
      </c>
      <c r="CB404" s="154">
        <v>45518</v>
      </c>
      <c r="CC404" s="154">
        <v>45551</v>
      </c>
      <c r="CD404" s="173"/>
      <c r="CE404" s="174"/>
      <c r="CF404" s="115"/>
    </row>
    <row r="405" spans="2:84" ht="15.6" x14ac:dyDescent="0.3">
      <c r="B405" s="98" t="s">
        <v>2311</v>
      </c>
      <c r="C405" s="175" t="s">
        <v>2696</v>
      </c>
      <c r="D405" s="176" t="s">
        <v>1930</v>
      </c>
      <c r="E405" s="176" t="s">
        <v>232</v>
      </c>
      <c r="F405" s="177">
        <v>2502844000166</v>
      </c>
      <c r="G405" s="177" t="s">
        <v>2448</v>
      </c>
      <c r="H405" s="177" t="s">
        <v>388</v>
      </c>
      <c r="I405" s="178">
        <v>6</v>
      </c>
      <c r="J405" s="179">
        <v>2</v>
      </c>
      <c r="K405" s="179" t="s">
        <v>126</v>
      </c>
      <c r="L405" s="179" t="s">
        <v>2467</v>
      </c>
      <c r="M405" s="179" t="s">
        <v>114</v>
      </c>
      <c r="N405" s="179" t="s">
        <v>109</v>
      </c>
      <c r="O405" s="180">
        <v>156050</v>
      </c>
      <c r="P405" s="181">
        <v>156050000</v>
      </c>
      <c r="Q405" s="181">
        <v>1000</v>
      </c>
      <c r="R405" s="182">
        <v>45458</v>
      </c>
      <c r="S405" s="182">
        <v>50936</v>
      </c>
      <c r="T405" s="183" t="s">
        <v>2819</v>
      </c>
      <c r="U405" s="183" t="s">
        <v>2748</v>
      </c>
      <c r="V405" s="182" t="s">
        <v>105</v>
      </c>
      <c r="W405" s="182" t="s">
        <v>102</v>
      </c>
      <c r="X405" s="182" t="s">
        <v>2566</v>
      </c>
      <c r="Y405" s="182">
        <v>51363</v>
      </c>
      <c r="Z405" s="184">
        <f>IFERROR(INDEX(Base!G:G,MATCH('Debêntures IPCA-Spread'!Y405,Base!F:F,0)),"")</f>
        <v>6.2279</v>
      </c>
      <c r="AA405" s="115"/>
      <c r="AB405" s="185">
        <v>45552</v>
      </c>
      <c r="AC405" s="186">
        <v>6.4173999999999998</v>
      </c>
      <c r="AD405" s="187">
        <f t="shared" si="17"/>
        <v>0.18949999999999978</v>
      </c>
      <c r="AE405" s="188">
        <v>0.04</v>
      </c>
      <c r="AF405" s="189">
        <v>6.5922999999999998</v>
      </c>
      <c r="AG405" s="189">
        <v>6.3026999999999997</v>
      </c>
      <c r="AH405" s="190">
        <v>1030.32437</v>
      </c>
      <c r="AI405" s="190"/>
      <c r="AJ405" s="191" t="str">
        <f t="shared" si="18"/>
        <v/>
      </c>
      <c r="AK405" s="192"/>
      <c r="AL405" s="193">
        <v>100.99</v>
      </c>
      <c r="AM405" s="194">
        <v>2310</v>
      </c>
      <c r="AN405" s="115"/>
      <c r="AO405" s="195">
        <v>1.8154317586E-3</v>
      </c>
      <c r="AP405" s="196">
        <f>IF(AO405="","",AO405-AO$6)</f>
        <v>1.33528687367E-3</v>
      </c>
      <c r="AQ405" s="196">
        <v>-8.0835145944999998E-4</v>
      </c>
      <c r="AR405" s="196">
        <f>IF(AQ405="","",AQ405-AQ$6)</f>
        <v>-5.9084470648999995E-4</v>
      </c>
      <c r="AS405" s="196"/>
      <c r="AT405" s="196" t="str">
        <f>IF(AS405="","",AS405-AS$6)</f>
        <v/>
      </c>
      <c r="AU405" s="196">
        <v>-1.8858544001999999E-2</v>
      </c>
      <c r="AV405" s="196">
        <f>IF(AU405="","",AU405-AU$6)</f>
        <v>-5.789961405999999E-3</v>
      </c>
      <c r="AW405" s="196"/>
      <c r="AX405" s="196" t="str">
        <f>IF(AW405="","",AW405-AW$6)</f>
        <v/>
      </c>
      <c r="AY405" s="196"/>
      <c r="AZ405" s="196" t="str">
        <f>IF(AY405="","",AY405-AY$6)</f>
        <v/>
      </c>
      <c r="BA405" s="196"/>
      <c r="BB405" s="196" t="str">
        <f>IF(BA405="","",BA405-BA$6)</f>
        <v/>
      </c>
      <c r="BC405" s="196"/>
      <c r="BD405" s="196" t="str">
        <f>IF(BC405="","",BC405-BC$6)</f>
        <v/>
      </c>
      <c r="BE405" s="196"/>
      <c r="BF405" s="196" t="str">
        <f>IF(BE405="","",BE405-BE$6)</f>
        <v/>
      </c>
      <c r="BG405" s="196"/>
      <c r="BH405" s="196" t="str">
        <f>IF(BG405="","",BG405-BG$6)</f>
        <v/>
      </c>
      <c r="BI405" s="196"/>
      <c r="BJ405" s="196" t="str">
        <f>IF(BI405="","",BI405-BI$6)</f>
        <v/>
      </c>
      <c r="BK405" s="197"/>
      <c r="BL405" s="115"/>
      <c r="BM405" s="198">
        <v>1.6071772820999999E-2</v>
      </c>
      <c r="BN405" s="191">
        <v>-9.6939982059000007E-3</v>
      </c>
      <c r="BO405" s="191">
        <v>2.5916381174999999E-2</v>
      </c>
      <c r="BP405" s="191">
        <v>-8.0835145944999998E-4</v>
      </c>
      <c r="BQ405" s="199"/>
      <c r="BR405" s="199"/>
      <c r="BS405" s="199"/>
      <c r="BT405" s="199"/>
      <c r="BU405" s="200"/>
      <c r="BV405" s="200"/>
      <c r="BW405" s="191"/>
      <c r="BX405" s="191">
        <v>7.1496123893999997E-3</v>
      </c>
      <c r="BY405" s="189"/>
      <c r="BZ405" s="191">
        <v>-7.2857250403000002E-3</v>
      </c>
      <c r="CA405" s="191">
        <v>-2.2297429045000001E-2</v>
      </c>
      <c r="CB405" s="182">
        <v>45517</v>
      </c>
      <c r="CC405" s="182">
        <v>45547</v>
      </c>
      <c r="CD405" s="201"/>
      <c r="CE405" s="202"/>
      <c r="CF405" s="115"/>
    </row>
    <row r="406" spans="2:84" ht="15.6" x14ac:dyDescent="0.3">
      <c r="B406" s="110" t="s">
        <v>584</v>
      </c>
      <c r="C406" s="147" t="s">
        <v>999</v>
      </c>
      <c r="D406" s="148" t="s">
        <v>988</v>
      </c>
      <c r="E406" s="148" t="s">
        <v>232</v>
      </c>
      <c r="F406" s="149">
        <v>2387241000160</v>
      </c>
      <c r="G406" s="149" t="s">
        <v>1027</v>
      </c>
      <c r="H406" s="149" t="s">
        <v>388</v>
      </c>
      <c r="I406" s="150">
        <v>12</v>
      </c>
      <c r="J406" s="151" t="s">
        <v>107</v>
      </c>
      <c r="K406" s="151" t="s">
        <v>130</v>
      </c>
      <c r="L406" s="151" t="s">
        <v>118</v>
      </c>
      <c r="M406" s="151" t="s">
        <v>106</v>
      </c>
      <c r="N406" s="151" t="s">
        <v>109</v>
      </c>
      <c r="O406" s="152">
        <v>600000</v>
      </c>
      <c r="P406" s="153">
        <v>600000000</v>
      </c>
      <c r="Q406" s="153">
        <v>1000</v>
      </c>
      <c r="R406" s="154">
        <v>43511</v>
      </c>
      <c r="S406" s="154">
        <v>47164</v>
      </c>
      <c r="T406" s="155" t="s">
        <v>1052</v>
      </c>
      <c r="U406" s="155" t="s">
        <v>1066</v>
      </c>
      <c r="V406" s="154" t="s">
        <v>105</v>
      </c>
      <c r="W406" s="154" t="s">
        <v>102</v>
      </c>
      <c r="X406" s="154" t="s">
        <v>1301</v>
      </c>
      <c r="Y406" s="154">
        <v>46980</v>
      </c>
      <c r="Z406" s="156">
        <f>IFERROR(INDEX(Base!G:G,MATCH('Debêntures IPCA-Spread'!Y406,Base!F:F,0)),"")</f>
        <v>6.4702000000000002</v>
      </c>
      <c r="AA406" s="115"/>
      <c r="AB406" s="157">
        <v>45552</v>
      </c>
      <c r="AC406" s="158">
        <v>6.3990999999999998</v>
      </c>
      <c r="AD406" s="159">
        <f t="shared" si="17"/>
        <v>-7.1100000000000385E-2</v>
      </c>
      <c r="AE406" s="160">
        <v>0.17</v>
      </c>
      <c r="AF406" s="161">
        <v>6.5968999999999998</v>
      </c>
      <c r="AG406" s="161">
        <v>6.2929000000000004</v>
      </c>
      <c r="AH406" s="162">
        <v>1285.4906619999999</v>
      </c>
      <c r="AI406" s="162">
        <v>1288.2518869999999</v>
      </c>
      <c r="AJ406" s="163">
        <f t="shared" si="18"/>
        <v>0.99785661094086953</v>
      </c>
      <c r="AK406" s="164">
        <v>45544</v>
      </c>
      <c r="AL406" s="165">
        <v>94.49</v>
      </c>
      <c r="AM406" s="166">
        <v>791</v>
      </c>
      <c r="AN406" s="115"/>
      <c r="AO406" s="167">
        <v>2.0586831324000002E-3</v>
      </c>
      <c r="AP406" s="168">
        <f>IF(AO406="","",AO406-AO$6)</f>
        <v>1.5785382474700002E-3</v>
      </c>
      <c r="AQ406" s="168">
        <v>5.3854576909000001E-3</v>
      </c>
      <c r="AR406" s="168">
        <f>IF(AQ406="","",AQ406-AQ$6)</f>
        <v>5.6029644438600002E-3</v>
      </c>
      <c r="AS406" s="168">
        <v>6.0754631892999997E-2</v>
      </c>
      <c r="AT406" s="168">
        <f>IF(AS406="","",AS406-AS$6)</f>
        <v>4.6028796838E-2</v>
      </c>
      <c r="AU406" s="168">
        <v>2.7636726390000001E-3</v>
      </c>
      <c r="AV406" s="168">
        <f>IF(AU406="","",AU406-AU$6)</f>
        <v>1.5832255234999999E-2</v>
      </c>
      <c r="AW406" s="168">
        <v>3.1299659420000001E-2</v>
      </c>
      <c r="AX406" s="168">
        <f>IF(AW406="","",AW406-AW$6)</f>
        <v>7.3045916320000001E-3</v>
      </c>
      <c r="AY406" s="168">
        <v>2.7739210476E-2</v>
      </c>
      <c r="AZ406" s="168">
        <f>IF(AY406="","",AY406-AY$6)</f>
        <v>1.3496955686E-2</v>
      </c>
      <c r="BA406" s="168">
        <v>9.3615344589000005E-2</v>
      </c>
      <c r="BB406" s="168">
        <f>IF(BA406="","",BA406-BA$6)</f>
        <v>4.0128380031000006E-2</v>
      </c>
      <c r="BC406" s="168">
        <v>0.22564253093</v>
      </c>
      <c r="BD406" s="168">
        <f>IF(BC406="","",BC406-BC$6)</f>
        <v>3.1333964440000001E-2</v>
      </c>
      <c r="BE406" s="168">
        <v>0.32983681881999999</v>
      </c>
      <c r="BF406" s="168">
        <f>IF(BE406="","",BE406-BE$6)</f>
        <v>6.8117479280000004E-2</v>
      </c>
      <c r="BG406" s="168">
        <v>0.43225294292999999</v>
      </c>
      <c r="BH406" s="168">
        <f>IF(BG406="","",BG406-BG$6)</f>
        <v>0.12333629411999997</v>
      </c>
      <c r="BI406" s="168">
        <v>0.51837457712000001</v>
      </c>
      <c r="BJ406" s="168">
        <f>IF(BI406="","",BI406-BI$6)</f>
        <v>0.14543156703999999</v>
      </c>
      <c r="BK406" s="169">
        <v>3.4722997040000001</v>
      </c>
      <c r="BL406" s="115"/>
      <c r="BM406" s="170">
        <v>8.3509190480999997E-3</v>
      </c>
      <c r="BN406" s="163">
        <v>-6.9989212506999998E-3</v>
      </c>
      <c r="BO406" s="163">
        <v>2.2763616872999999E-2</v>
      </c>
      <c r="BP406" s="163">
        <v>-1.1330273986999999E-2</v>
      </c>
      <c r="BQ406" s="171">
        <v>9</v>
      </c>
      <c r="BR406" s="171">
        <v>3</v>
      </c>
      <c r="BS406" s="171">
        <v>6</v>
      </c>
      <c r="BT406" s="171">
        <v>6</v>
      </c>
      <c r="BU406" s="172">
        <v>-0.45336697584000002</v>
      </c>
      <c r="BV406" s="172">
        <v>-0.33750016826000001</v>
      </c>
      <c r="BW406" s="163">
        <v>3.5884515765999998E-3</v>
      </c>
      <c r="BX406" s="163">
        <v>3.3216408532000001E-3</v>
      </c>
      <c r="BY406" s="161">
        <v>-2.2495550448000001</v>
      </c>
      <c r="BZ406" s="163">
        <v>-1.7621947268999998E-2</v>
      </c>
      <c r="CA406" s="163">
        <v>-1.7621947268999998E-2</v>
      </c>
      <c r="CB406" s="154">
        <v>45187</v>
      </c>
      <c r="CC406" s="154">
        <v>45202</v>
      </c>
      <c r="CD406" s="173">
        <v>40</v>
      </c>
      <c r="CE406" s="174">
        <v>45246</v>
      </c>
      <c r="CF406" s="115"/>
    </row>
    <row r="407" spans="2:84" ht="15.6" x14ac:dyDescent="0.3">
      <c r="B407" s="98" t="s">
        <v>585</v>
      </c>
      <c r="C407" s="175" t="s">
        <v>1000</v>
      </c>
      <c r="D407" s="176" t="s">
        <v>988</v>
      </c>
      <c r="E407" s="176" t="s">
        <v>232</v>
      </c>
      <c r="F407" s="177">
        <v>2387241000160</v>
      </c>
      <c r="G407" s="177" t="s">
        <v>1028</v>
      </c>
      <c r="H407" s="177" t="s">
        <v>388</v>
      </c>
      <c r="I407" s="178">
        <v>13</v>
      </c>
      <c r="J407" s="179">
        <v>1</v>
      </c>
      <c r="K407" s="179" t="s">
        <v>130</v>
      </c>
      <c r="L407" s="179" t="s">
        <v>112</v>
      </c>
      <c r="M407" s="179" t="s">
        <v>106</v>
      </c>
      <c r="N407" s="179" t="s">
        <v>109</v>
      </c>
      <c r="O407" s="180">
        <v>906856</v>
      </c>
      <c r="P407" s="181">
        <v>906856000</v>
      </c>
      <c r="Q407" s="181">
        <v>1000</v>
      </c>
      <c r="R407" s="182">
        <v>43753</v>
      </c>
      <c r="S407" s="182">
        <v>47406</v>
      </c>
      <c r="T407" s="183" t="s">
        <v>2841</v>
      </c>
      <c r="U407" s="183" t="s">
        <v>2773</v>
      </c>
      <c r="V407" s="182" t="s">
        <v>105</v>
      </c>
      <c r="W407" s="182" t="s">
        <v>102</v>
      </c>
      <c r="X407" s="182" t="s">
        <v>1326</v>
      </c>
      <c r="Y407" s="182">
        <v>46980</v>
      </c>
      <c r="Z407" s="184">
        <f>IFERROR(INDEX(Base!G:G,MATCH('Debêntures IPCA-Spread'!Y407,Base!F:F,0)),"")</f>
        <v>6.4702000000000002</v>
      </c>
      <c r="AA407" s="115"/>
      <c r="AB407" s="185">
        <v>45552</v>
      </c>
      <c r="AC407" s="186">
        <v>6.4054000000000002</v>
      </c>
      <c r="AD407" s="187">
        <f t="shared" si="17"/>
        <v>-6.4799999999999969E-2</v>
      </c>
      <c r="AE407" s="188">
        <v>0.16</v>
      </c>
      <c r="AF407" s="189">
        <v>6.5709</v>
      </c>
      <c r="AG407" s="189">
        <v>6.3501000000000003</v>
      </c>
      <c r="AH407" s="190">
        <v>1264.363844</v>
      </c>
      <c r="AI407" s="190">
        <v>1267.200124</v>
      </c>
      <c r="AJ407" s="191">
        <f t="shared" si="18"/>
        <v>0.99776177420891732</v>
      </c>
      <c r="AK407" s="192">
        <v>45548</v>
      </c>
      <c r="AL407" s="193">
        <v>91.64</v>
      </c>
      <c r="AM407" s="194">
        <v>919</v>
      </c>
      <c r="AN407" s="115"/>
      <c r="AO407" s="195">
        <v>4.9869211762000002E-4</v>
      </c>
      <c r="AP407" s="196">
        <f>IF(AO407="","",AO407-AO$6)</f>
        <v>1.8547232690000024E-5</v>
      </c>
      <c r="AQ407" s="196">
        <v>5.1799411631000001E-3</v>
      </c>
      <c r="AR407" s="196">
        <f>IF(AQ407="","",AQ407-AQ$6)</f>
        <v>5.3974479160600001E-3</v>
      </c>
      <c r="AS407" s="196">
        <v>6.0004195636999998E-2</v>
      </c>
      <c r="AT407" s="196">
        <f>IF(AS407="","",AS407-AS$6)</f>
        <v>4.5278360581999993E-2</v>
      </c>
      <c r="AU407" s="196">
        <v>9.5003910792000005E-4</v>
      </c>
      <c r="AV407" s="196">
        <f>IF(AU407="","",AU407-AU$6)</f>
        <v>1.4018621703920001E-2</v>
      </c>
      <c r="AW407" s="196">
        <v>3.2539673157000001E-2</v>
      </c>
      <c r="AX407" s="196">
        <f>IF(AW407="","",AW407-AW$6)</f>
        <v>8.5446053690000009E-3</v>
      </c>
      <c r="AY407" s="196">
        <v>2.4733623377E-2</v>
      </c>
      <c r="AZ407" s="196">
        <f>IF(AY407="","",AY407-AY$6)</f>
        <v>1.0491368587E-2</v>
      </c>
      <c r="BA407" s="196">
        <v>9.4265476835000001E-2</v>
      </c>
      <c r="BB407" s="196">
        <f>IF(BA407="","",BA407-BA$6)</f>
        <v>4.0778512277000002E-2</v>
      </c>
      <c r="BC407" s="196">
        <v>0.22539478529000001</v>
      </c>
      <c r="BD407" s="196">
        <f>IF(BC407="","",BC407-BC$6)</f>
        <v>3.1086218800000009E-2</v>
      </c>
      <c r="BE407" s="196">
        <v>0.31862829685999999</v>
      </c>
      <c r="BF407" s="196">
        <f>IF(BE407="","",BE407-BE$6)</f>
        <v>5.6908957320000009E-2</v>
      </c>
      <c r="BG407" s="196">
        <v>0.42346098994999998</v>
      </c>
      <c r="BH407" s="196">
        <f>IF(BG407="","",BG407-BG$6)</f>
        <v>0.11454434113999995</v>
      </c>
      <c r="BI407" s="196"/>
      <c r="BJ407" s="196" t="str">
        <f>IF(BI407="","",BI407-BI$6)</f>
        <v/>
      </c>
      <c r="BK407" s="197">
        <v>3.8563389896000002</v>
      </c>
      <c r="BL407" s="115"/>
      <c r="BM407" s="198">
        <v>7.8041321702999999E-3</v>
      </c>
      <c r="BN407" s="191">
        <v>-6.6791257067999998E-3</v>
      </c>
      <c r="BO407" s="191">
        <v>2.4775029529000001E-2</v>
      </c>
      <c r="BP407" s="191">
        <v>-1.3689066719E-2</v>
      </c>
      <c r="BQ407" s="199">
        <v>9</v>
      </c>
      <c r="BR407" s="199">
        <v>3</v>
      </c>
      <c r="BS407" s="199">
        <v>7</v>
      </c>
      <c r="BT407" s="199">
        <v>5</v>
      </c>
      <c r="BU407" s="200">
        <v>-0.38947540165</v>
      </c>
      <c r="BV407" s="200">
        <v>-0.34135037452</v>
      </c>
      <c r="BW407" s="191">
        <v>3.9851477913E-3</v>
      </c>
      <c r="BX407" s="191">
        <v>3.5412067659999998E-3</v>
      </c>
      <c r="BY407" s="189">
        <v>-2.2334122769000002</v>
      </c>
      <c r="BZ407" s="191">
        <v>-1.6370915547000001E-2</v>
      </c>
      <c r="CA407" s="191">
        <v>-1.6370915547000001E-2</v>
      </c>
      <c r="CB407" s="182">
        <v>45187</v>
      </c>
      <c r="CC407" s="182">
        <v>45202</v>
      </c>
      <c r="CD407" s="201">
        <v>41</v>
      </c>
      <c r="CE407" s="202">
        <v>45247</v>
      </c>
      <c r="CF407" s="115"/>
    </row>
    <row r="408" spans="2:84" ht="15.6" x14ac:dyDescent="0.3">
      <c r="B408" s="110" t="s">
        <v>586</v>
      </c>
      <c r="C408" s="147" t="s">
        <v>1001</v>
      </c>
      <c r="D408" s="148" t="s">
        <v>988</v>
      </c>
      <c r="E408" s="148" t="s">
        <v>232</v>
      </c>
      <c r="F408" s="149">
        <v>2387241000160</v>
      </c>
      <c r="G408" s="149" t="s">
        <v>1029</v>
      </c>
      <c r="H408" s="149" t="s">
        <v>388</v>
      </c>
      <c r="I408" s="150">
        <v>13</v>
      </c>
      <c r="J408" s="151">
        <v>2</v>
      </c>
      <c r="K408" s="151" t="s">
        <v>130</v>
      </c>
      <c r="L408" s="151" t="s">
        <v>112</v>
      </c>
      <c r="M408" s="151" t="s">
        <v>106</v>
      </c>
      <c r="N408" s="151" t="s">
        <v>109</v>
      </c>
      <c r="O408" s="152">
        <v>222280</v>
      </c>
      <c r="P408" s="153">
        <v>222280000</v>
      </c>
      <c r="Q408" s="153">
        <v>1000</v>
      </c>
      <c r="R408" s="154">
        <v>43753</v>
      </c>
      <c r="S408" s="154">
        <v>47406</v>
      </c>
      <c r="T408" s="155" t="s">
        <v>1053</v>
      </c>
      <c r="U408" s="155" t="s">
        <v>1067</v>
      </c>
      <c r="V408" s="154" t="s">
        <v>105</v>
      </c>
      <c r="W408" s="154" t="s">
        <v>102</v>
      </c>
      <c r="X408" s="154" t="s">
        <v>1296</v>
      </c>
      <c r="Y408" s="154">
        <v>46980</v>
      </c>
      <c r="Z408" s="156">
        <f>IFERROR(INDEX(Base!G:G,MATCH('Debêntures IPCA-Spread'!Y408,Base!F:F,0)),"")</f>
        <v>6.4702000000000002</v>
      </c>
      <c r="AA408" s="115"/>
      <c r="AB408" s="157">
        <v>45552</v>
      </c>
      <c r="AC408" s="158">
        <v>6.5819000000000001</v>
      </c>
      <c r="AD408" s="159">
        <f t="shared" si="17"/>
        <v>0.11169999999999991</v>
      </c>
      <c r="AE408" s="160">
        <v>0.18</v>
      </c>
      <c r="AF408" s="161">
        <v>6.6782000000000004</v>
      </c>
      <c r="AG408" s="161">
        <v>6.2855999999999996</v>
      </c>
      <c r="AH408" s="162">
        <v>1237.5300930000001</v>
      </c>
      <c r="AI408" s="162">
        <v>1242.11393</v>
      </c>
      <c r="AJ408" s="163">
        <f t="shared" si="18"/>
        <v>0.99630964850382131</v>
      </c>
      <c r="AK408" s="164">
        <v>45518</v>
      </c>
      <c r="AL408" s="165">
        <v>91.34</v>
      </c>
      <c r="AM408" s="166">
        <v>926</v>
      </c>
      <c r="AN408" s="115"/>
      <c r="AO408" s="167">
        <v>-1.0789554035000001E-3</v>
      </c>
      <c r="AP408" s="168">
        <f>IF(AO408="","",AO408-AO$6)</f>
        <v>-1.55910028843E-3</v>
      </c>
      <c r="AQ408" s="168">
        <v>1.8204484676999999E-3</v>
      </c>
      <c r="AR408" s="168">
        <f>IF(AQ408="","",AQ408-AQ$6)</f>
        <v>2.03795522066E-3</v>
      </c>
      <c r="AS408" s="168">
        <v>5.4359680628999998E-2</v>
      </c>
      <c r="AT408" s="168">
        <f>IF(AS408="","",AS408-AS$6)</f>
        <v>3.9633845574000001E-2</v>
      </c>
      <c r="AU408" s="168">
        <v>-7.5909698170999998E-4</v>
      </c>
      <c r="AV408" s="168">
        <f>IF(AU408="","",AU408-AU$6)</f>
        <v>1.2309485614289999E-2</v>
      </c>
      <c r="AW408" s="168">
        <v>2.7867886466999999E-2</v>
      </c>
      <c r="AX408" s="168">
        <f>IF(AW408="","",AW408-AW$6)</f>
        <v>3.8728186789999987E-3</v>
      </c>
      <c r="AY408" s="168">
        <v>2.4359933654E-2</v>
      </c>
      <c r="AZ408" s="168">
        <f>IF(AY408="","",AY408-AY$6)</f>
        <v>1.0117678864E-2</v>
      </c>
      <c r="BA408" s="168">
        <v>8.3851337679999999E-2</v>
      </c>
      <c r="BB408" s="168">
        <f>IF(BA408="","",BA408-BA$6)</f>
        <v>3.0364373122E-2</v>
      </c>
      <c r="BC408" s="168">
        <v>0.21968862115000001</v>
      </c>
      <c r="BD408" s="168">
        <f>IF(BC408="","",BC408-BC$6)</f>
        <v>2.5380054660000012E-2</v>
      </c>
      <c r="BE408" s="168">
        <v>0.31576394279999997</v>
      </c>
      <c r="BF408" s="168">
        <f>IF(BE408="","",BE408-BE$6)</f>
        <v>5.404460325999999E-2</v>
      </c>
      <c r="BG408" s="168">
        <v>0.43534156022999998</v>
      </c>
      <c r="BH408" s="168">
        <f>IF(BG408="","",BG408-BG$6)</f>
        <v>0.12642491141999995</v>
      </c>
      <c r="BI408" s="168"/>
      <c r="BJ408" s="168" t="str">
        <f>IF(BI408="","",BI408-BI$6)</f>
        <v/>
      </c>
      <c r="BK408" s="169">
        <v>3.8752489076000001</v>
      </c>
      <c r="BL408" s="115"/>
      <c r="BM408" s="170">
        <v>8.3395573511000007E-3</v>
      </c>
      <c r="BN408" s="163">
        <v>-9.8873614033000001E-3</v>
      </c>
      <c r="BO408" s="163">
        <v>2.5962032751000001E-2</v>
      </c>
      <c r="BP408" s="163">
        <v>-1.5038300032000001E-2</v>
      </c>
      <c r="BQ408" s="171">
        <v>9</v>
      </c>
      <c r="BR408" s="171">
        <v>3</v>
      </c>
      <c r="BS408" s="171">
        <v>6</v>
      </c>
      <c r="BT408" s="171">
        <v>6</v>
      </c>
      <c r="BU408" s="172">
        <v>-0.62960837159000005</v>
      </c>
      <c r="BV408" s="172">
        <v>-0.37662299342</v>
      </c>
      <c r="BW408" s="163">
        <v>4.0026584924000002E-3</v>
      </c>
      <c r="BX408" s="163">
        <v>2.5057027941999999E-3</v>
      </c>
      <c r="BY408" s="161">
        <v>-3.2587150668999998</v>
      </c>
      <c r="BZ408" s="163">
        <v>-1.8795741242000001E-2</v>
      </c>
      <c r="CA408" s="163">
        <v>-1.8795741242000001E-2</v>
      </c>
      <c r="CB408" s="154">
        <v>45187</v>
      </c>
      <c r="CC408" s="154">
        <v>45202</v>
      </c>
      <c r="CD408" s="173">
        <v>41</v>
      </c>
      <c r="CE408" s="174">
        <v>45247</v>
      </c>
      <c r="CF408" s="115"/>
    </row>
    <row r="409" spans="2:84" ht="15.6" x14ac:dyDescent="0.3">
      <c r="B409" s="98" t="s">
        <v>587</v>
      </c>
      <c r="C409" s="175" t="s">
        <v>1002</v>
      </c>
      <c r="D409" s="176" t="s">
        <v>988</v>
      </c>
      <c r="E409" s="176" t="s">
        <v>232</v>
      </c>
      <c r="F409" s="177">
        <v>2387241000160</v>
      </c>
      <c r="G409" s="177" t="s">
        <v>1030</v>
      </c>
      <c r="H409" s="177" t="s">
        <v>388</v>
      </c>
      <c r="I409" s="178">
        <v>14</v>
      </c>
      <c r="J409" s="179" t="s">
        <v>107</v>
      </c>
      <c r="K409" s="179" t="s">
        <v>126</v>
      </c>
      <c r="L409" s="179" t="s">
        <v>118</v>
      </c>
      <c r="M409" s="179" t="s">
        <v>106</v>
      </c>
      <c r="N409" s="179" t="s">
        <v>109</v>
      </c>
      <c r="O409" s="180">
        <v>800000</v>
      </c>
      <c r="P409" s="181">
        <v>800000000</v>
      </c>
      <c r="Q409" s="181">
        <v>1000</v>
      </c>
      <c r="R409" s="182">
        <v>43936</v>
      </c>
      <c r="S409" s="182">
        <v>47588</v>
      </c>
      <c r="T409" s="183" t="s">
        <v>1054</v>
      </c>
      <c r="U409" s="183" t="s">
        <v>1068</v>
      </c>
      <c r="V409" s="182" t="s">
        <v>105</v>
      </c>
      <c r="W409" s="182" t="s">
        <v>102</v>
      </c>
      <c r="X409" s="182" t="s">
        <v>1079</v>
      </c>
      <c r="Y409" s="182">
        <v>47253</v>
      </c>
      <c r="Z409" s="184">
        <f>IFERROR(INDEX(Base!G:G,MATCH('Debêntures IPCA-Spread'!Y409,Base!F:F,0)),"")</f>
        <v>6.41</v>
      </c>
      <c r="AA409" s="115"/>
      <c r="AB409" s="185">
        <v>45552</v>
      </c>
      <c r="AC409" s="186">
        <v>6.3696999999999999</v>
      </c>
      <c r="AD409" s="187">
        <f t="shared" si="17"/>
        <v>-4.0300000000000225E-2</v>
      </c>
      <c r="AE409" s="188">
        <v>0.13</v>
      </c>
      <c r="AF409" s="189">
        <v>6.5449999999999999</v>
      </c>
      <c r="AG409" s="189">
        <v>6.2424999999999997</v>
      </c>
      <c r="AH409" s="190">
        <v>1365.380316</v>
      </c>
      <c r="AI409" s="190">
        <v>1368.7408949999999</v>
      </c>
      <c r="AJ409" s="191">
        <f t="shared" si="18"/>
        <v>0.99754476613340326</v>
      </c>
      <c r="AK409" s="192">
        <v>45540</v>
      </c>
      <c r="AL409" s="193">
        <v>101.56</v>
      </c>
      <c r="AM409" s="194">
        <v>976</v>
      </c>
      <c r="AN409" s="115"/>
      <c r="AO409" s="195">
        <v>1.6822172638E-3</v>
      </c>
      <c r="AP409" s="196">
        <f>IF(AO409="","",AO409-AO$6)</f>
        <v>1.20207237887E-3</v>
      </c>
      <c r="AQ409" s="196">
        <v>6.6737184934E-3</v>
      </c>
      <c r="AR409" s="196">
        <f>IF(AQ409="","",AQ409-AQ$6)</f>
        <v>6.8912252463600001E-3</v>
      </c>
      <c r="AS409" s="196">
        <v>6.0083148017000002E-2</v>
      </c>
      <c r="AT409" s="196">
        <f>IF(AS409="","",AS409-AS$6)</f>
        <v>4.5357312962000004E-2</v>
      </c>
      <c r="AU409" s="196">
        <v>1.4059784225E-3</v>
      </c>
      <c r="AV409" s="196">
        <f>IF(AU409="","",AU409-AU$6)</f>
        <v>1.4474561018500001E-2</v>
      </c>
      <c r="AW409" s="196">
        <v>3.4037168318000001E-2</v>
      </c>
      <c r="AX409" s="196">
        <f>IF(AW409="","",AW409-AW$6)</f>
        <v>1.004210053E-2</v>
      </c>
      <c r="AY409" s="196">
        <v>2.5122118035000002E-2</v>
      </c>
      <c r="AZ409" s="196">
        <f>IF(AY409="","",AY409-AY$6)</f>
        <v>1.0879863245000001E-2</v>
      </c>
      <c r="BA409" s="196">
        <v>9.5529871052000004E-2</v>
      </c>
      <c r="BB409" s="196">
        <f>IF(BA409="","",BA409-BA$6)</f>
        <v>4.2042906494000006E-2</v>
      </c>
      <c r="BC409" s="196">
        <v>0.22789297244000001</v>
      </c>
      <c r="BD409" s="196">
        <f>IF(BC409="","",BC409-BC$6)</f>
        <v>3.3584405950000007E-2</v>
      </c>
      <c r="BE409" s="196">
        <v>0.31524631348999999</v>
      </c>
      <c r="BF409" s="196">
        <f>IF(BE409="","",BE409-BE$6)</f>
        <v>5.3526973950000001E-2</v>
      </c>
      <c r="BG409" s="196">
        <v>0.42193347847000001</v>
      </c>
      <c r="BH409" s="196">
        <f>IF(BG409="","",BG409-BG$6)</f>
        <v>0.11301682965999998</v>
      </c>
      <c r="BI409" s="196"/>
      <c r="BJ409" s="196" t="str">
        <f>IF(BI409="","",BI409-BI$6)</f>
        <v/>
      </c>
      <c r="BK409" s="197">
        <v>3.9701990541000001</v>
      </c>
      <c r="BL409" s="115"/>
      <c r="BM409" s="198">
        <v>8.1975935336000005E-3</v>
      </c>
      <c r="BN409" s="191">
        <v>-6.3628465450000001E-3</v>
      </c>
      <c r="BO409" s="191">
        <v>2.6474002765000001E-2</v>
      </c>
      <c r="BP409" s="191">
        <v>-1.8437969750000002E-2</v>
      </c>
      <c r="BQ409" s="199">
        <v>9</v>
      </c>
      <c r="BR409" s="199">
        <v>3</v>
      </c>
      <c r="BS409" s="199">
        <v>7</v>
      </c>
      <c r="BT409" s="199">
        <v>5</v>
      </c>
      <c r="BU409" s="200">
        <v>-0.34858157605000001</v>
      </c>
      <c r="BV409" s="200">
        <v>-0.38008551622999998</v>
      </c>
      <c r="BW409" s="191">
        <v>4.1022356401999999E-3</v>
      </c>
      <c r="BX409" s="191">
        <v>3.4157309348000001E-3</v>
      </c>
      <c r="BY409" s="189">
        <v>-2.1140244435</v>
      </c>
      <c r="BZ409" s="191">
        <v>-2.1240636502000001E-2</v>
      </c>
      <c r="CA409" s="191">
        <v>-2.1240636502000001E-2</v>
      </c>
      <c r="CB409" s="182">
        <v>45187</v>
      </c>
      <c r="CC409" s="182">
        <v>45202</v>
      </c>
      <c r="CD409" s="201">
        <v>40</v>
      </c>
      <c r="CE409" s="202">
        <v>45246</v>
      </c>
      <c r="CF409" s="115"/>
    </row>
    <row r="410" spans="2:84" ht="15.6" x14ac:dyDescent="0.3">
      <c r="B410" s="110" t="s">
        <v>588</v>
      </c>
      <c r="C410" s="147" t="s">
        <v>1003</v>
      </c>
      <c r="D410" s="148" t="s">
        <v>988</v>
      </c>
      <c r="E410" s="148" t="s">
        <v>232</v>
      </c>
      <c r="F410" s="149">
        <v>2387241000160</v>
      </c>
      <c r="G410" s="149" t="s">
        <v>1031</v>
      </c>
      <c r="H410" s="149" t="s">
        <v>388</v>
      </c>
      <c r="I410" s="150">
        <v>15</v>
      </c>
      <c r="J410" s="151">
        <v>1</v>
      </c>
      <c r="K410" s="151" t="s">
        <v>130</v>
      </c>
      <c r="L410" s="151" t="s">
        <v>112</v>
      </c>
      <c r="M410" s="151" t="s">
        <v>106</v>
      </c>
      <c r="N410" s="151" t="s">
        <v>109</v>
      </c>
      <c r="O410" s="152">
        <v>376523</v>
      </c>
      <c r="P410" s="153">
        <v>376523000</v>
      </c>
      <c r="Q410" s="153">
        <v>1000</v>
      </c>
      <c r="R410" s="154">
        <v>44180</v>
      </c>
      <c r="S410" s="154">
        <v>47832</v>
      </c>
      <c r="T410" s="155" t="s">
        <v>770</v>
      </c>
      <c r="U410" s="155" t="s">
        <v>1069</v>
      </c>
      <c r="V410" s="154" t="s">
        <v>105</v>
      </c>
      <c r="W410" s="154" t="s">
        <v>102</v>
      </c>
      <c r="X410" s="154" t="s">
        <v>1345</v>
      </c>
      <c r="Y410" s="154">
        <v>47710</v>
      </c>
      <c r="Z410" s="156">
        <f>IFERROR(INDEX(Base!G:G,MATCH('Debêntures IPCA-Spread'!Y410,Base!F:F,0)),"")</f>
        <v>6.3273999999999999</v>
      </c>
      <c r="AA410" s="115"/>
      <c r="AB410" s="157">
        <v>45552</v>
      </c>
      <c r="AC410" s="158">
        <v>6.39</v>
      </c>
      <c r="AD410" s="159">
        <f t="shared" si="17"/>
        <v>6.2599999999999767E-2</v>
      </c>
      <c r="AE410" s="160">
        <v>0.11</v>
      </c>
      <c r="AF410" s="161">
        <v>6.6653000000000002</v>
      </c>
      <c r="AG410" s="161">
        <v>6.2765000000000004</v>
      </c>
      <c r="AH410" s="162">
        <v>1113.992033</v>
      </c>
      <c r="AI410" s="162">
        <v>1121.6730620000001</v>
      </c>
      <c r="AJ410" s="163">
        <f t="shared" si="18"/>
        <v>0.99315216772139969</v>
      </c>
      <c r="AK410" s="164">
        <v>45531</v>
      </c>
      <c r="AL410" s="165">
        <v>88.21</v>
      </c>
      <c r="AM410" s="166">
        <v>1183</v>
      </c>
      <c r="AN410" s="115"/>
      <c r="AO410" s="167">
        <v>-2.2467351964000001E-3</v>
      </c>
      <c r="AP410" s="168">
        <f>IF(AO410="","",AO410-AO$6)</f>
        <v>-2.7268800813300001E-3</v>
      </c>
      <c r="AQ410" s="168">
        <v>-2.8822298062999999E-3</v>
      </c>
      <c r="AR410" s="168">
        <f>IF(AQ410="","",AQ410-AQ$6)</f>
        <v>-2.6647230533399999E-3</v>
      </c>
      <c r="AS410" s="168">
        <v>5.6589109348000002E-2</v>
      </c>
      <c r="AT410" s="168">
        <f>IF(AS410="","",AS410-AS$6)</f>
        <v>4.1863274293000005E-2</v>
      </c>
      <c r="AU410" s="168">
        <v>-2.4014982573000001E-3</v>
      </c>
      <c r="AV410" s="168">
        <f>IF(AU410="","",AU410-AU$6)</f>
        <v>1.0667084338699999E-2</v>
      </c>
      <c r="AW410" s="168">
        <v>3.2911050312999998E-2</v>
      </c>
      <c r="AX410" s="168">
        <f>IF(AW410="","",AW410-AW$6)</f>
        <v>8.9159825249999977E-3</v>
      </c>
      <c r="AY410" s="168">
        <v>2.7580723598000002E-2</v>
      </c>
      <c r="AZ410" s="168">
        <f>IF(AY410="","",AY410-AY$6)</f>
        <v>1.3338468808000001E-2</v>
      </c>
      <c r="BA410" s="168">
        <v>9.1760930411000002E-2</v>
      </c>
      <c r="BB410" s="168">
        <f>IF(BA410="","",BA410-BA$6)</f>
        <v>3.8273965853000004E-2</v>
      </c>
      <c r="BC410" s="168">
        <v>0.22721318007999999</v>
      </c>
      <c r="BD410" s="168">
        <f>IF(BC410="","",BC410-BC$6)</f>
        <v>3.2904613589999993E-2</v>
      </c>
      <c r="BE410" s="168">
        <v>0.30506014108000001</v>
      </c>
      <c r="BF410" s="168">
        <f>IF(BE410="","",BE410-BE$6)</f>
        <v>4.3340801540000029E-2</v>
      </c>
      <c r="BG410" s="168"/>
      <c r="BH410" s="168" t="str">
        <f>IF(BG410="","",BG410-BG$6)</f>
        <v/>
      </c>
      <c r="BI410" s="168"/>
      <c r="BJ410" s="168" t="str">
        <f>IF(BI410="","",BI410-BI$6)</f>
        <v/>
      </c>
      <c r="BK410" s="169">
        <v>4.4216132004000004</v>
      </c>
      <c r="BL410" s="115"/>
      <c r="BM410" s="170">
        <v>1.1425569934999999E-2</v>
      </c>
      <c r="BN410" s="163">
        <v>-8.2183516288000004E-3</v>
      </c>
      <c r="BO410" s="163">
        <v>2.6841954485E-2</v>
      </c>
      <c r="BP410" s="163">
        <v>-1.5984719192999999E-2</v>
      </c>
      <c r="BQ410" s="171">
        <v>8</v>
      </c>
      <c r="BR410" s="171">
        <v>4</v>
      </c>
      <c r="BS410" s="171">
        <v>6</v>
      </c>
      <c r="BT410" s="171">
        <v>6</v>
      </c>
      <c r="BU410" s="172">
        <v>-0.38537348197999999</v>
      </c>
      <c r="BV410" s="172">
        <v>-0.38627190883000001</v>
      </c>
      <c r="BW410" s="163">
        <v>4.5701398086000003E-3</v>
      </c>
      <c r="BX410" s="163">
        <v>2.8988417950999998E-3</v>
      </c>
      <c r="BY410" s="161">
        <v>-2.5336485927000001</v>
      </c>
      <c r="BZ410" s="163">
        <v>-2.033673896E-2</v>
      </c>
      <c r="CA410" s="163">
        <v>-2.033673896E-2</v>
      </c>
      <c r="CB410" s="154">
        <v>45189</v>
      </c>
      <c r="CC410" s="154">
        <v>45202</v>
      </c>
      <c r="CD410" s="173">
        <v>39</v>
      </c>
      <c r="CE410" s="174">
        <v>45247</v>
      </c>
      <c r="CF410" s="115"/>
    </row>
    <row r="411" spans="2:84" ht="15.6" x14ac:dyDescent="0.3">
      <c r="B411" s="98" t="s">
        <v>589</v>
      </c>
      <c r="C411" s="175" t="s">
        <v>1004</v>
      </c>
      <c r="D411" s="176" t="s">
        <v>988</v>
      </c>
      <c r="E411" s="176" t="s">
        <v>232</v>
      </c>
      <c r="F411" s="177">
        <v>2387241000160</v>
      </c>
      <c r="G411" s="177" t="s">
        <v>1032</v>
      </c>
      <c r="H411" s="177" t="s">
        <v>388</v>
      </c>
      <c r="I411" s="178">
        <v>15</v>
      </c>
      <c r="J411" s="179">
        <v>2</v>
      </c>
      <c r="K411" s="179" t="s">
        <v>130</v>
      </c>
      <c r="L411" s="179" t="s">
        <v>112</v>
      </c>
      <c r="M411" s="179" t="s">
        <v>106</v>
      </c>
      <c r="N411" s="179" t="s">
        <v>109</v>
      </c>
      <c r="O411" s="180">
        <v>823477</v>
      </c>
      <c r="P411" s="181">
        <v>823477000</v>
      </c>
      <c r="Q411" s="181">
        <v>1000</v>
      </c>
      <c r="R411" s="182">
        <v>44180</v>
      </c>
      <c r="S411" s="182">
        <v>49658</v>
      </c>
      <c r="T411" s="183" t="s">
        <v>770</v>
      </c>
      <c r="U411" s="183" t="s">
        <v>1070</v>
      </c>
      <c r="V411" s="182" t="s">
        <v>105</v>
      </c>
      <c r="W411" s="182" t="s">
        <v>102</v>
      </c>
      <c r="X411" s="182" t="s">
        <v>1296</v>
      </c>
      <c r="Y411" s="182">
        <v>49444</v>
      </c>
      <c r="Z411" s="184">
        <f>IFERROR(INDEX(Base!G:G,MATCH('Debêntures IPCA-Spread'!Y411,Base!F:F,0)),"")</f>
        <v>6.3137999999999996</v>
      </c>
      <c r="AA411" s="115"/>
      <c r="AB411" s="185">
        <v>45552</v>
      </c>
      <c r="AC411" s="186">
        <v>6.4688999999999997</v>
      </c>
      <c r="AD411" s="187">
        <f t="shared" si="17"/>
        <v>0.15510000000000002</v>
      </c>
      <c r="AE411" s="188">
        <v>0.1</v>
      </c>
      <c r="AF411" s="189">
        <v>6.7544000000000004</v>
      </c>
      <c r="AG411" s="189">
        <v>6.3361000000000001</v>
      </c>
      <c r="AH411" s="190">
        <v>1041.278558</v>
      </c>
      <c r="AI411" s="190">
        <v>1057.9823980000001</v>
      </c>
      <c r="AJ411" s="191">
        <f t="shared" si="18"/>
        <v>0.98421160878330594</v>
      </c>
      <c r="AK411" s="192">
        <v>45519</v>
      </c>
      <c r="AL411" s="193">
        <v>82.37</v>
      </c>
      <c r="AM411" s="194">
        <v>2052</v>
      </c>
      <c r="AN411" s="115"/>
      <c r="AO411" s="195">
        <v>-5.9103555241000003E-3</v>
      </c>
      <c r="AP411" s="196">
        <f>IF(AO411="","",AO411-AO$6)</f>
        <v>-6.3905004090300003E-3</v>
      </c>
      <c r="AQ411" s="196">
        <v>-3.6770937631000001E-3</v>
      </c>
      <c r="AR411" s="196">
        <f>IF(AQ411="","",AQ411-AQ$6)</f>
        <v>-3.45958701014E-3</v>
      </c>
      <c r="AS411" s="196">
        <v>5.0209664298000001E-2</v>
      </c>
      <c r="AT411" s="196">
        <f>IF(AS411="","",AS411-AS$6)</f>
        <v>3.5483829243000004E-2</v>
      </c>
      <c r="AU411" s="196">
        <v>-1.4377592733000001E-2</v>
      </c>
      <c r="AV411" s="196">
        <f>IF(AU411="","",AU411-AU$6)</f>
        <v>-1.309010137000001E-3</v>
      </c>
      <c r="AW411" s="196">
        <v>4.3212755822000001E-2</v>
      </c>
      <c r="AX411" s="196">
        <f>IF(AW411="","",AW411-AW$6)</f>
        <v>1.9217688034000001E-2</v>
      </c>
      <c r="AY411" s="196">
        <v>2.2618334197999999E-2</v>
      </c>
      <c r="AZ411" s="196">
        <f>IF(AY411="","",AY411-AY$6)</f>
        <v>8.3760794079999982E-3</v>
      </c>
      <c r="BA411" s="196">
        <v>9.8833995758000004E-2</v>
      </c>
      <c r="BB411" s="196">
        <f>IF(BA411="","",BA411-BA$6)</f>
        <v>4.5347031200000006E-2</v>
      </c>
      <c r="BC411" s="196">
        <v>0.23375356937</v>
      </c>
      <c r="BD411" s="196">
        <f>IF(BC411="","",BC411-BC$6)</f>
        <v>3.9445002879999996E-2</v>
      </c>
      <c r="BE411" s="196">
        <v>0.27594279714999997</v>
      </c>
      <c r="BF411" s="196">
        <f>IF(BE411="","",BE411-BE$6)</f>
        <v>1.422345760999999E-2</v>
      </c>
      <c r="BG411" s="196"/>
      <c r="BH411" s="196" t="str">
        <f>IF(BG411="","",BG411-BG$6)</f>
        <v/>
      </c>
      <c r="BI411" s="196"/>
      <c r="BJ411" s="196" t="str">
        <f>IF(BI411="","",BI411-BI$6)</f>
        <v/>
      </c>
      <c r="BK411" s="197">
        <v>7.2469109078000002</v>
      </c>
      <c r="BL411" s="115"/>
      <c r="BM411" s="198">
        <v>2.1955941775000001E-2</v>
      </c>
      <c r="BN411" s="191">
        <v>-1.4258519298E-2</v>
      </c>
      <c r="BO411" s="191">
        <v>4.0526539245999998E-2</v>
      </c>
      <c r="BP411" s="191">
        <v>-2.4334392117999998E-2</v>
      </c>
      <c r="BQ411" s="199">
        <v>7</v>
      </c>
      <c r="BR411" s="199">
        <v>5</v>
      </c>
      <c r="BS411" s="199">
        <v>6</v>
      </c>
      <c r="BT411" s="199">
        <v>6</v>
      </c>
      <c r="BU411" s="200">
        <v>-0.12468845802</v>
      </c>
      <c r="BV411" s="200">
        <v>-0.33906291643999997</v>
      </c>
      <c r="BW411" s="191">
        <v>7.4946152269000001E-3</v>
      </c>
      <c r="BX411" s="191">
        <v>5.0338015363000001E-3</v>
      </c>
      <c r="BY411" s="189">
        <v>-1.9147592356000001</v>
      </c>
      <c r="BZ411" s="191">
        <v>-3.4772942203999999E-2</v>
      </c>
      <c r="CA411" s="191">
        <v>-3.4772942203999999E-2</v>
      </c>
      <c r="CB411" s="182">
        <v>45189</v>
      </c>
      <c r="CC411" s="182">
        <v>45202</v>
      </c>
      <c r="CD411" s="201">
        <v>46</v>
      </c>
      <c r="CE411" s="202">
        <v>45258</v>
      </c>
      <c r="CF411" s="115"/>
    </row>
    <row r="412" spans="2:84" ht="15.6" x14ac:dyDescent="0.3">
      <c r="B412" s="110" t="s">
        <v>1120</v>
      </c>
      <c r="C412" s="147" t="s">
        <v>1284</v>
      </c>
      <c r="D412" s="148" t="s">
        <v>988</v>
      </c>
      <c r="E412" s="148" t="s">
        <v>232</v>
      </c>
      <c r="F412" s="149">
        <v>2387241000160</v>
      </c>
      <c r="G412" s="149" t="s">
        <v>1181</v>
      </c>
      <c r="H412" s="149" t="s">
        <v>388</v>
      </c>
      <c r="I412" s="150">
        <v>16</v>
      </c>
      <c r="J412" s="151">
        <v>1</v>
      </c>
      <c r="K412" s="151" t="s">
        <v>126</v>
      </c>
      <c r="L412" s="151" t="s">
        <v>125</v>
      </c>
      <c r="M412" s="151" t="s">
        <v>114</v>
      </c>
      <c r="N412" s="151" t="s">
        <v>109</v>
      </c>
      <c r="O412" s="152">
        <v>784619</v>
      </c>
      <c r="P412" s="153">
        <v>784619000</v>
      </c>
      <c r="Q412" s="153">
        <v>1000</v>
      </c>
      <c r="R412" s="154">
        <v>44362</v>
      </c>
      <c r="S412" s="154">
        <v>48014</v>
      </c>
      <c r="T412" s="155" t="s">
        <v>1247</v>
      </c>
      <c r="U412" s="155" t="s">
        <v>1221</v>
      </c>
      <c r="V412" s="154" t="s">
        <v>105</v>
      </c>
      <c r="W412" s="154" t="s">
        <v>102</v>
      </c>
      <c r="X412" s="154" t="s">
        <v>1369</v>
      </c>
      <c r="Y412" s="154">
        <v>47710</v>
      </c>
      <c r="Z412" s="156">
        <f>IFERROR(INDEX(Base!G:G,MATCH('Debêntures IPCA-Spread'!Y412,Base!F:F,0)),"")</f>
        <v>6.3273999999999999</v>
      </c>
      <c r="AA412" s="115"/>
      <c r="AB412" s="157">
        <v>45552</v>
      </c>
      <c r="AC412" s="158">
        <v>6.4367999999999999</v>
      </c>
      <c r="AD412" s="159">
        <f t="shared" si="17"/>
        <v>0.10939999999999994</v>
      </c>
      <c r="AE412" s="160">
        <v>0.13</v>
      </c>
      <c r="AF412" s="161">
        <v>6.5953999999999997</v>
      </c>
      <c r="AG412" s="161">
        <v>6.3388</v>
      </c>
      <c r="AH412" s="162">
        <v>1116.343257</v>
      </c>
      <c r="AI412" s="162">
        <v>1127.1968690000001</v>
      </c>
      <c r="AJ412" s="163">
        <f t="shared" si="18"/>
        <v>0.99037114784604663</v>
      </c>
      <c r="AK412" s="164">
        <v>45519</v>
      </c>
      <c r="AL412" s="165">
        <v>91.22</v>
      </c>
      <c r="AM412" s="166">
        <v>1254</v>
      </c>
      <c r="AN412" s="115"/>
      <c r="AO412" s="167">
        <v>-3.4111103559999998E-5</v>
      </c>
      <c r="AP412" s="168">
        <f>IF(AO412="","",AO412-AO$6)</f>
        <v>-5.1425598848999995E-4</v>
      </c>
      <c r="AQ412" s="168">
        <v>-7.3623768912999997E-6</v>
      </c>
      <c r="AR412" s="168">
        <f>IF(AQ412="","",AQ412-AQ$6)</f>
        <v>2.101443760687E-4</v>
      </c>
      <c r="AS412" s="168">
        <v>5.6297099211999997E-2</v>
      </c>
      <c r="AT412" s="168">
        <f>IF(AS412="","",AS412-AS$6)</f>
        <v>4.1571264156999993E-2</v>
      </c>
      <c r="AU412" s="168">
        <v>-5.6902924279999996E-3</v>
      </c>
      <c r="AV412" s="168">
        <f>IF(AU412="","",AU412-AU$6)</f>
        <v>7.3782901680000002E-3</v>
      </c>
      <c r="AW412" s="168">
        <v>3.1304900359999999E-2</v>
      </c>
      <c r="AX412" s="168">
        <f>IF(AW412="","",AW412-AW$6)</f>
        <v>7.3098325719999982E-3</v>
      </c>
      <c r="AY412" s="168">
        <v>2.4447230744000001E-2</v>
      </c>
      <c r="AZ412" s="168">
        <f>IF(AY412="","",AY412-AY$6)</f>
        <v>1.0204975954E-2</v>
      </c>
      <c r="BA412" s="168">
        <v>9.0425082626000006E-2</v>
      </c>
      <c r="BB412" s="168">
        <f>IF(BA412="","",BA412-BA$6)</f>
        <v>3.6938118068000007E-2</v>
      </c>
      <c r="BC412" s="168">
        <v>0.230794993</v>
      </c>
      <c r="BD412" s="168">
        <f>IF(BC412="","",BC412-BC$6)</f>
        <v>3.6486426510000003E-2</v>
      </c>
      <c r="BE412" s="168">
        <v>0.31088584552999998</v>
      </c>
      <c r="BF412" s="168">
        <f>IF(BE412="","",BE412-BE$6)</f>
        <v>4.9166505989999998E-2</v>
      </c>
      <c r="BG412" s="168"/>
      <c r="BH412" s="168" t="str">
        <f>IF(BG412="","",BG412-BG$6)</f>
        <v/>
      </c>
      <c r="BI412" s="168"/>
      <c r="BJ412" s="168" t="str">
        <f>IF(BI412="","",BI412-BI$6)</f>
        <v/>
      </c>
      <c r="BK412" s="169">
        <v>4.6910594623000001</v>
      </c>
      <c r="BL412" s="115"/>
      <c r="BM412" s="170">
        <v>9.5437679902E-3</v>
      </c>
      <c r="BN412" s="163">
        <v>-1.1398364727E-2</v>
      </c>
      <c r="BO412" s="163">
        <v>2.6361557297000002E-2</v>
      </c>
      <c r="BP412" s="163">
        <v>-1.7850709518E-2</v>
      </c>
      <c r="BQ412" s="171">
        <v>8</v>
      </c>
      <c r="BR412" s="171">
        <v>4</v>
      </c>
      <c r="BS412" s="171">
        <v>6</v>
      </c>
      <c r="BT412" s="171">
        <v>6</v>
      </c>
      <c r="BU412" s="172">
        <v>-0.38658051303000002</v>
      </c>
      <c r="BV412" s="172">
        <v>-0.33483065116999999</v>
      </c>
      <c r="BW412" s="163">
        <v>4.8453924483999999E-3</v>
      </c>
      <c r="BX412" s="163">
        <v>4.6245711601000002E-3</v>
      </c>
      <c r="BY412" s="161">
        <v>-2.6670535538000002</v>
      </c>
      <c r="BZ412" s="163">
        <v>-2.4483606561000001E-2</v>
      </c>
      <c r="CA412" s="163">
        <v>-2.4483606561000001E-2</v>
      </c>
      <c r="CB412" s="154">
        <v>45187</v>
      </c>
      <c r="CC412" s="154">
        <v>45202</v>
      </c>
      <c r="CD412" s="173">
        <v>41</v>
      </c>
      <c r="CE412" s="174">
        <v>45247</v>
      </c>
      <c r="CF412" s="115"/>
    </row>
    <row r="413" spans="2:84" ht="15.6" x14ac:dyDescent="0.3">
      <c r="B413" s="98" t="s">
        <v>1121</v>
      </c>
      <c r="C413" s="175" t="s">
        <v>1285</v>
      </c>
      <c r="D413" s="176" t="s">
        <v>988</v>
      </c>
      <c r="E413" s="176" t="s">
        <v>232</v>
      </c>
      <c r="F413" s="177">
        <v>2387241000160</v>
      </c>
      <c r="G413" s="177" t="s">
        <v>1182</v>
      </c>
      <c r="H413" s="177" t="s">
        <v>388</v>
      </c>
      <c r="I413" s="178">
        <v>16</v>
      </c>
      <c r="J413" s="179">
        <v>2</v>
      </c>
      <c r="K413" s="179" t="s">
        <v>126</v>
      </c>
      <c r="L413" s="179" t="s">
        <v>125</v>
      </c>
      <c r="M413" s="179" t="s">
        <v>114</v>
      </c>
      <c r="N413" s="179" t="s">
        <v>109</v>
      </c>
      <c r="O413" s="180">
        <v>258815</v>
      </c>
      <c r="P413" s="181">
        <v>258815000</v>
      </c>
      <c r="Q413" s="181">
        <v>1000</v>
      </c>
      <c r="R413" s="182">
        <v>44362</v>
      </c>
      <c r="S413" s="182">
        <v>49841</v>
      </c>
      <c r="T413" s="183" t="s">
        <v>1247</v>
      </c>
      <c r="U413" s="183" t="s">
        <v>1222</v>
      </c>
      <c r="V413" s="182" t="s">
        <v>105</v>
      </c>
      <c r="W413" s="182" t="s">
        <v>102</v>
      </c>
      <c r="X413" s="182" t="s">
        <v>1370</v>
      </c>
      <c r="Y413" s="182">
        <v>49444</v>
      </c>
      <c r="Z413" s="184">
        <f>IFERROR(INDEX(Base!G:G,MATCH('Debêntures IPCA-Spread'!Y413,Base!F:F,0)),"")</f>
        <v>6.3137999999999996</v>
      </c>
      <c r="AA413" s="115"/>
      <c r="AB413" s="185">
        <v>45552</v>
      </c>
      <c r="AC413" s="186">
        <v>6.5591999999999997</v>
      </c>
      <c r="AD413" s="187">
        <f t="shared" si="17"/>
        <v>0.24540000000000006</v>
      </c>
      <c r="AE413" s="188">
        <v>0.24</v>
      </c>
      <c r="AF413" s="189">
        <v>6.6982999999999997</v>
      </c>
      <c r="AG413" s="189">
        <v>6.3129</v>
      </c>
      <c r="AH413" s="190">
        <v>1042.7618629999999</v>
      </c>
      <c r="AI413" s="190">
        <v>1072.7055829999999</v>
      </c>
      <c r="AJ413" s="191">
        <f t="shared" si="18"/>
        <v>0.97208579830799668</v>
      </c>
      <c r="AK413" s="192">
        <v>45519</v>
      </c>
      <c r="AL413" s="193">
        <v>85.2</v>
      </c>
      <c r="AM413" s="194">
        <v>2080</v>
      </c>
      <c r="AN413" s="115"/>
      <c r="AO413" s="195">
        <v>-1.1313422933E-2</v>
      </c>
      <c r="AP413" s="196">
        <f>IF(AO413="","",AO413-AO$6)</f>
        <v>-1.1793567817929999E-2</v>
      </c>
      <c r="AQ413" s="196">
        <v>-9.2803913530999996E-3</v>
      </c>
      <c r="AR413" s="196">
        <f>IF(AQ413="","",AQ413-AQ$6)</f>
        <v>-9.0628846001400004E-3</v>
      </c>
      <c r="AS413" s="196">
        <v>4.8038612144000001E-2</v>
      </c>
      <c r="AT413" s="196">
        <f>IF(AS413="","",AS413-AS$6)</f>
        <v>3.3312777089000004E-2</v>
      </c>
      <c r="AU413" s="196">
        <v>-2.0738088711999999E-2</v>
      </c>
      <c r="AV413" s="196">
        <f>IF(AU413="","",AU413-AU$6)</f>
        <v>-7.6695061159999991E-3</v>
      </c>
      <c r="AW413" s="196">
        <v>4.7897517567000003E-2</v>
      </c>
      <c r="AX413" s="196">
        <f>IF(AW413="","",AW413-AW$6)</f>
        <v>2.3902449779000003E-2</v>
      </c>
      <c r="AY413" s="196">
        <v>2.9448130364E-2</v>
      </c>
      <c r="AZ413" s="196">
        <f>IF(AY413="","",AY413-AY$6)</f>
        <v>1.5205875573999999E-2</v>
      </c>
      <c r="BA413" s="196">
        <v>9.7303998468999994E-2</v>
      </c>
      <c r="BB413" s="196">
        <f>IF(BA413="","",BA413-BA$6)</f>
        <v>4.3817033910999996E-2</v>
      </c>
      <c r="BC413" s="196">
        <v>0.22126321455</v>
      </c>
      <c r="BD413" s="196">
        <f>IF(BC413="","",BC413-BC$6)</f>
        <v>2.6954648060000003E-2</v>
      </c>
      <c r="BE413" s="196">
        <v>0.26623718948000002</v>
      </c>
      <c r="BF413" s="196">
        <f>IF(BE413="","",BE413-BE$6)</f>
        <v>4.5178499400000405E-3</v>
      </c>
      <c r="BG413" s="196"/>
      <c r="BH413" s="196" t="str">
        <f>IF(BG413="","",BG413-BG$6)</f>
        <v/>
      </c>
      <c r="BI413" s="196"/>
      <c r="BJ413" s="196" t="str">
        <f>IF(BI413="","",BI413-BI$6)</f>
        <v/>
      </c>
      <c r="BK413" s="197">
        <v>7.9607392467000002</v>
      </c>
      <c r="BL413" s="115"/>
      <c r="BM413" s="198">
        <v>1.513007427E-2</v>
      </c>
      <c r="BN413" s="191">
        <v>-1.6839786074E-2</v>
      </c>
      <c r="BO413" s="191">
        <v>3.6268389891000001E-2</v>
      </c>
      <c r="BP413" s="191">
        <v>-2.3521503950000001E-2</v>
      </c>
      <c r="BQ413" s="199">
        <v>6</v>
      </c>
      <c r="BR413" s="199">
        <v>6</v>
      </c>
      <c r="BS413" s="199">
        <v>6</v>
      </c>
      <c r="BT413" s="199">
        <v>6</v>
      </c>
      <c r="BU413" s="200">
        <v>-0.12420314294</v>
      </c>
      <c r="BV413" s="200">
        <v>-0.35076725728000002</v>
      </c>
      <c r="BW413" s="191">
        <v>8.2261741980999992E-3</v>
      </c>
      <c r="BX413" s="191">
        <v>6.9722030849999998E-3</v>
      </c>
      <c r="BY413" s="189">
        <v>-2.0607339416000001</v>
      </c>
      <c r="BZ413" s="191">
        <v>-3.4361788678999999E-2</v>
      </c>
      <c r="CA413" s="191">
        <v>-3.4361788678999999E-2</v>
      </c>
      <c r="CB413" s="182">
        <v>45364</v>
      </c>
      <c r="CC413" s="182">
        <v>45455</v>
      </c>
      <c r="CD413" s="201">
        <v>83</v>
      </c>
      <c r="CE413" s="202">
        <v>45484</v>
      </c>
      <c r="CF413" s="115"/>
    </row>
    <row r="414" spans="2:84" ht="15.6" x14ac:dyDescent="0.3">
      <c r="B414" s="110" t="s">
        <v>2312</v>
      </c>
      <c r="C414" s="147" t="s">
        <v>2697</v>
      </c>
      <c r="D414" s="148" t="s">
        <v>988</v>
      </c>
      <c r="E414" s="148" t="s">
        <v>232</v>
      </c>
      <c r="F414" s="149">
        <v>2387241000160</v>
      </c>
      <c r="G414" s="149" t="s">
        <v>2449</v>
      </c>
      <c r="H414" s="149" t="s">
        <v>388</v>
      </c>
      <c r="I414" s="150">
        <v>17</v>
      </c>
      <c r="J414" s="151">
        <v>1</v>
      </c>
      <c r="K414" s="151" t="s">
        <v>126</v>
      </c>
      <c r="L414" s="151" t="s">
        <v>122</v>
      </c>
      <c r="M414" s="151" t="s">
        <v>114</v>
      </c>
      <c r="N414" s="151" t="s">
        <v>109</v>
      </c>
      <c r="O414" s="152">
        <v>750000</v>
      </c>
      <c r="P414" s="153">
        <v>750000000</v>
      </c>
      <c r="Q414" s="153">
        <v>1000</v>
      </c>
      <c r="R414" s="154">
        <v>45153</v>
      </c>
      <c r="S414" s="154">
        <v>47345</v>
      </c>
      <c r="T414" s="155" t="s">
        <v>2842</v>
      </c>
      <c r="U414" s="155" t="s">
        <v>113</v>
      </c>
      <c r="V414" s="154" t="s">
        <v>105</v>
      </c>
      <c r="W414" s="154" t="s">
        <v>102</v>
      </c>
      <c r="X414" s="154" t="s">
        <v>2567</v>
      </c>
      <c r="Y414" s="154">
        <v>47253</v>
      </c>
      <c r="Z414" s="156">
        <f>IFERROR(INDEX(Base!G:G,MATCH('Debêntures IPCA-Spread'!Y414,Base!F:F,0)),"")</f>
        <v>6.41</v>
      </c>
      <c r="AA414" s="115"/>
      <c r="AB414" s="157">
        <v>45552</v>
      </c>
      <c r="AC414" s="158">
        <v>6.4974999999999996</v>
      </c>
      <c r="AD414" s="159">
        <f t="shared" si="17"/>
        <v>8.7499999999999467E-2</v>
      </c>
      <c r="AE414" s="160">
        <v>7.0000000000000007E-2</v>
      </c>
      <c r="AF414" s="161">
        <v>6.7961</v>
      </c>
      <c r="AG414" s="161"/>
      <c r="AH414" s="162">
        <v>1017.13762</v>
      </c>
      <c r="AI414" s="162"/>
      <c r="AJ414" s="163" t="str">
        <f t="shared" si="18"/>
        <v/>
      </c>
      <c r="AK414" s="164"/>
      <c r="AL414" s="165">
        <v>97.06</v>
      </c>
      <c r="AM414" s="166">
        <v>1083</v>
      </c>
      <c r="AN414" s="115"/>
      <c r="AO414" s="167">
        <v>2.8965924685000002E-4</v>
      </c>
      <c r="AP414" s="168">
        <f>IF(AO414="","",AO414-AO$6)</f>
        <v>-1.9048563807999997E-4</v>
      </c>
      <c r="AQ414" s="168">
        <v>5.3153477602E-3</v>
      </c>
      <c r="AR414" s="168">
        <f>IF(AQ414="","",AQ414-AQ$6)</f>
        <v>5.53285451316E-3</v>
      </c>
      <c r="AS414" s="168">
        <v>4.9307501194999999E-2</v>
      </c>
      <c r="AT414" s="168">
        <f>IF(AS414="","",AS414-AS$6)</f>
        <v>3.4581666139999995E-2</v>
      </c>
      <c r="AU414" s="168">
        <v>9.0768469636000001E-4</v>
      </c>
      <c r="AV414" s="168">
        <f>IF(AU414="","",AU414-AU$6)</f>
        <v>1.397626729236E-2</v>
      </c>
      <c r="AW414" s="168">
        <v>3.4200993334E-2</v>
      </c>
      <c r="AX414" s="168">
        <f>IF(AW414="","",AW414-AW$6)</f>
        <v>1.0205925546E-2</v>
      </c>
      <c r="AY414" s="168">
        <v>3.1493539687E-2</v>
      </c>
      <c r="AZ414" s="168">
        <f>IF(AY414="","",AY414-AY$6)</f>
        <v>1.7251284897000001E-2</v>
      </c>
      <c r="BA414" s="168"/>
      <c r="BB414" s="168" t="str">
        <f>IF(BA414="","",BA414-BA$6)</f>
        <v/>
      </c>
      <c r="BC414" s="168"/>
      <c r="BD414" s="168" t="str">
        <f>IF(BC414="","",BC414-BC$6)</f>
        <v/>
      </c>
      <c r="BE414" s="168"/>
      <c r="BF414" s="168" t="str">
        <f>IF(BE414="","",BE414-BE$6)</f>
        <v/>
      </c>
      <c r="BG414" s="168"/>
      <c r="BH414" s="168" t="str">
        <f>IF(BG414="","",BG414-BG$6)</f>
        <v/>
      </c>
      <c r="BI414" s="168"/>
      <c r="BJ414" s="168" t="str">
        <f>IF(BI414="","",BI414-BI$6)</f>
        <v/>
      </c>
      <c r="BK414" s="169"/>
      <c r="BL414" s="115"/>
      <c r="BM414" s="170">
        <v>7.6221115396000001E-3</v>
      </c>
      <c r="BN414" s="163">
        <v>-6.3937671093000003E-3</v>
      </c>
      <c r="BO414" s="163">
        <v>3.2263736983000002E-2</v>
      </c>
      <c r="BP414" s="163">
        <v>-1.5104170836E-2</v>
      </c>
      <c r="BQ414" s="171"/>
      <c r="BR414" s="171"/>
      <c r="BS414" s="171"/>
      <c r="BT414" s="171"/>
      <c r="BU414" s="172"/>
      <c r="BV414" s="172"/>
      <c r="BW414" s="163"/>
      <c r="BX414" s="163">
        <v>4.5560059079000001E-3</v>
      </c>
      <c r="BY414" s="161"/>
      <c r="BZ414" s="163">
        <v>-1.7670720721999999E-2</v>
      </c>
      <c r="CA414" s="163">
        <v>-1.7670720721999999E-2</v>
      </c>
      <c r="CB414" s="154">
        <v>45364</v>
      </c>
      <c r="CC414" s="154">
        <v>45412</v>
      </c>
      <c r="CD414" s="173">
        <v>81</v>
      </c>
      <c r="CE414" s="174">
        <v>45482</v>
      </c>
      <c r="CF414" s="115"/>
    </row>
    <row r="415" spans="2:84" ht="15.6" x14ac:dyDescent="0.3">
      <c r="B415" s="98" t="s">
        <v>2313</v>
      </c>
      <c r="C415" s="175" t="s">
        <v>2698</v>
      </c>
      <c r="D415" s="176" t="s">
        <v>988</v>
      </c>
      <c r="E415" s="176" t="s">
        <v>232</v>
      </c>
      <c r="F415" s="177">
        <v>2387241000160</v>
      </c>
      <c r="G415" s="177" t="s">
        <v>2450</v>
      </c>
      <c r="H415" s="177" t="s">
        <v>388</v>
      </c>
      <c r="I415" s="178">
        <v>17</v>
      </c>
      <c r="J415" s="179">
        <v>2</v>
      </c>
      <c r="K415" s="179" t="s">
        <v>126</v>
      </c>
      <c r="L415" s="179" t="s">
        <v>122</v>
      </c>
      <c r="M415" s="179" t="s">
        <v>114</v>
      </c>
      <c r="N415" s="179" t="s">
        <v>109</v>
      </c>
      <c r="O415" s="180">
        <v>750000</v>
      </c>
      <c r="P415" s="181">
        <v>750000000</v>
      </c>
      <c r="Q415" s="181">
        <v>1000</v>
      </c>
      <c r="R415" s="182">
        <v>45153</v>
      </c>
      <c r="S415" s="182">
        <v>48714</v>
      </c>
      <c r="T415" s="183" t="s">
        <v>2821</v>
      </c>
      <c r="U415" s="183" t="s">
        <v>113</v>
      </c>
      <c r="V415" s="182" t="s">
        <v>105</v>
      </c>
      <c r="W415" s="182" t="s">
        <v>102</v>
      </c>
      <c r="X415" s="182" t="s">
        <v>2568</v>
      </c>
      <c r="Y415" s="182">
        <v>48714</v>
      </c>
      <c r="Z415" s="184">
        <f>IFERROR(INDEX(Base!G:G,MATCH('Debêntures IPCA-Spread'!Y415,Base!F:F,0)),"")</f>
        <v>6.3373999999999997</v>
      </c>
      <c r="AA415" s="115"/>
      <c r="AB415" s="185">
        <v>45552</v>
      </c>
      <c r="AC415" s="186">
        <v>6.5023999999999997</v>
      </c>
      <c r="AD415" s="187">
        <f t="shared" si="17"/>
        <v>0.16500000000000004</v>
      </c>
      <c r="AE415" s="188">
        <v>0.06</v>
      </c>
      <c r="AF415" s="189">
        <v>6.6764999999999999</v>
      </c>
      <c r="AG415" s="189">
        <v>6.2889999999999997</v>
      </c>
      <c r="AH415" s="190">
        <v>1043.60528</v>
      </c>
      <c r="AI415" s="190"/>
      <c r="AJ415" s="191" t="str">
        <f t="shared" si="18"/>
        <v/>
      </c>
      <c r="AK415" s="192"/>
      <c r="AL415" s="193">
        <v>98.02</v>
      </c>
      <c r="AM415" s="194">
        <v>1678</v>
      </c>
      <c r="AN415" s="115"/>
      <c r="AO415" s="195">
        <v>-2.6982313892999999E-3</v>
      </c>
      <c r="AP415" s="196">
        <f>IF(AO415="","",AO415-AO$6)</f>
        <v>-3.1783762742299999E-3</v>
      </c>
      <c r="AQ415" s="196">
        <v>-4.1945230878000003E-3</v>
      </c>
      <c r="AR415" s="196">
        <f>IF(AQ415="","",AQ415-AQ$6)</f>
        <v>-3.9770163348400002E-3</v>
      </c>
      <c r="AS415" s="196">
        <v>4.6059884161999999E-2</v>
      </c>
      <c r="AT415" s="196">
        <f>IF(AS415="","",AS415-AS$6)</f>
        <v>3.1334049106999995E-2</v>
      </c>
      <c r="AU415" s="196">
        <v>-1.7215955758000001E-2</v>
      </c>
      <c r="AV415" s="196">
        <f>IF(AU415="","",AU415-AU$6)</f>
        <v>-4.1473731620000013E-3</v>
      </c>
      <c r="AW415" s="196">
        <v>3.7164385451000002E-2</v>
      </c>
      <c r="AX415" s="196">
        <f>IF(AW415="","",AW415-AW$6)</f>
        <v>1.3169317663000002E-2</v>
      </c>
      <c r="AY415" s="196">
        <v>1.2315800837000001E-2</v>
      </c>
      <c r="AZ415" s="196">
        <f>IF(AY415="","",AY415-AY$6)</f>
        <v>-1.9264539529999999E-3</v>
      </c>
      <c r="BA415" s="196"/>
      <c r="BB415" s="196" t="str">
        <f>IF(BA415="","",BA415-BA$6)</f>
        <v/>
      </c>
      <c r="BC415" s="196"/>
      <c r="BD415" s="196" t="str">
        <f>IF(BC415="","",BC415-BC$6)</f>
        <v/>
      </c>
      <c r="BE415" s="196"/>
      <c r="BF415" s="196" t="str">
        <f>IF(BE415="","",BE415-BE$6)</f>
        <v/>
      </c>
      <c r="BG415" s="196"/>
      <c r="BH415" s="196" t="str">
        <f>IF(BG415="","",BG415-BG$6)</f>
        <v/>
      </c>
      <c r="BI415" s="196"/>
      <c r="BJ415" s="196" t="str">
        <f>IF(BI415="","",BI415-BI$6)</f>
        <v/>
      </c>
      <c r="BK415" s="197"/>
      <c r="BL415" s="115"/>
      <c r="BM415" s="198">
        <v>1.0634840023999999E-2</v>
      </c>
      <c r="BN415" s="191">
        <v>-1.0620091819E-2</v>
      </c>
      <c r="BO415" s="191">
        <v>3.5750512153999998E-2</v>
      </c>
      <c r="BP415" s="191">
        <v>-2.2351691980000001E-2</v>
      </c>
      <c r="BQ415" s="199"/>
      <c r="BR415" s="199"/>
      <c r="BS415" s="199"/>
      <c r="BT415" s="199"/>
      <c r="BU415" s="200"/>
      <c r="BV415" s="200"/>
      <c r="BW415" s="191"/>
      <c r="BX415" s="191">
        <v>4.2916618213999997E-3</v>
      </c>
      <c r="BY415" s="189"/>
      <c r="BZ415" s="191">
        <v>-3.2663058710999997E-2</v>
      </c>
      <c r="CA415" s="191">
        <v>-3.2663058710999997E-2</v>
      </c>
      <c r="CB415" s="182">
        <v>45364</v>
      </c>
      <c r="CC415" s="182">
        <v>45455</v>
      </c>
      <c r="CD415" s="201">
        <v>84</v>
      </c>
      <c r="CE415" s="202">
        <v>45485</v>
      </c>
      <c r="CF415" s="115"/>
    </row>
    <row r="416" spans="2:84" ht="15.6" x14ac:dyDescent="0.3">
      <c r="B416" s="110" t="s">
        <v>1493</v>
      </c>
      <c r="C416" s="147" t="s">
        <v>2139</v>
      </c>
      <c r="D416" s="148" t="s">
        <v>1931</v>
      </c>
      <c r="E416" s="148" t="s">
        <v>1962</v>
      </c>
      <c r="F416" s="149">
        <v>12229415000110</v>
      </c>
      <c r="G416" s="149" t="s">
        <v>1851</v>
      </c>
      <c r="H416" s="149" t="s">
        <v>388</v>
      </c>
      <c r="I416" s="150">
        <v>4</v>
      </c>
      <c r="J416" s="151" t="s">
        <v>107</v>
      </c>
      <c r="K416" s="151" t="s">
        <v>128</v>
      </c>
      <c r="L416" s="151" t="s">
        <v>1741</v>
      </c>
      <c r="M416" s="151" t="s">
        <v>128</v>
      </c>
      <c r="N416" s="151" t="s">
        <v>109</v>
      </c>
      <c r="O416" s="152">
        <v>100000</v>
      </c>
      <c r="P416" s="153">
        <v>100000000</v>
      </c>
      <c r="Q416" s="153">
        <v>1000</v>
      </c>
      <c r="R416" s="154">
        <v>44607</v>
      </c>
      <c r="S416" s="154">
        <v>46798</v>
      </c>
      <c r="T416" s="155" t="s">
        <v>2016</v>
      </c>
      <c r="U416" s="155" t="s">
        <v>1716</v>
      </c>
      <c r="V416" s="154" t="s">
        <v>194</v>
      </c>
      <c r="W416" s="154" t="s">
        <v>102</v>
      </c>
      <c r="X416" s="154" t="s">
        <v>1617</v>
      </c>
      <c r="Y416" s="154">
        <v>46249</v>
      </c>
      <c r="Z416" s="156">
        <f>IFERROR(INDEX(Base!G:G,MATCH('Debêntures IPCA-Spread'!Y416,Base!F:F,0)),"")</f>
        <v>6.5365000000000002</v>
      </c>
      <c r="AA416" s="115"/>
      <c r="AB416" s="157">
        <v>45015</v>
      </c>
      <c r="AC416" s="158"/>
      <c r="AD416" s="159" t="str">
        <f t="shared" si="17"/>
        <v/>
      </c>
      <c r="AE416" s="160"/>
      <c r="AF416" s="161"/>
      <c r="AG416" s="161"/>
      <c r="AH416" s="162"/>
      <c r="AI416" s="162"/>
      <c r="AJ416" s="163" t="str">
        <f t="shared" si="18"/>
        <v/>
      </c>
      <c r="AK416" s="164"/>
      <c r="AL416" s="165"/>
      <c r="AM416" s="166"/>
      <c r="AN416" s="115"/>
      <c r="AO416" s="167"/>
      <c r="AP416" s="168" t="str">
        <f>IF(AO416="","",AO416-AO$6)</f>
        <v/>
      </c>
      <c r="AQ416" s="168"/>
      <c r="AR416" s="168" t="str">
        <f>IF(AQ416="","",AQ416-AQ$6)</f>
        <v/>
      </c>
      <c r="AS416" s="168"/>
      <c r="AT416" s="168" t="str">
        <f>IF(AS416="","",AS416-AS$6)</f>
        <v/>
      </c>
      <c r="AU416" s="168"/>
      <c r="AV416" s="168" t="str">
        <f>IF(AU416="","",AU416-AU$6)</f>
        <v/>
      </c>
      <c r="AW416" s="168"/>
      <c r="AX416" s="168" t="str">
        <f>IF(AW416="","",AW416-AW$6)</f>
        <v/>
      </c>
      <c r="AY416" s="168"/>
      <c r="AZ416" s="168" t="str">
        <f>IF(AY416="","",AY416-AY$6)</f>
        <v/>
      </c>
      <c r="BA416" s="168"/>
      <c r="BB416" s="168" t="str">
        <f>IF(BA416="","",BA416-BA$6)</f>
        <v/>
      </c>
      <c r="BC416" s="168"/>
      <c r="BD416" s="168" t="str">
        <f>IF(BC416="","",BC416-BC$6)</f>
        <v/>
      </c>
      <c r="BE416" s="168"/>
      <c r="BF416" s="168" t="str">
        <f>IF(BE416="","",BE416-BE$6)</f>
        <v/>
      </c>
      <c r="BG416" s="168"/>
      <c r="BH416" s="168" t="str">
        <f>IF(BG416="","",BG416-BG$6)</f>
        <v/>
      </c>
      <c r="BI416" s="168"/>
      <c r="BJ416" s="168" t="str">
        <f>IF(BI416="","",BI416-BI$6)</f>
        <v/>
      </c>
      <c r="BK416" s="169"/>
      <c r="BL416" s="115"/>
      <c r="BM416" s="170"/>
      <c r="BN416" s="163"/>
      <c r="BO416" s="163"/>
      <c r="BP416" s="163"/>
      <c r="BQ416" s="171"/>
      <c r="BR416" s="171"/>
      <c r="BS416" s="171"/>
      <c r="BT416" s="171"/>
      <c r="BU416" s="172"/>
      <c r="BV416" s="172"/>
      <c r="BW416" s="163"/>
      <c r="BX416" s="163"/>
      <c r="BY416" s="161"/>
      <c r="BZ416" s="163"/>
      <c r="CA416" s="163"/>
      <c r="CB416" s="154"/>
      <c r="CC416" s="154"/>
      <c r="CD416" s="173"/>
      <c r="CE416" s="174"/>
      <c r="CF416" s="115"/>
    </row>
    <row r="417" spans="2:84" ht="15.6" x14ac:dyDescent="0.3">
      <c r="B417" s="98" t="s">
        <v>403</v>
      </c>
      <c r="C417" s="175" t="s">
        <v>424</v>
      </c>
      <c r="D417" s="176" t="s">
        <v>21</v>
      </c>
      <c r="E417" s="176" t="s">
        <v>231</v>
      </c>
      <c r="F417" s="177">
        <v>43776517000180</v>
      </c>
      <c r="G417" s="177" t="s">
        <v>439</v>
      </c>
      <c r="H417" s="177" t="s">
        <v>388</v>
      </c>
      <c r="I417" s="178">
        <v>22</v>
      </c>
      <c r="J417" s="179">
        <v>3</v>
      </c>
      <c r="K417" s="179" t="s">
        <v>446</v>
      </c>
      <c r="L417" s="179" t="s">
        <v>118</v>
      </c>
      <c r="M417" s="179" t="s">
        <v>106</v>
      </c>
      <c r="N417" s="179" t="s">
        <v>117</v>
      </c>
      <c r="O417" s="180">
        <v>250000</v>
      </c>
      <c r="P417" s="181">
        <v>250000000</v>
      </c>
      <c r="Q417" s="181">
        <v>1000</v>
      </c>
      <c r="R417" s="182">
        <v>43146</v>
      </c>
      <c r="S417" s="182">
        <v>45703</v>
      </c>
      <c r="T417" s="183" t="s">
        <v>415</v>
      </c>
      <c r="U417" s="183" t="s">
        <v>431</v>
      </c>
      <c r="V417" s="182" t="s">
        <v>105</v>
      </c>
      <c r="W417" s="182" t="s">
        <v>102</v>
      </c>
      <c r="X417" s="182" t="s">
        <v>1303</v>
      </c>
      <c r="Y417" s="182">
        <v>45792</v>
      </c>
      <c r="Z417" s="184">
        <f>IFERROR(INDEX(Base!G:G,MATCH('Debêntures IPCA-Spread'!Y417,Base!F:F,0)),"")</f>
        <v>5.73</v>
      </c>
      <c r="AA417" s="115"/>
      <c r="AB417" s="185">
        <v>45552</v>
      </c>
      <c r="AC417" s="186">
        <v>6.2686000000000002</v>
      </c>
      <c r="AD417" s="187">
        <f t="shared" si="17"/>
        <v>0.53859999999999975</v>
      </c>
      <c r="AE417" s="188">
        <v>0.32</v>
      </c>
      <c r="AF417" s="189">
        <v>6.5430000000000001</v>
      </c>
      <c r="AG417" s="189">
        <v>5.7168000000000001</v>
      </c>
      <c r="AH417" s="190">
        <v>730.56030099999998</v>
      </c>
      <c r="AI417" s="190">
        <v>730.56030099999998</v>
      </c>
      <c r="AJ417" s="191">
        <f t="shared" si="18"/>
        <v>1</v>
      </c>
      <c r="AK417" s="192">
        <v>45552</v>
      </c>
      <c r="AL417" s="193">
        <v>99.89</v>
      </c>
      <c r="AM417" s="194">
        <v>105</v>
      </c>
      <c r="AN417" s="115"/>
      <c r="AO417" s="195">
        <v>1.1925075486E-3</v>
      </c>
      <c r="AP417" s="196">
        <f>IF(AO417="","",AO417-AO$6)</f>
        <v>7.1236266367000005E-4</v>
      </c>
      <c r="AQ417" s="196">
        <v>5.9624150999000002E-3</v>
      </c>
      <c r="AR417" s="196">
        <f>IF(AQ417="","",AQ417-AQ$6)</f>
        <v>6.1799218528600002E-3</v>
      </c>
      <c r="AS417" s="196">
        <v>9.0993151290999996E-2</v>
      </c>
      <c r="AT417" s="196">
        <f>IF(AS417="","",AS417-AS$6)</f>
        <v>7.6267316235999999E-2</v>
      </c>
      <c r="AU417" s="196">
        <v>1.0202915260000001E-2</v>
      </c>
      <c r="AV417" s="196">
        <f>IF(AU417="","",AU417-AU$6)</f>
        <v>2.3271497856000002E-2</v>
      </c>
      <c r="AW417" s="196">
        <v>3.2215500894E-2</v>
      </c>
      <c r="AX417" s="196">
        <f>IF(AW417="","",AW417-AW$6)</f>
        <v>8.2204331059999997E-3</v>
      </c>
      <c r="AY417" s="196">
        <v>5.4837325551000002E-2</v>
      </c>
      <c r="AZ417" s="196">
        <f>IF(AY417="","",AY417-AY$6)</f>
        <v>4.0595070761000003E-2</v>
      </c>
      <c r="BA417" s="196">
        <v>0.12341180641000001</v>
      </c>
      <c r="BB417" s="196">
        <f>IF(BA417="","",BA417-BA$6)</f>
        <v>6.9924841852000014E-2</v>
      </c>
      <c r="BC417" s="196">
        <v>0.27133175368000001</v>
      </c>
      <c r="BD417" s="196">
        <f>IF(BC417="","",BC417-BC$6)</f>
        <v>7.7023187190000009E-2</v>
      </c>
      <c r="BE417" s="196">
        <v>0.40088364250000003</v>
      </c>
      <c r="BF417" s="196">
        <f>IF(BE417="","",BE417-BE$6)</f>
        <v>0.13916430296000004</v>
      </c>
      <c r="BG417" s="196">
        <v>0.49132748134999998</v>
      </c>
      <c r="BH417" s="196">
        <f>IF(BG417="","",BG417-BG$6)</f>
        <v>0.18241083253999996</v>
      </c>
      <c r="BI417" s="196">
        <v>0.62405619152000003</v>
      </c>
      <c r="BJ417" s="196">
        <f>IF(BI417="","",BI417-BI$6)</f>
        <v>0.25111318144</v>
      </c>
      <c r="BK417" s="197">
        <v>0.95276873088000003</v>
      </c>
      <c r="BL417" s="115"/>
      <c r="BM417" s="198">
        <v>3.6468182297999998E-3</v>
      </c>
      <c r="BN417" s="191">
        <v>-1.5392378189999999E-3</v>
      </c>
      <c r="BO417" s="191">
        <v>1.5290004350000001E-2</v>
      </c>
      <c r="BP417" s="191">
        <v>5.8484666914999997E-3</v>
      </c>
      <c r="BQ417" s="199">
        <v>12</v>
      </c>
      <c r="BR417" s="199">
        <v>0</v>
      </c>
      <c r="BS417" s="199">
        <v>8</v>
      </c>
      <c r="BT417" s="199">
        <v>4</v>
      </c>
      <c r="BU417" s="200">
        <v>1.1010428105000001</v>
      </c>
      <c r="BV417" s="200">
        <v>7.2208383230000006E-2</v>
      </c>
      <c r="BW417" s="191">
        <v>9.8489408873999999E-4</v>
      </c>
      <c r="BX417" s="191">
        <v>8.9126631062000003E-4</v>
      </c>
      <c r="BY417" s="189">
        <v>1.0628677682000001</v>
      </c>
      <c r="BZ417" s="191">
        <v>-2.0191280257000001E-3</v>
      </c>
      <c r="CA417" s="191">
        <v>-2.0191280257000001E-3</v>
      </c>
      <c r="CB417" s="182">
        <v>45397</v>
      </c>
      <c r="CC417" s="182">
        <v>45399</v>
      </c>
      <c r="CD417" s="201">
        <v>5</v>
      </c>
      <c r="CE417" s="202">
        <v>45404</v>
      </c>
      <c r="CF417" s="115"/>
    </row>
    <row r="418" spans="2:84" ht="15.6" x14ac:dyDescent="0.3">
      <c r="B418" s="110" t="s">
        <v>590</v>
      </c>
      <c r="C418" s="147" t="s">
        <v>1005</v>
      </c>
      <c r="D418" s="148" t="s">
        <v>21</v>
      </c>
      <c r="E418" s="148" t="s">
        <v>231</v>
      </c>
      <c r="F418" s="149">
        <v>43776517000180</v>
      </c>
      <c r="G418" s="149" t="s">
        <v>1033</v>
      </c>
      <c r="H418" s="149" t="s">
        <v>388</v>
      </c>
      <c r="I418" s="150">
        <v>24</v>
      </c>
      <c r="J418" s="151">
        <v>1</v>
      </c>
      <c r="K418" s="151" t="s">
        <v>127</v>
      </c>
      <c r="L418" s="151" t="s">
        <v>118</v>
      </c>
      <c r="M418" s="151" t="s">
        <v>106</v>
      </c>
      <c r="N418" s="151" t="s">
        <v>109</v>
      </c>
      <c r="O418" s="152">
        <v>100000</v>
      </c>
      <c r="P418" s="153">
        <v>100000000</v>
      </c>
      <c r="Q418" s="153">
        <v>1000</v>
      </c>
      <c r="R418" s="154">
        <v>43661</v>
      </c>
      <c r="S418" s="154">
        <v>46218</v>
      </c>
      <c r="T418" s="155" t="s">
        <v>1055</v>
      </c>
      <c r="U418" s="155" t="s">
        <v>161</v>
      </c>
      <c r="V418" s="154" t="s">
        <v>105</v>
      </c>
      <c r="W418" s="154" t="s">
        <v>102</v>
      </c>
      <c r="X418" s="154" t="s">
        <v>1080</v>
      </c>
      <c r="Y418" s="154">
        <v>46249</v>
      </c>
      <c r="Z418" s="156">
        <f>IFERROR(INDEX(Base!G:G,MATCH('Debêntures IPCA-Spread'!Y418,Base!F:F,0)),"")</f>
        <v>6.5365000000000002</v>
      </c>
      <c r="AA418" s="115"/>
      <c r="AB418" s="157">
        <v>45552</v>
      </c>
      <c r="AC418" s="158">
        <v>6.2842000000000002</v>
      </c>
      <c r="AD418" s="159">
        <f t="shared" si="17"/>
        <v>-0.25229999999999997</v>
      </c>
      <c r="AE418" s="160">
        <v>0.2</v>
      </c>
      <c r="AF418" s="161">
        <v>6.5575000000000001</v>
      </c>
      <c r="AG418" s="161">
        <v>6.2319000000000004</v>
      </c>
      <c r="AH418" s="162">
        <v>1274.64877</v>
      </c>
      <c r="AI418" s="162">
        <v>1274.64877</v>
      </c>
      <c r="AJ418" s="163">
        <f t="shared" si="18"/>
        <v>1</v>
      </c>
      <c r="AK418" s="164">
        <v>45552</v>
      </c>
      <c r="AL418" s="165">
        <v>94.89</v>
      </c>
      <c r="AM418" s="166">
        <v>449</v>
      </c>
      <c r="AN418" s="115"/>
      <c r="AO418" s="167">
        <v>1.0576272579E-3</v>
      </c>
      <c r="AP418" s="168">
        <f>IF(AO418="","",AO418-AO$6)</f>
        <v>5.7748237296999998E-4</v>
      </c>
      <c r="AQ418" s="168">
        <v>6.2119638806000001E-3</v>
      </c>
      <c r="AR418" s="168">
        <f>IF(AQ418="","",AQ418-AQ$6)</f>
        <v>6.4294706335600001E-3</v>
      </c>
      <c r="AS418" s="168">
        <v>6.0999388826999998E-2</v>
      </c>
      <c r="AT418" s="168">
        <f>IF(AS418="","",AS418-AS$6)</f>
        <v>4.6273553772000001E-2</v>
      </c>
      <c r="AU418" s="168">
        <v>8.0107015564999991E-3</v>
      </c>
      <c r="AV418" s="168">
        <f>IF(AU418="","",AU418-AU$6)</f>
        <v>2.1079284152499999E-2</v>
      </c>
      <c r="AW418" s="168">
        <v>2.5787249093000002E-2</v>
      </c>
      <c r="AX418" s="168">
        <f>IF(AW418="","",AW418-AW$6)</f>
        <v>1.7921813050000013E-3</v>
      </c>
      <c r="AY418" s="168">
        <v>3.5978538642999998E-2</v>
      </c>
      <c r="AZ418" s="168">
        <f>IF(AY418="","",AY418-AY$6)</f>
        <v>2.1736283852999999E-2</v>
      </c>
      <c r="BA418" s="168">
        <v>8.8350282328999996E-2</v>
      </c>
      <c r="BB418" s="168">
        <f>IF(BA418="","",BA418-BA$6)</f>
        <v>3.4863317770999998E-2</v>
      </c>
      <c r="BC418" s="168">
        <v>0.21710304985000001</v>
      </c>
      <c r="BD418" s="168">
        <f>IF(BC418="","",BC418-BC$6)</f>
        <v>2.2794483360000006E-2</v>
      </c>
      <c r="BE418" s="168">
        <v>0.31431622709000001</v>
      </c>
      <c r="BF418" s="168">
        <f>IF(BE418="","",BE418-BE$6)</f>
        <v>5.2596887550000027E-2</v>
      </c>
      <c r="BG418" s="168">
        <v>0.43953785987999999</v>
      </c>
      <c r="BH418" s="168">
        <f>IF(BG418="","",BG418-BG$6)</f>
        <v>0.13062121106999997</v>
      </c>
      <c r="BI418" s="168">
        <v>0.50183772518000003</v>
      </c>
      <c r="BJ418" s="168">
        <f>IF(BI418="","",BI418-BI$6)</f>
        <v>0.1288947151</v>
      </c>
      <c r="BK418" s="169">
        <v>2.6859416508999998</v>
      </c>
      <c r="BL418" s="115"/>
      <c r="BM418" s="170">
        <v>8.7275575842999994E-3</v>
      </c>
      <c r="BN418" s="163">
        <v>-5.087356958E-3</v>
      </c>
      <c r="BO418" s="163">
        <v>2.0573293380999998E-2</v>
      </c>
      <c r="BP418" s="163">
        <v>-6.0219624429000002E-3</v>
      </c>
      <c r="BQ418" s="171">
        <v>10</v>
      </c>
      <c r="BR418" s="171">
        <v>2</v>
      </c>
      <c r="BS418" s="171">
        <v>6</v>
      </c>
      <c r="BT418" s="171">
        <v>6</v>
      </c>
      <c r="BU418" s="172">
        <v>-0.77107331794</v>
      </c>
      <c r="BV418" s="172">
        <v>-0.49415674260999998</v>
      </c>
      <c r="BW418" s="163">
        <v>2.7759136340000001E-3</v>
      </c>
      <c r="BX418" s="163">
        <v>1.8533867010999999E-3</v>
      </c>
      <c r="BY418" s="161">
        <v>-2.6498404670000002</v>
      </c>
      <c r="BZ418" s="163">
        <v>-1.3772372115000001E-2</v>
      </c>
      <c r="CA418" s="163">
        <v>-1.3772372115000001E-2</v>
      </c>
      <c r="CB418" s="154">
        <v>45190</v>
      </c>
      <c r="CC418" s="154">
        <v>45219</v>
      </c>
      <c r="CD418" s="173">
        <v>36</v>
      </c>
      <c r="CE418" s="174">
        <v>45244</v>
      </c>
      <c r="CF418" s="115"/>
    </row>
    <row r="419" spans="2:84" ht="15.6" x14ac:dyDescent="0.3">
      <c r="B419" s="98" t="s">
        <v>591</v>
      </c>
      <c r="C419" s="175" t="s">
        <v>1006</v>
      </c>
      <c r="D419" s="176" t="s">
        <v>21</v>
      </c>
      <c r="E419" s="176" t="s">
        <v>231</v>
      </c>
      <c r="F419" s="177">
        <v>43776517000180</v>
      </c>
      <c r="G419" s="177" t="s">
        <v>1034</v>
      </c>
      <c r="H419" s="177" t="s">
        <v>388</v>
      </c>
      <c r="I419" s="178">
        <v>24</v>
      </c>
      <c r="J419" s="179">
        <v>2</v>
      </c>
      <c r="K419" s="179" t="s">
        <v>127</v>
      </c>
      <c r="L419" s="179" t="s">
        <v>118</v>
      </c>
      <c r="M419" s="179" t="s">
        <v>106</v>
      </c>
      <c r="N419" s="179" t="s">
        <v>109</v>
      </c>
      <c r="O419" s="180">
        <v>300000</v>
      </c>
      <c r="P419" s="181">
        <v>300000000</v>
      </c>
      <c r="Q419" s="181">
        <v>1000</v>
      </c>
      <c r="R419" s="182">
        <v>43661</v>
      </c>
      <c r="S419" s="182">
        <v>47314</v>
      </c>
      <c r="T419" s="183" t="s">
        <v>1055</v>
      </c>
      <c r="U419" s="183" t="s">
        <v>1071</v>
      </c>
      <c r="V419" s="182" t="s">
        <v>105</v>
      </c>
      <c r="W419" s="182" t="s">
        <v>102</v>
      </c>
      <c r="X419" s="182" t="s">
        <v>1081</v>
      </c>
      <c r="Y419" s="182">
        <v>46980</v>
      </c>
      <c r="Z419" s="184">
        <f>IFERROR(INDEX(Base!G:G,MATCH('Debêntures IPCA-Spread'!Y419,Base!F:F,0)),"")</f>
        <v>6.4702000000000002</v>
      </c>
      <c r="AA419" s="115"/>
      <c r="AB419" s="185">
        <v>45552</v>
      </c>
      <c r="AC419" s="186">
        <v>6.4184000000000001</v>
      </c>
      <c r="AD419" s="187">
        <f t="shared" si="17"/>
        <v>-5.1800000000000068E-2</v>
      </c>
      <c r="AE419" s="188">
        <v>0.1</v>
      </c>
      <c r="AF419" s="189">
        <v>6.6067</v>
      </c>
      <c r="AG419" s="189"/>
      <c r="AH419" s="190">
        <v>1210.7247050000001</v>
      </c>
      <c r="AI419" s="190">
        <v>1213.0616640000001</v>
      </c>
      <c r="AJ419" s="191">
        <f t="shared" si="18"/>
        <v>0.99807350354120172</v>
      </c>
      <c r="AK419" s="192">
        <v>45548</v>
      </c>
      <c r="AL419" s="193">
        <v>90.1</v>
      </c>
      <c r="AM419" s="194">
        <v>900</v>
      </c>
      <c r="AN419" s="115"/>
      <c r="AO419" s="195">
        <v>-5.6924208728999996E-4</v>
      </c>
      <c r="AP419" s="196">
        <f>IF(AO419="","",AO419-AO$6)</f>
        <v>-1.0493869722200001E-3</v>
      </c>
      <c r="AQ419" s="196">
        <v>3.0547908626999999E-3</v>
      </c>
      <c r="AR419" s="196">
        <f>IF(AQ419="","",AQ419-AQ$6)</f>
        <v>3.2722976156599999E-3</v>
      </c>
      <c r="AS419" s="196">
        <v>4.9567135433000002E-2</v>
      </c>
      <c r="AT419" s="196">
        <f>IF(AS419="","",AS419-AS$6)</f>
        <v>3.4841300377999998E-2</v>
      </c>
      <c r="AU419" s="196">
        <v>1.5221038575E-3</v>
      </c>
      <c r="AV419" s="196">
        <f>IF(AU419="","",AU419-AU$6)</f>
        <v>1.45906864535E-2</v>
      </c>
      <c r="AW419" s="196">
        <v>2.7742082748E-2</v>
      </c>
      <c r="AX419" s="196">
        <f>IF(AW419="","",AW419-AW$6)</f>
        <v>3.7470149599999995E-3</v>
      </c>
      <c r="AY419" s="196">
        <v>2.4952186349999999E-2</v>
      </c>
      <c r="AZ419" s="196">
        <f>IF(AY419="","",AY419-AY$6)</f>
        <v>1.0709931559999998E-2</v>
      </c>
      <c r="BA419" s="196">
        <v>8.1796492282999997E-2</v>
      </c>
      <c r="BB419" s="196">
        <f>IF(BA419="","",BA419-BA$6)</f>
        <v>2.8309527724999999E-2</v>
      </c>
      <c r="BC419" s="196">
        <v>0.21027012082999999</v>
      </c>
      <c r="BD419" s="196">
        <f>IF(BC419="","",BC419-BC$6)</f>
        <v>1.5961554339999989E-2</v>
      </c>
      <c r="BE419" s="196">
        <v>0.29605265369</v>
      </c>
      <c r="BF419" s="196">
        <f>IF(BE419="","",BE419-BE$6)</f>
        <v>3.4333314150000016E-2</v>
      </c>
      <c r="BG419" s="196">
        <v>0.41904098343000001</v>
      </c>
      <c r="BH419" s="196">
        <f>IF(BG419="","",BG419-BG$6)</f>
        <v>0.11012433461999999</v>
      </c>
      <c r="BI419" s="196">
        <v>0.45873828833000002</v>
      </c>
      <c r="BJ419" s="196">
        <f>IF(BI419="","",BI419-BI$6)</f>
        <v>8.5795278249999996E-2</v>
      </c>
      <c r="BK419" s="197">
        <v>3.8259099979000002</v>
      </c>
      <c r="BL419" s="115"/>
      <c r="BM419" s="198">
        <v>7.6077649992E-3</v>
      </c>
      <c r="BN419" s="191">
        <v>-8.8538339577999992E-3</v>
      </c>
      <c r="BO419" s="191">
        <v>2.5749780994E-2</v>
      </c>
      <c r="BP419" s="191">
        <v>-1.4327800659E-2</v>
      </c>
      <c r="BQ419" s="199">
        <v>9</v>
      </c>
      <c r="BR419" s="199">
        <v>3</v>
      </c>
      <c r="BS419" s="199">
        <v>7</v>
      </c>
      <c r="BT419" s="199">
        <v>5</v>
      </c>
      <c r="BU419" s="200">
        <v>-0.68635787291000006</v>
      </c>
      <c r="BV419" s="200">
        <v>-0.46954797011999999</v>
      </c>
      <c r="BW419" s="191">
        <v>3.9528004663999996E-3</v>
      </c>
      <c r="BX419" s="191">
        <v>2.3513270842000001E-3</v>
      </c>
      <c r="BY419" s="189">
        <v>-3.4020363123999999</v>
      </c>
      <c r="BZ419" s="191">
        <v>-1.7157972832000001E-2</v>
      </c>
      <c r="CA419" s="191">
        <v>-1.7157972832000001E-2</v>
      </c>
      <c r="CB419" s="182">
        <v>45187</v>
      </c>
      <c r="CC419" s="182">
        <v>45222</v>
      </c>
      <c r="CD419" s="201">
        <v>40</v>
      </c>
      <c r="CE419" s="202">
        <v>45246</v>
      </c>
      <c r="CF419" s="115"/>
    </row>
    <row r="420" spans="2:84" ht="15.6" x14ac:dyDescent="0.3">
      <c r="B420" s="110" t="s">
        <v>592</v>
      </c>
      <c r="C420" s="147" t="s">
        <v>1007</v>
      </c>
      <c r="D420" s="148" t="s">
        <v>21</v>
      </c>
      <c r="E420" s="148" t="s">
        <v>231</v>
      </c>
      <c r="F420" s="149">
        <v>43776517000180</v>
      </c>
      <c r="G420" s="149" t="s">
        <v>1035</v>
      </c>
      <c r="H420" s="149" t="s">
        <v>388</v>
      </c>
      <c r="I420" s="150">
        <v>26</v>
      </c>
      <c r="J420" s="151">
        <v>1</v>
      </c>
      <c r="K420" s="151" t="s">
        <v>127</v>
      </c>
      <c r="L420" s="151" t="s">
        <v>118</v>
      </c>
      <c r="M420" s="151" t="s">
        <v>106</v>
      </c>
      <c r="N420" s="151" t="s">
        <v>109</v>
      </c>
      <c r="O420" s="152">
        <v>600000</v>
      </c>
      <c r="P420" s="153">
        <v>600000000</v>
      </c>
      <c r="Q420" s="153">
        <v>1000</v>
      </c>
      <c r="R420" s="154">
        <v>44027</v>
      </c>
      <c r="S420" s="154">
        <v>46583</v>
      </c>
      <c r="T420" s="155" t="s">
        <v>801</v>
      </c>
      <c r="U420" s="155" t="s">
        <v>161</v>
      </c>
      <c r="V420" s="154" t="s">
        <v>105</v>
      </c>
      <c r="W420" s="154" t="s">
        <v>102</v>
      </c>
      <c r="X420" s="154" t="s">
        <v>1350</v>
      </c>
      <c r="Y420" s="154">
        <v>46522</v>
      </c>
      <c r="Z420" s="156">
        <f>IFERROR(INDEX(Base!G:G,MATCH('Debêntures IPCA-Spread'!Y420,Base!F:F,0)),"")</f>
        <v>6.391</v>
      </c>
      <c r="AA420" s="115"/>
      <c r="AB420" s="157">
        <v>45552</v>
      </c>
      <c r="AC420" s="158">
        <v>6.2869000000000002</v>
      </c>
      <c r="AD420" s="159">
        <f t="shared" si="17"/>
        <v>-0.10409999999999986</v>
      </c>
      <c r="AE420" s="160">
        <v>0.16</v>
      </c>
      <c r="AF420" s="161">
        <v>6.5110999999999999</v>
      </c>
      <c r="AG420" s="161">
        <v>6.1265999999999998</v>
      </c>
      <c r="AH420" s="162">
        <v>1265.174849</v>
      </c>
      <c r="AI420" s="162">
        <v>1265.174849</v>
      </c>
      <c r="AJ420" s="163">
        <f t="shared" si="18"/>
        <v>1</v>
      </c>
      <c r="AK420" s="164">
        <v>45552</v>
      </c>
      <c r="AL420" s="165">
        <v>95.94</v>
      </c>
      <c r="AM420" s="166">
        <v>673</v>
      </c>
      <c r="AN420" s="115"/>
      <c r="AO420" s="167">
        <v>1.2890879843E-3</v>
      </c>
      <c r="AP420" s="168">
        <f>IF(AO420="","",AO420-AO$6)</f>
        <v>8.0894309936999998E-4</v>
      </c>
      <c r="AQ420" s="168">
        <v>6.6134537664999998E-3</v>
      </c>
      <c r="AR420" s="168">
        <f>IF(AQ420="","",AQ420-AQ$6)</f>
        <v>6.8309605194599998E-3</v>
      </c>
      <c r="AS420" s="168">
        <v>6.1527957276000002E-2</v>
      </c>
      <c r="AT420" s="168">
        <f>IF(AS420="","",AS420-AS$6)</f>
        <v>4.6802122220999998E-2</v>
      </c>
      <c r="AU420" s="168">
        <v>6.4940130342000003E-3</v>
      </c>
      <c r="AV420" s="168">
        <f>IF(AU420="","",AU420-AU$6)</f>
        <v>1.9562595630199998E-2</v>
      </c>
      <c r="AW420" s="168">
        <v>2.8650001176999999E-2</v>
      </c>
      <c r="AX420" s="168">
        <f>IF(AW420="","",AW420-AW$6)</f>
        <v>4.6549333889999989E-3</v>
      </c>
      <c r="AY420" s="168">
        <v>3.6496241944000002E-2</v>
      </c>
      <c r="AZ420" s="168">
        <f>IF(AY420="","",AY420-AY$6)</f>
        <v>2.2253987154000003E-2</v>
      </c>
      <c r="BA420" s="168">
        <v>8.9894242183000003E-2</v>
      </c>
      <c r="BB420" s="168">
        <f>IF(BA420="","",BA420-BA$6)</f>
        <v>3.6407277625000005E-2</v>
      </c>
      <c r="BC420" s="168">
        <v>0.21728860316000001</v>
      </c>
      <c r="BD420" s="168">
        <f>IF(BC420="","",BC420-BC$6)</f>
        <v>2.2980036670000009E-2</v>
      </c>
      <c r="BE420" s="168">
        <v>0.30825207959000001</v>
      </c>
      <c r="BF420" s="168">
        <f>IF(BE420="","",BE420-BE$6)</f>
        <v>4.6532740050000021E-2</v>
      </c>
      <c r="BG420" s="168">
        <v>0.43596959002000002</v>
      </c>
      <c r="BH420" s="168">
        <f>IF(BG420="","",BG420-BG$6)</f>
        <v>0.12705294120999999</v>
      </c>
      <c r="BI420" s="168"/>
      <c r="BJ420" s="168" t="str">
        <f>IF(BI420="","",BI420-BI$6)</f>
        <v/>
      </c>
      <c r="BK420" s="169">
        <v>3.4016480742000001</v>
      </c>
      <c r="BL420" s="115"/>
      <c r="BM420" s="170">
        <v>7.8033906429000001E-3</v>
      </c>
      <c r="BN420" s="163">
        <v>-6.1429744127999997E-3</v>
      </c>
      <c r="BO420" s="163">
        <v>2.5410706934000001E-2</v>
      </c>
      <c r="BP420" s="163">
        <v>-1.2607608116999999E-2</v>
      </c>
      <c r="BQ420" s="171">
        <v>10</v>
      </c>
      <c r="BR420" s="171">
        <v>2</v>
      </c>
      <c r="BS420" s="171">
        <v>7</v>
      </c>
      <c r="BT420" s="171">
        <v>5</v>
      </c>
      <c r="BU420" s="172">
        <v>-0.56192893186000004</v>
      </c>
      <c r="BV420" s="172">
        <v>-0.46418012861000002</v>
      </c>
      <c r="BW420" s="163">
        <v>3.5143835814999999E-3</v>
      </c>
      <c r="BX420" s="163">
        <v>2.8937201773E-3</v>
      </c>
      <c r="BY420" s="161">
        <v>-2.5883276670000002</v>
      </c>
      <c r="BZ420" s="163">
        <v>-1.7814353112000001E-2</v>
      </c>
      <c r="CA420" s="163">
        <v>-1.7814353112000001E-2</v>
      </c>
      <c r="CB420" s="154">
        <v>45187</v>
      </c>
      <c r="CC420" s="154">
        <v>45202</v>
      </c>
      <c r="CD420" s="173">
        <v>41</v>
      </c>
      <c r="CE420" s="174">
        <v>45247</v>
      </c>
      <c r="CF420" s="115"/>
    </row>
    <row r="421" spans="2:84" ht="15.6" x14ac:dyDescent="0.3">
      <c r="B421" s="98" t="s">
        <v>593</v>
      </c>
      <c r="C421" s="175" t="s">
        <v>1008</v>
      </c>
      <c r="D421" s="176" t="s">
        <v>21</v>
      </c>
      <c r="E421" s="176" t="s">
        <v>231</v>
      </c>
      <c r="F421" s="177">
        <v>43776517000180</v>
      </c>
      <c r="G421" s="177" t="s">
        <v>1036</v>
      </c>
      <c r="H421" s="177" t="s">
        <v>388</v>
      </c>
      <c r="I421" s="178">
        <v>26</v>
      </c>
      <c r="J421" s="179">
        <v>2</v>
      </c>
      <c r="K421" s="179" t="s">
        <v>127</v>
      </c>
      <c r="L421" s="179" t="s">
        <v>118</v>
      </c>
      <c r="M421" s="179" t="s">
        <v>106</v>
      </c>
      <c r="N421" s="179" t="s">
        <v>109</v>
      </c>
      <c r="O421" s="180">
        <v>445000</v>
      </c>
      <c r="P421" s="181">
        <v>445000000</v>
      </c>
      <c r="Q421" s="181">
        <v>1000</v>
      </c>
      <c r="R421" s="182">
        <v>44027</v>
      </c>
      <c r="S421" s="182">
        <v>47679</v>
      </c>
      <c r="T421" s="183" t="s">
        <v>801</v>
      </c>
      <c r="U421" s="183" t="s">
        <v>1072</v>
      </c>
      <c r="V421" s="182" t="s">
        <v>105</v>
      </c>
      <c r="W421" s="182" t="s">
        <v>102</v>
      </c>
      <c r="X421" s="182" t="s">
        <v>1360</v>
      </c>
      <c r="Y421" s="182">
        <v>47253</v>
      </c>
      <c r="Z421" s="184">
        <f>IFERROR(INDEX(Base!G:G,MATCH('Debêntures IPCA-Spread'!Y421,Base!F:F,0)),"")</f>
        <v>6.41</v>
      </c>
      <c r="AA421" s="115"/>
      <c r="AB421" s="185">
        <v>45552</v>
      </c>
      <c r="AC421" s="186">
        <v>6.3345000000000002</v>
      </c>
      <c r="AD421" s="187">
        <f t="shared" si="17"/>
        <v>-7.5499999999999901E-2</v>
      </c>
      <c r="AE421" s="188">
        <v>0.2</v>
      </c>
      <c r="AF421" s="189">
        <v>6.5888</v>
      </c>
      <c r="AG421" s="189">
        <v>6.0864000000000003</v>
      </c>
      <c r="AH421" s="190">
        <v>1246.823099</v>
      </c>
      <c r="AI421" s="190">
        <v>1253.0051249999999</v>
      </c>
      <c r="AJ421" s="191">
        <f t="shared" si="18"/>
        <v>0.99506624045133096</v>
      </c>
      <c r="AK421" s="192">
        <v>45518</v>
      </c>
      <c r="AL421" s="193">
        <v>94.49</v>
      </c>
      <c r="AM421" s="194">
        <v>1086</v>
      </c>
      <c r="AN421" s="115"/>
      <c r="AO421" s="195">
        <v>-2.9648244472000001E-3</v>
      </c>
      <c r="AP421" s="196">
        <f>IF(AO421="","",AO421-AO$6)</f>
        <v>-3.4449693321300001E-3</v>
      </c>
      <c r="AQ421" s="196">
        <v>2.1935140320999999E-3</v>
      </c>
      <c r="AR421" s="196">
        <f>IF(AQ421="","",AQ421-AQ$6)</f>
        <v>2.4110207850599999E-3</v>
      </c>
      <c r="AS421" s="196">
        <v>5.3402882521999998E-2</v>
      </c>
      <c r="AT421" s="196">
        <f>IF(AS421="","",AS421-AS$6)</f>
        <v>3.8677047467E-2</v>
      </c>
      <c r="AU421" s="196">
        <v>-3.2964232914000002E-3</v>
      </c>
      <c r="AV421" s="196">
        <f>IF(AU421="","",AU421-AU$6)</f>
        <v>9.7721593046000005E-3</v>
      </c>
      <c r="AW421" s="196">
        <v>2.8632506456999999E-2</v>
      </c>
      <c r="AX421" s="196">
        <f>IF(AW421="","",AW421-AW$6)</f>
        <v>4.6374386689999984E-3</v>
      </c>
      <c r="AY421" s="196">
        <v>2.8702095693000002E-2</v>
      </c>
      <c r="AZ421" s="196">
        <f>IF(AY421="","",AY421-AY$6)</f>
        <v>1.4459840903000001E-2</v>
      </c>
      <c r="BA421" s="196">
        <v>8.4456781509000003E-2</v>
      </c>
      <c r="BB421" s="196">
        <f>IF(BA421="","",BA421-BA$6)</f>
        <v>3.0969816951000005E-2</v>
      </c>
      <c r="BC421" s="196">
        <v>0.22663204545000001</v>
      </c>
      <c r="BD421" s="196">
        <f>IF(BC421="","",BC421-BC$6)</f>
        <v>3.2323478960000013E-2</v>
      </c>
      <c r="BE421" s="196">
        <v>0.29388341595</v>
      </c>
      <c r="BF421" s="196">
        <f>IF(BE421="","",BE421-BE$6)</f>
        <v>3.216407641000002E-2</v>
      </c>
      <c r="BG421" s="196">
        <v>0.41671428049999998</v>
      </c>
      <c r="BH421" s="196">
        <f>IF(BG421="","",BG421-BG$6)</f>
        <v>0.10779763168999995</v>
      </c>
      <c r="BI421" s="196"/>
      <c r="BJ421" s="196" t="str">
        <f>IF(BI421="","",BI421-BI$6)</f>
        <v/>
      </c>
      <c r="BK421" s="197">
        <v>4.5518793821000001</v>
      </c>
      <c r="BL421" s="115"/>
      <c r="BM421" s="198">
        <v>1.0356591734E-2</v>
      </c>
      <c r="BN421" s="191">
        <v>-9.2075508618999994E-3</v>
      </c>
      <c r="BO421" s="191">
        <v>2.3576026972000001E-2</v>
      </c>
      <c r="BP421" s="191">
        <v>-2.0561265108999999E-2</v>
      </c>
      <c r="BQ421" s="199">
        <v>8</v>
      </c>
      <c r="BR421" s="199">
        <v>4</v>
      </c>
      <c r="BS421" s="199">
        <v>7</v>
      </c>
      <c r="BT421" s="199">
        <v>5</v>
      </c>
      <c r="BU421" s="200">
        <v>-0.5176551371</v>
      </c>
      <c r="BV421" s="200">
        <v>-0.45255409211999997</v>
      </c>
      <c r="BW421" s="191">
        <v>4.7036183075999998E-3</v>
      </c>
      <c r="BX421" s="191">
        <v>3.2243419536000001E-3</v>
      </c>
      <c r="BY421" s="189">
        <v>-3.1768857653000002</v>
      </c>
      <c r="BZ421" s="191">
        <v>-2.3785819946E-2</v>
      </c>
      <c r="CA421" s="191">
        <v>-2.3785819946E-2</v>
      </c>
      <c r="CB421" s="182">
        <v>45187</v>
      </c>
      <c r="CC421" s="182">
        <v>45202</v>
      </c>
      <c r="CD421" s="201">
        <v>41</v>
      </c>
      <c r="CE421" s="202">
        <v>45247</v>
      </c>
      <c r="CF421" s="115"/>
    </row>
    <row r="422" spans="2:84" ht="15.6" x14ac:dyDescent="0.3">
      <c r="B422" s="110" t="s">
        <v>1494</v>
      </c>
      <c r="C422" s="147" t="s">
        <v>2140</v>
      </c>
      <c r="D422" s="148" t="s">
        <v>21</v>
      </c>
      <c r="E422" s="148" t="s">
        <v>231</v>
      </c>
      <c r="F422" s="149">
        <v>43776517000180</v>
      </c>
      <c r="G422" s="149" t="s">
        <v>1852</v>
      </c>
      <c r="H422" s="149" t="s">
        <v>388</v>
      </c>
      <c r="I422" s="150">
        <v>29</v>
      </c>
      <c r="J422" s="151">
        <v>2</v>
      </c>
      <c r="K422" s="151" t="s">
        <v>126</v>
      </c>
      <c r="L422" s="151" t="s">
        <v>125</v>
      </c>
      <c r="M422" s="151" t="s">
        <v>106</v>
      </c>
      <c r="N422" s="151" t="s">
        <v>109</v>
      </c>
      <c r="O422" s="152">
        <v>600000</v>
      </c>
      <c r="P422" s="153">
        <v>600000000</v>
      </c>
      <c r="Q422" s="153">
        <v>1000</v>
      </c>
      <c r="R422" s="154">
        <v>44545</v>
      </c>
      <c r="S422" s="154">
        <v>48197</v>
      </c>
      <c r="T422" s="155" t="s">
        <v>2017</v>
      </c>
      <c r="U422" s="155" t="s">
        <v>1703</v>
      </c>
      <c r="V422" s="154" t="s">
        <v>105</v>
      </c>
      <c r="W422" s="154" t="s">
        <v>102</v>
      </c>
      <c r="X422" s="154" t="s">
        <v>1618</v>
      </c>
      <c r="Y422" s="154">
        <v>47710</v>
      </c>
      <c r="Z422" s="156">
        <f>IFERROR(INDEX(Base!G:G,MATCH('Debêntures IPCA-Spread'!Y422,Base!F:F,0)),"")</f>
        <v>6.3273999999999999</v>
      </c>
      <c r="AA422" s="115"/>
      <c r="AB422" s="157">
        <v>45552</v>
      </c>
      <c r="AC422" s="158">
        <v>6.2960000000000003</v>
      </c>
      <c r="AD422" s="159">
        <f t="shared" si="17"/>
        <v>-3.139999999999965E-2</v>
      </c>
      <c r="AE422" s="160">
        <v>0.05</v>
      </c>
      <c r="AF422" s="161">
        <v>6.4984000000000002</v>
      </c>
      <c r="AG422" s="161">
        <v>6.1017999999999999</v>
      </c>
      <c r="AH422" s="162">
        <v>1133.60285</v>
      </c>
      <c r="AI422" s="162">
        <v>1143.7350899999999</v>
      </c>
      <c r="AJ422" s="163">
        <f t="shared" si="18"/>
        <v>0.9911410954437011</v>
      </c>
      <c r="AK422" s="164">
        <v>45518</v>
      </c>
      <c r="AL422" s="165">
        <v>95.24</v>
      </c>
      <c r="AM422" s="166">
        <v>1308</v>
      </c>
      <c r="AN422" s="115"/>
      <c r="AO422" s="167">
        <v>1.1785606639E-3</v>
      </c>
      <c r="AP422" s="168">
        <f>IF(AO422="","",AO422-AO$6)</f>
        <v>6.9841577897000002E-4</v>
      </c>
      <c r="AQ422" s="168">
        <v>3.0073084727E-3</v>
      </c>
      <c r="AR422" s="168">
        <f>IF(AQ422="","",AQ422-AQ$6)</f>
        <v>3.22481522566E-3</v>
      </c>
      <c r="AS422" s="168">
        <v>4.7918524448000002E-2</v>
      </c>
      <c r="AT422" s="168">
        <f>IF(AS422="","",AS422-AS$6)</f>
        <v>3.3192689393000005E-2</v>
      </c>
      <c r="AU422" s="168">
        <v>-2.8197391329999998E-3</v>
      </c>
      <c r="AV422" s="168">
        <f>IF(AU422="","",AU422-AU$6)</f>
        <v>1.0248843463E-2</v>
      </c>
      <c r="AW422" s="168">
        <v>3.3759782974999999E-2</v>
      </c>
      <c r="AX422" s="168">
        <f>IF(AW422="","",AW422-AW$6)</f>
        <v>9.764715186999999E-3</v>
      </c>
      <c r="AY422" s="168">
        <v>2.9107387775999999E-2</v>
      </c>
      <c r="AZ422" s="168">
        <f>IF(AY422="","",AY422-AY$6)</f>
        <v>1.4865132985999998E-2</v>
      </c>
      <c r="BA422" s="168">
        <v>7.8684953725000006E-2</v>
      </c>
      <c r="BB422" s="168">
        <f>IF(BA422="","",BA422-BA$6)</f>
        <v>2.5197989167000008E-2</v>
      </c>
      <c r="BC422" s="168">
        <v>0.2326386668</v>
      </c>
      <c r="BD422" s="168">
        <f>IF(BC422="","",BC422-BC$6)</f>
        <v>3.8330100310000004E-2</v>
      </c>
      <c r="BE422" s="168"/>
      <c r="BF422" s="168" t="str">
        <f>IF(BE422="","",BE422-BE$6)</f>
        <v/>
      </c>
      <c r="BG422" s="168"/>
      <c r="BH422" s="168" t="str">
        <f>IF(BG422="","",BG422-BG$6)</f>
        <v/>
      </c>
      <c r="BI422" s="168"/>
      <c r="BJ422" s="168" t="str">
        <f>IF(BI422="","",BI422-BI$6)</f>
        <v/>
      </c>
      <c r="BK422" s="169">
        <v>4.9523399051999997</v>
      </c>
      <c r="BL422" s="115"/>
      <c r="BM422" s="170">
        <v>1.2695402361E-2</v>
      </c>
      <c r="BN422" s="163">
        <v>-1.1030788186E-2</v>
      </c>
      <c r="BO422" s="163">
        <v>2.8880418961999998E-2</v>
      </c>
      <c r="BP422" s="163">
        <v>-2.0284119044000001E-2</v>
      </c>
      <c r="BQ422" s="171">
        <v>9</v>
      </c>
      <c r="BR422" s="171">
        <v>3</v>
      </c>
      <c r="BS422" s="171">
        <v>6</v>
      </c>
      <c r="BT422" s="171">
        <v>6</v>
      </c>
      <c r="BU422" s="172">
        <v>-0.57696330178999999</v>
      </c>
      <c r="BV422" s="172"/>
      <c r="BW422" s="163">
        <v>5.1173916605999998E-3</v>
      </c>
      <c r="BX422" s="163">
        <v>3.4360320867999998E-3</v>
      </c>
      <c r="BY422" s="161">
        <v>-3.8471851783000002</v>
      </c>
      <c r="BZ422" s="163">
        <v>-2.5836380453000001E-2</v>
      </c>
      <c r="CA422" s="163">
        <v>-2.5836380453000001E-2</v>
      </c>
      <c r="CB422" s="154">
        <v>45187</v>
      </c>
      <c r="CC422" s="154">
        <v>45202</v>
      </c>
      <c r="CD422" s="173">
        <v>45</v>
      </c>
      <c r="CE422" s="174">
        <v>45253</v>
      </c>
      <c r="CF422" s="115"/>
    </row>
    <row r="423" spans="2:84" ht="15.6" x14ac:dyDescent="0.3">
      <c r="B423" s="98" t="s">
        <v>1495</v>
      </c>
      <c r="C423" s="175" t="s">
        <v>2141</v>
      </c>
      <c r="D423" s="176" t="s">
        <v>21</v>
      </c>
      <c r="E423" s="176" t="s">
        <v>231</v>
      </c>
      <c r="F423" s="177">
        <v>43776517000180</v>
      </c>
      <c r="G423" s="177" t="s">
        <v>1853</v>
      </c>
      <c r="H423" s="177" t="s">
        <v>388</v>
      </c>
      <c r="I423" s="178">
        <v>29</v>
      </c>
      <c r="J423" s="179">
        <v>3</v>
      </c>
      <c r="K423" s="179" t="s">
        <v>126</v>
      </c>
      <c r="L423" s="179" t="s">
        <v>125</v>
      </c>
      <c r="M423" s="179" t="s">
        <v>106</v>
      </c>
      <c r="N423" s="179" t="s">
        <v>109</v>
      </c>
      <c r="O423" s="180">
        <v>150000</v>
      </c>
      <c r="P423" s="181">
        <v>150000000</v>
      </c>
      <c r="Q423" s="181">
        <v>1000</v>
      </c>
      <c r="R423" s="182">
        <v>44545</v>
      </c>
      <c r="S423" s="182">
        <v>50024</v>
      </c>
      <c r="T423" s="183" t="s">
        <v>2018</v>
      </c>
      <c r="U423" s="183" t="s">
        <v>1717</v>
      </c>
      <c r="V423" s="182" t="s">
        <v>105</v>
      </c>
      <c r="W423" s="182" t="s">
        <v>102</v>
      </c>
      <c r="X423" s="182" t="s">
        <v>1619</v>
      </c>
      <c r="Y423" s="182">
        <v>49444</v>
      </c>
      <c r="Z423" s="184">
        <f>IFERROR(INDEX(Base!G:G,MATCH('Debêntures IPCA-Spread'!Y423,Base!F:F,0)),"")</f>
        <v>6.3137999999999996</v>
      </c>
      <c r="AA423" s="115"/>
      <c r="AB423" s="185">
        <v>45552</v>
      </c>
      <c r="AC423" s="186">
        <v>6.3879999999999999</v>
      </c>
      <c r="AD423" s="187">
        <f t="shared" si="17"/>
        <v>7.4200000000000266E-2</v>
      </c>
      <c r="AE423" s="188">
        <v>0.09</v>
      </c>
      <c r="AF423" s="189"/>
      <c r="AG423" s="189"/>
      <c r="AH423" s="190">
        <v>1107.3722150000001</v>
      </c>
      <c r="AI423" s="190">
        <v>1122.2538070000001</v>
      </c>
      <c r="AJ423" s="191">
        <f t="shared" si="18"/>
        <v>0.98673954865897817</v>
      </c>
      <c r="AK423" s="192">
        <v>45513</v>
      </c>
      <c r="AL423" s="193">
        <v>92.94</v>
      </c>
      <c r="AM423" s="194">
        <v>2061</v>
      </c>
      <c r="AN423" s="115"/>
      <c r="AO423" s="195">
        <v>5.3127381489E-3</v>
      </c>
      <c r="AP423" s="196">
        <f>IF(AO423="","",AO423-AO$6)</f>
        <v>4.83259326397E-3</v>
      </c>
      <c r="AQ423" s="196">
        <v>-8.5580011728000004E-4</v>
      </c>
      <c r="AR423" s="196">
        <f>IF(AQ423="","",AQ423-AQ$6)</f>
        <v>-6.3829336432000001E-4</v>
      </c>
      <c r="AS423" s="196">
        <v>4.5857127147E-2</v>
      </c>
      <c r="AT423" s="196">
        <f>IF(AS423="","",AS423-AS$6)</f>
        <v>3.1131292091999999E-2</v>
      </c>
      <c r="AU423" s="196">
        <v>-3.0124454797000001E-3</v>
      </c>
      <c r="AV423" s="196">
        <f>IF(AU423="","",AU423-AU$6)</f>
        <v>1.0056137116300001E-2</v>
      </c>
      <c r="AW423" s="196">
        <v>6.2580002916999999E-2</v>
      </c>
      <c r="AX423" s="196">
        <f>IF(AW423="","",AW423-AW$6)</f>
        <v>3.8584935128999999E-2</v>
      </c>
      <c r="AY423" s="196">
        <v>3.3493857201000003E-2</v>
      </c>
      <c r="AZ423" s="196">
        <f>IF(AY423="","",AY423-AY$6)</f>
        <v>1.9251602411000004E-2</v>
      </c>
      <c r="BA423" s="196">
        <v>9.2593689667000004E-2</v>
      </c>
      <c r="BB423" s="196">
        <f>IF(BA423="","",BA423-BA$6)</f>
        <v>3.9106725109000005E-2</v>
      </c>
      <c r="BC423" s="196">
        <v>0.25192839816000001</v>
      </c>
      <c r="BD423" s="196">
        <f>IF(BC423="","",BC423-BC$6)</f>
        <v>5.761983167000001E-2</v>
      </c>
      <c r="BE423" s="196"/>
      <c r="BF423" s="196" t="str">
        <f>IF(BE423="","",BE423-BE$6)</f>
        <v/>
      </c>
      <c r="BG423" s="196"/>
      <c r="BH423" s="196" t="str">
        <f>IF(BG423="","",BG423-BG$6)</f>
        <v/>
      </c>
      <c r="BI423" s="196"/>
      <c r="BJ423" s="196" t="str">
        <f>IF(BI423="","",BI423-BI$6)</f>
        <v/>
      </c>
      <c r="BK423" s="197">
        <v>8.0026302653000005</v>
      </c>
      <c r="BL423" s="115"/>
      <c r="BM423" s="198">
        <v>1.4233515319E-2</v>
      </c>
      <c r="BN423" s="191">
        <v>-1.6688008824000001E-2</v>
      </c>
      <c r="BO423" s="191">
        <v>3.5597764355999997E-2</v>
      </c>
      <c r="BP423" s="191">
        <v>-2.8886392226E-2</v>
      </c>
      <c r="BQ423" s="199">
        <v>6</v>
      </c>
      <c r="BR423" s="199">
        <v>6</v>
      </c>
      <c r="BS423" s="199">
        <v>6</v>
      </c>
      <c r="BT423" s="199">
        <v>6</v>
      </c>
      <c r="BU423" s="200">
        <v>-0.36575270447000002</v>
      </c>
      <c r="BV423" s="200"/>
      <c r="BW423" s="191">
        <v>8.2662299815999991E-3</v>
      </c>
      <c r="BX423" s="191">
        <v>7.5662770932000004E-3</v>
      </c>
      <c r="BY423" s="189">
        <v>-3.8885757430000001</v>
      </c>
      <c r="BZ423" s="191">
        <v>-5.1865582580999998E-2</v>
      </c>
      <c r="CA423" s="191">
        <v>-5.1865582580999998E-2</v>
      </c>
      <c r="CB423" s="182">
        <v>45343</v>
      </c>
      <c r="CC423" s="182">
        <v>45455</v>
      </c>
      <c r="CD423" s="201">
        <v>118</v>
      </c>
      <c r="CE423" s="202">
        <v>45512</v>
      </c>
      <c r="CF423" s="115"/>
    </row>
    <row r="424" spans="2:84" ht="15.6" x14ac:dyDescent="0.3">
      <c r="B424" s="110" t="s">
        <v>2314</v>
      </c>
      <c r="C424" s="147" t="s">
        <v>2699</v>
      </c>
      <c r="D424" s="148" t="s">
        <v>2813</v>
      </c>
      <c r="E424" s="148" t="s">
        <v>2781</v>
      </c>
      <c r="F424" s="149">
        <v>15494541000190</v>
      </c>
      <c r="G424" s="149" t="s">
        <v>2451</v>
      </c>
      <c r="H424" s="149" t="s">
        <v>388</v>
      </c>
      <c r="I424" s="150">
        <v>1</v>
      </c>
      <c r="J424" s="151" t="s">
        <v>107</v>
      </c>
      <c r="K424" s="151" t="s">
        <v>126</v>
      </c>
      <c r="L424" s="151" t="s">
        <v>2470</v>
      </c>
      <c r="M424" s="151" t="s">
        <v>114</v>
      </c>
      <c r="N424" s="151" t="s">
        <v>109</v>
      </c>
      <c r="O424" s="152">
        <v>320899</v>
      </c>
      <c r="P424" s="153">
        <v>320899000</v>
      </c>
      <c r="Q424" s="153">
        <v>1000</v>
      </c>
      <c r="R424" s="154">
        <v>42078</v>
      </c>
      <c r="S424" s="154">
        <v>45580</v>
      </c>
      <c r="T424" s="155" t="s">
        <v>2843</v>
      </c>
      <c r="U424" s="155" t="s">
        <v>2774</v>
      </c>
      <c r="V424" s="154" t="s">
        <v>105</v>
      </c>
      <c r="W424" s="154" t="s">
        <v>102</v>
      </c>
      <c r="X424" s="154" t="s">
        <v>2569</v>
      </c>
      <c r="Y424" s="154">
        <v>45792</v>
      </c>
      <c r="Z424" s="156">
        <f>IFERROR(INDEX(Base!G:G,MATCH('Debêntures IPCA-Spread'!Y424,Base!F:F,0)),"")</f>
        <v>5.73</v>
      </c>
      <c r="AA424" s="115"/>
      <c r="AB424" s="157">
        <v>45552</v>
      </c>
      <c r="AC424" s="158">
        <v>6.2065000000000001</v>
      </c>
      <c r="AD424" s="159">
        <f t="shared" si="17"/>
        <v>0.4764999999999997</v>
      </c>
      <c r="AE424" s="160">
        <v>0.21</v>
      </c>
      <c r="AF424" s="161"/>
      <c r="AG424" s="161"/>
      <c r="AH424" s="162"/>
      <c r="AI424" s="162"/>
      <c r="AJ424" s="163" t="str">
        <f t="shared" si="18"/>
        <v/>
      </c>
      <c r="AK424" s="164"/>
      <c r="AL424" s="165"/>
      <c r="AM424" s="166"/>
      <c r="AN424" s="115"/>
      <c r="AO424" s="167"/>
      <c r="AP424" s="168" t="str">
        <f>IF(AO424="","",AO424-AO$6)</f>
        <v/>
      </c>
      <c r="AQ424" s="168"/>
      <c r="AR424" s="168" t="str">
        <f>IF(AQ424="","",AQ424-AQ$6)</f>
        <v/>
      </c>
      <c r="AS424" s="168"/>
      <c r="AT424" s="168" t="str">
        <f>IF(AS424="","",AS424-AS$6)</f>
        <v/>
      </c>
      <c r="AU424" s="168"/>
      <c r="AV424" s="168" t="str">
        <f>IF(AU424="","",AU424-AU$6)</f>
        <v/>
      </c>
      <c r="AW424" s="168"/>
      <c r="AX424" s="168" t="str">
        <f>IF(AW424="","",AW424-AW$6)</f>
        <v/>
      </c>
      <c r="AY424" s="168"/>
      <c r="AZ424" s="168" t="str">
        <f>IF(AY424="","",AY424-AY$6)</f>
        <v/>
      </c>
      <c r="BA424" s="168"/>
      <c r="BB424" s="168" t="str">
        <f>IF(BA424="","",BA424-BA$6)</f>
        <v/>
      </c>
      <c r="BC424" s="168"/>
      <c r="BD424" s="168" t="str">
        <f>IF(BC424="","",BC424-BC$6)</f>
        <v/>
      </c>
      <c r="BE424" s="168"/>
      <c r="BF424" s="168" t="str">
        <f>IF(BE424="","",BE424-BE$6)</f>
        <v/>
      </c>
      <c r="BG424" s="168"/>
      <c r="BH424" s="168" t="str">
        <f>IF(BG424="","",BG424-BG$6)</f>
        <v/>
      </c>
      <c r="BI424" s="168"/>
      <c r="BJ424" s="168" t="str">
        <f>IF(BI424="","",BI424-BI$6)</f>
        <v/>
      </c>
      <c r="BK424" s="169"/>
      <c r="BL424" s="115"/>
      <c r="BM424" s="170"/>
      <c r="BN424" s="163"/>
      <c r="BO424" s="163"/>
      <c r="BP424" s="163"/>
      <c r="BQ424" s="171"/>
      <c r="BR424" s="171"/>
      <c r="BS424" s="171"/>
      <c r="BT424" s="171"/>
      <c r="BU424" s="172"/>
      <c r="BV424" s="172"/>
      <c r="BW424" s="163"/>
      <c r="BX424" s="163"/>
      <c r="BY424" s="161"/>
      <c r="BZ424" s="163"/>
      <c r="CA424" s="163"/>
      <c r="CB424" s="154"/>
      <c r="CC424" s="154"/>
      <c r="CD424" s="173"/>
      <c r="CE424" s="174"/>
      <c r="CF424" s="115"/>
    </row>
    <row r="425" spans="2:84" ht="15.6" x14ac:dyDescent="0.3">
      <c r="B425" s="98" t="s">
        <v>594</v>
      </c>
      <c r="C425" s="175" t="s">
        <v>1009</v>
      </c>
      <c r="D425" s="176" t="s">
        <v>1021</v>
      </c>
      <c r="E425" s="176" t="s">
        <v>231</v>
      </c>
      <c r="F425" s="177">
        <v>76484013000145</v>
      </c>
      <c r="G425" s="177" t="s">
        <v>1037</v>
      </c>
      <c r="H425" s="177" t="s">
        <v>388</v>
      </c>
      <c r="I425" s="178">
        <v>10</v>
      </c>
      <c r="J425" s="179" t="s">
        <v>107</v>
      </c>
      <c r="K425" s="179" t="s">
        <v>126</v>
      </c>
      <c r="L425" s="179" t="s">
        <v>112</v>
      </c>
      <c r="M425" s="179" t="s">
        <v>106</v>
      </c>
      <c r="N425" s="179" t="s">
        <v>109</v>
      </c>
      <c r="O425" s="180">
        <v>35000</v>
      </c>
      <c r="P425" s="181">
        <v>350000000</v>
      </c>
      <c r="Q425" s="181">
        <v>10000</v>
      </c>
      <c r="R425" s="182">
        <v>43905</v>
      </c>
      <c r="S425" s="182">
        <v>46461</v>
      </c>
      <c r="T425" s="183" t="s">
        <v>1056</v>
      </c>
      <c r="U425" s="183" t="s">
        <v>161</v>
      </c>
      <c r="V425" s="182" t="s">
        <v>105</v>
      </c>
      <c r="W425" s="182" t="s">
        <v>102</v>
      </c>
      <c r="X425" s="182" t="s">
        <v>1082</v>
      </c>
      <c r="Y425" s="182">
        <v>46522</v>
      </c>
      <c r="Z425" s="184">
        <f>IFERROR(INDEX(Base!G:G,MATCH('Debêntures IPCA-Spread'!Y425,Base!F:F,0)),"")</f>
        <v>6.391</v>
      </c>
      <c r="AA425" s="115"/>
      <c r="AB425" s="185">
        <v>45552</v>
      </c>
      <c r="AC425" s="186">
        <v>6.1920000000000002</v>
      </c>
      <c r="AD425" s="187">
        <f t="shared" ref="AD425:AD488" si="19">IF(AND(Z425&lt;&gt;"",AC425&lt;&gt;""),AC425-Z425,"")</f>
        <v>-0.19899999999999984</v>
      </c>
      <c r="AE425" s="188">
        <v>0.23</v>
      </c>
      <c r="AF425" s="189">
        <v>6.4653</v>
      </c>
      <c r="AG425" s="189">
        <v>6.01</v>
      </c>
      <c r="AH425" s="190">
        <v>12598.026632999999</v>
      </c>
      <c r="AI425" s="190">
        <v>12598.026632999999</v>
      </c>
      <c r="AJ425" s="191">
        <f t="shared" si="18"/>
        <v>1</v>
      </c>
      <c r="AK425" s="192">
        <v>45552</v>
      </c>
      <c r="AL425" s="193">
        <v>96.62</v>
      </c>
      <c r="AM425" s="194">
        <v>594</v>
      </c>
      <c r="AN425" s="115"/>
      <c r="AO425" s="195">
        <v>9.2517158009000004E-4</v>
      </c>
      <c r="AP425" s="196">
        <f>IF(AO425="","",AO425-AO$6)</f>
        <v>4.4502669516000004E-4</v>
      </c>
      <c r="AQ425" s="196">
        <v>1.0131346193999999E-2</v>
      </c>
      <c r="AR425" s="196">
        <f>IF(AQ425="","",AQ425-AQ$6)</f>
        <v>1.0348852946959999E-2</v>
      </c>
      <c r="AS425" s="196">
        <v>6.9146390439999997E-2</v>
      </c>
      <c r="AT425" s="196">
        <f>IF(AS425="","",AS425-AS$6)</f>
        <v>5.4420555385E-2</v>
      </c>
      <c r="AU425" s="196">
        <v>8.5278897459000001E-3</v>
      </c>
      <c r="AV425" s="196">
        <f>IF(AU425="","",AU425-AU$6)</f>
        <v>2.15964723419E-2</v>
      </c>
      <c r="AW425" s="196">
        <v>3.1524364457999998E-2</v>
      </c>
      <c r="AX425" s="196">
        <f>IF(AW425="","",AW425-AW$6)</f>
        <v>7.5292966699999977E-3</v>
      </c>
      <c r="AY425" s="196">
        <v>3.0810257290999999E-2</v>
      </c>
      <c r="AZ425" s="196">
        <f>IF(AY425="","",AY425-AY$6)</f>
        <v>1.6568002500999997E-2</v>
      </c>
      <c r="BA425" s="196">
        <v>0.10903321733</v>
      </c>
      <c r="BB425" s="196">
        <f>IF(BA425="","",BA425-BA$6)</f>
        <v>5.5546252772000003E-2</v>
      </c>
      <c r="BC425" s="196">
        <v>0.22729148034999999</v>
      </c>
      <c r="BD425" s="196">
        <f>IF(BC425="","",BC425-BC$6)</f>
        <v>3.298291385999999E-2</v>
      </c>
      <c r="BE425" s="196">
        <v>0.32970789883000001</v>
      </c>
      <c r="BF425" s="196">
        <f>IF(BE425="","",BE425-BE$6)</f>
        <v>6.7988559290000028E-2</v>
      </c>
      <c r="BG425" s="196">
        <v>0.46333445612000002</v>
      </c>
      <c r="BH425" s="196">
        <f>IF(BG425="","",BG425-BG$6)</f>
        <v>0.15441780730999999</v>
      </c>
      <c r="BI425" s="196"/>
      <c r="BJ425" s="196" t="str">
        <f>IF(BI425="","",BI425-BI$6)</f>
        <v/>
      </c>
      <c r="BK425" s="197">
        <v>3.5958195711999998</v>
      </c>
      <c r="BL425" s="115"/>
      <c r="BM425" s="198">
        <v>7.6531529503E-3</v>
      </c>
      <c r="BN425" s="191">
        <v>-5.3861881005999998E-3</v>
      </c>
      <c r="BO425" s="191">
        <v>2.8993825043E-2</v>
      </c>
      <c r="BP425" s="191">
        <v>-8.8275727512000003E-3</v>
      </c>
      <c r="BQ425" s="199">
        <v>10</v>
      </c>
      <c r="BR425" s="199">
        <v>2</v>
      </c>
      <c r="BS425" s="199">
        <v>7</v>
      </c>
      <c r="BT425" s="199">
        <v>5</v>
      </c>
      <c r="BU425" s="200">
        <v>-5.0678122487000002E-2</v>
      </c>
      <c r="BV425" s="200">
        <v>-0.36075880951</v>
      </c>
      <c r="BW425" s="191">
        <v>3.7172783053000002E-3</v>
      </c>
      <c r="BX425" s="191">
        <v>2.4803410266E-3</v>
      </c>
      <c r="BY425" s="189">
        <v>-0.57238526141000001</v>
      </c>
      <c r="BZ425" s="191">
        <v>-1.7946570451E-2</v>
      </c>
      <c r="CA425" s="191">
        <v>-1.7946570451E-2</v>
      </c>
      <c r="CB425" s="182">
        <v>45190</v>
      </c>
      <c r="CC425" s="182">
        <v>45230</v>
      </c>
      <c r="CD425" s="201">
        <v>36</v>
      </c>
      <c r="CE425" s="202">
        <v>45244</v>
      </c>
      <c r="CF425" s="115"/>
    </row>
    <row r="426" spans="2:84" ht="15.6" x14ac:dyDescent="0.3">
      <c r="B426" s="110" t="s">
        <v>1122</v>
      </c>
      <c r="C426" s="147" t="s">
        <v>1286</v>
      </c>
      <c r="D426" s="148" t="s">
        <v>1021</v>
      </c>
      <c r="E426" s="148" t="s">
        <v>231</v>
      </c>
      <c r="F426" s="149">
        <v>76484013000145</v>
      </c>
      <c r="G426" s="149" t="s">
        <v>1183</v>
      </c>
      <c r="H426" s="149" t="s">
        <v>388</v>
      </c>
      <c r="I426" s="150">
        <v>11</v>
      </c>
      <c r="J426" s="151">
        <v>2</v>
      </c>
      <c r="K426" s="151" t="s">
        <v>126</v>
      </c>
      <c r="L426" s="151" t="s">
        <v>112</v>
      </c>
      <c r="M426" s="151" t="s">
        <v>106</v>
      </c>
      <c r="N426" s="151" t="s">
        <v>109</v>
      </c>
      <c r="O426" s="152">
        <v>208300</v>
      </c>
      <c r="P426" s="153">
        <v>208300000</v>
      </c>
      <c r="Q426" s="153">
        <v>1000</v>
      </c>
      <c r="R426" s="154">
        <v>44270</v>
      </c>
      <c r="S426" s="154">
        <v>47192</v>
      </c>
      <c r="T426" s="155" t="s">
        <v>1227</v>
      </c>
      <c r="U426" s="155" t="s">
        <v>113</v>
      </c>
      <c r="V426" s="154" t="s">
        <v>105</v>
      </c>
      <c r="W426" s="154" t="s">
        <v>102</v>
      </c>
      <c r="X426" s="154" t="s">
        <v>1372</v>
      </c>
      <c r="Y426" s="154">
        <v>47253</v>
      </c>
      <c r="Z426" s="156">
        <f>IFERROR(INDEX(Base!G:G,MATCH('Debêntures IPCA-Spread'!Y426,Base!F:F,0)),"")</f>
        <v>6.41</v>
      </c>
      <c r="AA426" s="115"/>
      <c r="AB426" s="157">
        <v>45552</v>
      </c>
      <c r="AC426" s="158">
        <v>6.6753999999999998</v>
      </c>
      <c r="AD426" s="159">
        <f t="shared" si="19"/>
        <v>0.26539999999999964</v>
      </c>
      <c r="AE426" s="160">
        <v>0.06</v>
      </c>
      <c r="AF426" s="161">
        <v>6.8451000000000004</v>
      </c>
      <c r="AG426" s="161">
        <v>6.5254000000000003</v>
      </c>
      <c r="AH426" s="162">
        <v>1125.1113909999999</v>
      </c>
      <c r="AI426" s="162">
        <v>1135.2287111000001</v>
      </c>
      <c r="AJ426" s="163">
        <f t="shared" si="18"/>
        <v>0.99108785745015493</v>
      </c>
      <c r="AK426" s="164">
        <v>45518</v>
      </c>
      <c r="AL426" s="165">
        <v>90.99</v>
      </c>
      <c r="AM426" s="166">
        <v>1030</v>
      </c>
      <c r="AN426" s="115"/>
      <c r="AO426" s="167">
        <v>-5.5188502483000004E-4</v>
      </c>
      <c r="AP426" s="168">
        <f>IF(AO426="","",AO426-AO$6)</f>
        <v>-1.03202990976E-3</v>
      </c>
      <c r="AQ426" s="168">
        <v>1.9059102979E-3</v>
      </c>
      <c r="AR426" s="168">
        <f>IF(AQ426="","",AQ426-AQ$6)</f>
        <v>2.1234170508600001E-3</v>
      </c>
      <c r="AS426" s="168">
        <v>6.0328935817000003E-2</v>
      </c>
      <c r="AT426" s="168">
        <f>IF(AS426="","",AS426-AS$6)</f>
        <v>4.5603100761999998E-2</v>
      </c>
      <c r="AU426" s="168">
        <v>-4.0686032116000002E-3</v>
      </c>
      <c r="AV426" s="168">
        <f>IF(AU426="","",AU426-AU$6)</f>
        <v>8.9999793843999996E-3</v>
      </c>
      <c r="AW426" s="168">
        <v>2.7098524222000001E-2</v>
      </c>
      <c r="AX426" s="168">
        <f>IF(AW426="","",AW426-AW$6)</f>
        <v>3.1034564340000001E-3</v>
      </c>
      <c r="AY426" s="168">
        <v>2.1462797546000001E-2</v>
      </c>
      <c r="AZ426" s="168">
        <f>IF(AY426="","",AY426-AY$6)</f>
        <v>7.2205427560000004E-3</v>
      </c>
      <c r="BA426" s="168">
        <v>0.10100606881</v>
      </c>
      <c r="BB426" s="168">
        <f>IF(BA426="","",BA426-BA$6)</f>
        <v>4.7519104252000004E-2</v>
      </c>
      <c r="BC426" s="168">
        <v>0.21653804121</v>
      </c>
      <c r="BD426" s="168">
        <f>IF(BC426="","",BC426-BC$6)</f>
        <v>2.2229474720000003E-2</v>
      </c>
      <c r="BE426" s="168">
        <v>0.31014482835000001</v>
      </c>
      <c r="BF426" s="168">
        <f>IF(BE426="","",BE426-BE$6)</f>
        <v>4.8425488810000028E-2</v>
      </c>
      <c r="BG426" s="168"/>
      <c r="BH426" s="168" t="str">
        <f>IF(BG426="","",BG426-BG$6)</f>
        <v/>
      </c>
      <c r="BI426" s="168"/>
      <c r="BJ426" s="168" t="str">
        <f>IF(BI426="","",BI426-BI$6)</f>
        <v/>
      </c>
      <c r="BK426" s="169">
        <v>4.6200448504000002</v>
      </c>
      <c r="BL426" s="115"/>
      <c r="BM426" s="170">
        <v>1.1055128701E-2</v>
      </c>
      <c r="BN426" s="163">
        <v>-1.3452554352999999E-2</v>
      </c>
      <c r="BO426" s="163">
        <v>2.9127177497000001E-2</v>
      </c>
      <c r="BP426" s="163">
        <v>-1.0615129839000001E-2</v>
      </c>
      <c r="BQ426" s="171">
        <v>9</v>
      </c>
      <c r="BR426" s="171">
        <v>3</v>
      </c>
      <c r="BS426" s="171">
        <v>6</v>
      </c>
      <c r="BT426" s="171">
        <v>6</v>
      </c>
      <c r="BU426" s="172">
        <v>-0.18690923161</v>
      </c>
      <c r="BV426" s="172">
        <v>-0.37166298264999997</v>
      </c>
      <c r="BW426" s="163">
        <v>4.7727411885999998E-3</v>
      </c>
      <c r="BX426" s="163">
        <v>2.9200063963999998E-3</v>
      </c>
      <c r="BY426" s="161">
        <v>-1.5875222384000001</v>
      </c>
      <c r="BZ426" s="163">
        <v>-2.0817535352E-2</v>
      </c>
      <c r="CA426" s="163">
        <v>-2.0817535352E-2</v>
      </c>
      <c r="CB426" s="154">
        <v>45187</v>
      </c>
      <c r="CC426" s="154">
        <v>45202</v>
      </c>
      <c r="CD426" s="173">
        <v>40</v>
      </c>
      <c r="CE426" s="174">
        <v>45246</v>
      </c>
      <c r="CF426" s="115"/>
    </row>
    <row r="427" spans="2:84" ht="15.6" x14ac:dyDescent="0.3">
      <c r="B427" s="98" t="s">
        <v>1123</v>
      </c>
      <c r="C427" s="175" t="s">
        <v>1287</v>
      </c>
      <c r="D427" s="176" t="s">
        <v>1021</v>
      </c>
      <c r="E427" s="176" t="s">
        <v>231</v>
      </c>
      <c r="F427" s="177">
        <v>76484013000145</v>
      </c>
      <c r="G427" s="177" t="s">
        <v>1184</v>
      </c>
      <c r="H427" s="177" t="s">
        <v>388</v>
      </c>
      <c r="I427" s="178">
        <v>11</v>
      </c>
      <c r="J427" s="179">
        <v>3</v>
      </c>
      <c r="K427" s="179" t="s">
        <v>126</v>
      </c>
      <c r="L427" s="179" t="s">
        <v>112</v>
      </c>
      <c r="M427" s="179" t="s">
        <v>106</v>
      </c>
      <c r="N427" s="179" t="s">
        <v>109</v>
      </c>
      <c r="O427" s="180">
        <v>161700</v>
      </c>
      <c r="P427" s="181">
        <v>161700000</v>
      </c>
      <c r="Q427" s="181">
        <v>1000</v>
      </c>
      <c r="R427" s="182">
        <v>44270</v>
      </c>
      <c r="S427" s="182">
        <v>47922</v>
      </c>
      <c r="T427" s="183" t="s">
        <v>1227</v>
      </c>
      <c r="U427" s="183" t="s">
        <v>113</v>
      </c>
      <c r="V427" s="182" t="s">
        <v>105</v>
      </c>
      <c r="W427" s="182" t="s">
        <v>102</v>
      </c>
      <c r="X427" s="182" t="s">
        <v>1373</v>
      </c>
      <c r="Y427" s="182">
        <v>47710</v>
      </c>
      <c r="Z427" s="184">
        <f>IFERROR(INDEX(Base!G:G,MATCH('Debêntures IPCA-Spread'!Y427,Base!F:F,0)),"")</f>
        <v>6.3273999999999999</v>
      </c>
      <c r="AA427" s="115"/>
      <c r="AB427" s="185">
        <v>45552</v>
      </c>
      <c r="AC427" s="186">
        <v>6.6822999999999997</v>
      </c>
      <c r="AD427" s="187">
        <f t="shared" si="19"/>
        <v>0.35489999999999977</v>
      </c>
      <c r="AE427" s="188">
        <v>0.11</v>
      </c>
      <c r="AF427" s="189">
        <v>6.8387000000000002</v>
      </c>
      <c r="AG427" s="189"/>
      <c r="AH427" s="190">
        <v>1099.845112</v>
      </c>
      <c r="AI427" s="190">
        <v>1115.8501295000001</v>
      </c>
      <c r="AJ427" s="191">
        <f t="shared" si="18"/>
        <v>0.98565666026568299</v>
      </c>
      <c r="AK427" s="192">
        <v>45518</v>
      </c>
      <c r="AL427" s="193">
        <v>88.95</v>
      </c>
      <c r="AM427" s="194">
        <v>1415</v>
      </c>
      <c r="AN427" s="115"/>
      <c r="AO427" s="195">
        <v>1.1131406316999999E-3</v>
      </c>
      <c r="AP427" s="196">
        <f>IF(AO427="","",AO427-AO$6)</f>
        <v>6.3299574676999992E-4</v>
      </c>
      <c r="AQ427" s="196">
        <v>1.9573046666E-4</v>
      </c>
      <c r="AR427" s="196">
        <f>IF(AQ427="","",AQ427-AQ$6)</f>
        <v>4.1323721962000003E-4</v>
      </c>
      <c r="AS427" s="196">
        <v>3.8220734591999997E-2</v>
      </c>
      <c r="AT427" s="196">
        <f>IF(AS427="","",AS427-AS$6)</f>
        <v>2.3494899536999996E-2</v>
      </c>
      <c r="AU427" s="196">
        <v>-1.1431006380000001E-2</v>
      </c>
      <c r="AV427" s="196">
        <f>IF(AU427="","",AU427-AU$6)</f>
        <v>1.6375762159999991E-3</v>
      </c>
      <c r="AW427" s="196">
        <v>3.0448672696E-2</v>
      </c>
      <c r="AX427" s="196">
        <f>IF(AW427="","",AW427-AW$6)</f>
        <v>6.4536049079999998E-3</v>
      </c>
      <c r="AY427" s="196">
        <v>2.1773430688000001E-2</v>
      </c>
      <c r="AZ427" s="196">
        <f>IF(AY427="","",AY427-AY$6)</f>
        <v>7.5311758980000001E-3</v>
      </c>
      <c r="BA427" s="196">
        <v>8.7490019636000005E-2</v>
      </c>
      <c r="BB427" s="196">
        <f>IF(BA427="","",BA427-BA$6)</f>
        <v>3.4003055078000007E-2</v>
      </c>
      <c r="BC427" s="196">
        <v>0.22141965258999999</v>
      </c>
      <c r="BD427" s="196">
        <f>IF(BC427="","",BC427-BC$6)</f>
        <v>2.7111086099999987E-2</v>
      </c>
      <c r="BE427" s="196">
        <v>0.30324284175999999</v>
      </c>
      <c r="BF427" s="196">
        <f>IF(BE427="","",BE427-BE$6)</f>
        <v>4.1523502220000008E-2</v>
      </c>
      <c r="BG427" s="196"/>
      <c r="BH427" s="196" t="str">
        <f>IF(BG427="","",BG427-BG$6)</f>
        <v/>
      </c>
      <c r="BI427" s="196"/>
      <c r="BJ427" s="196" t="str">
        <f>IF(BI427="","",BI427-BI$6)</f>
        <v/>
      </c>
      <c r="BK427" s="197">
        <v>6.4254019052000002</v>
      </c>
      <c r="BL427" s="115"/>
      <c r="BM427" s="198">
        <v>1.5238879686E-2</v>
      </c>
      <c r="BN427" s="191">
        <v>-1.3000816856E-2</v>
      </c>
      <c r="BO427" s="191">
        <v>3.9987354914000003E-2</v>
      </c>
      <c r="BP427" s="191">
        <v>-1.5952117242000002E-2</v>
      </c>
      <c r="BQ427" s="199">
        <v>8</v>
      </c>
      <c r="BR427" s="199">
        <v>4</v>
      </c>
      <c r="BS427" s="199">
        <v>6</v>
      </c>
      <c r="BT427" s="199">
        <v>6</v>
      </c>
      <c r="BU427" s="200">
        <v>-0.30847425604000001</v>
      </c>
      <c r="BV427" s="200">
        <v>-0.31466229323</v>
      </c>
      <c r="BW427" s="191">
        <v>6.6418843614E-3</v>
      </c>
      <c r="BX427" s="191">
        <v>4.3824685376999996E-3</v>
      </c>
      <c r="BY427" s="189">
        <v>-2.9084597617000001</v>
      </c>
      <c r="BZ427" s="191">
        <v>-2.5571548212E-2</v>
      </c>
      <c r="CA427" s="191">
        <v>-2.5571548212E-2</v>
      </c>
      <c r="CB427" s="182">
        <v>45189</v>
      </c>
      <c r="CC427" s="182">
        <v>45229</v>
      </c>
      <c r="CD427" s="201">
        <v>37</v>
      </c>
      <c r="CE427" s="202">
        <v>45244</v>
      </c>
      <c r="CF427" s="115"/>
    </row>
    <row r="428" spans="2:84" ht="15.6" x14ac:dyDescent="0.3">
      <c r="B428" s="110" t="s">
        <v>1496</v>
      </c>
      <c r="C428" s="147" t="s">
        <v>2142</v>
      </c>
      <c r="D428" s="148" t="s">
        <v>1021</v>
      </c>
      <c r="E428" s="148" t="s">
        <v>231</v>
      </c>
      <c r="F428" s="149">
        <v>76484013000145</v>
      </c>
      <c r="G428" s="149" t="s">
        <v>1854</v>
      </c>
      <c r="H428" s="149" t="s">
        <v>388</v>
      </c>
      <c r="I428" s="150">
        <v>12</v>
      </c>
      <c r="J428" s="151">
        <v>2</v>
      </c>
      <c r="K428" s="151" t="s">
        <v>126</v>
      </c>
      <c r="L428" s="151" t="s">
        <v>120</v>
      </c>
      <c r="M428" s="151" t="s">
        <v>114</v>
      </c>
      <c r="N428" s="151" t="s">
        <v>109</v>
      </c>
      <c r="O428" s="152">
        <v>300000</v>
      </c>
      <c r="P428" s="153">
        <v>300000000</v>
      </c>
      <c r="Q428" s="153">
        <v>1000</v>
      </c>
      <c r="R428" s="154">
        <v>44576</v>
      </c>
      <c r="S428" s="154">
        <v>48228</v>
      </c>
      <c r="T428" s="155" t="s">
        <v>1981</v>
      </c>
      <c r="U428" s="155" t="s">
        <v>113</v>
      </c>
      <c r="V428" s="154" t="s">
        <v>105</v>
      </c>
      <c r="W428" s="154" t="s">
        <v>102</v>
      </c>
      <c r="X428" s="154" t="s">
        <v>1620</v>
      </c>
      <c r="Y428" s="154">
        <v>48441</v>
      </c>
      <c r="Z428" s="156">
        <f>IFERROR(INDEX(Base!G:G,MATCH('Debêntures IPCA-Spread'!Y428,Base!F:F,0)),"")</f>
        <v>6.3467000000000002</v>
      </c>
      <c r="AA428" s="115"/>
      <c r="AB428" s="157">
        <v>45552</v>
      </c>
      <c r="AC428" s="158">
        <v>6.4466000000000001</v>
      </c>
      <c r="AD428" s="159">
        <f t="shared" si="19"/>
        <v>9.9899999999999878E-2</v>
      </c>
      <c r="AE428" s="160">
        <v>0.17</v>
      </c>
      <c r="AF428" s="161">
        <v>6.7648999999999999</v>
      </c>
      <c r="AG428" s="161">
        <v>6.4013</v>
      </c>
      <c r="AH428" s="162">
        <v>1109.9447210000001</v>
      </c>
      <c r="AI428" s="162">
        <v>1126.6961510000001</v>
      </c>
      <c r="AJ428" s="163">
        <f t="shared" si="18"/>
        <v>0.98513225594572917</v>
      </c>
      <c r="AK428" s="164">
        <v>45517</v>
      </c>
      <c r="AL428" s="165">
        <v>96.94</v>
      </c>
      <c r="AM428" s="166">
        <v>1500</v>
      </c>
      <c r="AN428" s="115"/>
      <c r="AO428" s="167">
        <v>-6.3905472507000004E-4</v>
      </c>
      <c r="AP428" s="168">
        <f>IF(AO428="","",AO428-AO$6)</f>
        <v>-1.1191996100000001E-3</v>
      </c>
      <c r="AQ428" s="168">
        <v>-3.3907305624000001E-3</v>
      </c>
      <c r="AR428" s="168">
        <f>IF(AQ428="","",AQ428-AQ$6)</f>
        <v>-3.17322380944E-3</v>
      </c>
      <c r="AS428" s="168">
        <v>7.8130679736000005E-2</v>
      </c>
      <c r="AT428" s="168">
        <f>IF(AS428="","",AS428-AS$6)</f>
        <v>6.3404844681000008E-2</v>
      </c>
      <c r="AU428" s="168">
        <v>-8.2159559361000001E-3</v>
      </c>
      <c r="AV428" s="168">
        <f>IF(AU428="","",AU428-AU$6)</f>
        <v>4.8526266598999997E-3</v>
      </c>
      <c r="AW428" s="168">
        <v>4.3920743714000003E-2</v>
      </c>
      <c r="AX428" s="168">
        <f>IF(AW428="","",AW428-AW$6)</f>
        <v>1.9925675926000003E-2</v>
      </c>
      <c r="AY428" s="168">
        <v>5.3948978144000001E-2</v>
      </c>
      <c r="AZ428" s="168">
        <f>IF(AY428="","",AY428-AY$6)</f>
        <v>3.9706723354000002E-2</v>
      </c>
      <c r="BA428" s="168">
        <v>0.11576565138</v>
      </c>
      <c r="BB428" s="168">
        <f>IF(BA428="","",BA428-BA$6)</f>
        <v>6.2278686822000003E-2</v>
      </c>
      <c r="BC428" s="168">
        <v>0.24178472706000001</v>
      </c>
      <c r="BD428" s="168">
        <f>IF(BC428="","",BC428-BC$6)</f>
        <v>4.7476160570000009E-2</v>
      </c>
      <c r="BE428" s="168"/>
      <c r="BF428" s="168" t="str">
        <f>IF(BE428="","",BE428-BE$6)</f>
        <v/>
      </c>
      <c r="BG428" s="168"/>
      <c r="BH428" s="168" t="str">
        <f>IF(BG428="","",BG428-BG$6)</f>
        <v/>
      </c>
      <c r="BI428" s="168"/>
      <c r="BJ428" s="168" t="str">
        <f>IF(BI428="","",BI428-BI$6)</f>
        <v/>
      </c>
      <c r="BK428" s="169">
        <v>6.2599154209999996</v>
      </c>
      <c r="BL428" s="115"/>
      <c r="BM428" s="170">
        <v>1.7217897302999999E-2</v>
      </c>
      <c r="BN428" s="163">
        <v>-1.2387483152999999E-2</v>
      </c>
      <c r="BO428" s="163">
        <v>2.7132935726E-2</v>
      </c>
      <c r="BP428" s="163">
        <v>-1.3052660971E-2</v>
      </c>
      <c r="BQ428" s="171">
        <v>7</v>
      </c>
      <c r="BR428" s="171">
        <v>5</v>
      </c>
      <c r="BS428" s="171">
        <v>7</v>
      </c>
      <c r="BT428" s="171">
        <v>5</v>
      </c>
      <c r="BU428" s="172">
        <v>8.8720586086000003E-2</v>
      </c>
      <c r="BV428" s="172"/>
      <c r="BW428" s="163">
        <v>6.4720240052999999E-3</v>
      </c>
      <c r="BX428" s="163">
        <v>5.3776749828000001E-3</v>
      </c>
      <c r="BY428" s="161">
        <v>-0.11832556361</v>
      </c>
      <c r="BZ428" s="163">
        <v>-2.9847474499999999E-2</v>
      </c>
      <c r="CA428" s="163">
        <v>-2.9847474499999999E-2</v>
      </c>
      <c r="CB428" s="154">
        <v>45427</v>
      </c>
      <c r="CC428" s="154">
        <v>45455</v>
      </c>
      <c r="CD428" s="173">
        <v>43</v>
      </c>
      <c r="CE428" s="174">
        <v>45489</v>
      </c>
      <c r="CF428" s="115"/>
    </row>
    <row r="429" spans="2:84" ht="15.6" x14ac:dyDescent="0.3">
      <c r="B429" s="98" t="s">
        <v>404</v>
      </c>
      <c r="C429" s="175" t="s">
        <v>425</v>
      </c>
      <c r="D429" s="176" t="s">
        <v>408</v>
      </c>
      <c r="E429" s="176" t="s">
        <v>226</v>
      </c>
      <c r="F429" s="177">
        <v>18156217000150</v>
      </c>
      <c r="G429" s="177" t="s">
        <v>440</v>
      </c>
      <c r="H429" s="177" t="s">
        <v>388</v>
      </c>
      <c r="I429" s="178">
        <v>3</v>
      </c>
      <c r="J429" s="179" t="s">
        <v>107</v>
      </c>
      <c r="K429" s="179" t="s">
        <v>126</v>
      </c>
      <c r="L429" s="179" t="s">
        <v>125</v>
      </c>
      <c r="M429" s="179" t="s">
        <v>106</v>
      </c>
      <c r="N429" s="179" t="s">
        <v>109</v>
      </c>
      <c r="O429" s="180">
        <v>105000</v>
      </c>
      <c r="P429" s="181">
        <v>105000000</v>
      </c>
      <c r="Q429" s="181">
        <v>1000</v>
      </c>
      <c r="R429" s="182">
        <v>43174</v>
      </c>
      <c r="S429" s="182">
        <v>48106</v>
      </c>
      <c r="T429" s="183" t="s">
        <v>416</v>
      </c>
      <c r="U429" s="183" t="s">
        <v>416</v>
      </c>
      <c r="V429" s="182" t="s">
        <v>105</v>
      </c>
      <c r="W429" s="182" t="s">
        <v>102</v>
      </c>
      <c r="X429" s="182" t="s">
        <v>1374</v>
      </c>
      <c r="Y429" s="182">
        <v>47253</v>
      </c>
      <c r="Z429" s="184">
        <f>IFERROR(INDEX(Base!G:G,MATCH('Debêntures IPCA-Spread'!Y429,Base!F:F,0)),"")</f>
        <v>6.41</v>
      </c>
      <c r="AA429" s="115"/>
      <c r="AB429" s="185">
        <v>45552</v>
      </c>
      <c r="AC429" s="186">
        <v>7.0785</v>
      </c>
      <c r="AD429" s="187">
        <f t="shared" si="19"/>
        <v>0.66849999999999987</v>
      </c>
      <c r="AE429" s="188">
        <v>0.13</v>
      </c>
      <c r="AF429" s="189"/>
      <c r="AG429" s="189"/>
      <c r="AH429" s="190">
        <v>649.60714900000005</v>
      </c>
      <c r="AI429" s="190">
        <v>657.94084295000005</v>
      </c>
      <c r="AJ429" s="191">
        <f t="shared" si="18"/>
        <v>0.98733367286846896</v>
      </c>
      <c r="AK429" s="192">
        <v>45517</v>
      </c>
      <c r="AL429" s="193">
        <v>95.85</v>
      </c>
      <c r="AM429" s="194">
        <v>1007</v>
      </c>
      <c r="AN429" s="115"/>
      <c r="AO429" s="195">
        <v>-4.8583472652999997E-3</v>
      </c>
      <c r="AP429" s="196">
        <f>IF(AO429="","",AO429-AO$6)</f>
        <v>-5.3384921502299997E-3</v>
      </c>
      <c r="AQ429" s="196">
        <v>-1.4444811130999999E-4</v>
      </c>
      <c r="AR429" s="196">
        <f>IF(AQ429="","",AQ429-AQ$6)</f>
        <v>7.305864165000001E-5</v>
      </c>
      <c r="AS429" s="196">
        <v>4.7959786115999999E-2</v>
      </c>
      <c r="AT429" s="196">
        <f>IF(AS429="","",AS429-AS$6)</f>
        <v>3.3233951060999994E-2</v>
      </c>
      <c r="AU429" s="196">
        <v>-3.9088323710999998E-3</v>
      </c>
      <c r="AV429" s="196">
        <f>IF(AU429="","",AU429-AU$6)</f>
        <v>9.1597502248999992E-3</v>
      </c>
      <c r="AW429" s="196">
        <v>3.1841936494000002E-2</v>
      </c>
      <c r="AX429" s="196">
        <f>IF(AW429="","",AW429-AW$6)</f>
        <v>7.8468687060000014E-3</v>
      </c>
      <c r="AY429" s="196">
        <v>3.6870148562000001E-2</v>
      </c>
      <c r="AZ429" s="196">
        <f>IF(AY429="","",AY429-AY$6)</f>
        <v>2.2627893772000002E-2</v>
      </c>
      <c r="BA429" s="196">
        <v>8.0334060321999995E-2</v>
      </c>
      <c r="BB429" s="196">
        <f>IF(BA429="","",BA429-BA$6)</f>
        <v>2.6847095763999997E-2</v>
      </c>
      <c r="BC429" s="196">
        <v>0.19805044122000001</v>
      </c>
      <c r="BD429" s="196">
        <f>IF(BC429="","",BC429-BC$6)</f>
        <v>3.741874730000011E-3</v>
      </c>
      <c r="BE429" s="196">
        <v>0.31190497378999998</v>
      </c>
      <c r="BF429" s="196">
        <f>IF(BE429="","",BE429-BE$6)</f>
        <v>5.018563425E-2</v>
      </c>
      <c r="BG429" s="196">
        <v>0.39174527103000001</v>
      </c>
      <c r="BH429" s="196">
        <f>IF(BG429="","",BG429-BG$6)</f>
        <v>8.2828622219999981E-2</v>
      </c>
      <c r="BI429" s="196">
        <v>0.47001828492999997</v>
      </c>
      <c r="BJ429" s="196">
        <f>IF(BI429="","",BI429-BI$6)</f>
        <v>9.7075274849999948E-2</v>
      </c>
      <c r="BK429" s="197">
        <v>5.9405551633</v>
      </c>
      <c r="BL429" s="115"/>
      <c r="BM429" s="198">
        <v>1.1999423786E-2</v>
      </c>
      <c r="BN429" s="191">
        <v>-1.1225589703E-2</v>
      </c>
      <c r="BO429" s="191">
        <v>2.8327483181999999E-2</v>
      </c>
      <c r="BP429" s="191">
        <v>-9.8029353620999998E-3</v>
      </c>
      <c r="BQ429" s="199">
        <v>8</v>
      </c>
      <c r="BR429" s="199">
        <v>4</v>
      </c>
      <c r="BS429" s="199">
        <v>5</v>
      </c>
      <c r="BT429" s="199">
        <v>7</v>
      </c>
      <c r="BU429" s="200">
        <v>-0.3196562865</v>
      </c>
      <c r="BV429" s="200">
        <v>-0.28931399192000001</v>
      </c>
      <c r="BW429" s="191">
        <v>6.1390600353999998E-3</v>
      </c>
      <c r="BX429" s="191">
        <v>3.7508338367999998E-3</v>
      </c>
      <c r="BY429" s="189">
        <v>-2.5657868287999999</v>
      </c>
      <c r="BZ429" s="191">
        <v>-1.9477480945E-2</v>
      </c>
      <c r="CA429" s="191">
        <v>-1.9477480945E-2</v>
      </c>
      <c r="CB429" s="182">
        <v>45358</v>
      </c>
      <c r="CC429" s="182">
        <v>45398</v>
      </c>
      <c r="CD429" s="201">
        <v>51</v>
      </c>
      <c r="CE429" s="202">
        <v>45433</v>
      </c>
      <c r="CF429" s="115"/>
    </row>
    <row r="430" spans="2:84" ht="15.6" x14ac:dyDescent="0.3">
      <c r="B430" s="110" t="s">
        <v>1497</v>
      </c>
      <c r="C430" s="147" t="s">
        <v>2143</v>
      </c>
      <c r="D430" s="148" t="s">
        <v>1932</v>
      </c>
      <c r="E430" s="148" t="s">
        <v>1959</v>
      </c>
      <c r="F430" s="149">
        <v>51466860000156</v>
      </c>
      <c r="G430" s="149" t="s">
        <v>1855</v>
      </c>
      <c r="H430" s="149" t="s">
        <v>388</v>
      </c>
      <c r="I430" s="150">
        <v>4</v>
      </c>
      <c r="J430" s="151">
        <v>1</v>
      </c>
      <c r="K430" s="151" t="s">
        <v>130</v>
      </c>
      <c r="L430" s="151" t="s">
        <v>125</v>
      </c>
      <c r="M430" s="151" t="s">
        <v>128</v>
      </c>
      <c r="N430" s="151" t="s">
        <v>109</v>
      </c>
      <c r="O430" s="152">
        <v>648000</v>
      </c>
      <c r="P430" s="153">
        <v>648000000</v>
      </c>
      <c r="Q430" s="153">
        <v>1000</v>
      </c>
      <c r="R430" s="154">
        <v>44576</v>
      </c>
      <c r="S430" s="154">
        <v>48228</v>
      </c>
      <c r="T430" s="155" t="s">
        <v>2019</v>
      </c>
      <c r="U430" s="155" t="s">
        <v>166</v>
      </c>
      <c r="V430" s="154" t="s">
        <v>105</v>
      </c>
      <c r="W430" s="154" t="s">
        <v>102</v>
      </c>
      <c r="X430" s="154" t="s">
        <v>1621</v>
      </c>
      <c r="Y430" s="154">
        <v>48441</v>
      </c>
      <c r="Z430" s="156">
        <f>IFERROR(INDEX(Base!G:G,MATCH('Debêntures IPCA-Spread'!Y430,Base!F:F,0)),"")</f>
        <v>6.3467000000000002</v>
      </c>
      <c r="AA430" s="115"/>
      <c r="AB430" s="157">
        <v>45552</v>
      </c>
      <c r="AC430" s="158">
        <v>6.7164000000000001</v>
      </c>
      <c r="AD430" s="159">
        <f t="shared" si="19"/>
        <v>0.36969999999999992</v>
      </c>
      <c r="AE430" s="160">
        <v>0.05</v>
      </c>
      <c r="AF430" s="161">
        <v>6.9766000000000004</v>
      </c>
      <c r="AG430" s="161">
        <v>6.5712000000000002</v>
      </c>
      <c r="AH430" s="162">
        <v>1083.2498619999999</v>
      </c>
      <c r="AI430" s="162">
        <v>1099.375395</v>
      </c>
      <c r="AJ430" s="163">
        <f t="shared" si="18"/>
        <v>0.98533209577607461</v>
      </c>
      <c r="AK430" s="164">
        <v>45517</v>
      </c>
      <c r="AL430" s="165">
        <v>95.93</v>
      </c>
      <c r="AM430" s="166">
        <v>1494</v>
      </c>
      <c r="AN430" s="115"/>
      <c r="AO430" s="167">
        <v>-1.1661014959E-3</v>
      </c>
      <c r="AP430" s="168">
        <f>IF(AO430="","",AO430-AO$6)</f>
        <v>-1.64624638083E-3</v>
      </c>
      <c r="AQ430" s="168">
        <v>1.8757797078999999E-5</v>
      </c>
      <c r="AR430" s="168">
        <f>IF(AQ430="","",AQ430-AQ$6)</f>
        <v>2.36264550039E-4</v>
      </c>
      <c r="AS430" s="168">
        <v>4.5348247070999999E-2</v>
      </c>
      <c r="AT430" s="168">
        <f>IF(AS430="","",AS430-AS$6)</f>
        <v>3.0622412015999998E-2</v>
      </c>
      <c r="AU430" s="168">
        <v>-9.4689132911000007E-3</v>
      </c>
      <c r="AV430" s="168">
        <f>IF(AU430="","",AU430-AU$6)</f>
        <v>3.5996693048999991E-3</v>
      </c>
      <c r="AW430" s="168">
        <v>3.1045474874000001E-2</v>
      </c>
      <c r="AX430" s="168">
        <f>IF(AW430="","",AW430-AW$6)</f>
        <v>7.0504070860000004E-3</v>
      </c>
      <c r="AY430" s="168">
        <v>2.2308633808000002E-2</v>
      </c>
      <c r="AZ430" s="168">
        <f>IF(AY430="","",AY430-AY$6)</f>
        <v>8.0663790180000011E-3</v>
      </c>
      <c r="BA430" s="168">
        <v>7.2150400269999998E-2</v>
      </c>
      <c r="BB430" s="168">
        <f>IF(BA430="","",BA430-BA$6)</f>
        <v>1.8663435712E-2</v>
      </c>
      <c r="BC430" s="168">
        <v>0.22799470167999999</v>
      </c>
      <c r="BD430" s="168">
        <f>IF(BC430="","",BC430-BC$6)</f>
        <v>3.3686135189999994E-2</v>
      </c>
      <c r="BE430" s="168"/>
      <c r="BF430" s="168" t="str">
        <f>IF(BE430="","",BE430-BE$6)</f>
        <v/>
      </c>
      <c r="BG430" s="168"/>
      <c r="BH430" s="168" t="str">
        <f>IF(BG430="","",BG430-BG$6)</f>
        <v/>
      </c>
      <c r="BI430" s="168"/>
      <c r="BJ430" s="168" t="str">
        <f>IF(BI430="","",BI430-BI$6)</f>
        <v/>
      </c>
      <c r="BK430" s="169">
        <v>5.5063341251000004</v>
      </c>
      <c r="BL430" s="115"/>
      <c r="BM430" s="170">
        <v>1.2088451227E-2</v>
      </c>
      <c r="BN430" s="163">
        <v>-1.1738750878E-2</v>
      </c>
      <c r="BO430" s="163">
        <v>2.5687647976000001E-2</v>
      </c>
      <c r="BP430" s="163">
        <v>-1.8338422154999999E-2</v>
      </c>
      <c r="BQ430" s="171">
        <v>9</v>
      </c>
      <c r="BR430" s="171">
        <v>3</v>
      </c>
      <c r="BS430" s="171">
        <v>5</v>
      </c>
      <c r="BT430" s="171">
        <v>7</v>
      </c>
      <c r="BU430" s="172">
        <v>-0.62093429476999995</v>
      </c>
      <c r="BV430" s="172"/>
      <c r="BW430" s="163">
        <v>5.6887068369999997E-3</v>
      </c>
      <c r="BX430" s="163">
        <v>3.9101823170999998E-3</v>
      </c>
      <c r="BY430" s="161">
        <v>-4.5088030399000001</v>
      </c>
      <c r="BZ430" s="163">
        <v>-2.5440384962999999E-2</v>
      </c>
      <c r="CA430" s="163">
        <v>-2.5440384962999999E-2</v>
      </c>
      <c r="CB430" s="154">
        <v>45189</v>
      </c>
      <c r="CC430" s="154">
        <v>45202</v>
      </c>
      <c r="CD430" s="173">
        <v>39</v>
      </c>
      <c r="CE430" s="174">
        <v>45247</v>
      </c>
      <c r="CF430" s="115"/>
    </row>
    <row r="431" spans="2:84" ht="15.6" x14ac:dyDescent="0.3">
      <c r="B431" s="98" t="s">
        <v>1498</v>
      </c>
      <c r="C431" s="175" t="s">
        <v>2144</v>
      </c>
      <c r="D431" s="176" t="s">
        <v>1932</v>
      </c>
      <c r="E431" s="176" t="s">
        <v>1959</v>
      </c>
      <c r="F431" s="177">
        <v>51466860000156</v>
      </c>
      <c r="G431" s="177" t="s">
        <v>1856</v>
      </c>
      <c r="H431" s="177" t="s">
        <v>388</v>
      </c>
      <c r="I431" s="178">
        <v>4</v>
      </c>
      <c r="J431" s="179">
        <v>2</v>
      </c>
      <c r="K431" s="179" t="s">
        <v>130</v>
      </c>
      <c r="L431" s="179" t="s">
        <v>125</v>
      </c>
      <c r="M431" s="179" t="s">
        <v>128</v>
      </c>
      <c r="N431" s="179" t="s">
        <v>109</v>
      </c>
      <c r="O431" s="180">
        <v>552000</v>
      </c>
      <c r="P431" s="181">
        <v>552000000</v>
      </c>
      <c r="Q431" s="181">
        <v>1000</v>
      </c>
      <c r="R431" s="182">
        <v>44576</v>
      </c>
      <c r="S431" s="182">
        <v>50055</v>
      </c>
      <c r="T431" s="183" t="s">
        <v>2020</v>
      </c>
      <c r="U431" s="183" t="s">
        <v>1718</v>
      </c>
      <c r="V431" s="182" t="s">
        <v>105</v>
      </c>
      <c r="W431" s="182" t="s">
        <v>102</v>
      </c>
      <c r="X431" s="182" t="s">
        <v>1622</v>
      </c>
      <c r="Y431" s="182">
        <v>49444</v>
      </c>
      <c r="Z431" s="184">
        <f>IFERROR(INDEX(Base!G:G,MATCH('Debêntures IPCA-Spread'!Y431,Base!F:F,0)),"")</f>
        <v>6.3137999999999996</v>
      </c>
      <c r="AA431" s="115"/>
      <c r="AB431" s="185">
        <v>45552</v>
      </c>
      <c r="AC431" s="186">
        <v>6.5575999999999999</v>
      </c>
      <c r="AD431" s="187">
        <f t="shared" si="19"/>
        <v>0.24380000000000024</v>
      </c>
      <c r="AE431" s="188">
        <v>0.1</v>
      </c>
      <c r="AF431" s="189"/>
      <c r="AG431" s="189"/>
      <c r="AH431" s="190">
        <v>1090.873934</v>
      </c>
      <c r="AI431" s="190">
        <v>1093.9473379999999</v>
      </c>
      <c r="AJ431" s="191">
        <f t="shared" si="18"/>
        <v>0.9971905375211032</v>
      </c>
      <c r="AK431" s="192">
        <v>45530</v>
      </c>
      <c r="AL431" s="193">
        <v>96.59</v>
      </c>
      <c r="AM431" s="194">
        <v>2060</v>
      </c>
      <c r="AN431" s="115"/>
      <c r="AO431" s="195">
        <v>2.523346031E-3</v>
      </c>
      <c r="AP431" s="196">
        <f>IF(AO431="","",AO431-AO$6)</f>
        <v>2.04320114607E-3</v>
      </c>
      <c r="AQ431" s="196">
        <v>9.5285989028000007E-3</v>
      </c>
      <c r="AR431" s="196">
        <f>IF(AQ431="","",AQ431-AQ$6)</f>
        <v>9.7461056557599998E-3</v>
      </c>
      <c r="AS431" s="196">
        <v>7.8936614769000005E-2</v>
      </c>
      <c r="AT431" s="196">
        <f>IF(AS431="","",AS431-AS$6)</f>
        <v>6.4210779714000008E-2</v>
      </c>
      <c r="AU431" s="196">
        <v>4.2544046427999997E-3</v>
      </c>
      <c r="AV431" s="196">
        <f>IF(AU431="","",AU431-AU$6)</f>
        <v>1.7322987238799999E-2</v>
      </c>
      <c r="AW431" s="196">
        <v>5.3348437207999998E-2</v>
      </c>
      <c r="AX431" s="196">
        <f>IF(AW431="","",AW431-AW$6)</f>
        <v>2.9353369419999997E-2</v>
      </c>
      <c r="AY431" s="196">
        <v>4.6290957849000003E-2</v>
      </c>
      <c r="AZ431" s="196">
        <f>IF(AY431="","",AY431-AY$6)</f>
        <v>3.2048703059000004E-2</v>
      </c>
      <c r="BA431" s="196">
        <v>0.11799156755</v>
      </c>
      <c r="BB431" s="196">
        <f>IF(BA431="","",BA431-BA$6)</f>
        <v>6.4504602992000004E-2</v>
      </c>
      <c r="BC431" s="196">
        <v>0.24926033458999999</v>
      </c>
      <c r="BD431" s="196">
        <f>IF(BC431="","",BC431-BC$6)</f>
        <v>5.4951768099999992E-2</v>
      </c>
      <c r="BE431" s="196"/>
      <c r="BF431" s="196" t="str">
        <f>IF(BE431="","",BE431-BE$6)</f>
        <v/>
      </c>
      <c r="BG431" s="196"/>
      <c r="BH431" s="196" t="str">
        <f>IF(BG431="","",BG431-BG$6)</f>
        <v/>
      </c>
      <c r="BI431" s="196"/>
      <c r="BJ431" s="196" t="str">
        <f>IF(BI431="","",BI431-BI$6)</f>
        <v/>
      </c>
      <c r="BK431" s="197">
        <v>8.5148288294000007</v>
      </c>
      <c r="BL431" s="115"/>
      <c r="BM431" s="198">
        <v>2.2172365393999999E-2</v>
      </c>
      <c r="BN431" s="191">
        <v>-1.4631784421000001E-2</v>
      </c>
      <c r="BO431" s="191">
        <v>3.0293653055000001E-2</v>
      </c>
      <c r="BP431" s="191">
        <v>-2.6081779642000001E-2</v>
      </c>
      <c r="BQ431" s="199">
        <v>9</v>
      </c>
      <c r="BR431" s="199">
        <v>3</v>
      </c>
      <c r="BS431" s="199">
        <v>8</v>
      </c>
      <c r="BT431" s="199">
        <v>4</v>
      </c>
      <c r="BU431" s="200">
        <v>0.10845118791</v>
      </c>
      <c r="BV431" s="200"/>
      <c r="BW431" s="191">
        <v>8.8095254932000003E-3</v>
      </c>
      <c r="BX431" s="191">
        <v>7.2246276750000003E-3</v>
      </c>
      <c r="BY431" s="189">
        <v>0.19432689031</v>
      </c>
      <c r="BZ431" s="191">
        <v>-3.3887618018999997E-2</v>
      </c>
      <c r="CA431" s="191">
        <v>-3.3887618018999997E-2</v>
      </c>
      <c r="CB431" s="182">
        <v>45391</v>
      </c>
      <c r="CC431" s="182">
        <v>45471</v>
      </c>
      <c r="CD431" s="201">
        <v>80</v>
      </c>
      <c r="CE431" s="202">
        <v>45505</v>
      </c>
      <c r="CF431" s="115"/>
    </row>
    <row r="432" spans="2:84" ht="15.6" x14ac:dyDescent="0.3">
      <c r="B432" s="110" t="s">
        <v>576</v>
      </c>
      <c r="C432" s="147" t="s">
        <v>741</v>
      </c>
      <c r="D432" s="148" t="s">
        <v>2859</v>
      </c>
      <c r="E432" s="148" t="s">
        <v>226</v>
      </c>
      <c r="F432" s="149">
        <v>42500384000151</v>
      </c>
      <c r="G432" s="149" t="s">
        <v>895</v>
      </c>
      <c r="H432" s="149" t="s">
        <v>388</v>
      </c>
      <c r="I432" s="150">
        <v>1</v>
      </c>
      <c r="J432" s="151">
        <v>3</v>
      </c>
      <c r="K432" s="151" t="s">
        <v>111</v>
      </c>
      <c r="L432" s="151" t="s">
        <v>118</v>
      </c>
      <c r="M432" s="151" t="s">
        <v>986</v>
      </c>
      <c r="N432" s="151" t="s">
        <v>117</v>
      </c>
      <c r="O432" s="152">
        <v>183400</v>
      </c>
      <c r="P432" s="153">
        <v>183400000</v>
      </c>
      <c r="Q432" s="153">
        <v>1000</v>
      </c>
      <c r="R432" s="154">
        <v>43600</v>
      </c>
      <c r="S432" s="154">
        <v>46157</v>
      </c>
      <c r="T432" s="155" t="s">
        <v>2844</v>
      </c>
      <c r="U432" s="155" t="s">
        <v>2775</v>
      </c>
      <c r="V432" s="154" t="s">
        <v>105</v>
      </c>
      <c r="W432" s="154" t="s">
        <v>102</v>
      </c>
      <c r="X432" s="154" t="s">
        <v>1336</v>
      </c>
      <c r="Y432" s="154">
        <v>45792</v>
      </c>
      <c r="Z432" s="156">
        <f>IFERROR(INDEX(Base!G:G,MATCH('Debêntures IPCA-Spread'!Y432,Base!F:F,0)),"")</f>
        <v>5.73</v>
      </c>
      <c r="AA432" s="115"/>
      <c r="AB432" s="157">
        <v>45552</v>
      </c>
      <c r="AC432" s="158">
        <v>8.1034000000000006</v>
      </c>
      <c r="AD432" s="159">
        <f t="shared" si="19"/>
        <v>2.3734000000000002</v>
      </c>
      <c r="AE432" s="160">
        <v>0.14000000000000001</v>
      </c>
      <c r="AF432" s="161">
        <v>8.3116000000000003</v>
      </c>
      <c r="AG432" s="161">
        <v>7.9583000000000004</v>
      </c>
      <c r="AH432" s="162">
        <v>1325.258914</v>
      </c>
      <c r="AI432" s="162">
        <v>1326.133648</v>
      </c>
      <c r="AJ432" s="163">
        <f t="shared" si="18"/>
        <v>0.99934038774951583</v>
      </c>
      <c r="AK432" s="164">
        <v>45547</v>
      </c>
      <c r="AL432" s="165">
        <v>97.2</v>
      </c>
      <c r="AM432" s="166">
        <v>305</v>
      </c>
      <c r="AN432" s="115"/>
      <c r="AO432" s="167">
        <v>8.5637393568000001E-5</v>
      </c>
      <c r="AP432" s="168">
        <f>IF(AO432="","",AO432-AO$6)</f>
        <v>-3.9450749136200002E-4</v>
      </c>
      <c r="AQ432" s="168">
        <v>5.9081894306000004E-3</v>
      </c>
      <c r="AR432" s="168">
        <f>IF(AQ432="","",AQ432-AQ$6)</f>
        <v>6.1256961835600005E-3</v>
      </c>
      <c r="AS432" s="168">
        <v>8.1569829987000006E-2</v>
      </c>
      <c r="AT432" s="168">
        <f>IF(AS432="","",AS432-AS$6)</f>
        <v>6.6843994932000009E-2</v>
      </c>
      <c r="AU432" s="168">
        <v>1.2360340464000001E-2</v>
      </c>
      <c r="AV432" s="168">
        <f>IF(AU432="","",AU432-AU$6)</f>
        <v>2.5428923060000001E-2</v>
      </c>
      <c r="AW432" s="168">
        <v>3.6162157740999998E-2</v>
      </c>
      <c r="AX432" s="168">
        <f>IF(AW432="","",AW432-AW$6)</f>
        <v>1.2167089952999997E-2</v>
      </c>
      <c r="AY432" s="168">
        <v>5.5001576337999999E-2</v>
      </c>
      <c r="AZ432" s="168">
        <f>IF(AY432="","",AY432-AY$6)</f>
        <v>4.0759321548000001E-2</v>
      </c>
      <c r="BA432" s="168">
        <v>0.11958984415</v>
      </c>
      <c r="BB432" s="168">
        <f>IF(BA432="","",BA432-BA$6)</f>
        <v>6.6102879592000008E-2</v>
      </c>
      <c r="BC432" s="168">
        <v>0.24993378586000001</v>
      </c>
      <c r="BD432" s="168">
        <f>IF(BC432="","",BC432-BC$6)</f>
        <v>5.5625219370000006E-2</v>
      </c>
      <c r="BE432" s="168">
        <v>0.38893504229999998</v>
      </c>
      <c r="BF432" s="168">
        <f>IF(BE432="","",BE432-BE$6)</f>
        <v>0.12721570275999999</v>
      </c>
      <c r="BG432" s="168">
        <v>0.53604220106</v>
      </c>
      <c r="BH432" s="168">
        <f>IF(BG432="","",BG432-BG$6)</f>
        <v>0.22712555224999997</v>
      </c>
      <c r="BI432" s="168"/>
      <c r="BJ432" s="168" t="str">
        <f>IF(BI432="","",BI432-BI$6)</f>
        <v/>
      </c>
      <c r="BK432" s="169">
        <v>1.9635815721000001</v>
      </c>
      <c r="BL432" s="115"/>
      <c r="BM432" s="170">
        <v>4.0399277405000003E-3</v>
      </c>
      <c r="BN432" s="163">
        <v>-3.0615293971999998E-3</v>
      </c>
      <c r="BO432" s="163">
        <v>1.6553348159999998E-2</v>
      </c>
      <c r="BP432" s="163">
        <v>1.7477364509E-3</v>
      </c>
      <c r="BQ432" s="171">
        <v>12</v>
      </c>
      <c r="BR432" s="171">
        <v>0</v>
      </c>
      <c r="BS432" s="171">
        <v>8</v>
      </c>
      <c r="BT432" s="171">
        <v>4</v>
      </c>
      <c r="BU432" s="172">
        <v>0.3676437032</v>
      </c>
      <c r="BV432" s="172">
        <v>-2.9311461673999999E-2</v>
      </c>
      <c r="BW432" s="163">
        <v>2.0292286547999999E-3</v>
      </c>
      <c r="BX432" s="163">
        <v>1.7283491069E-3</v>
      </c>
      <c r="BY432" s="161">
        <v>0.61499692802000006</v>
      </c>
      <c r="BZ432" s="163">
        <v>-5.6675871753000002E-3</v>
      </c>
      <c r="CA432" s="163">
        <v>-5.6675871753000002E-3</v>
      </c>
      <c r="CB432" s="154">
        <v>45208</v>
      </c>
      <c r="CC432" s="154">
        <v>45217</v>
      </c>
      <c r="CD432" s="173">
        <v>11</v>
      </c>
      <c r="CE432" s="174">
        <v>45224</v>
      </c>
      <c r="CF432" s="115"/>
    </row>
    <row r="433" spans="2:84" ht="15.6" x14ac:dyDescent="0.3">
      <c r="B433" s="98" t="s">
        <v>577</v>
      </c>
      <c r="C433" s="175" t="s">
        <v>742</v>
      </c>
      <c r="D433" s="176" t="s">
        <v>2859</v>
      </c>
      <c r="E433" s="176" t="s">
        <v>226</v>
      </c>
      <c r="F433" s="177">
        <v>42500384000151</v>
      </c>
      <c r="G433" s="177" t="s">
        <v>896</v>
      </c>
      <c r="H433" s="177" t="s">
        <v>388</v>
      </c>
      <c r="I433" s="178">
        <v>1</v>
      </c>
      <c r="J433" s="179">
        <v>4</v>
      </c>
      <c r="K433" s="179" t="s">
        <v>111</v>
      </c>
      <c r="L433" s="179" t="s">
        <v>118</v>
      </c>
      <c r="M433" s="179" t="s">
        <v>986</v>
      </c>
      <c r="N433" s="179" t="s">
        <v>109</v>
      </c>
      <c r="O433" s="180">
        <v>150000</v>
      </c>
      <c r="P433" s="181">
        <v>150000000</v>
      </c>
      <c r="Q433" s="181">
        <v>1000</v>
      </c>
      <c r="R433" s="182">
        <v>43600</v>
      </c>
      <c r="S433" s="182">
        <v>46522</v>
      </c>
      <c r="T433" s="183" t="s">
        <v>776</v>
      </c>
      <c r="U433" s="183" t="s">
        <v>113</v>
      </c>
      <c r="V433" s="182" t="s">
        <v>105</v>
      </c>
      <c r="W433" s="182" t="s">
        <v>102</v>
      </c>
      <c r="X433" s="182" t="s">
        <v>1322</v>
      </c>
      <c r="Y433" s="182">
        <v>46522</v>
      </c>
      <c r="Z433" s="184">
        <f>IFERROR(INDEX(Base!G:G,MATCH('Debêntures IPCA-Spread'!Y433,Base!F:F,0)),"")</f>
        <v>6.391</v>
      </c>
      <c r="AA433" s="115"/>
      <c r="AB433" s="185">
        <v>45552</v>
      </c>
      <c r="AC433" s="186">
        <v>6.4909999999999997</v>
      </c>
      <c r="AD433" s="187">
        <f t="shared" si="19"/>
        <v>9.9999999999999645E-2</v>
      </c>
      <c r="AE433" s="188">
        <v>0.17</v>
      </c>
      <c r="AF433" s="189">
        <v>6.6870000000000003</v>
      </c>
      <c r="AG433" s="189">
        <v>6.3840000000000003</v>
      </c>
      <c r="AH433" s="190">
        <v>1314.2805920000001</v>
      </c>
      <c r="AI433" s="190">
        <v>1314.2805920000001</v>
      </c>
      <c r="AJ433" s="191">
        <f t="shared" si="18"/>
        <v>1</v>
      </c>
      <c r="AK433" s="192">
        <v>45552</v>
      </c>
      <c r="AL433" s="193">
        <v>96.59</v>
      </c>
      <c r="AM433" s="194">
        <v>620</v>
      </c>
      <c r="AN433" s="115"/>
      <c r="AO433" s="195">
        <v>1.8153699184E-3</v>
      </c>
      <c r="AP433" s="196">
        <f>IF(AO433="","",AO433-AO$6)</f>
        <v>1.33522503347E-3</v>
      </c>
      <c r="AQ433" s="196">
        <v>1.2328272307E-2</v>
      </c>
      <c r="AR433" s="196">
        <f>IF(AQ433="","",AQ433-AQ$6)</f>
        <v>1.2545779059959999E-2</v>
      </c>
      <c r="AS433" s="196">
        <v>8.2782021095999997E-2</v>
      </c>
      <c r="AT433" s="196">
        <f>IF(AS433="","",AS433-AS$6)</f>
        <v>6.8056186041E-2</v>
      </c>
      <c r="AU433" s="196">
        <v>1.1456498194000001E-2</v>
      </c>
      <c r="AV433" s="196">
        <f>IF(AU433="","",AU433-AU$6)</f>
        <v>2.4525080790000001E-2</v>
      </c>
      <c r="AW433" s="196">
        <v>3.7932349472999997E-2</v>
      </c>
      <c r="AX433" s="196">
        <f>IF(AW433="","",AW433-AW$6)</f>
        <v>1.3937281684999997E-2</v>
      </c>
      <c r="AY433" s="196">
        <v>4.0077606597999998E-2</v>
      </c>
      <c r="AZ433" s="196">
        <f>IF(AY433="","",AY433-AY$6)</f>
        <v>2.5835351808E-2</v>
      </c>
      <c r="BA433" s="196">
        <v>0.11254039346</v>
      </c>
      <c r="BB433" s="196">
        <f>IF(BA433="","",BA433-BA$6)</f>
        <v>5.9053428902000001E-2</v>
      </c>
      <c r="BC433" s="196">
        <v>0.23408706159000001</v>
      </c>
      <c r="BD433" s="196">
        <f>IF(BC433="","",BC433-BC$6)</f>
        <v>3.9778495100000005E-2</v>
      </c>
      <c r="BE433" s="196">
        <v>0.36227475233</v>
      </c>
      <c r="BF433" s="196">
        <f>IF(BE433="","",BE433-BE$6)</f>
        <v>0.10055541279000002</v>
      </c>
      <c r="BG433" s="196">
        <v>0.49560521421999998</v>
      </c>
      <c r="BH433" s="196">
        <f>IF(BG433="","",BG433-BG$6)</f>
        <v>0.18668856540999995</v>
      </c>
      <c r="BI433" s="196"/>
      <c r="BJ433" s="196" t="str">
        <f>IF(BI433="","",BI433-BI$6)</f>
        <v/>
      </c>
      <c r="BK433" s="197">
        <v>3.25584563</v>
      </c>
      <c r="BL433" s="115"/>
      <c r="BM433" s="198">
        <v>6.2059014217000002E-3</v>
      </c>
      <c r="BN433" s="191">
        <v>-7.1171863991999996E-3</v>
      </c>
      <c r="BO433" s="191">
        <v>2.2180811288999999E-2</v>
      </c>
      <c r="BP433" s="191">
        <v>-8.7786141020999992E-3</v>
      </c>
      <c r="BQ433" s="199">
        <v>9</v>
      </c>
      <c r="BR433" s="199">
        <v>3</v>
      </c>
      <c r="BS433" s="199">
        <v>8</v>
      </c>
      <c r="BT433" s="199">
        <v>4</v>
      </c>
      <c r="BU433" s="200">
        <v>3.7383343827000003E-2</v>
      </c>
      <c r="BV433" s="200">
        <v>-0.16988822804000001</v>
      </c>
      <c r="BW433" s="191">
        <v>3.3642913437999999E-3</v>
      </c>
      <c r="BX433" s="191">
        <v>2.6145040709E-3</v>
      </c>
      <c r="BY433" s="189">
        <v>-0.27224048111999999</v>
      </c>
      <c r="BZ433" s="191">
        <v>-1.7154757935000001E-2</v>
      </c>
      <c r="CA433" s="191">
        <v>-1.7154757935000001E-2</v>
      </c>
      <c r="CB433" s="182">
        <v>45209</v>
      </c>
      <c r="CC433" s="182">
        <v>45222</v>
      </c>
      <c r="CD433" s="201">
        <v>28</v>
      </c>
      <c r="CE433" s="202">
        <v>45252</v>
      </c>
      <c r="CF433" s="115"/>
    </row>
    <row r="434" spans="2:84" ht="15.6" x14ac:dyDescent="0.3">
      <c r="B434" s="110" t="s">
        <v>1117</v>
      </c>
      <c r="C434" s="147" t="s">
        <v>1281</v>
      </c>
      <c r="D434" s="148" t="s">
        <v>2859</v>
      </c>
      <c r="E434" s="148" t="s">
        <v>226</v>
      </c>
      <c r="F434" s="149">
        <v>42500384000151</v>
      </c>
      <c r="G434" s="149" t="s">
        <v>1178</v>
      </c>
      <c r="H434" s="149" t="s">
        <v>388</v>
      </c>
      <c r="I434" s="150">
        <v>2</v>
      </c>
      <c r="J434" s="151">
        <v>1</v>
      </c>
      <c r="K434" s="151" t="s">
        <v>111</v>
      </c>
      <c r="L434" s="151" t="s">
        <v>123</v>
      </c>
      <c r="M434" s="151" t="s">
        <v>986</v>
      </c>
      <c r="N434" s="151" t="s">
        <v>109</v>
      </c>
      <c r="O434" s="152">
        <v>110000</v>
      </c>
      <c r="P434" s="153">
        <v>110000000</v>
      </c>
      <c r="Q434" s="153">
        <v>1000</v>
      </c>
      <c r="R434" s="154">
        <v>44089</v>
      </c>
      <c r="S434" s="154">
        <v>47011</v>
      </c>
      <c r="T434" s="155" t="s">
        <v>1244</v>
      </c>
      <c r="U434" s="155" t="s">
        <v>113</v>
      </c>
      <c r="V434" s="154" t="s">
        <v>105</v>
      </c>
      <c r="W434" s="154" t="s">
        <v>102</v>
      </c>
      <c r="X434" s="154" t="s">
        <v>985</v>
      </c>
      <c r="Y434" s="154">
        <v>46980</v>
      </c>
      <c r="Z434" s="156">
        <f>IFERROR(INDEX(Base!G:G,MATCH('Debêntures IPCA-Spread'!Y434,Base!F:F,0)),"")</f>
        <v>6.4702000000000002</v>
      </c>
      <c r="AA434" s="115"/>
      <c r="AB434" s="157">
        <v>45552</v>
      </c>
      <c r="AC434" s="158">
        <v>6.6738999999999997</v>
      </c>
      <c r="AD434" s="159">
        <f t="shared" si="19"/>
        <v>0.20369999999999955</v>
      </c>
      <c r="AE434" s="160">
        <v>0.3</v>
      </c>
      <c r="AF434" s="161">
        <v>6.9527000000000001</v>
      </c>
      <c r="AG434" s="161">
        <v>6.5450999999999997</v>
      </c>
      <c r="AH434" s="162">
        <v>1200.129185</v>
      </c>
      <c r="AI434" s="162">
        <v>1202.5224224999999</v>
      </c>
      <c r="AJ434" s="163">
        <f t="shared" si="18"/>
        <v>0.99800981881483386</v>
      </c>
      <c r="AK434" s="164">
        <v>45544</v>
      </c>
      <c r="AL434" s="165">
        <v>92.25</v>
      </c>
      <c r="AM434" s="166">
        <v>928</v>
      </c>
      <c r="AN434" s="115"/>
      <c r="AO434" s="167">
        <v>3.5843488458000001E-3</v>
      </c>
      <c r="AP434" s="168">
        <f>IF(AO434="","",AO434-AO$6)</f>
        <v>3.1042039608700001E-3</v>
      </c>
      <c r="AQ434" s="168">
        <v>1.2237722447000001E-2</v>
      </c>
      <c r="AR434" s="168">
        <f>IF(AQ434="","",AQ434-AQ$6)</f>
        <v>1.245522919996E-2</v>
      </c>
      <c r="AS434" s="168">
        <v>7.8249328916999997E-2</v>
      </c>
      <c r="AT434" s="168">
        <f>IF(AS434="","",AS434-AS$6)</f>
        <v>6.3523493861999999E-2</v>
      </c>
      <c r="AU434" s="168">
        <v>5.6379657908000001E-3</v>
      </c>
      <c r="AV434" s="168">
        <f>IF(AU434="","",AU434-AU$6)</f>
        <v>1.8706548386799998E-2</v>
      </c>
      <c r="AW434" s="168">
        <v>4.3356853538999998E-2</v>
      </c>
      <c r="AX434" s="168">
        <f>IF(AW434="","",AW434-AW$6)</f>
        <v>1.9361785750999998E-2</v>
      </c>
      <c r="AY434" s="168">
        <v>3.3777677354000002E-2</v>
      </c>
      <c r="AZ434" s="168">
        <f>IF(AY434="","",AY434-AY$6)</f>
        <v>1.9535422564000003E-2</v>
      </c>
      <c r="BA434" s="168">
        <v>9.3363655160000003E-2</v>
      </c>
      <c r="BB434" s="168">
        <f>IF(BA434="","",BA434-BA$6)</f>
        <v>3.9876690602000005E-2</v>
      </c>
      <c r="BC434" s="168">
        <v>0.22918398823</v>
      </c>
      <c r="BD434" s="168">
        <f>IF(BC434="","",BC434-BC$6)</f>
        <v>3.4875421739999996E-2</v>
      </c>
      <c r="BE434" s="168">
        <v>0.35106624109000001</v>
      </c>
      <c r="BF434" s="168">
        <f>IF(BE434="","",BE434-BE$6)</f>
        <v>8.9346901550000024E-2</v>
      </c>
      <c r="BG434" s="168"/>
      <c r="BH434" s="168" t="str">
        <f>IF(BG434="","",BG434-BG$6)</f>
        <v/>
      </c>
      <c r="BI434" s="168"/>
      <c r="BJ434" s="168" t="str">
        <f>IF(BI434="","",BI434-BI$6)</f>
        <v/>
      </c>
      <c r="BK434" s="169">
        <v>5.4868590357000002</v>
      </c>
      <c r="BL434" s="115"/>
      <c r="BM434" s="170">
        <v>1.3037869781E-2</v>
      </c>
      <c r="BN434" s="163">
        <v>-1.4250668528000001E-2</v>
      </c>
      <c r="BO434" s="163">
        <v>2.7078488558000002E-2</v>
      </c>
      <c r="BP434" s="163">
        <v>-1.4869820133000001E-2</v>
      </c>
      <c r="BQ434" s="171">
        <v>9</v>
      </c>
      <c r="BR434" s="171">
        <v>3</v>
      </c>
      <c r="BS434" s="171">
        <v>7</v>
      </c>
      <c r="BT434" s="171">
        <v>5</v>
      </c>
      <c r="BU434" s="172">
        <v>-0.27495178295</v>
      </c>
      <c r="BV434" s="172">
        <v>-0.15156987449000001</v>
      </c>
      <c r="BW434" s="163">
        <v>5.6668744795000002E-3</v>
      </c>
      <c r="BX434" s="163">
        <v>5.0948296769999998E-3</v>
      </c>
      <c r="BY434" s="161">
        <v>-2.3002321378000001</v>
      </c>
      <c r="BZ434" s="163">
        <v>-4.1544337222000002E-2</v>
      </c>
      <c r="CA434" s="163">
        <v>-4.1544337222000002E-2</v>
      </c>
      <c r="CB434" s="154">
        <v>45187</v>
      </c>
      <c r="CC434" s="154">
        <v>45222</v>
      </c>
      <c r="CD434" s="173">
        <v>62</v>
      </c>
      <c r="CE434" s="174">
        <v>45278</v>
      </c>
      <c r="CF434" s="115"/>
    </row>
    <row r="435" spans="2:84" ht="15.6" x14ac:dyDescent="0.3">
      <c r="B435" s="98" t="s">
        <v>578</v>
      </c>
      <c r="C435" s="175" t="s">
        <v>743</v>
      </c>
      <c r="D435" s="176" t="s">
        <v>2859</v>
      </c>
      <c r="E435" s="176" t="s">
        <v>226</v>
      </c>
      <c r="F435" s="177">
        <v>42500384000151</v>
      </c>
      <c r="G435" s="177" t="s">
        <v>897</v>
      </c>
      <c r="H435" s="177" t="s">
        <v>388</v>
      </c>
      <c r="I435" s="178">
        <v>2</v>
      </c>
      <c r="J435" s="179">
        <v>2</v>
      </c>
      <c r="K435" s="179" t="s">
        <v>111</v>
      </c>
      <c r="L435" s="179" t="s">
        <v>123</v>
      </c>
      <c r="M435" s="179" t="s">
        <v>986</v>
      </c>
      <c r="N435" s="179" t="s">
        <v>109</v>
      </c>
      <c r="O435" s="180">
        <v>50000</v>
      </c>
      <c r="P435" s="181">
        <v>50000000</v>
      </c>
      <c r="Q435" s="181">
        <v>1000</v>
      </c>
      <c r="R435" s="182">
        <v>44089</v>
      </c>
      <c r="S435" s="182">
        <v>47011</v>
      </c>
      <c r="T435" s="183" t="s">
        <v>807</v>
      </c>
      <c r="U435" s="183" t="s">
        <v>161</v>
      </c>
      <c r="V435" s="182" t="s">
        <v>105</v>
      </c>
      <c r="W435" s="182" t="s">
        <v>102</v>
      </c>
      <c r="X435" s="182" t="s">
        <v>985</v>
      </c>
      <c r="Y435" s="182">
        <v>46980</v>
      </c>
      <c r="Z435" s="184">
        <f>IFERROR(INDEX(Base!G:G,MATCH('Debêntures IPCA-Spread'!Y435,Base!F:F,0)),"")</f>
        <v>6.4702000000000002</v>
      </c>
      <c r="AA435" s="115"/>
      <c r="AB435" s="185">
        <v>45552</v>
      </c>
      <c r="AC435" s="186">
        <v>6.6778000000000004</v>
      </c>
      <c r="AD435" s="187">
        <f t="shared" si="19"/>
        <v>0.20760000000000023</v>
      </c>
      <c r="AE435" s="188">
        <v>0.28000000000000003</v>
      </c>
      <c r="AF435" s="189">
        <v>6.8585000000000003</v>
      </c>
      <c r="AG435" s="189">
        <v>6.6771000000000003</v>
      </c>
      <c r="AH435" s="190">
        <v>1198.899359</v>
      </c>
      <c r="AI435" s="190">
        <v>1201.1159608</v>
      </c>
      <c r="AJ435" s="191">
        <f t="shared" si="18"/>
        <v>0.99815454804336823</v>
      </c>
      <c r="AK435" s="192">
        <v>45544</v>
      </c>
      <c r="AL435" s="193">
        <v>92.16</v>
      </c>
      <c r="AM435" s="194">
        <v>938</v>
      </c>
      <c r="AN435" s="115"/>
      <c r="AO435" s="195">
        <v>5.0949159577000002E-3</v>
      </c>
      <c r="AP435" s="196">
        <f>IF(AO435="","",AO435-AO$6)</f>
        <v>4.6147710727700002E-3</v>
      </c>
      <c r="AQ435" s="196">
        <v>1.0642643799E-2</v>
      </c>
      <c r="AR435" s="196">
        <f>IF(AQ435="","",AQ435-AQ$6)</f>
        <v>1.0860150551959999E-2</v>
      </c>
      <c r="AS435" s="196">
        <v>7.8252813761999995E-2</v>
      </c>
      <c r="AT435" s="196">
        <f>IF(AS435="","",AS435-AS$6)</f>
        <v>6.3526978706999998E-2</v>
      </c>
      <c r="AU435" s="196">
        <v>6.8473175633999997E-3</v>
      </c>
      <c r="AV435" s="196">
        <f>IF(AU435="","",AU435-AU$6)</f>
        <v>1.99159001594E-2</v>
      </c>
      <c r="AW435" s="196">
        <v>4.3332522829999998E-2</v>
      </c>
      <c r="AX435" s="196">
        <f>IF(AW435="","",AW435-AW$6)</f>
        <v>1.9337455041999997E-2</v>
      </c>
      <c r="AY435" s="196">
        <v>3.7961178108000003E-2</v>
      </c>
      <c r="AZ435" s="196">
        <f>IF(AY435="","",AY435-AY$6)</f>
        <v>2.3718923318000004E-2</v>
      </c>
      <c r="BA435" s="196">
        <v>9.9136526091000002E-2</v>
      </c>
      <c r="BB435" s="196">
        <f>IF(BA435="","",BA435-BA$6)</f>
        <v>4.5649561533000003E-2</v>
      </c>
      <c r="BC435" s="196">
        <v>0.23036502209000001</v>
      </c>
      <c r="BD435" s="196">
        <f>IF(BC435="","",BC435-BC$6)</f>
        <v>3.6056455600000009E-2</v>
      </c>
      <c r="BE435" s="196">
        <v>0.35056502483000002</v>
      </c>
      <c r="BF435" s="196">
        <f>IF(BE435="","",BE435-BE$6)</f>
        <v>8.8845685290000032E-2</v>
      </c>
      <c r="BG435" s="196"/>
      <c r="BH435" s="196" t="str">
        <f>IF(BG435="","",BG435-BG$6)</f>
        <v/>
      </c>
      <c r="BI435" s="196"/>
      <c r="BJ435" s="196" t="str">
        <f>IF(BI435="","",BI435-BI$6)</f>
        <v/>
      </c>
      <c r="BK435" s="197">
        <v>4.9672941538000002</v>
      </c>
      <c r="BL435" s="115"/>
      <c r="BM435" s="198">
        <v>9.2994519363999995E-3</v>
      </c>
      <c r="BN435" s="191">
        <v>-9.6779709182999996E-3</v>
      </c>
      <c r="BO435" s="191">
        <v>2.6806365067000001E-2</v>
      </c>
      <c r="BP435" s="191">
        <v>-1.7178152535000001E-2</v>
      </c>
      <c r="BQ435" s="199">
        <v>9</v>
      </c>
      <c r="BR435" s="199">
        <v>3</v>
      </c>
      <c r="BS435" s="199">
        <v>8</v>
      </c>
      <c r="BT435" s="199">
        <v>4</v>
      </c>
      <c r="BU435" s="200">
        <v>-0.20432782722000001</v>
      </c>
      <c r="BV435" s="200">
        <v>-0.18148949111000001</v>
      </c>
      <c r="BW435" s="191">
        <v>5.1318688602000001E-3</v>
      </c>
      <c r="BX435" s="191">
        <v>5.9536601958999997E-3</v>
      </c>
      <c r="BY435" s="189">
        <v>-1.7454969434000001</v>
      </c>
      <c r="BZ435" s="191">
        <v>-2.8451768321999998E-2</v>
      </c>
      <c r="CA435" s="191">
        <v>-2.8451768321999998E-2</v>
      </c>
      <c r="CB435" s="182">
        <v>45189</v>
      </c>
      <c r="CC435" s="182">
        <v>45222</v>
      </c>
      <c r="CD435" s="201">
        <v>56</v>
      </c>
      <c r="CE435" s="202">
        <v>45272</v>
      </c>
      <c r="CF435" s="115"/>
    </row>
    <row r="436" spans="2:84" ht="15.6" x14ac:dyDescent="0.3">
      <c r="B436" s="110" t="s">
        <v>1499</v>
      </c>
      <c r="C436" s="147" t="s">
        <v>2145</v>
      </c>
      <c r="D436" s="148" t="s">
        <v>1933</v>
      </c>
      <c r="E436" s="148" t="s">
        <v>226</v>
      </c>
      <c r="F436" s="149">
        <v>29554549000100</v>
      </c>
      <c r="G436" s="149" t="s">
        <v>1857</v>
      </c>
      <c r="H436" s="149" t="s">
        <v>388</v>
      </c>
      <c r="I436" s="150">
        <v>1</v>
      </c>
      <c r="J436" s="151" t="s">
        <v>107</v>
      </c>
      <c r="K436" s="151" t="s">
        <v>111</v>
      </c>
      <c r="L436" s="151" t="s">
        <v>112</v>
      </c>
      <c r="M436" s="151" t="s">
        <v>986</v>
      </c>
      <c r="N436" s="151" t="s">
        <v>109</v>
      </c>
      <c r="O436" s="152">
        <v>116000</v>
      </c>
      <c r="P436" s="153">
        <v>116000000</v>
      </c>
      <c r="Q436" s="153">
        <v>1000</v>
      </c>
      <c r="R436" s="154">
        <v>44150</v>
      </c>
      <c r="S436" s="154">
        <v>51455</v>
      </c>
      <c r="T436" s="155" t="s">
        <v>1995</v>
      </c>
      <c r="U436" s="155" t="s">
        <v>1719</v>
      </c>
      <c r="V436" s="154" t="s">
        <v>105</v>
      </c>
      <c r="W436" s="154" t="s">
        <v>102</v>
      </c>
      <c r="X436" s="154" t="s">
        <v>1353</v>
      </c>
      <c r="Y436" s="154">
        <v>48714</v>
      </c>
      <c r="Z436" s="156">
        <f>IFERROR(INDEX(Base!G:G,MATCH('Debêntures IPCA-Spread'!Y436,Base!F:F,0)),"")</f>
        <v>6.3373999999999997</v>
      </c>
      <c r="AA436" s="115"/>
      <c r="AB436" s="157">
        <v>45552</v>
      </c>
      <c r="AC436" s="158">
        <v>6.8025000000000002</v>
      </c>
      <c r="AD436" s="159">
        <f t="shared" si="19"/>
        <v>0.46510000000000051</v>
      </c>
      <c r="AE436" s="160">
        <v>0.4</v>
      </c>
      <c r="AF436" s="161">
        <v>6.9555999999999996</v>
      </c>
      <c r="AG436" s="161">
        <v>6.5457000000000001</v>
      </c>
      <c r="AH436" s="162">
        <v>1181.8672160000001</v>
      </c>
      <c r="AI436" s="162">
        <v>1206.9334759999999</v>
      </c>
      <c r="AJ436" s="163">
        <f t="shared" si="18"/>
        <v>0.97923144854422794</v>
      </c>
      <c r="AK436" s="164">
        <v>45517</v>
      </c>
      <c r="AL436" s="165">
        <v>94.32</v>
      </c>
      <c r="AM436" s="166">
        <v>1714</v>
      </c>
      <c r="AN436" s="115"/>
      <c r="AO436" s="167">
        <v>-4.7978184783999999E-3</v>
      </c>
      <c r="AP436" s="168">
        <f>IF(AO436="","",AO436-AO$6)</f>
        <v>-5.2779633633299999E-3</v>
      </c>
      <c r="AQ436" s="168">
        <v>-2.0573758628999999E-3</v>
      </c>
      <c r="AR436" s="168">
        <f>IF(AQ436="","",AQ436-AQ$6)</f>
        <v>-1.8398691099399999E-3</v>
      </c>
      <c r="AS436" s="168">
        <v>7.2281501018999994E-2</v>
      </c>
      <c r="AT436" s="168">
        <f>IF(AS436="","",AS436-AS$6)</f>
        <v>5.7555665963999997E-2</v>
      </c>
      <c r="AU436" s="168">
        <v>-1.5843189131E-2</v>
      </c>
      <c r="AV436" s="168">
        <f>IF(AU436="","",AU436-AU$6)</f>
        <v>-2.7746065349999998E-3</v>
      </c>
      <c r="AW436" s="168">
        <v>5.7476327421999998E-2</v>
      </c>
      <c r="AX436" s="168">
        <f>IF(AW436="","",AW436-AW$6)</f>
        <v>3.3481259633999998E-2</v>
      </c>
      <c r="AY436" s="168">
        <v>2.0107561074999999E-2</v>
      </c>
      <c r="AZ436" s="168">
        <f>IF(AY436="","",AY436-AY$6)</f>
        <v>5.8653062849999982E-3</v>
      </c>
      <c r="BA436" s="168">
        <v>0.11764207792</v>
      </c>
      <c r="BB436" s="168">
        <f>IF(BA436="","",BA436-BA$6)</f>
        <v>6.4155113361999999E-2</v>
      </c>
      <c r="BC436" s="168">
        <v>0.25558553668</v>
      </c>
      <c r="BD436" s="168">
        <f>IF(BC436="","",BC436-BC$6)</f>
        <v>6.1276970190000002E-2</v>
      </c>
      <c r="BE436" s="168"/>
      <c r="BF436" s="168" t="str">
        <f>IF(BE436="","",BE436-BE$6)</f>
        <v/>
      </c>
      <c r="BG436" s="168"/>
      <c r="BH436" s="168" t="str">
        <f>IF(BG436="","",BG436-BG$6)</f>
        <v/>
      </c>
      <c r="BI436" s="168"/>
      <c r="BJ436" s="168" t="str">
        <f>IF(BI436="","",BI436-BI$6)</f>
        <v/>
      </c>
      <c r="BK436" s="169">
        <v>7.9901484715000004</v>
      </c>
      <c r="BL436" s="115"/>
      <c r="BM436" s="170">
        <v>1.7917778823E-2</v>
      </c>
      <c r="BN436" s="163">
        <v>-1.5144485060999999E-2</v>
      </c>
      <c r="BO436" s="163">
        <v>5.4075629797999999E-2</v>
      </c>
      <c r="BP436" s="163">
        <v>-2.1145577373000001E-2</v>
      </c>
      <c r="BQ436" s="171">
        <v>6</v>
      </c>
      <c r="BR436" s="171">
        <v>6</v>
      </c>
      <c r="BS436" s="171">
        <v>6</v>
      </c>
      <c r="BT436" s="171">
        <v>6</v>
      </c>
      <c r="BU436" s="172">
        <v>0.10620814175</v>
      </c>
      <c r="BV436" s="172"/>
      <c r="BW436" s="163">
        <v>8.2624506055000001E-3</v>
      </c>
      <c r="BX436" s="163">
        <v>8.4999548257000002E-3</v>
      </c>
      <c r="BY436" s="161">
        <v>8.8237689619999997E-3</v>
      </c>
      <c r="BZ436" s="163">
        <v>-3.7608603134000003E-2</v>
      </c>
      <c r="CA436" s="163">
        <v>-3.7608603134000003E-2</v>
      </c>
      <c r="CB436" s="154">
        <v>45357</v>
      </c>
      <c r="CC436" s="154">
        <v>45460</v>
      </c>
      <c r="CD436" s="173">
        <v>102</v>
      </c>
      <c r="CE436" s="174">
        <v>45504</v>
      </c>
      <c r="CF436" s="115"/>
    </row>
    <row r="437" spans="2:84" ht="15.6" x14ac:dyDescent="0.3">
      <c r="B437" s="98" t="s">
        <v>455</v>
      </c>
      <c r="C437" s="175" t="s">
        <v>477</v>
      </c>
      <c r="D437" s="176" t="s">
        <v>460</v>
      </c>
      <c r="E437" s="176" t="s">
        <v>226</v>
      </c>
      <c r="F437" s="177">
        <v>23907723000174</v>
      </c>
      <c r="G437" s="177" t="s">
        <v>467</v>
      </c>
      <c r="H437" s="177" t="s">
        <v>388</v>
      </c>
      <c r="I437" s="178">
        <v>1</v>
      </c>
      <c r="J437" s="179" t="s">
        <v>107</v>
      </c>
      <c r="K437" s="179" t="s">
        <v>126</v>
      </c>
      <c r="L437" s="179" t="s">
        <v>112</v>
      </c>
      <c r="M437" s="179" t="s">
        <v>114</v>
      </c>
      <c r="N437" s="179" t="s">
        <v>109</v>
      </c>
      <c r="O437" s="180">
        <v>130000</v>
      </c>
      <c r="P437" s="181">
        <v>130000000</v>
      </c>
      <c r="Q437" s="181">
        <v>1000</v>
      </c>
      <c r="R437" s="182">
        <v>43358</v>
      </c>
      <c r="S437" s="182">
        <v>48563</v>
      </c>
      <c r="T437" s="183" t="s">
        <v>481</v>
      </c>
      <c r="U437" s="183" t="s">
        <v>481</v>
      </c>
      <c r="V437" s="182" t="s">
        <v>194</v>
      </c>
      <c r="W437" s="182" t="s">
        <v>102</v>
      </c>
      <c r="X437" s="182" t="s">
        <v>1375</v>
      </c>
      <c r="Y437" s="182">
        <v>46980</v>
      </c>
      <c r="Z437" s="184">
        <f>IFERROR(INDEX(Base!G:G,MATCH('Debêntures IPCA-Spread'!Y437,Base!F:F,0)),"")</f>
        <v>6.4702000000000002</v>
      </c>
      <c r="AA437" s="115"/>
      <c r="AB437" s="185">
        <v>45552</v>
      </c>
      <c r="AC437" s="186">
        <v>6.4302000000000001</v>
      </c>
      <c r="AD437" s="187">
        <f t="shared" si="19"/>
        <v>-4.0000000000000036E-2</v>
      </c>
      <c r="AE437" s="188">
        <v>0.3</v>
      </c>
      <c r="AF437" s="189">
        <v>6.6936999999999998</v>
      </c>
      <c r="AG437" s="189">
        <v>6.2877000000000001</v>
      </c>
      <c r="AH437" s="190">
        <v>903.93740700000001</v>
      </c>
      <c r="AI437" s="190">
        <v>908.72665400000005</v>
      </c>
      <c r="AJ437" s="191">
        <f t="shared" si="18"/>
        <v>0.9947297165996849</v>
      </c>
      <c r="AK437" s="192">
        <v>45517</v>
      </c>
      <c r="AL437" s="193">
        <v>102.31</v>
      </c>
      <c r="AM437" s="194">
        <v>935</v>
      </c>
      <c r="AN437" s="115"/>
      <c r="AO437" s="195">
        <v>1.4423330249000001E-3</v>
      </c>
      <c r="AP437" s="196">
        <f>IF(AO437="","",AO437-AO$6)</f>
        <v>9.6218813997000011E-4</v>
      </c>
      <c r="AQ437" s="196">
        <v>5.9330131353000004E-3</v>
      </c>
      <c r="AR437" s="196">
        <f>IF(AQ437="","",AQ437-AQ$6)</f>
        <v>6.1505198882600004E-3</v>
      </c>
      <c r="AS437" s="196">
        <v>8.7986675932999997E-2</v>
      </c>
      <c r="AT437" s="196">
        <f>IF(AS437="","",AS437-AS$6)</f>
        <v>7.3260840878E-2</v>
      </c>
      <c r="AU437" s="196">
        <v>-4.4740711592E-3</v>
      </c>
      <c r="AV437" s="196">
        <f>IF(AU437="","",AU437-AU$6)</f>
        <v>8.5945114367999998E-3</v>
      </c>
      <c r="AW437" s="196">
        <v>3.4432868834999998E-2</v>
      </c>
      <c r="AX437" s="196">
        <f>IF(AW437="","",AW437-AW$6)</f>
        <v>1.0437801046999998E-2</v>
      </c>
      <c r="AY437" s="196">
        <v>3.2829075336999997E-2</v>
      </c>
      <c r="AZ437" s="196">
        <f>IF(AY437="","",AY437-AY$6)</f>
        <v>1.8586820546999998E-2</v>
      </c>
      <c r="BA437" s="196">
        <v>0.10588884282</v>
      </c>
      <c r="BB437" s="196">
        <f>IF(BA437="","",BA437-BA$6)</f>
        <v>5.2401878261999997E-2</v>
      </c>
      <c r="BC437" s="196">
        <v>0.21592038661999999</v>
      </c>
      <c r="BD437" s="196">
        <f>IF(BC437="","",BC437-BC$6)</f>
        <v>2.1611820129999987E-2</v>
      </c>
      <c r="BE437" s="196">
        <v>0.32627782048999998</v>
      </c>
      <c r="BF437" s="196">
        <f>IF(BE437="","",BE437-BE$6)</f>
        <v>6.4558480949999997E-2</v>
      </c>
      <c r="BG437" s="196">
        <v>0.43769749291999999</v>
      </c>
      <c r="BH437" s="196">
        <f>IF(BG437="","",BG437-BG$6)</f>
        <v>0.12878084410999996</v>
      </c>
      <c r="BI437" s="196">
        <v>0.49798289473000001</v>
      </c>
      <c r="BJ437" s="196">
        <f>IF(BI437="","",BI437-BI$6)</f>
        <v>0.12503988464999999</v>
      </c>
      <c r="BK437" s="197">
        <v>4.8662907152999999</v>
      </c>
      <c r="BL437" s="115"/>
      <c r="BM437" s="198">
        <v>1.0392472232999999E-2</v>
      </c>
      <c r="BN437" s="191">
        <v>-1.7274340988E-2</v>
      </c>
      <c r="BO437" s="191">
        <v>2.6917485517999998E-2</v>
      </c>
      <c r="BP437" s="191">
        <v>-6.8055743331999997E-3</v>
      </c>
      <c r="BQ437" s="199">
        <v>10</v>
      </c>
      <c r="BR437" s="199">
        <v>2</v>
      </c>
      <c r="BS437" s="199">
        <v>6</v>
      </c>
      <c r="BT437" s="199">
        <v>6</v>
      </c>
      <c r="BU437" s="200">
        <v>-8.4683657258999998E-2</v>
      </c>
      <c r="BV437" s="200">
        <v>-0.32682738215000001</v>
      </c>
      <c r="BW437" s="191">
        <v>5.0257121128000001E-3</v>
      </c>
      <c r="BX437" s="191">
        <v>4.0626634851000003E-3</v>
      </c>
      <c r="BY437" s="189">
        <v>-1.0044357121</v>
      </c>
      <c r="BZ437" s="191">
        <v>-1.7274340988999999E-2</v>
      </c>
      <c r="CA437" s="191">
        <v>-1.7274340988999999E-2</v>
      </c>
      <c r="CB437" s="182">
        <v>45274</v>
      </c>
      <c r="CC437" s="182">
        <v>45275</v>
      </c>
      <c r="CD437" s="201">
        <v>19</v>
      </c>
      <c r="CE437" s="202">
        <v>45303</v>
      </c>
      <c r="CF437" s="115"/>
    </row>
    <row r="438" spans="2:84" ht="15.6" x14ac:dyDescent="0.3">
      <c r="B438" s="110" t="s">
        <v>1500</v>
      </c>
      <c r="C438" s="147" t="s">
        <v>2146</v>
      </c>
      <c r="D438" s="148" t="s">
        <v>1934</v>
      </c>
      <c r="E438" s="148" t="s">
        <v>1963</v>
      </c>
      <c r="F438" s="149">
        <v>33042730000104</v>
      </c>
      <c r="G438" s="149" t="s">
        <v>1858</v>
      </c>
      <c r="H438" s="149" t="s">
        <v>388</v>
      </c>
      <c r="I438" s="150">
        <v>14</v>
      </c>
      <c r="J438" s="151">
        <v>1</v>
      </c>
      <c r="K438" s="151" t="s">
        <v>111</v>
      </c>
      <c r="L438" s="151" t="s">
        <v>118</v>
      </c>
      <c r="M438" s="151" t="s">
        <v>986</v>
      </c>
      <c r="N438" s="151" t="s">
        <v>109</v>
      </c>
      <c r="O438" s="152">
        <v>320000</v>
      </c>
      <c r="P438" s="153">
        <v>320000000</v>
      </c>
      <c r="Q438" s="153">
        <v>1000</v>
      </c>
      <c r="R438" s="154">
        <v>45122</v>
      </c>
      <c r="S438" s="154">
        <v>47679</v>
      </c>
      <c r="T438" s="155" t="s">
        <v>1972</v>
      </c>
      <c r="U438" s="155" t="s">
        <v>113</v>
      </c>
      <c r="V438" s="154" t="s">
        <v>105</v>
      </c>
      <c r="W438" s="154" t="s">
        <v>102</v>
      </c>
      <c r="X438" s="154" t="s">
        <v>1623</v>
      </c>
      <c r="Y438" s="154">
        <v>47710</v>
      </c>
      <c r="Z438" s="156">
        <f>IFERROR(INDEX(Base!G:G,MATCH('Debêntures IPCA-Spread'!Y438,Base!F:F,0)),"")</f>
        <v>6.3273999999999999</v>
      </c>
      <c r="AA438" s="115"/>
      <c r="AB438" s="157">
        <v>45552</v>
      </c>
      <c r="AC438" s="158">
        <v>7.4812000000000003</v>
      </c>
      <c r="AD438" s="159">
        <f t="shared" si="19"/>
        <v>1.1538000000000004</v>
      </c>
      <c r="AE438" s="160">
        <v>0.2</v>
      </c>
      <c r="AF438" s="161">
        <v>7.641</v>
      </c>
      <c r="AG438" s="161"/>
      <c r="AH438" s="162">
        <v>1012.304128</v>
      </c>
      <c r="AI438" s="162">
        <v>1030.7414991000001</v>
      </c>
      <c r="AJ438" s="163">
        <f t="shared" si="18"/>
        <v>0.98211251694425927</v>
      </c>
      <c r="AK438" s="164">
        <v>45377</v>
      </c>
      <c r="AL438" s="165">
        <v>95.65</v>
      </c>
      <c r="AM438" s="166">
        <v>1219</v>
      </c>
      <c r="AN438" s="115"/>
      <c r="AO438" s="167">
        <v>6.1544468554000002E-4</v>
      </c>
      <c r="AP438" s="168">
        <f>IF(AO438="","",AO438-AO$6)</f>
        <v>1.3529980061000003E-4</v>
      </c>
      <c r="AQ438" s="168">
        <v>7.7433102888000002E-4</v>
      </c>
      <c r="AR438" s="168">
        <f>IF(AQ438="","",AQ438-AQ$6)</f>
        <v>9.9183778184000005E-4</v>
      </c>
      <c r="AS438" s="168">
        <v>4.0517819278000002E-2</v>
      </c>
      <c r="AT438" s="168">
        <f>IF(AS438="","",AS438-AS$6)</f>
        <v>2.5791984223000001E-2</v>
      </c>
      <c r="AU438" s="168">
        <v>-1.1661739445000001E-3</v>
      </c>
      <c r="AV438" s="168">
        <f>IF(AU438="","",AU438-AU$6)</f>
        <v>1.19024086515E-2</v>
      </c>
      <c r="AW438" s="168">
        <v>2.6458507849000001E-2</v>
      </c>
      <c r="AX438" s="168">
        <f>IF(AW438="","",AW438-AW$6)</f>
        <v>2.463440061000001E-3</v>
      </c>
      <c r="AY438" s="168">
        <v>-8.2131934195999994E-3</v>
      </c>
      <c r="AZ438" s="168">
        <f>IF(AY438="","",AY438-AY$6)</f>
        <v>-2.24554482096E-2</v>
      </c>
      <c r="BA438" s="168">
        <v>5.5577383057000003E-2</v>
      </c>
      <c r="BB438" s="168">
        <f>IF(BA438="","",BA438-BA$6)</f>
        <v>2.0904184990000046E-3</v>
      </c>
      <c r="BC438" s="168"/>
      <c r="BD438" s="168" t="str">
        <f>IF(BC438="","",BC438-BC$6)</f>
        <v/>
      </c>
      <c r="BE438" s="168"/>
      <c r="BF438" s="168" t="str">
        <f>IF(BE438="","",BE438-BE$6)</f>
        <v/>
      </c>
      <c r="BG438" s="168"/>
      <c r="BH438" s="168" t="str">
        <f>IF(BG438="","",BG438-BG$6)</f>
        <v/>
      </c>
      <c r="BI438" s="168"/>
      <c r="BJ438" s="168" t="str">
        <f>IF(BI438="","",BI438-BI$6)</f>
        <v/>
      </c>
      <c r="BK438" s="169">
        <v>6.3688908668000002</v>
      </c>
      <c r="BL438" s="115"/>
      <c r="BM438" s="170">
        <v>1.2718065483E-2</v>
      </c>
      <c r="BN438" s="163">
        <v>-1.6278944106999999E-2</v>
      </c>
      <c r="BO438" s="163">
        <v>4.9739959187999998E-2</v>
      </c>
      <c r="BP438" s="163">
        <v>-3.4082104772000001E-2</v>
      </c>
      <c r="BQ438" s="171">
        <v>8</v>
      </c>
      <c r="BR438" s="171">
        <v>4</v>
      </c>
      <c r="BS438" s="171">
        <v>5</v>
      </c>
      <c r="BT438" s="171">
        <v>7</v>
      </c>
      <c r="BU438" s="172">
        <v>-0.76374108820999997</v>
      </c>
      <c r="BV438" s="172"/>
      <c r="BW438" s="163">
        <v>6.5798457901000001E-3</v>
      </c>
      <c r="BX438" s="163">
        <v>3.7161762803999999E-3</v>
      </c>
      <c r="BY438" s="161">
        <v>-6.0293828140999999</v>
      </c>
      <c r="BZ438" s="163">
        <v>-2.7416035381999999E-2</v>
      </c>
      <c r="CA438" s="163">
        <v>-5.1502555929E-2</v>
      </c>
      <c r="CB438" s="154">
        <v>45377</v>
      </c>
      <c r="CC438" s="154">
        <v>45474</v>
      </c>
      <c r="CD438" s="173"/>
      <c r="CE438" s="174"/>
      <c r="CF438" s="115"/>
    </row>
    <row r="439" spans="2:84" ht="15.6" x14ac:dyDescent="0.3">
      <c r="B439" s="98" t="s">
        <v>1501</v>
      </c>
      <c r="C439" s="175" t="s">
        <v>2147</v>
      </c>
      <c r="D439" s="176" t="s">
        <v>1934</v>
      </c>
      <c r="E439" s="176" t="s">
        <v>1963</v>
      </c>
      <c r="F439" s="177">
        <v>33042730000104</v>
      </c>
      <c r="G439" s="177" t="s">
        <v>1859</v>
      </c>
      <c r="H439" s="177" t="s">
        <v>388</v>
      </c>
      <c r="I439" s="178">
        <v>14</v>
      </c>
      <c r="J439" s="179">
        <v>2</v>
      </c>
      <c r="K439" s="179" t="s">
        <v>111</v>
      </c>
      <c r="L439" s="179" t="s">
        <v>118</v>
      </c>
      <c r="M439" s="179" t="s">
        <v>986</v>
      </c>
      <c r="N439" s="179" t="s">
        <v>109</v>
      </c>
      <c r="O439" s="180">
        <v>180000</v>
      </c>
      <c r="P439" s="181">
        <v>180000000</v>
      </c>
      <c r="Q439" s="181">
        <v>1000</v>
      </c>
      <c r="R439" s="182">
        <v>45122</v>
      </c>
      <c r="S439" s="182">
        <v>48775</v>
      </c>
      <c r="T439" s="183" t="s">
        <v>1972</v>
      </c>
      <c r="U439" s="183" t="s">
        <v>1720</v>
      </c>
      <c r="V439" s="182" t="s">
        <v>105</v>
      </c>
      <c r="W439" s="182" t="s">
        <v>102</v>
      </c>
      <c r="X439" s="182" t="s">
        <v>1624</v>
      </c>
      <c r="Y439" s="182">
        <v>48441</v>
      </c>
      <c r="Z439" s="184">
        <f>IFERROR(INDEX(Base!G:G,MATCH('Debêntures IPCA-Spread'!Y439,Base!F:F,0)),"")</f>
        <v>6.3467000000000002</v>
      </c>
      <c r="AA439" s="115"/>
      <c r="AB439" s="185">
        <v>45552</v>
      </c>
      <c r="AC439" s="186">
        <v>7.3627000000000002</v>
      </c>
      <c r="AD439" s="187">
        <f t="shared" si="19"/>
        <v>1.016</v>
      </c>
      <c r="AE439" s="188">
        <v>0.17</v>
      </c>
      <c r="AF439" s="189">
        <v>7.5666000000000002</v>
      </c>
      <c r="AG439" s="189">
        <v>7.1388999999999996</v>
      </c>
      <c r="AH439" s="190">
        <v>1025.568223</v>
      </c>
      <c r="AI439" s="190">
        <v>1043.4856050000001</v>
      </c>
      <c r="AJ439" s="191">
        <f t="shared" si="18"/>
        <v>0.9828292964328913</v>
      </c>
      <c r="AK439" s="192">
        <v>45517</v>
      </c>
      <c r="AL439" s="193">
        <v>96.85</v>
      </c>
      <c r="AM439" s="194">
        <v>1529</v>
      </c>
      <c r="AN439" s="115"/>
      <c r="AO439" s="195">
        <v>-4.3049973555999999E-4</v>
      </c>
      <c r="AP439" s="196">
        <f>IF(AO439="","",AO439-AO$6)</f>
        <v>-9.1064462049000004E-4</v>
      </c>
      <c r="AQ439" s="196">
        <v>-1.0514405465999999E-3</v>
      </c>
      <c r="AR439" s="196">
        <f>IF(AQ439="","",AQ439-AQ$6)</f>
        <v>-8.3393379363999988E-4</v>
      </c>
      <c r="AS439" s="196">
        <v>4.0951145542000002E-2</v>
      </c>
      <c r="AT439" s="196">
        <f>IF(AS439="","",AS439-AS$6)</f>
        <v>2.6225310487000001E-2</v>
      </c>
      <c r="AU439" s="196">
        <v>-1.5129335349E-2</v>
      </c>
      <c r="AV439" s="196">
        <f>IF(AU439="","",AU439-AU$6)</f>
        <v>-2.0607527529999999E-3</v>
      </c>
      <c r="AW439" s="196">
        <v>3.3582709968000002E-2</v>
      </c>
      <c r="AX439" s="196">
        <f>IF(AW439="","",AW439-AW$6)</f>
        <v>9.5876421800000014E-3</v>
      </c>
      <c r="AY439" s="196">
        <v>1.7965363235E-2</v>
      </c>
      <c r="AZ439" s="196">
        <f>IF(AY439="","",AY439-AY$6)</f>
        <v>3.7231084449999997E-3</v>
      </c>
      <c r="BA439" s="196">
        <v>7.7213294134999999E-2</v>
      </c>
      <c r="BB439" s="196">
        <f>IF(BA439="","",BA439-BA$6)</f>
        <v>2.3726329577000001E-2</v>
      </c>
      <c r="BC439" s="196"/>
      <c r="BD439" s="196" t="str">
        <f>IF(BC439="","",BC439-BC$6)</f>
        <v/>
      </c>
      <c r="BE439" s="196"/>
      <c r="BF439" s="196" t="str">
        <f>IF(BE439="","",BE439-BE$6)</f>
        <v/>
      </c>
      <c r="BG439" s="196"/>
      <c r="BH439" s="196" t="str">
        <f>IF(BG439="","",BG439-BG$6)</f>
        <v/>
      </c>
      <c r="BI439" s="196"/>
      <c r="BJ439" s="196" t="str">
        <f>IF(BI439="","",BI439-BI$6)</f>
        <v/>
      </c>
      <c r="BK439" s="197">
        <v>5.5099852848999999</v>
      </c>
      <c r="BL439" s="115"/>
      <c r="BM439" s="198">
        <v>1.1114496975999999E-2</v>
      </c>
      <c r="BN439" s="191">
        <v>-1.3953580351E-2</v>
      </c>
      <c r="BO439" s="191">
        <v>2.8904621209E-2</v>
      </c>
      <c r="BP439" s="191">
        <v>-1.4055590125E-2</v>
      </c>
      <c r="BQ439" s="199">
        <v>6</v>
      </c>
      <c r="BR439" s="199">
        <v>6</v>
      </c>
      <c r="BS439" s="199">
        <v>6</v>
      </c>
      <c r="BT439" s="199">
        <v>6</v>
      </c>
      <c r="BU439" s="200">
        <v>-0.53775973873000005</v>
      </c>
      <c r="BV439" s="200"/>
      <c r="BW439" s="191">
        <v>5.6921379191999999E-3</v>
      </c>
      <c r="BX439" s="191">
        <v>4.6735009496999998E-3</v>
      </c>
      <c r="BY439" s="189">
        <v>-4.0367436305000002</v>
      </c>
      <c r="BZ439" s="191">
        <v>-2.9194655837999999E-2</v>
      </c>
      <c r="CA439" s="191">
        <v>-2.9194655837999999E-2</v>
      </c>
      <c r="CB439" s="182">
        <v>45362</v>
      </c>
      <c r="CC439" s="182">
        <v>45474</v>
      </c>
      <c r="CD439" s="201">
        <v>99</v>
      </c>
      <c r="CE439" s="202">
        <v>45504</v>
      </c>
      <c r="CF439" s="115"/>
    </row>
    <row r="440" spans="2:84" ht="15.6" x14ac:dyDescent="0.3">
      <c r="B440" s="110" t="s">
        <v>1502</v>
      </c>
      <c r="C440" s="147" t="s">
        <v>2148</v>
      </c>
      <c r="D440" s="148" t="s">
        <v>1934</v>
      </c>
      <c r="E440" s="148" t="s">
        <v>1963</v>
      </c>
      <c r="F440" s="149">
        <v>33042730000104</v>
      </c>
      <c r="G440" s="149" t="s">
        <v>1860</v>
      </c>
      <c r="H440" s="149" t="s">
        <v>388</v>
      </c>
      <c r="I440" s="150">
        <v>14</v>
      </c>
      <c r="J440" s="151">
        <v>3</v>
      </c>
      <c r="K440" s="151" t="s">
        <v>111</v>
      </c>
      <c r="L440" s="151" t="s">
        <v>118</v>
      </c>
      <c r="M440" s="151" t="s">
        <v>986</v>
      </c>
      <c r="N440" s="151" t="s">
        <v>109</v>
      </c>
      <c r="O440" s="152">
        <v>200000</v>
      </c>
      <c r="P440" s="153">
        <v>200000000</v>
      </c>
      <c r="Q440" s="153">
        <v>1000</v>
      </c>
      <c r="R440" s="154">
        <v>45122</v>
      </c>
      <c r="S440" s="154">
        <v>50601</v>
      </c>
      <c r="T440" s="155" t="s">
        <v>1972</v>
      </c>
      <c r="U440" s="155" t="s">
        <v>1721</v>
      </c>
      <c r="V440" s="154" t="s">
        <v>105</v>
      </c>
      <c r="W440" s="154" t="s">
        <v>102</v>
      </c>
      <c r="X440" s="154" t="s">
        <v>1583</v>
      </c>
      <c r="Y440" s="154">
        <v>49444</v>
      </c>
      <c r="Z440" s="156">
        <f>IFERROR(INDEX(Base!G:G,MATCH('Debêntures IPCA-Spread'!Y440,Base!F:F,0)),"")</f>
        <v>6.3137999999999996</v>
      </c>
      <c r="AA440" s="115"/>
      <c r="AB440" s="157">
        <v>45552</v>
      </c>
      <c r="AC440" s="158">
        <v>7.7380000000000004</v>
      </c>
      <c r="AD440" s="159">
        <f t="shared" si="19"/>
        <v>1.4242000000000008</v>
      </c>
      <c r="AE440" s="160">
        <v>0.02</v>
      </c>
      <c r="AF440" s="161">
        <v>7.9455</v>
      </c>
      <c r="AG440" s="161"/>
      <c r="AH440" s="162">
        <v>999.15127299999995</v>
      </c>
      <c r="AI440" s="162">
        <v>1027.525772</v>
      </c>
      <c r="AJ440" s="163">
        <f t="shared" si="18"/>
        <v>0.97238560844583855</v>
      </c>
      <c r="AK440" s="164">
        <v>45530</v>
      </c>
      <c r="AL440" s="165">
        <v>94.33</v>
      </c>
      <c r="AM440" s="166">
        <v>2124</v>
      </c>
      <c r="AN440" s="115"/>
      <c r="AO440" s="167">
        <v>-3.2548031230999999E-3</v>
      </c>
      <c r="AP440" s="168">
        <f>IF(AO440="","",AO440-AO$6)</f>
        <v>-3.7349480080299999E-3</v>
      </c>
      <c r="AQ440" s="168">
        <v>1.7415060647E-3</v>
      </c>
      <c r="AR440" s="168">
        <f>IF(AQ440="","",AQ440-AQ$6)</f>
        <v>1.95901281766E-3</v>
      </c>
      <c r="AS440" s="168">
        <v>1.9907362726000001E-2</v>
      </c>
      <c r="AT440" s="168">
        <f>IF(AS440="","",AS440-AS$6)</f>
        <v>5.1815276710000004E-3</v>
      </c>
      <c r="AU440" s="168">
        <v>-1.8919871735999998E-2</v>
      </c>
      <c r="AV440" s="168">
        <f>IF(AU440="","",AU440-AU$6)</f>
        <v>-5.8512891399999985E-3</v>
      </c>
      <c r="AW440" s="168">
        <v>4.7397245179999999E-2</v>
      </c>
      <c r="AX440" s="168">
        <f>IF(AW440="","",AW440-AW$6)</f>
        <v>2.3402177391999998E-2</v>
      </c>
      <c r="AY440" s="168">
        <v>4.1892155271999999E-2</v>
      </c>
      <c r="AZ440" s="168">
        <f>IF(AY440="","",AY440-AY$6)</f>
        <v>2.7649900482000001E-2</v>
      </c>
      <c r="BA440" s="168">
        <v>4.9099471858000003E-2</v>
      </c>
      <c r="BB440" s="168">
        <f>IF(BA440="","",BA440-BA$6)</f>
        <v>-4.3874926999999952E-3</v>
      </c>
      <c r="BC440" s="168"/>
      <c r="BD440" s="168" t="str">
        <f>IF(BC440="","",BC440-BC$6)</f>
        <v/>
      </c>
      <c r="BE440" s="168"/>
      <c r="BF440" s="168" t="str">
        <f>IF(BE440="","",BE440-BE$6)</f>
        <v/>
      </c>
      <c r="BG440" s="168"/>
      <c r="BH440" s="168" t="str">
        <f>IF(BG440="","",BG440-BG$6)</f>
        <v/>
      </c>
      <c r="BI440" s="168"/>
      <c r="BJ440" s="168" t="str">
        <f>IF(BI440="","",BI440-BI$6)</f>
        <v/>
      </c>
      <c r="BK440" s="169">
        <v>9.3541762390999992</v>
      </c>
      <c r="BL440" s="115"/>
      <c r="BM440" s="170">
        <v>2.5878122202E-2</v>
      </c>
      <c r="BN440" s="163">
        <v>-1.6629386988999999E-2</v>
      </c>
      <c r="BO440" s="163">
        <v>3.6965731308000002E-2</v>
      </c>
      <c r="BP440" s="163">
        <v>-1.7805235619999998E-2</v>
      </c>
      <c r="BQ440" s="171">
        <v>6</v>
      </c>
      <c r="BR440" s="171">
        <v>6</v>
      </c>
      <c r="BS440" s="171">
        <v>5</v>
      </c>
      <c r="BT440" s="171">
        <v>7</v>
      </c>
      <c r="BU440" s="172">
        <v>-0.55793199473999999</v>
      </c>
      <c r="BV440" s="172"/>
      <c r="BW440" s="163">
        <v>9.6753117026999996E-3</v>
      </c>
      <c r="BX440" s="163">
        <v>1.1705219306999999E-2</v>
      </c>
      <c r="BY440" s="161">
        <v>-6.6585707645000003</v>
      </c>
      <c r="BZ440" s="163">
        <v>-4.6124925065000003E-2</v>
      </c>
      <c r="CA440" s="163">
        <v>-4.6124925065000003E-2</v>
      </c>
      <c r="CB440" s="154">
        <v>45293</v>
      </c>
      <c r="CC440" s="154">
        <v>45412</v>
      </c>
      <c r="CD440" s="173">
        <v>147</v>
      </c>
      <c r="CE440" s="174">
        <v>45505</v>
      </c>
      <c r="CF440" s="115"/>
    </row>
    <row r="441" spans="2:84" ht="15.6" x14ac:dyDescent="0.3">
      <c r="B441" s="98" t="s">
        <v>2315</v>
      </c>
      <c r="C441" s="175" t="s">
        <v>2700</v>
      </c>
      <c r="D441" s="176" t="s">
        <v>1934</v>
      </c>
      <c r="E441" s="176" t="s">
        <v>1963</v>
      </c>
      <c r="F441" s="177">
        <v>33042730000104</v>
      </c>
      <c r="G441" s="177" t="s">
        <v>2452</v>
      </c>
      <c r="H441" s="177" t="s">
        <v>388</v>
      </c>
      <c r="I441" s="178">
        <v>15</v>
      </c>
      <c r="J441" s="179">
        <v>1</v>
      </c>
      <c r="K441" s="179" t="s">
        <v>111</v>
      </c>
      <c r="L441" s="179" t="s">
        <v>2466</v>
      </c>
      <c r="M441" s="179" t="s">
        <v>986</v>
      </c>
      <c r="N441" s="179" t="s">
        <v>109</v>
      </c>
      <c r="O441" s="180">
        <v>642926</v>
      </c>
      <c r="P441" s="181">
        <v>642926000</v>
      </c>
      <c r="Q441" s="181">
        <v>1000</v>
      </c>
      <c r="R441" s="182">
        <v>45397</v>
      </c>
      <c r="S441" s="182">
        <v>49049</v>
      </c>
      <c r="T441" s="183" t="s">
        <v>2816</v>
      </c>
      <c r="U441" s="183" t="s">
        <v>2712</v>
      </c>
      <c r="V441" s="182" t="s">
        <v>105</v>
      </c>
      <c r="W441" s="182" t="s">
        <v>102</v>
      </c>
      <c r="X441" s="182" t="s">
        <v>2570</v>
      </c>
      <c r="Y441" s="182">
        <v>48441</v>
      </c>
      <c r="Z441" s="184">
        <f>IFERROR(INDEX(Base!G:G,MATCH('Debêntures IPCA-Spread'!Y441,Base!F:F,0)),"")</f>
        <v>6.3467000000000002</v>
      </c>
      <c r="AA441" s="115"/>
      <c r="AB441" s="185">
        <v>45552</v>
      </c>
      <c r="AC441" s="186">
        <v>7.3019999999999996</v>
      </c>
      <c r="AD441" s="187">
        <f t="shared" si="19"/>
        <v>0.95529999999999937</v>
      </c>
      <c r="AE441" s="188">
        <v>0.25</v>
      </c>
      <c r="AF441" s="189">
        <v>7.4170999999999996</v>
      </c>
      <c r="AG441" s="189">
        <v>7.0772000000000004</v>
      </c>
      <c r="AH441" s="190">
        <v>1007.479259</v>
      </c>
      <c r="AI441" s="190"/>
      <c r="AJ441" s="191" t="str">
        <f t="shared" si="18"/>
        <v/>
      </c>
      <c r="AK441" s="192"/>
      <c r="AL441" s="193">
        <v>97.2</v>
      </c>
      <c r="AM441" s="194">
        <v>1618</v>
      </c>
      <c r="AN441" s="115"/>
      <c r="AO441" s="195">
        <v>-2.5535856820999999E-3</v>
      </c>
      <c r="AP441" s="196">
        <f>IF(AO441="","",AO441-AO$6)</f>
        <v>-3.0337305670299999E-3</v>
      </c>
      <c r="AQ441" s="196">
        <v>-8.6450597082000005E-3</v>
      </c>
      <c r="AR441" s="196">
        <f>IF(AQ441="","",AQ441-AQ$6)</f>
        <v>-8.4275529552400013E-3</v>
      </c>
      <c r="AS441" s="196"/>
      <c r="AT441" s="196" t="str">
        <f>IF(AS441="","",AS441-AS$6)</f>
        <v/>
      </c>
      <c r="AU441" s="196">
        <v>-2.0116203967E-2</v>
      </c>
      <c r="AV441" s="196">
        <f>IF(AU441="","",AU441-AU$6)</f>
        <v>-7.0476213710000003E-3</v>
      </c>
      <c r="AW441" s="196">
        <v>2.8907602546999998E-2</v>
      </c>
      <c r="AX441" s="196">
        <f>IF(AW441="","",AW441-AW$6)</f>
        <v>4.9125347589999979E-3</v>
      </c>
      <c r="AY441" s="196"/>
      <c r="AZ441" s="196" t="str">
        <f>IF(AY441="","",AY441-AY$6)</f>
        <v/>
      </c>
      <c r="BA441" s="196"/>
      <c r="BB441" s="196" t="str">
        <f>IF(BA441="","",BA441-BA$6)</f>
        <v/>
      </c>
      <c r="BC441" s="196"/>
      <c r="BD441" s="196" t="str">
        <f>IF(BC441="","",BC441-BC$6)</f>
        <v/>
      </c>
      <c r="BE441" s="196"/>
      <c r="BF441" s="196" t="str">
        <f>IF(BE441="","",BE441-BE$6)</f>
        <v/>
      </c>
      <c r="BG441" s="196"/>
      <c r="BH441" s="196" t="str">
        <f>IF(BG441="","",BG441-BG$6)</f>
        <v/>
      </c>
      <c r="BI441" s="196"/>
      <c r="BJ441" s="196" t="str">
        <f>IF(BI441="","",BI441-BI$6)</f>
        <v/>
      </c>
      <c r="BK441" s="197"/>
      <c r="BL441" s="115"/>
      <c r="BM441" s="198">
        <v>1.3777867270000001E-2</v>
      </c>
      <c r="BN441" s="191">
        <v>-1.6949409748000001E-2</v>
      </c>
      <c r="BO441" s="191">
        <v>2.9721798075E-2</v>
      </c>
      <c r="BP441" s="191">
        <v>-1.0891742328E-2</v>
      </c>
      <c r="BQ441" s="199"/>
      <c r="BR441" s="199"/>
      <c r="BS441" s="199"/>
      <c r="BT441" s="199"/>
      <c r="BU441" s="200"/>
      <c r="BV441" s="200"/>
      <c r="BW441" s="191"/>
      <c r="BX441" s="191">
        <v>7.4716238502E-3</v>
      </c>
      <c r="BY441" s="189"/>
      <c r="BZ441" s="191">
        <v>-3.8529605304999999E-2</v>
      </c>
      <c r="CA441" s="191">
        <v>-3.8529605304999999E-2</v>
      </c>
      <c r="CB441" s="182">
        <v>45447</v>
      </c>
      <c r="CC441" s="182">
        <v>45475</v>
      </c>
      <c r="CD441" s="201">
        <v>41</v>
      </c>
      <c r="CE441" s="202">
        <v>45504</v>
      </c>
      <c r="CF441" s="115"/>
    </row>
    <row r="442" spans="2:84" ht="15.6" x14ac:dyDescent="0.3">
      <c r="B442" s="110" t="s">
        <v>2316</v>
      </c>
      <c r="C442" s="147" t="s">
        <v>2701</v>
      </c>
      <c r="D442" s="148" t="s">
        <v>1934</v>
      </c>
      <c r="E442" s="148" t="s">
        <v>1963</v>
      </c>
      <c r="F442" s="149">
        <v>33042730000104</v>
      </c>
      <c r="G442" s="149" t="s">
        <v>2453</v>
      </c>
      <c r="H442" s="149" t="s">
        <v>388</v>
      </c>
      <c r="I442" s="150">
        <v>15</v>
      </c>
      <c r="J442" s="151">
        <v>2</v>
      </c>
      <c r="K442" s="151" t="s">
        <v>111</v>
      </c>
      <c r="L442" s="151" t="s">
        <v>2466</v>
      </c>
      <c r="M442" s="151" t="s">
        <v>986</v>
      </c>
      <c r="N442" s="151" t="s">
        <v>109</v>
      </c>
      <c r="O442" s="152">
        <v>157074</v>
      </c>
      <c r="P442" s="153">
        <v>157074000</v>
      </c>
      <c r="Q442" s="153">
        <v>1000</v>
      </c>
      <c r="R442" s="154">
        <v>45397</v>
      </c>
      <c r="S442" s="154">
        <v>50875</v>
      </c>
      <c r="T442" s="155" t="s">
        <v>2816</v>
      </c>
      <c r="U442" s="155" t="s">
        <v>2713</v>
      </c>
      <c r="V442" s="154" t="s">
        <v>105</v>
      </c>
      <c r="W442" s="154" t="s">
        <v>102</v>
      </c>
      <c r="X442" s="154" t="s">
        <v>2571</v>
      </c>
      <c r="Y442" s="154">
        <v>49444</v>
      </c>
      <c r="Z442" s="156">
        <f>IFERROR(INDEX(Base!G:G,MATCH('Debêntures IPCA-Spread'!Y442,Base!F:F,0)),"")</f>
        <v>6.3137999999999996</v>
      </c>
      <c r="AA442" s="115"/>
      <c r="AB442" s="157">
        <v>45552</v>
      </c>
      <c r="AC442" s="158">
        <v>7.5669000000000004</v>
      </c>
      <c r="AD442" s="159">
        <f t="shared" si="19"/>
        <v>1.2531000000000008</v>
      </c>
      <c r="AE442" s="160">
        <v>7.0000000000000007E-2</v>
      </c>
      <c r="AF442" s="161">
        <v>7.7515000000000001</v>
      </c>
      <c r="AG442" s="161">
        <v>7.3453999999999997</v>
      </c>
      <c r="AH442" s="162">
        <v>989.82352300000002</v>
      </c>
      <c r="AI442" s="162"/>
      <c r="AJ442" s="163" t="str">
        <f t="shared" si="18"/>
        <v/>
      </c>
      <c r="AK442" s="164"/>
      <c r="AL442" s="165">
        <v>95.44</v>
      </c>
      <c r="AM442" s="166">
        <v>2178</v>
      </c>
      <c r="AN442" s="115"/>
      <c r="AO442" s="167">
        <v>1.1668272509000001E-3</v>
      </c>
      <c r="AP442" s="168">
        <f>IF(AO442="","",AO442-AO$6)</f>
        <v>6.8668236597000006E-4</v>
      </c>
      <c r="AQ442" s="168">
        <v>-7.6555201222E-3</v>
      </c>
      <c r="AR442" s="168">
        <f>IF(AQ442="","",AQ442-AQ$6)</f>
        <v>-7.43801336924E-3</v>
      </c>
      <c r="AS442" s="168"/>
      <c r="AT442" s="168" t="str">
        <f>IF(AS442="","",AS442-AS$6)</f>
        <v/>
      </c>
      <c r="AU442" s="168">
        <v>-3.4921115051999997E-2</v>
      </c>
      <c r="AV442" s="168">
        <f>IF(AU442="","",AU442-AU$6)</f>
        <v>-2.1852532455999996E-2</v>
      </c>
      <c r="AW442" s="168">
        <v>2.7382739403000001E-2</v>
      </c>
      <c r="AX442" s="168">
        <f>IF(AW442="","",AW442-AW$6)</f>
        <v>3.3876716150000007E-3</v>
      </c>
      <c r="AY442" s="168"/>
      <c r="AZ442" s="168" t="str">
        <f>IF(AY442="","",AY442-AY$6)</f>
        <v/>
      </c>
      <c r="BA442" s="168"/>
      <c r="BB442" s="168" t="str">
        <f>IF(BA442="","",BA442-BA$6)</f>
        <v/>
      </c>
      <c r="BC442" s="168"/>
      <c r="BD442" s="168" t="str">
        <f>IF(BC442="","",BC442-BC$6)</f>
        <v/>
      </c>
      <c r="BE442" s="168"/>
      <c r="BF442" s="168" t="str">
        <f>IF(BE442="","",BE442-BE$6)</f>
        <v/>
      </c>
      <c r="BG442" s="168"/>
      <c r="BH442" s="168" t="str">
        <f>IF(BG442="","",BG442-BG$6)</f>
        <v/>
      </c>
      <c r="BI442" s="168"/>
      <c r="BJ442" s="168" t="str">
        <f>IF(BI442="","",BI442-BI$6)</f>
        <v/>
      </c>
      <c r="BK442" s="169"/>
      <c r="BL442" s="115"/>
      <c r="BM442" s="170">
        <v>2.1686252730000001E-2</v>
      </c>
      <c r="BN442" s="163">
        <v>-1.5581799299999999E-2</v>
      </c>
      <c r="BO442" s="163">
        <v>3.3686929221999999E-2</v>
      </c>
      <c r="BP442" s="163">
        <v>-4.9393582776999997E-2</v>
      </c>
      <c r="BQ442" s="171"/>
      <c r="BR442" s="171"/>
      <c r="BS442" s="171"/>
      <c r="BT442" s="171"/>
      <c r="BU442" s="172"/>
      <c r="BV442" s="172"/>
      <c r="BW442" s="163"/>
      <c r="BX442" s="163">
        <v>9.8472475631000006E-3</v>
      </c>
      <c r="BY442" s="161"/>
      <c r="BZ442" s="163">
        <v>-5.6909162397000002E-2</v>
      </c>
      <c r="CA442" s="163">
        <v>-5.6909162397000002E-2</v>
      </c>
      <c r="CB442" s="154">
        <v>45443</v>
      </c>
      <c r="CC442" s="154">
        <v>45474</v>
      </c>
      <c r="CD442" s="173">
        <v>45</v>
      </c>
      <c r="CE442" s="174">
        <v>45506</v>
      </c>
      <c r="CF442" s="115"/>
    </row>
    <row r="443" spans="2:84" ht="15.6" x14ac:dyDescent="0.3">
      <c r="B443" s="98" t="s">
        <v>1503</v>
      </c>
      <c r="C443" s="175" t="s">
        <v>2149</v>
      </c>
      <c r="D443" s="176" t="s">
        <v>1935</v>
      </c>
      <c r="E443" s="176" t="s">
        <v>1149</v>
      </c>
      <c r="F443" s="177">
        <v>7415333000120</v>
      </c>
      <c r="G443" s="177" t="s">
        <v>1861</v>
      </c>
      <c r="H443" s="177" t="s">
        <v>388</v>
      </c>
      <c r="I443" s="178">
        <v>3</v>
      </c>
      <c r="J443" s="179">
        <v>2</v>
      </c>
      <c r="K443" s="179" t="s">
        <v>128</v>
      </c>
      <c r="L443" s="179" t="s">
        <v>118</v>
      </c>
      <c r="M443" s="179" t="s">
        <v>106</v>
      </c>
      <c r="N443" s="179" t="s">
        <v>117</v>
      </c>
      <c r="O443" s="180">
        <v>255000</v>
      </c>
      <c r="P443" s="181">
        <v>255000000</v>
      </c>
      <c r="Q443" s="181">
        <v>1000</v>
      </c>
      <c r="R443" s="182">
        <v>44454</v>
      </c>
      <c r="S443" s="182">
        <v>48106</v>
      </c>
      <c r="T443" s="183" t="s">
        <v>1243</v>
      </c>
      <c r="U443" s="183" t="s">
        <v>1722</v>
      </c>
      <c r="V443" s="182" t="s">
        <v>105</v>
      </c>
      <c r="W443" s="182" t="s">
        <v>102</v>
      </c>
      <c r="X443" s="182" t="s">
        <v>1625</v>
      </c>
      <c r="Y443" s="182">
        <v>47710</v>
      </c>
      <c r="Z443" s="184">
        <f>IFERROR(INDEX(Base!G:G,MATCH('Debêntures IPCA-Spread'!Y443,Base!F:F,0)),"")</f>
        <v>6.3273999999999999</v>
      </c>
      <c r="AA443" s="115"/>
      <c r="AB443" s="185">
        <v>45552</v>
      </c>
      <c r="AC443" s="186">
        <v>9.1994000000000007</v>
      </c>
      <c r="AD443" s="187">
        <f t="shared" si="19"/>
        <v>2.8720000000000008</v>
      </c>
      <c r="AE443" s="188">
        <v>0.12</v>
      </c>
      <c r="AF443" s="189">
        <v>9.4138999999999999</v>
      </c>
      <c r="AG443" s="189">
        <v>8.7710000000000008</v>
      </c>
      <c r="AH443" s="190">
        <v>1132.3027770000001</v>
      </c>
      <c r="AI443" s="190">
        <v>1143.0351794999999</v>
      </c>
      <c r="AJ443" s="191">
        <f t="shared" si="18"/>
        <v>0.99061061051096033</v>
      </c>
      <c r="AK443" s="192">
        <v>45518</v>
      </c>
      <c r="AL443" s="193">
        <v>94.66</v>
      </c>
      <c r="AM443" s="194">
        <v>1213</v>
      </c>
      <c r="AN443" s="115"/>
      <c r="AO443" s="195">
        <v>3.3720902137999997E-4</v>
      </c>
      <c r="AP443" s="196">
        <f>IF(AO443="","",AO443-AO$6)</f>
        <v>-1.4293586355000002E-4</v>
      </c>
      <c r="AQ443" s="196">
        <v>1.9835958283000001E-3</v>
      </c>
      <c r="AR443" s="196">
        <f>IF(AQ443="","",AQ443-AQ$6)</f>
        <v>2.2011025812600001E-3</v>
      </c>
      <c r="AS443" s="196">
        <v>5.0153162781000002E-2</v>
      </c>
      <c r="AT443" s="196">
        <f>IF(AS443="","",AS443-AS$6)</f>
        <v>3.5427327726000005E-2</v>
      </c>
      <c r="AU443" s="196">
        <v>-6.1130054409999999E-3</v>
      </c>
      <c r="AV443" s="196">
        <f>IF(AU443="","",AU443-AU$6)</f>
        <v>6.9555771549999999E-3</v>
      </c>
      <c r="AW443" s="196">
        <v>2.8195096156E-2</v>
      </c>
      <c r="AX443" s="196">
        <f>IF(AW443="","",AW443-AW$6)</f>
        <v>4.200028368E-3</v>
      </c>
      <c r="AY443" s="196">
        <v>3.2344434694000002E-2</v>
      </c>
      <c r="AZ443" s="196">
        <f>IF(AY443="","",AY443-AY$6)</f>
        <v>1.8102179904000003E-2</v>
      </c>
      <c r="BA443" s="196">
        <v>8.4434950667999997E-2</v>
      </c>
      <c r="BB443" s="196">
        <f>IF(BA443="","",BA443-BA$6)</f>
        <v>3.0947986109999999E-2</v>
      </c>
      <c r="BC443" s="196">
        <v>0.28256305650000002</v>
      </c>
      <c r="BD443" s="196">
        <f>IF(BC443="","",BC443-BC$6)</f>
        <v>8.825449001000002E-2</v>
      </c>
      <c r="BE443" s="196"/>
      <c r="BF443" s="196" t="str">
        <f>IF(BE443="","",BE443-BE$6)</f>
        <v/>
      </c>
      <c r="BG443" s="196"/>
      <c r="BH443" s="196" t="str">
        <f>IF(BG443="","",BG443-BG$6)</f>
        <v/>
      </c>
      <c r="BI443" s="196"/>
      <c r="BJ443" s="196" t="str">
        <f>IF(BI443="","",BI443-BI$6)</f>
        <v/>
      </c>
      <c r="BK443" s="197">
        <v>5.0759005956000003</v>
      </c>
      <c r="BL443" s="115"/>
      <c r="BM443" s="198">
        <v>1.3019840649000001E-2</v>
      </c>
      <c r="BN443" s="191">
        <v>-9.8953842162000007E-3</v>
      </c>
      <c r="BO443" s="191">
        <v>2.9257366488000001E-2</v>
      </c>
      <c r="BP443" s="191">
        <v>-1.2582114445000001E-2</v>
      </c>
      <c r="BQ443" s="199">
        <v>9</v>
      </c>
      <c r="BR443" s="199">
        <v>3</v>
      </c>
      <c r="BS443" s="199">
        <v>5</v>
      </c>
      <c r="BT443" s="199">
        <v>7</v>
      </c>
      <c r="BU443" s="200">
        <v>-0.45944944158000001</v>
      </c>
      <c r="BV443" s="200"/>
      <c r="BW443" s="191">
        <v>5.2489727612999998E-3</v>
      </c>
      <c r="BX443" s="191">
        <v>3.4893861874000002E-3</v>
      </c>
      <c r="BY443" s="189">
        <v>-3.2414331842999999</v>
      </c>
      <c r="BZ443" s="191">
        <v>-1.9420227686000002E-2</v>
      </c>
      <c r="CA443" s="191">
        <v>-1.9420227686000002E-2</v>
      </c>
      <c r="CB443" s="182">
        <v>45189</v>
      </c>
      <c r="CC443" s="182">
        <v>45202</v>
      </c>
      <c r="CD443" s="201">
        <v>38</v>
      </c>
      <c r="CE443" s="202">
        <v>45246</v>
      </c>
      <c r="CF443" s="115"/>
    </row>
    <row r="444" spans="2:84" ht="15.6" x14ac:dyDescent="0.3">
      <c r="B444" s="110" t="s">
        <v>2317</v>
      </c>
      <c r="C444" s="147" t="s">
        <v>2702</v>
      </c>
      <c r="D444" s="148" t="s">
        <v>2814</v>
      </c>
      <c r="E444" s="148" t="s">
        <v>2782</v>
      </c>
      <c r="F444" s="149">
        <v>47902283000120</v>
      </c>
      <c r="G444" s="149" t="s">
        <v>2454</v>
      </c>
      <c r="H444" s="149" t="s">
        <v>388</v>
      </c>
      <c r="I444" s="150">
        <v>3</v>
      </c>
      <c r="J444" s="151" t="s">
        <v>107</v>
      </c>
      <c r="K444" s="151" t="s">
        <v>111</v>
      </c>
      <c r="L444" s="151" t="s">
        <v>1252</v>
      </c>
      <c r="M444" s="151" t="s">
        <v>986</v>
      </c>
      <c r="N444" s="151" t="s">
        <v>109</v>
      </c>
      <c r="O444" s="152">
        <v>80000</v>
      </c>
      <c r="P444" s="153">
        <v>80000000</v>
      </c>
      <c r="Q444" s="153">
        <v>1000</v>
      </c>
      <c r="R444" s="154">
        <v>44515</v>
      </c>
      <c r="S444" s="154">
        <v>47437</v>
      </c>
      <c r="T444" s="155" t="s">
        <v>2845</v>
      </c>
      <c r="U444" s="155" t="s">
        <v>2776</v>
      </c>
      <c r="V444" s="154" t="s">
        <v>194</v>
      </c>
      <c r="W444" s="154" t="s">
        <v>102</v>
      </c>
      <c r="X444" s="154" t="s">
        <v>2572</v>
      </c>
      <c r="Y444" s="154">
        <v>46522</v>
      </c>
      <c r="Z444" s="156">
        <f>IFERROR(INDEX(Base!G:G,MATCH('Debêntures IPCA-Spread'!Y444,Base!F:F,0)),"")</f>
        <v>6.391</v>
      </c>
      <c r="AA444" s="115"/>
      <c r="AB444" s="157">
        <v>45552</v>
      </c>
      <c r="AC444" s="158">
        <v>7.4951999999999996</v>
      </c>
      <c r="AD444" s="159">
        <f t="shared" si="19"/>
        <v>1.1041999999999996</v>
      </c>
      <c r="AE444" s="160">
        <v>0.17</v>
      </c>
      <c r="AF444" s="161">
        <v>8.1645000000000003</v>
      </c>
      <c r="AG444" s="161">
        <v>7.4348999999999998</v>
      </c>
      <c r="AH444" s="162">
        <v>1174.3918169999999</v>
      </c>
      <c r="AI444" s="162"/>
      <c r="AJ444" s="163" t="str">
        <f t="shared" si="18"/>
        <v/>
      </c>
      <c r="AK444" s="164"/>
      <c r="AL444" s="165">
        <v>99.55</v>
      </c>
      <c r="AM444" s="166">
        <v>583</v>
      </c>
      <c r="AN444" s="115"/>
      <c r="AO444" s="167">
        <v>2.4423289597000001E-3</v>
      </c>
      <c r="AP444" s="168">
        <f>IF(AO444="","",AO444-AO$6)</f>
        <v>1.9621840747700002E-3</v>
      </c>
      <c r="AQ444" s="168">
        <v>1.4678041354E-2</v>
      </c>
      <c r="AR444" s="168">
        <f>IF(AQ444="","",AQ444-AQ$6)</f>
        <v>1.489554810696E-2</v>
      </c>
      <c r="AS444" s="168">
        <v>9.9619529331999995E-2</v>
      </c>
      <c r="AT444" s="168">
        <f>IF(AS444="","",AS444-AS$6)</f>
        <v>8.4893694276999998E-2</v>
      </c>
      <c r="AU444" s="168">
        <v>8.7092758113000001E-3</v>
      </c>
      <c r="AV444" s="168">
        <f>IF(AU444="","",AU444-AU$6)</f>
        <v>2.17778584073E-2</v>
      </c>
      <c r="AW444" s="168">
        <v>4.2828487429000001E-2</v>
      </c>
      <c r="AX444" s="168">
        <f>IF(AW444="","",AW444-AW$6)</f>
        <v>1.8833419641E-2</v>
      </c>
      <c r="AY444" s="168">
        <v>5.4514652466999998E-2</v>
      </c>
      <c r="AZ444" s="168">
        <f>IF(AY444="","",AY444-AY$6)</f>
        <v>4.0272397676999999E-2</v>
      </c>
      <c r="BA444" s="168"/>
      <c r="BB444" s="168" t="str">
        <f>IF(BA444="","",BA444-BA$6)</f>
        <v/>
      </c>
      <c r="BC444" s="168"/>
      <c r="BD444" s="168" t="str">
        <f>IF(BC444="","",BC444-BC$6)</f>
        <v/>
      </c>
      <c r="BE444" s="168"/>
      <c r="BF444" s="168" t="str">
        <f>IF(BE444="","",BE444-BE$6)</f>
        <v/>
      </c>
      <c r="BG444" s="168"/>
      <c r="BH444" s="168" t="str">
        <f>IF(BG444="","",BG444-BG$6)</f>
        <v/>
      </c>
      <c r="BI444" s="168"/>
      <c r="BJ444" s="168" t="str">
        <f>IF(BI444="","",BI444-BI$6)</f>
        <v/>
      </c>
      <c r="BK444" s="169"/>
      <c r="BL444" s="115"/>
      <c r="BM444" s="170">
        <v>8.3008056607999994E-3</v>
      </c>
      <c r="BN444" s="163">
        <v>-7.6619392648000001E-3</v>
      </c>
      <c r="BO444" s="163">
        <v>2.0719658945E-2</v>
      </c>
      <c r="BP444" s="163">
        <v>-2.7750211593000002E-3</v>
      </c>
      <c r="BQ444" s="171"/>
      <c r="BR444" s="171"/>
      <c r="BS444" s="171"/>
      <c r="BT444" s="171"/>
      <c r="BU444" s="172"/>
      <c r="BV444" s="172"/>
      <c r="BW444" s="163"/>
      <c r="BX444" s="163">
        <v>4.5921477400000001E-3</v>
      </c>
      <c r="BY444" s="161"/>
      <c r="BZ444" s="163">
        <v>-1.2908583221999999E-2</v>
      </c>
      <c r="CA444" s="163">
        <v>-1.2908583221999999E-2</v>
      </c>
      <c r="CB444" s="154">
        <v>45449</v>
      </c>
      <c r="CC444" s="154">
        <v>45455</v>
      </c>
      <c r="CD444" s="173">
        <v>12</v>
      </c>
      <c r="CE444" s="174">
        <v>45467</v>
      </c>
      <c r="CF444" s="115"/>
    </row>
    <row r="445" spans="2:84" ht="15.6" x14ac:dyDescent="0.3">
      <c r="B445" s="98" t="s">
        <v>1504</v>
      </c>
      <c r="C445" s="175" t="s">
        <v>2150</v>
      </c>
      <c r="D445" s="176" t="s">
        <v>1936</v>
      </c>
      <c r="E445" s="176" t="s">
        <v>1964</v>
      </c>
      <c r="F445" s="177">
        <v>16404287000155</v>
      </c>
      <c r="G445" s="177" t="s">
        <v>1862</v>
      </c>
      <c r="H445" s="177" t="s">
        <v>388</v>
      </c>
      <c r="I445" s="178">
        <v>9</v>
      </c>
      <c r="J445" s="179">
        <v>1</v>
      </c>
      <c r="K445" s="179" t="s">
        <v>128</v>
      </c>
      <c r="L445" s="179" t="s">
        <v>112</v>
      </c>
      <c r="M445" s="179" t="s">
        <v>128</v>
      </c>
      <c r="N445" s="179" t="s">
        <v>109</v>
      </c>
      <c r="O445" s="180">
        <v>500000</v>
      </c>
      <c r="P445" s="181">
        <v>500000000</v>
      </c>
      <c r="Q445" s="181">
        <v>1000</v>
      </c>
      <c r="R445" s="182">
        <v>45092</v>
      </c>
      <c r="S445" s="182">
        <v>47649</v>
      </c>
      <c r="T445" s="183" t="s">
        <v>1969</v>
      </c>
      <c r="U445" s="183" t="s">
        <v>113</v>
      </c>
      <c r="V445" s="182" t="s">
        <v>105</v>
      </c>
      <c r="W445" s="182" t="s">
        <v>102</v>
      </c>
      <c r="X445" s="182" t="s">
        <v>1626</v>
      </c>
      <c r="Y445" s="182">
        <v>47710</v>
      </c>
      <c r="Z445" s="184">
        <f>IFERROR(INDEX(Base!G:G,MATCH('Debêntures IPCA-Spread'!Y445,Base!F:F,0)),"")</f>
        <v>6.3273999999999999</v>
      </c>
      <c r="AA445" s="115"/>
      <c r="AB445" s="185">
        <v>45552</v>
      </c>
      <c r="AC445" s="186">
        <v>6.3777999999999997</v>
      </c>
      <c r="AD445" s="187">
        <f t="shared" si="19"/>
        <v>5.0399999999999778E-2</v>
      </c>
      <c r="AE445" s="188">
        <v>0.05</v>
      </c>
      <c r="AF445" s="189">
        <v>6.6066000000000003</v>
      </c>
      <c r="AG445" s="189">
        <v>6.2411000000000003</v>
      </c>
      <c r="AH445" s="190">
        <v>1044.7485409999999</v>
      </c>
      <c r="AI445" s="190">
        <v>1059.867968</v>
      </c>
      <c r="AJ445" s="191">
        <f t="shared" si="18"/>
        <v>0.98573461274753793</v>
      </c>
      <c r="AK445" s="192">
        <v>45518</v>
      </c>
      <c r="AL445" s="193">
        <v>98.38</v>
      </c>
      <c r="AM445" s="194">
        <v>1219</v>
      </c>
      <c r="AN445" s="115"/>
      <c r="AO445" s="195">
        <v>-3.3043825714999998E-4</v>
      </c>
      <c r="AP445" s="196">
        <f>IF(AO445="","",AO445-AO$6)</f>
        <v>-8.1058314208000003E-4</v>
      </c>
      <c r="AQ445" s="196">
        <v>5.6423259811999998E-3</v>
      </c>
      <c r="AR445" s="196">
        <f>IF(AQ445="","",AQ445-AQ$6)</f>
        <v>5.8598327341599999E-3</v>
      </c>
      <c r="AS445" s="196">
        <v>4.5496315675000003E-2</v>
      </c>
      <c r="AT445" s="196">
        <f>IF(AS445="","",AS445-AS$6)</f>
        <v>3.0770480620000002E-2</v>
      </c>
      <c r="AU445" s="196">
        <v>-8.0908888330999996E-3</v>
      </c>
      <c r="AV445" s="196">
        <f>IF(AU445="","",AU445-AU$6)</f>
        <v>4.9776937629000002E-3</v>
      </c>
      <c r="AW445" s="196">
        <v>2.8303345250999999E-2</v>
      </c>
      <c r="AX445" s="196">
        <f>IF(AW445="","",AW445-AW$6)</f>
        <v>4.3082774629999987E-3</v>
      </c>
      <c r="AY445" s="196">
        <v>1.4487829148E-2</v>
      </c>
      <c r="AZ445" s="196">
        <f>IF(AY445="","",AY445-AY$6)</f>
        <v>2.4557435799999958E-4</v>
      </c>
      <c r="BA445" s="196">
        <v>8.2740183415999993E-2</v>
      </c>
      <c r="BB445" s="196">
        <f>IF(BA445="","",BA445-BA$6)</f>
        <v>2.9253218857999995E-2</v>
      </c>
      <c r="BC445" s="196"/>
      <c r="BD445" s="196" t="str">
        <f>IF(BC445="","",BC445-BC$6)</f>
        <v/>
      </c>
      <c r="BE445" s="196"/>
      <c r="BF445" s="196" t="str">
        <f>IF(BE445="","",BE445-BE$6)</f>
        <v/>
      </c>
      <c r="BG445" s="196"/>
      <c r="BH445" s="196" t="str">
        <f>IF(BG445="","",BG445-BG$6)</f>
        <v/>
      </c>
      <c r="BI445" s="196"/>
      <c r="BJ445" s="196" t="str">
        <f>IF(BI445="","",BI445-BI$6)</f>
        <v/>
      </c>
      <c r="BK445" s="197">
        <v>5.7191004784999997</v>
      </c>
      <c r="BL445" s="115"/>
      <c r="BM445" s="198">
        <v>1.1957119251000001E-2</v>
      </c>
      <c r="BN445" s="191">
        <v>-1.4630967941E-2</v>
      </c>
      <c r="BO445" s="191">
        <v>3.0604183736000001E-2</v>
      </c>
      <c r="BP445" s="191">
        <v>-1.871870766E-2</v>
      </c>
      <c r="BQ445" s="199">
        <v>9</v>
      </c>
      <c r="BR445" s="199">
        <v>3</v>
      </c>
      <c r="BS445" s="199">
        <v>7</v>
      </c>
      <c r="BT445" s="199">
        <v>5</v>
      </c>
      <c r="BU445" s="200">
        <v>-0.42896042508999999</v>
      </c>
      <c r="BV445" s="200"/>
      <c r="BW445" s="191">
        <v>5.9095834647000002E-3</v>
      </c>
      <c r="BX445" s="191">
        <v>4.2273837280999999E-3</v>
      </c>
      <c r="BY445" s="189">
        <v>-3.4233584966000001</v>
      </c>
      <c r="BZ445" s="191">
        <v>-3.1483519236999997E-2</v>
      </c>
      <c r="CA445" s="191">
        <v>-3.1483519236999997E-2</v>
      </c>
      <c r="CB445" s="182">
        <v>45363</v>
      </c>
      <c r="CC445" s="182">
        <v>45455</v>
      </c>
      <c r="CD445" s="201">
        <v>100</v>
      </c>
      <c r="CE445" s="202">
        <v>45506</v>
      </c>
      <c r="CF445" s="115"/>
    </row>
    <row r="446" spans="2:84" ht="15.6" x14ac:dyDescent="0.3">
      <c r="B446" s="110" t="s">
        <v>1505</v>
      </c>
      <c r="C446" s="147" t="s">
        <v>2151</v>
      </c>
      <c r="D446" s="148" t="s">
        <v>1936</v>
      </c>
      <c r="E446" s="148" t="s">
        <v>1964</v>
      </c>
      <c r="F446" s="149">
        <v>16404287000155</v>
      </c>
      <c r="G446" s="149" t="s">
        <v>1863</v>
      </c>
      <c r="H446" s="149" t="s">
        <v>388</v>
      </c>
      <c r="I446" s="150">
        <v>9</v>
      </c>
      <c r="J446" s="151">
        <v>2</v>
      </c>
      <c r="K446" s="151" t="s">
        <v>128</v>
      </c>
      <c r="L446" s="151" t="s">
        <v>112</v>
      </c>
      <c r="M446" s="151" t="s">
        <v>128</v>
      </c>
      <c r="N446" s="151" t="s">
        <v>109</v>
      </c>
      <c r="O446" s="152">
        <v>500000</v>
      </c>
      <c r="P446" s="153">
        <v>500000000</v>
      </c>
      <c r="Q446" s="153">
        <v>1000</v>
      </c>
      <c r="R446" s="154">
        <v>45092</v>
      </c>
      <c r="S446" s="154">
        <v>48745</v>
      </c>
      <c r="T446" s="155" t="s">
        <v>1969</v>
      </c>
      <c r="U446" s="155" t="s">
        <v>113</v>
      </c>
      <c r="V446" s="154" t="s">
        <v>105</v>
      </c>
      <c r="W446" s="154" t="s">
        <v>102</v>
      </c>
      <c r="X446" s="154" t="s">
        <v>1627</v>
      </c>
      <c r="Y446" s="154">
        <v>48714</v>
      </c>
      <c r="Z446" s="156">
        <f>IFERROR(INDEX(Base!G:G,MATCH('Debêntures IPCA-Spread'!Y446,Base!F:F,0)),"")</f>
        <v>6.3373999999999997</v>
      </c>
      <c r="AA446" s="115"/>
      <c r="AB446" s="157">
        <v>45552</v>
      </c>
      <c r="AC446" s="158">
        <v>6.4458000000000002</v>
      </c>
      <c r="AD446" s="159">
        <f t="shared" si="19"/>
        <v>0.1084000000000005</v>
      </c>
      <c r="AE446" s="160">
        <v>0.08</v>
      </c>
      <c r="AF446" s="161">
        <v>6.5361000000000002</v>
      </c>
      <c r="AG446" s="161">
        <v>6.3075999999999999</v>
      </c>
      <c r="AH446" s="162">
        <v>1049.311524</v>
      </c>
      <c r="AI446" s="162">
        <v>1076.4114569999999</v>
      </c>
      <c r="AJ446" s="163">
        <f t="shared" si="18"/>
        <v>0.97482381590815792</v>
      </c>
      <c r="AK446" s="164">
        <v>45518</v>
      </c>
      <c r="AL446" s="165">
        <v>98.75</v>
      </c>
      <c r="AM446" s="166">
        <v>1698</v>
      </c>
      <c r="AN446" s="115"/>
      <c r="AO446" s="167">
        <v>4.7589349560000002E-4</v>
      </c>
      <c r="AP446" s="168">
        <f>IF(AO446="","",AO446-AO$6)</f>
        <v>-4.2513893299999717E-6</v>
      </c>
      <c r="AQ446" s="168">
        <v>-1.952667245E-3</v>
      </c>
      <c r="AR446" s="168">
        <f>IF(AQ446="","",AQ446-AQ$6)</f>
        <v>-1.73516049204E-3</v>
      </c>
      <c r="AS446" s="168">
        <v>4.2726134915999997E-2</v>
      </c>
      <c r="AT446" s="168">
        <f>IF(AS446="","",AS446-AS$6)</f>
        <v>2.8000299860999996E-2</v>
      </c>
      <c r="AU446" s="168">
        <v>-1.8282283435000001E-2</v>
      </c>
      <c r="AV446" s="168">
        <f>IF(AU446="","",AU446-AU$6)</f>
        <v>-5.2137008390000013E-3</v>
      </c>
      <c r="AW446" s="168">
        <v>2.8479331625999998E-2</v>
      </c>
      <c r="AX446" s="168">
        <f>IF(AW446="","",AW446-AW$6)</f>
        <v>4.484263837999998E-3</v>
      </c>
      <c r="AY446" s="168">
        <v>1.4046142168E-2</v>
      </c>
      <c r="AZ446" s="168">
        <f>IF(AY446="","",AY446-AY$6)</f>
        <v>-1.9611262200000014E-4</v>
      </c>
      <c r="BA446" s="168">
        <v>7.5431594542999997E-2</v>
      </c>
      <c r="BB446" s="168">
        <f>IF(BA446="","",BA446-BA$6)</f>
        <v>2.1944629984999998E-2</v>
      </c>
      <c r="BC446" s="168"/>
      <c r="BD446" s="168" t="str">
        <f>IF(BC446="","",BC446-BC$6)</f>
        <v/>
      </c>
      <c r="BE446" s="168"/>
      <c r="BF446" s="168" t="str">
        <f>IF(BE446="","",BE446-BE$6)</f>
        <v/>
      </c>
      <c r="BG446" s="168"/>
      <c r="BH446" s="168" t="str">
        <f>IF(BG446="","",BG446-BG$6)</f>
        <v/>
      </c>
      <c r="BI446" s="168"/>
      <c r="BJ446" s="168" t="str">
        <f>IF(BI446="","",BI446-BI$6)</f>
        <v/>
      </c>
      <c r="BK446" s="169">
        <v>6.4595114753000002</v>
      </c>
      <c r="BL446" s="115"/>
      <c r="BM446" s="170">
        <v>1.3381558255E-2</v>
      </c>
      <c r="BN446" s="163">
        <v>-1.4348637145999999E-2</v>
      </c>
      <c r="BO446" s="163">
        <v>3.0323518426E-2</v>
      </c>
      <c r="BP446" s="163">
        <v>-2.6916410833000001E-2</v>
      </c>
      <c r="BQ446" s="171">
        <v>8</v>
      </c>
      <c r="BR446" s="171">
        <v>4</v>
      </c>
      <c r="BS446" s="171">
        <v>5</v>
      </c>
      <c r="BT446" s="171">
        <v>7</v>
      </c>
      <c r="BU446" s="172">
        <v>-0.47493114685999999</v>
      </c>
      <c r="BV446" s="172"/>
      <c r="BW446" s="163">
        <v>6.6743774182000002E-3</v>
      </c>
      <c r="BX446" s="163">
        <v>5.3668570864999999E-3</v>
      </c>
      <c r="BY446" s="161">
        <v>-4.1659687595000001</v>
      </c>
      <c r="BZ446" s="163">
        <v>-3.1748328866E-2</v>
      </c>
      <c r="CA446" s="163">
        <v>-3.1748328866E-2</v>
      </c>
      <c r="CB446" s="154">
        <v>45363</v>
      </c>
      <c r="CC446" s="154">
        <v>45474</v>
      </c>
      <c r="CD446" s="173">
        <v>84</v>
      </c>
      <c r="CE446" s="174">
        <v>45484</v>
      </c>
      <c r="CF446" s="115"/>
    </row>
    <row r="447" spans="2:84" ht="15.6" x14ac:dyDescent="0.3">
      <c r="B447" s="98" t="s">
        <v>2318</v>
      </c>
      <c r="C447" s="175" t="s">
        <v>2703</v>
      </c>
      <c r="D447" s="176" t="s">
        <v>1936</v>
      </c>
      <c r="E447" s="176" t="s">
        <v>1964</v>
      </c>
      <c r="F447" s="177">
        <v>16404287000155</v>
      </c>
      <c r="G447" s="177" t="s">
        <v>2455</v>
      </c>
      <c r="H447" s="177" t="s">
        <v>388</v>
      </c>
      <c r="I447" s="178">
        <v>10</v>
      </c>
      <c r="J447" s="179" t="s">
        <v>107</v>
      </c>
      <c r="K447" s="179" t="s">
        <v>128</v>
      </c>
      <c r="L447" s="179" t="s">
        <v>112</v>
      </c>
      <c r="M447" s="179" t="s">
        <v>128</v>
      </c>
      <c r="N447" s="179" t="s">
        <v>109</v>
      </c>
      <c r="O447" s="180">
        <v>2000000</v>
      </c>
      <c r="P447" s="181">
        <v>2000000000</v>
      </c>
      <c r="Q447" s="181">
        <v>1000</v>
      </c>
      <c r="R447" s="182">
        <v>45184</v>
      </c>
      <c r="S447" s="182">
        <v>50663</v>
      </c>
      <c r="T447" s="183" t="s">
        <v>2828</v>
      </c>
      <c r="U447" s="183" t="s">
        <v>2767</v>
      </c>
      <c r="V447" s="182" t="s">
        <v>105</v>
      </c>
      <c r="W447" s="182" t="s">
        <v>102</v>
      </c>
      <c r="X447" s="182" t="s">
        <v>2573</v>
      </c>
      <c r="Y447" s="182">
        <v>51363</v>
      </c>
      <c r="Z447" s="184">
        <f>IFERROR(INDEX(Base!G:G,MATCH('Debêntures IPCA-Spread'!Y447,Base!F:F,0)),"")</f>
        <v>6.2279</v>
      </c>
      <c r="AA447" s="115"/>
      <c r="AB447" s="185">
        <v>45552</v>
      </c>
      <c r="AC447" s="186">
        <v>6.3097000000000003</v>
      </c>
      <c r="AD447" s="187">
        <f t="shared" si="19"/>
        <v>8.1800000000000317E-2</v>
      </c>
      <c r="AE447" s="188">
        <v>0.13</v>
      </c>
      <c r="AF447" s="189">
        <v>6.4764999999999997</v>
      </c>
      <c r="AG447" s="189">
        <v>6.1936999999999998</v>
      </c>
      <c r="AH447" s="190">
        <v>1032.1739359999999</v>
      </c>
      <c r="AI447" s="190"/>
      <c r="AJ447" s="191" t="str">
        <f t="shared" ref="AJ447:AJ510" si="20">IFERROR(AH447/AI447,"")</f>
        <v/>
      </c>
      <c r="AK447" s="192"/>
      <c r="AL447" s="193">
        <v>98.97</v>
      </c>
      <c r="AM447" s="194">
        <v>2289</v>
      </c>
      <c r="AN447" s="115"/>
      <c r="AO447" s="195">
        <v>-1.6022985337E-3</v>
      </c>
      <c r="AP447" s="196">
        <f>IF(AO447="","",AO447-AO$6)</f>
        <v>-2.0824434186300003E-3</v>
      </c>
      <c r="AQ447" s="196">
        <v>-1.0583618067999999E-2</v>
      </c>
      <c r="AR447" s="196">
        <f>IF(AQ447="","",AQ447-AQ$6)</f>
        <v>-1.036611131504E-2</v>
      </c>
      <c r="AS447" s="196">
        <v>4.7768988860999999E-2</v>
      </c>
      <c r="AT447" s="196">
        <f>IF(AS447="","",AS447-AS$6)</f>
        <v>3.3043153805999995E-2</v>
      </c>
      <c r="AU447" s="196">
        <v>-1.6060429166E-2</v>
      </c>
      <c r="AV447" s="196">
        <f>IF(AU447="","",AU447-AU$6)</f>
        <v>-2.9918465699999997E-3</v>
      </c>
      <c r="AW447" s="196">
        <v>4.4057498560999997E-2</v>
      </c>
      <c r="AX447" s="196">
        <f>IF(AW447="","",AW447-AW$6)</f>
        <v>2.0062430772999996E-2</v>
      </c>
      <c r="AY447" s="196">
        <v>2.0738271076000001E-2</v>
      </c>
      <c r="AZ447" s="196">
        <f>IF(AY447="","",AY447-AY$6)</f>
        <v>6.496016286E-3</v>
      </c>
      <c r="BA447" s="196"/>
      <c r="BB447" s="196" t="str">
        <f>IF(BA447="","",BA447-BA$6)</f>
        <v/>
      </c>
      <c r="BC447" s="196"/>
      <c r="BD447" s="196" t="str">
        <f>IF(BC447="","",BC447-BC$6)</f>
        <v/>
      </c>
      <c r="BE447" s="196"/>
      <c r="BF447" s="196" t="str">
        <f>IF(BE447="","",BE447-BE$6)</f>
        <v/>
      </c>
      <c r="BG447" s="196"/>
      <c r="BH447" s="196" t="str">
        <f>IF(BG447="","",BG447-BG$6)</f>
        <v/>
      </c>
      <c r="BI447" s="196"/>
      <c r="BJ447" s="196" t="str">
        <f>IF(BI447="","",BI447-BI$6)</f>
        <v/>
      </c>
      <c r="BK447" s="197"/>
      <c r="BL447" s="115"/>
      <c r="BM447" s="198">
        <v>1.7167203196999999E-2</v>
      </c>
      <c r="BN447" s="191">
        <v>-1.8249581543E-2</v>
      </c>
      <c r="BO447" s="191">
        <v>4.3398518003E-2</v>
      </c>
      <c r="BP447" s="191">
        <v>-3.6255576174999998E-2</v>
      </c>
      <c r="BQ447" s="199"/>
      <c r="BR447" s="199"/>
      <c r="BS447" s="199"/>
      <c r="BT447" s="199"/>
      <c r="BU447" s="200"/>
      <c r="BV447" s="200"/>
      <c r="BW447" s="191"/>
      <c r="BX447" s="191">
        <v>7.8214246127000005E-3</v>
      </c>
      <c r="BY447" s="189"/>
      <c r="BZ447" s="191">
        <v>-5.0015419801000001E-2</v>
      </c>
      <c r="CA447" s="191">
        <v>-5.0015419801000001E-2</v>
      </c>
      <c r="CB447" s="182">
        <v>45364</v>
      </c>
      <c r="CC447" s="182">
        <v>45474</v>
      </c>
      <c r="CD447" s="201">
        <v>99</v>
      </c>
      <c r="CE447" s="202">
        <v>45506</v>
      </c>
      <c r="CF447" s="115"/>
    </row>
    <row r="448" spans="2:84" ht="15.6" x14ac:dyDescent="0.3">
      <c r="B448" s="110" t="s">
        <v>62</v>
      </c>
      <c r="C448" s="147" t="s">
        <v>325</v>
      </c>
      <c r="D448" s="148" t="s">
        <v>22</v>
      </c>
      <c r="E448" s="148" t="s">
        <v>226</v>
      </c>
      <c r="F448" s="149">
        <v>7859971000130</v>
      </c>
      <c r="G448" s="149" t="s">
        <v>381</v>
      </c>
      <c r="H448" s="149" t="s">
        <v>388</v>
      </c>
      <c r="I448" s="150">
        <v>3</v>
      </c>
      <c r="J448" s="151">
        <v>3</v>
      </c>
      <c r="K448" s="151" t="s">
        <v>129</v>
      </c>
      <c r="L448" s="151" t="s">
        <v>114</v>
      </c>
      <c r="M448" s="151" t="s">
        <v>114</v>
      </c>
      <c r="N448" s="151" t="s">
        <v>117</v>
      </c>
      <c r="O448" s="152">
        <v>702000</v>
      </c>
      <c r="P448" s="153">
        <v>702000000</v>
      </c>
      <c r="Q448" s="153">
        <v>1000</v>
      </c>
      <c r="R448" s="154">
        <v>41197</v>
      </c>
      <c r="S448" s="154">
        <v>45580</v>
      </c>
      <c r="T448" s="155" t="s">
        <v>148</v>
      </c>
      <c r="U448" s="155" t="s">
        <v>189</v>
      </c>
      <c r="V448" s="154" t="s">
        <v>105</v>
      </c>
      <c r="W448" s="154" t="s">
        <v>102</v>
      </c>
      <c r="X448" s="154" t="s">
        <v>1307</v>
      </c>
      <c r="Y448" s="154">
        <v>45792</v>
      </c>
      <c r="Z448" s="156">
        <f>IFERROR(INDEX(Base!G:G,MATCH('Debêntures IPCA-Spread'!Y448,Base!F:F,0)),"")</f>
        <v>5.73</v>
      </c>
      <c r="AA448" s="115"/>
      <c r="AB448" s="157">
        <v>45552</v>
      </c>
      <c r="AC448" s="158">
        <v>6.3171999999999997</v>
      </c>
      <c r="AD448" s="159">
        <f t="shared" si="19"/>
        <v>0.58719999999999928</v>
      </c>
      <c r="AE448" s="160">
        <v>0.25</v>
      </c>
      <c r="AF448" s="161">
        <v>6.7037000000000004</v>
      </c>
      <c r="AG448" s="161">
        <v>5.6677999999999997</v>
      </c>
      <c r="AH448" s="162">
        <v>515.86147100000005</v>
      </c>
      <c r="AI448" s="162">
        <v>515.86147100000005</v>
      </c>
      <c r="AJ448" s="163">
        <f t="shared" si="20"/>
        <v>1</v>
      </c>
      <c r="AK448" s="164">
        <v>45552</v>
      </c>
      <c r="AL448" s="165">
        <v>99.91</v>
      </c>
      <c r="AM448" s="166">
        <v>20</v>
      </c>
      <c r="AN448" s="115"/>
      <c r="AO448" s="167">
        <v>5.9088344459999999E-4</v>
      </c>
      <c r="AP448" s="168">
        <f>IF(AO448="","",AO448-AO$6)</f>
        <v>1.1073855967E-4</v>
      </c>
      <c r="AQ448" s="168">
        <v>3.2561311673E-3</v>
      </c>
      <c r="AR448" s="168">
        <f>IF(AQ448="","",AQ448-AQ$6)</f>
        <v>3.4736379202600001E-3</v>
      </c>
      <c r="AS448" s="168">
        <v>8.7062197753999995E-2</v>
      </c>
      <c r="AT448" s="168">
        <f>IF(AS448="","",AS448-AS$6)</f>
        <v>7.2336362698999998E-2</v>
      </c>
      <c r="AU448" s="168">
        <v>6.2139905294000004E-3</v>
      </c>
      <c r="AV448" s="168">
        <f>IF(AU448="","",AU448-AU$6)</f>
        <v>1.92825731254E-2</v>
      </c>
      <c r="AW448" s="168">
        <v>2.4979566581999998E-2</v>
      </c>
      <c r="AX448" s="168">
        <f>IF(AW448="","",AW448-AW$6)</f>
        <v>9.8449879399999801E-4</v>
      </c>
      <c r="AY448" s="168">
        <v>5.1963819937999998E-2</v>
      </c>
      <c r="AZ448" s="168">
        <f>IF(AY448="","",AY448-AY$6)</f>
        <v>3.7721565148E-2</v>
      </c>
      <c r="BA448" s="168">
        <v>0.12308658369</v>
      </c>
      <c r="BB448" s="168">
        <f>IF(BA448="","",BA448-BA$6)</f>
        <v>6.9599619131999996E-2</v>
      </c>
      <c r="BC448" s="168">
        <v>0.28512074592999997</v>
      </c>
      <c r="BD448" s="168">
        <f>IF(BC448="","",BC448-BC$6)</f>
        <v>9.0812179439999974E-2</v>
      </c>
      <c r="BE448" s="168">
        <v>0.40488000387</v>
      </c>
      <c r="BF448" s="168">
        <f>IF(BE448="","",BE448-BE$6)</f>
        <v>0.14316066433000002</v>
      </c>
      <c r="BG448" s="168">
        <v>0.51820693269999996</v>
      </c>
      <c r="BH448" s="168">
        <f>IF(BG448="","",BG448-BG$6)</f>
        <v>0.20929028388999993</v>
      </c>
      <c r="BI448" s="168">
        <v>0.63889139683999996</v>
      </c>
      <c r="BJ448" s="168">
        <f>IF(BI448="","",BI448-BI$6)</f>
        <v>0.26594838675999993</v>
      </c>
      <c r="BK448" s="169">
        <v>0.84717953363999998</v>
      </c>
      <c r="BL448" s="115"/>
      <c r="BM448" s="170">
        <v>3.6306989987000002E-3</v>
      </c>
      <c r="BN448" s="163">
        <v>-1.0563982258999999E-3</v>
      </c>
      <c r="BO448" s="163">
        <v>1.2422333809E-2</v>
      </c>
      <c r="BP448" s="163">
        <v>3.2561311673E-3</v>
      </c>
      <c r="BQ448" s="171">
        <v>12</v>
      </c>
      <c r="BR448" s="171">
        <v>0</v>
      </c>
      <c r="BS448" s="171">
        <v>8</v>
      </c>
      <c r="BT448" s="171">
        <v>4</v>
      </c>
      <c r="BU448" s="172">
        <v>1.205115076</v>
      </c>
      <c r="BV448" s="172">
        <v>0.12815723659</v>
      </c>
      <c r="BW448" s="163">
        <v>8.7588364513000003E-4</v>
      </c>
      <c r="BX448" s="163">
        <v>1.5829492655999999E-4</v>
      </c>
      <c r="BY448" s="161">
        <v>1.0349836442</v>
      </c>
      <c r="BZ448" s="163">
        <v>-1.0626312471999999E-3</v>
      </c>
      <c r="CA448" s="163">
        <v>-1.0626312471999999E-3</v>
      </c>
      <c r="CB448" s="154">
        <v>45343</v>
      </c>
      <c r="CC448" s="154">
        <v>45345</v>
      </c>
      <c r="CD448" s="173">
        <v>4</v>
      </c>
      <c r="CE448" s="174">
        <v>45349</v>
      </c>
      <c r="CF448" s="115"/>
    </row>
    <row r="449" spans="2:84" ht="15.6" x14ac:dyDescent="0.3">
      <c r="B449" s="98" t="s">
        <v>266</v>
      </c>
      <c r="C449" s="175" t="s">
        <v>326</v>
      </c>
      <c r="D449" s="176" t="s">
        <v>22</v>
      </c>
      <c r="E449" s="176" t="s">
        <v>226</v>
      </c>
      <c r="F449" s="177">
        <v>7859971000130</v>
      </c>
      <c r="G449" s="177" t="s">
        <v>382</v>
      </c>
      <c r="H449" s="177" t="s">
        <v>388</v>
      </c>
      <c r="I449" s="178">
        <v>5</v>
      </c>
      <c r="J449" s="179" t="s">
        <v>107</v>
      </c>
      <c r="K449" s="179" t="s">
        <v>130</v>
      </c>
      <c r="L449" s="179" t="s">
        <v>123</v>
      </c>
      <c r="M449" s="179" t="s">
        <v>106</v>
      </c>
      <c r="N449" s="179" t="s">
        <v>109</v>
      </c>
      <c r="O449" s="180">
        <v>525772</v>
      </c>
      <c r="P449" s="181">
        <v>525772000</v>
      </c>
      <c r="Q449" s="181">
        <v>1000</v>
      </c>
      <c r="R449" s="182">
        <v>43296</v>
      </c>
      <c r="S449" s="182">
        <v>45853</v>
      </c>
      <c r="T449" s="183" t="s">
        <v>279</v>
      </c>
      <c r="U449" s="183" t="s">
        <v>282</v>
      </c>
      <c r="V449" s="182" t="s">
        <v>105</v>
      </c>
      <c r="W449" s="182" t="s">
        <v>102</v>
      </c>
      <c r="X449" s="182" t="s">
        <v>272</v>
      </c>
      <c r="Y449" s="182">
        <v>45792</v>
      </c>
      <c r="Z449" s="184">
        <f>IFERROR(INDEX(Base!G:G,MATCH('Debêntures IPCA-Spread'!Y449,Base!F:F,0)),"")</f>
        <v>5.73</v>
      </c>
      <c r="AA449" s="115"/>
      <c r="AB449" s="185">
        <v>45552</v>
      </c>
      <c r="AC449" s="186">
        <v>5.6338999999999997</v>
      </c>
      <c r="AD449" s="187">
        <f t="shared" si="19"/>
        <v>-9.610000000000074E-2</v>
      </c>
      <c r="AE449" s="188">
        <v>0.06</v>
      </c>
      <c r="AF449" s="189">
        <v>5.8761000000000001</v>
      </c>
      <c r="AG449" s="189">
        <v>5.4175000000000004</v>
      </c>
      <c r="AH449" s="190">
        <v>699.62996599999997</v>
      </c>
      <c r="AI449" s="190">
        <v>699.62996599999997</v>
      </c>
      <c r="AJ449" s="191">
        <f t="shared" si="20"/>
        <v>1</v>
      </c>
      <c r="AK449" s="192">
        <v>45552</v>
      </c>
      <c r="AL449" s="193">
        <v>100.25</v>
      </c>
      <c r="AM449" s="194">
        <v>205</v>
      </c>
      <c r="AN449" s="115"/>
      <c r="AO449" s="195">
        <v>4.5178702202999999E-4</v>
      </c>
      <c r="AP449" s="196">
        <f>IF(AO449="","",AO449-AO$6)</f>
        <v>-2.8357862900000002E-5</v>
      </c>
      <c r="AQ449" s="196">
        <v>6.5182761463999997E-3</v>
      </c>
      <c r="AR449" s="196">
        <f>IF(AQ449="","",AQ449-AQ$6)</f>
        <v>6.7357828993599997E-3</v>
      </c>
      <c r="AS449" s="196">
        <v>8.0262065223000001E-2</v>
      </c>
      <c r="AT449" s="196">
        <f>IF(AS449="","",AS449-AS$6)</f>
        <v>6.5536230168000004E-2</v>
      </c>
      <c r="AU449" s="196">
        <v>9.9168008709999995E-3</v>
      </c>
      <c r="AV449" s="196">
        <f>IF(AU449="","",AU449-AU$6)</f>
        <v>2.2985383466999999E-2</v>
      </c>
      <c r="AW449" s="196">
        <v>2.7644283687999999E-2</v>
      </c>
      <c r="AX449" s="196">
        <f>IF(AW449="","",AW449-AW$6)</f>
        <v>3.6492158999999989E-3</v>
      </c>
      <c r="AY449" s="196">
        <v>5.0911923461E-2</v>
      </c>
      <c r="AZ449" s="196">
        <f>IF(AY449="","",AY449-AY$6)</f>
        <v>3.6669668671000001E-2</v>
      </c>
      <c r="BA449" s="196">
        <v>0.10902751228</v>
      </c>
      <c r="BB449" s="196">
        <f>IF(BA449="","",BA449-BA$6)</f>
        <v>5.5540547722000004E-2</v>
      </c>
      <c r="BC449" s="196">
        <v>0.23465695541000001</v>
      </c>
      <c r="BD449" s="196">
        <f>IF(BC449="","",BC449-BC$6)</f>
        <v>4.0348388920000006E-2</v>
      </c>
      <c r="BE449" s="196">
        <v>0.34595131974999999</v>
      </c>
      <c r="BF449" s="196">
        <f>IF(BE449="","",BE449-BE$6)</f>
        <v>8.4231980210000001E-2</v>
      </c>
      <c r="BG449" s="196">
        <v>0.46479219944</v>
      </c>
      <c r="BH449" s="196">
        <f>IF(BG449="","",BG449-BG$6)</f>
        <v>0.15587555062999997</v>
      </c>
      <c r="BI449" s="196">
        <v>0.55044412035000001</v>
      </c>
      <c r="BJ449" s="196">
        <f>IF(BI449="","",BI449-BI$6)</f>
        <v>0.17750111026999998</v>
      </c>
      <c r="BK449" s="197">
        <v>0.94353410607999999</v>
      </c>
      <c r="BL449" s="115"/>
      <c r="BM449" s="198">
        <v>2.1804483039999998E-3</v>
      </c>
      <c r="BN449" s="191">
        <v>-2.8138216703000002E-3</v>
      </c>
      <c r="BO449" s="191">
        <v>1.2507585142E-2</v>
      </c>
      <c r="BP449" s="191">
        <v>1.6110402138999999E-3</v>
      </c>
      <c r="BQ449" s="199">
        <v>12</v>
      </c>
      <c r="BR449" s="199">
        <v>0</v>
      </c>
      <c r="BS449" s="199">
        <v>8</v>
      </c>
      <c r="BT449" s="199">
        <v>4</v>
      </c>
      <c r="BU449" s="200">
        <v>-0.25674386175000002</v>
      </c>
      <c r="BV449" s="200">
        <v>-0.39604908369000003</v>
      </c>
      <c r="BW449" s="191">
        <v>9.7497305861999999E-4</v>
      </c>
      <c r="BX449" s="191">
        <v>9.5767665159999995E-4</v>
      </c>
      <c r="BY449" s="189">
        <v>-0.40334214425999998</v>
      </c>
      <c r="BZ449" s="191">
        <v>-3.2858776951000001E-3</v>
      </c>
      <c r="CA449" s="191">
        <v>-3.2858776951000001E-3</v>
      </c>
      <c r="CB449" s="182">
        <v>45198</v>
      </c>
      <c r="CC449" s="182">
        <v>45212</v>
      </c>
      <c r="CD449" s="201">
        <v>16</v>
      </c>
      <c r="CE449" s="202">
        <v>45223</v>
      </c>
      <c r="CF449" s="115"/>
    </row>
    <row r="450" spans="2:84" ht="15.6" x14ac:dyDescent="0.3">
      <c r="B450" s="110" t="s">
        <v>595</v>
      </c>
      <c r="C450" s="147" t="s">
        <v>1010</v>
      </c>
      <c r="D450" s="148" t="s">
        <v>22</v>
      </c>
      <c r="E450" s="148" t="s">
        <v>226</v>
      </c>
      <c r="F450" s="149">
        <v>7859971000130</v>
      </c>
      <c r="G450" s="149" t="s">
        <v>1038</v>
      </c>
      <c r="H450" s="149" t="s">
        <v>388</v>
      </c>
      <c r="I450" s="150">
        <v>6</v>
      </c>
      <c r="J450" s="151">
        <v>2</v>
      </c>
      <c r="K450" s="151" t="s">
        <v>130</v>
      </c>
      <c r="L450" s="151" t="s">
        <v>122</v>
      </c>
      <c r="M450" s="151" t="s">
        <v>106</v>
      </c>
      <c r="N450" s="151" t="s">
        <v>109</v>
      </c>
      <c r="O450" s="152">
        <v>210000</v>
      </c>
      <c r="P450" s="153">
        <v>210000000</v>
      </c>
      <c r="Q450" s="153">
        <v>1000</v>
      </c>
      <c r="R450" s="154">
        <v>43600</v>
      </c>
      <c r="S450" s="154">
        <v>52732</v>
      </c>
      <c r="T450" s="155" t="s">
        <v>776</v>
      </c>
      <c r="U450" s="155" t="s">
        <v>1073</v>
      </c>
      <c r="V450" s="154" t="s">
        <v>194</v>
      </c>
      <c r="W450" s="154" t="s">
        <v>102</v>
      </c>
      <c r="X450" s="154" t="s">
        <v>1340</v>
      </c>
      <c r="Y450" s="154">
        <v>49444</v>
      </c>
      <c r="Z450" s="156">
        <f>IFERROR(INDEX(Base!G:G,MATCH('Debêntures IPCA-Spread'!Y450,Base!F:F,0)),"")</f>
        <v>6.3137999999999996</v>
      </c>
      <c r="AA450" s="115"/>
      <c r="AB450" s="157">
        <v>45552</v>
      </c>
      <c r="AC450" s="158">
        <v>6.5305</v>
      </c>
      <c r="AD450" s="159">
        <f t="shared" si="19"/>
        <v>0.21670000000000034</v>
      </c>
      <c r="AE450" s="160">
        <v>0.18</v>
      </c>
      <c r="AF450" s="161">
        <v>6.6521999999999997</v>
      </c>
      <c r="AG450" s="161">
        <v>6.4264999999999999</v>
      </c>
      <c r="AH450" s="162">
        <v>1238.1385230000001</v>
      </c>
      <c r="AI450" s="162">
        <v>1264.404816</v>
      </c>
      <c r="AJ450" s="163">
        <f t="shared" si="20"/>
        <v>0.97922635799261315</v>
      </c>
      <c r="AK450" s="164">
        <v>45523</v>
      </c>
      <c r="AL450" s="165">
        <v>91.53</v>
      </c>
      <c r="AM450" s="166">
        <v>2261</v>
      </c>
      <c r="AN450" s="115"/>
      <c r="AO450" s="167">
        <v>-2.4734304016000002E-3</v>
      </c>
      <c r="AP450" s="168">
        <f>IF(AO450="","",AO450-AO$6)</f>
        <v>-2.9535752865300002E-3</v>
      </c>
      <c r="AQ450" s="168">
        <v>-4.0700150248000003E-3</v>
      </c>
      <c r="AR450" s="168">
        <f>IF(AQ450="","",AQ450-AQ$6)</f>
        <v>-3.8525082718400003E-3</v>
      </c>
      <c r="AS450" s="168">
        <v>4.5344405701999997E-2</v>
      </c>
      <c r="AT450" s="168">
        <f>IF(AS450="","",AS450-AS$6)</f>
        <v>3.0618570646999996E-2</v>
      </c>
      <c r="AU450" s="168">
        <v>-1.5389462608999999E-2</v>
      </c>
      <c r="AV450" s="168">
        <f>IF(AU450="","",AU450-AU$6)</f>
        <v>-2.3208800129999995E-3</v>
      </c>
      <c r="AW450" s="168">
        <v>4.1863171414999997E-2</v>
      </c>
      <c r="AX450" s="168">
        <f>IF(AW450="","",AW450-AW$6)</f>
        <v>1.7868103626999997E-2</v>
      </c>
      <c r="AY450" s="168">
        <v>1.4799663309E-2</v>
      </c>
      <c r="AZ450" s="168">
        <f>IF(AY450="","",AY450-AY$6)</f>
        <v>5.5740851899999978E-4</v>
      </c>
      <c r="BA450" s="168">
        <v>9.9356147830000005E-2</v>
      </c>
      <c r="BB450" s="168">
        <f>IF(BA450="","",BA450-BA$6)</f>
        <v>4.5869183272000007E-2</v>
      </c>
      <c r="BC450" s="168">
        <v>0.24628135970000001</v>
      </c>
      <c r="BD450" s="168">
        <f>IF(BC450="","",BC450-BC$6)</f>
        <v>5.1972793210000007E-2</v>
      </c>
      <c r="BE450" s="168">
        <v>0.28164854942000001</v>
      </c>
      <c r="BF450" s="168">
        <f>IF(BE450="","",BE450-BE$6)</f>
        <v>1.9929209880000021E-2</v>
      </c>
      <c r="BG450" s="168">
        <v>0.39911467067</v>
      </c>
      <c r="BH450" s="168">
        <f>IF(BG450="","",BG450-BG$6)</f>
        <v>9.0198021859999977E-2</v>
      </c>
      <c r="BI450" s="168"/>
      <c r="BJ450" s="168" t="str">
        <f>IF(BI450="","",BI450-BI$6)</f>
        <v/>
      </c>
      <c r="BK450" s="169">
        <v>7.5078972792999998</v>
      </c>
      <c r="BL450" s="115"/>
      <c r="BM450" s="170">
        <v>1.6295353948999999E-2</v>
      </c>
      <c r="BN450" s="163">
        <v>-1.4247008985E-2</v>
      </c>
      <c r="BO450" s="163">
        <v>4.1771620007999999E-2</v>
      </c>
      <c r="BP450" s="163">
        <v>-2.291784295E-2</v>
      </c>
      <c r="BQ450" s="171">
        <v>6</v>
      </c>
      <c r="BR450" s="171">
        <v>6</v>
      </c>
      <c r="BS450" s="171">
        <v>6</v>
      </c>
      <c r="BT450" s="171">
        <v>6</v>
      </c>
      <c r="BU450" s="172">
        <v>-0.11167421873</v>
      </c>
      <c r="BV450" s="172">
        <v>-0.28589438882000001</v>
      </c>
      <c r="BW450" s="163">
        <v>7.7571783719000004E-3</v>
      </c>
      <c r="BX450" s="163">
        <v>6.0587094230000003E-3</v>
      </c>
      <c r="BY450" s="161">
        <v>-1.954551468</v>
      </c>
      <c r="BZ450" s="163">
        <v>-4.1330721027999999E-2</v>
      </c>
      <c r="CA450" s="163">
        <v>-4.1330721027999999E-2</v>
      </c>
      <c r="CB450" s="154">
        <v>45357</v>
      </c>
      <c r="CC450" s="154">
        <v>45455</v>
      </c>
      <c r="CD450" s="173">
        <v>103</v>
      </c>
      <c r="CE450" s="174">
        <v>45505</v>
      </c>
      <c r="CF450" s="115"/>
    </row>
    <row r="451" spans="2:84" ht="15.6" x14ac:dyDescent="0.3">
      <c r="B451" s="98" t="s">
        <v>1124</v>
      </c>
      <c r="C451" s="175" t="s">
        <v>1288</v>
      </c>
      <c r="D451" s="176" t="s">
        <v>22</v>
      </c>
      <c r="E451" s="176" t="s">
        <v>226</v>
      </c>
      <c r="F451" s="177">
        <v>7859971000130</v>
      </c>
      <c r="G451" s="177" t="s">
        <v>1185</v>
      </c>
      <c r="H451" s="177" t="s">
        <v>388</v>
      </c>
      <c r="I451" s="178">
        <v>7</v>
      </c>
      <c r="J451" s="179" t="s">
        <v>107</v>
      </c>
      <c r="K451" s="179" t="s">
        <v>126</v>
      </c>
      <c r="L451" s="179" t="s">
        <v>118</v>
      </c>
      <c r="M451" s="179" t="s">
        <v>106</v>
      </c>
      <c r="N451" s="179" t="s">
        <v>109</v>
      </c>
      <c r="O451" s="180">
        <v>508960</v>
      </c>
      <c r="P451" s="181">
        <v>508960000</v>
      </c>
      <c r="Q451" s="181">
        <v>1000</v>
      </c>
      <c r="R451" s="182">
        <v>43723</v>
      </c>
      <c r="S451" s="182">
        <v>52855</v>
      </c>
      <c r="T451" s="183" t="s">
        <v>1248</v>
      </c>
      <c r="U451" s="183" t="s">
        <v>1223</v>
      </c>
      <c r="V451" s="182" t="s">
        <v>105</v>
      </c>
      <c r="W451" s="182" t="s">
        <v>102</v>
      </c>
      <c r="X451" s="182" t="s">
        <v>1301</v>
      </c>
      <c r="Y451" s="182">
        <v>49444</v>
      </c>
      <c r="Z451" s="184">
        <f>IFERROR(INDEX(Base!G:G,MATCH('Debêntures IPCA-Spread'!Y451,Base!F:F,0)),"")</f>
        <v>6.3137999999999996</v>
      </c>
      <c r="AA451" s="115"/>
      <c r="AB451" s="185">
        <v>45552</v>
      </c>
      <c r="AC451" s="186">
        <v>6.5263</v>
      </c>
      <c r="AD451" s="187">
        <f t="shared" si="19"/>
        <v>0.21250000000000036</v>
      </c>
      <c r="AE451" s="188">
        <v>7.0000000000000007E-2</v>
      </c>
      <c r="AF451" s="189">
        <v>6.6543000000000001</v>
      </c>
      <c r="AG451" s="189"/>
      <c r="AH451" s="190">
        <v>1402.285527</v>
      </c>
      <c r="AI451" s="190">
        <v>1443.6768400000001</v>
      </c>
      <c r="AJ451" s="191">
        <f t="shared" si="20"/>
        <v>0.97132923944391869</v>
      </c>
      <c r="AK451" s="192">
        <v>45527</v>
      </c>
      <c r="AL451" s="193">
        <v>84.92</v>
      </c>
      <c r="AM451" s="194">
        <v>2071</v>
      </c>
      <c r="AN451" s="115"/>
      <c r="AO451" s="195">
        <v>-4.8447239177999996E-3</v>
      </c>
      <c r="AP451" s="196">
        <f>IF(AO451="","",AO451-AO$6)</f>
        <v>-5.3248688027299996E-3</v>
      </c>
      <c r="AQ451" s="196">
        <v>-1.3843136128E-2</v>
      </c>
      <c r="AR451" s="196">
        <f>IF(AQ451="","",AQ451-AQ$6)</f>
        <v>-1.3625629375040001E-2</v>
      </c>
      <c r="AS451" s="196">
        <v>4.9254695915999999E-2</v>
      </c>
      <c r="AT451" s="196">
        <f>IF(AS451="","",AS451-AS$6)</f>
        <v>3.4528860861000002E-2</v>
      </c>
      <c r="AU451" s="196">
        <v>-2.0777682203000001E-2</v>
      </c>
      <c r="AV451" s="196">
        <f>IF(AU451="","",AU451-AU$6)</f>
        <v>-7.7090996070000011E-3</v>
      </c>
      <c r="AW451" s="196">
        <v>4.2632120914000003E-2</v>
      </c>
      <c r="AX451" s="196">
        <f>IF(AW451="","",AW451-AW$6)</f>
        <v>1.8637053126000003E-2</v>
      </c>
      <c r="AY451" s="196">
        <v>1.7027099396999999E-2</v>
      </c>
      <c r="AZ451" s="196">
        <f>IF(AY451="","",AY451-AY$6)</f>
        <v>2.7848446069999987E-3</v>
      </c>
      <c r="BA451" s="196">
        <v>9.5799595744999994E-2</v>
      </c>
      <c r="BB451" s="196">
        <f>IF(BA451="","",BA451-BA$6)</f>
        <v>4.2312631186999995E-2</v>
      </c>
      <c r="BC451" s="196">
        <v>0.24182841988000001</v>
      </c>
      <c r="BD451" s="196">
        <f>IF(BC451="","",BC451-BC$6)</f>
        <v>4.7519853390000005E-2</v>
      </c>
      <c r="BE451" s="196"/>
      <c r="BF451" s="196" t="str">
        <f>IF(BE451="","",BE451-BE$6)</f>
        <v/>
      </c>
      <c r="BG451" s="196"/>
      <c r="BH451" s="196" t="str">
        <f>IF(BG451="","",BG451-BG$6)</f>
        <v/>
      </c>
      <c r="BI451" s="196"/>
      <c r="BJ451" s="196" t="str">
        <f>IF(BI451="","",BI451-BI$6)</f>
        <v/>
      </c>
      <c r="BK451" s="197">
        <v>9.0698944888999993</v>
      </c>
      <c r="BL451" s="115"/>
      <c r="BM451" s="198">
        <v>2.3902858164999999E-2</v>
      </c>
      <c r="BN451" s="191">
        <v>-1.8196574024999999E-2</v>
      </c>
      <c r="BO451" s="191">
        <v>3.7213962803000003E-2</v>
      </c>
      <c r="BP451" s="191">
        <v>-2.3642097721999999E-2</v>
      </c>
      <c r="BQ451" s="199">
        <v>7</v>
      </c>
      <c r="BR451" s="199">
        <v>5</v>
      </c>
      <c r="BS451" s="199">
        <v>6</v>
      </c>
      <c r="BT451" s="199">
        <v>6</v>
      </c>
      <c r="BU451" s="200">
        <v>-0.1136527723</v>
      </c>
      <c r="BV451" s="200"/>
      <c r="BW451" s="191">
        <v>9.3739788976999992E-3</v>
      </c>
      <c r="BX451" s="191">
        <v>6.7824105527000004E-3</v>
      </c>
      <c r="BY451" s="189">
        <v>-2.2340656243999999</v>
      </c>
      <c r="BZ451" s="191">
        <v>-4.1185258196000003E-2</v>
      </c>
      <c r="CA451" s="191">
        <v>-4.1185258196000003E-2</v>
      </c>
      <c r="CB451" s="182">
        <v>45349</v>
      </c>
      <c r="CC451" s="182">
        <v>45455</v>
      </c>
      <c r="CD451" s="201">
        <v>109</v>
      </c>
      <c r="CE451" s="202">
        <v>45505</v>
      </c>
      <c r="CF451" s="115"/>
    </row>
    <row r="452" spans="2:84" ht="15.6" x14ac:dyDescent="0.3">
      <c r="B452" s="110" t="s">
        <v>1506</v>
      </c>
      <c r="C452" s="147" t="s">
        <v>2152</v>
      </c>
      <c r="D452" s="148" t="s">
        <v>22</v>
      </c>
      <c r="E452" s="148" t="s">
        <v>226</v>
      </c>
      <c r="F452" s="149">
        <v>7859971000130</v>
      </c>
      <c r="G452" s="149" t="s">
        <v>1864</v>
      </c>
      <c r="H452" s="149" t="s">
        <v>388</v>
      </c>
      <c r="I452" s="150">
        <v>8</v>
      </c>
      <c r="J452" s="151" t="s">
        <v>107</v>
      </c>
      <c r="K452" s="151" t="s">
        <v>130</v>
      </c>
      <c r="L452" s="151" t="s">
        <v>122</v>
      </c>
      <c r="M452" s="151" t="s">
        <v>106</v>
      </c>
      <c r="N452" s="151" t="s">
        <v>109</v>
      </c>
      <c r="O452" s="152">
        <v>300000</v>
      </c>
      <c r="P452" s="153">
        <v>300000000</v>
      </c>
      <c r="Q452" s="153">
        <v>1000</v>
      </c>
      <c r="R452" s="154">
        <v>43814</v>
      </c>
      <c r="S452" s="154">
        <v>51119</v>
      </c>
      <c r="T452" s="155" t="s">
        <v>1241</v>
      </c>
      <c r="U452" s="155" t="s">
        <v>1723</v>
      </c>
      <c r="V452" s="154" t="s">
        <v>194</v>
      </c>
      <c r="W452" s="154" t="s">
        <v>102</v>
      </c>
      <c r="X452" s="154" t="s">
        <v>1325</v>
      </c>
      <c r="Y452" s="154">
        <v>48441</v>
      </c>
      <c r="Z452" s="156">
        <f>IFERROR(INDEX(Base!G:G,MATCH('Debêntures IPCA-Spread'!Y452,Base!F:F,0)),"")</f>
        <v>6.3467000000000002</v>
      </c>
      <c r="AA452" s="115"/>
      <c r="AB452" s="157">
        <v>45552</v>
      </c>
      <c r="AC452" s="158">
        <v>6.7229999999999999</v>
      </c>
      <c r="AD452" s="159">
        <f t="shared" si="19"/>
        <v>0.37629999999999963</v>
      </c>
      <c r="AE452" s="160">
        <v>0.03</v>
      </c>
      <c r="AF452" s="161">
        <v>6.9938000000000002</v>
      </c>
      <c r="AG452" s="161"/>
      <c r="AH452" s="162">
        <v>1193.899525</v>
      </c>
      <c r="AI452" s="162">
        <v>1213.718183</v>
      </c>
      <c r="AJ452" s="163">
        <f t="shared" si="20"/>
        <v>0.9836711204647085</v>
      </c>
      <c r="AK452" s="164">
        <v>45518</v>
      </c>
      <c r="AL452" s="165">
        <v>89.55</v>
      </c>
      <c r="AM452" s="166">
        <v>1472</v>
      </c>
      <c r="AN452" s="115"/>
      <c r="AO452" s="167">
        <v>7.3244021040999997E-4</v>
      </c>
      <c r="AP452" s="168">
        <f>IF(AO452="","",AO452-AO$6)</f>
        <v>2.5229532547999998E-4</v>
      </c>
      <c r="AQ452" s="168">
        <v>-1.9858866017E-4</v>
      </c>
      <c r="AR452" s="168">
        <f>IF(AQ452="","",AQ452-AQ$6)</f>
        <v>1.8918092790000006E-5</v>
      </c>
      <c r="AS452" s="168">
        <v>3.5020258186999997E-2</v>
      </c>
      <c r="AT452" s="168">
        <f>IF(AS452="","",AS452-AS$6)</f>
        <v>2.0294423131999997E-2</v>
      </c>
      <c r="AU452" s="168">
        <v>-1.1927695966000001E-2</v>
      </c>
      <c r="AV452" s="168">
        <f>IF(AU452="","",AU452-AU$6)</f>
        <v>1.140886629999999E-3</v>
      </c>
      <c r="AW452" s="168">
        <v>3.3189332666999999E-2</v>
      </c>
      <c r="AX452" s="168">
        <f>IF(AW452="","",AW452-AW$6)</f>
        <v>9.1942648789999984E-3</v>
      </c>
      <c r="AY452" s="168">
        <v>2.5499272968E-2</v>
      </c>
      <c r="AZ452" s="168">
        <f>IF(AY452="","",AY452-AY$6)</f>
        <v>1.1257018177999999E-2</v>
      </c>
      <c r="BA452" s="168">
        <v>0.14787972879</v>
      </c>
      <c r="BB452" s="168">
        <f>IF(BA452="","",BA452-BA$6)</f>
        <v>9.4392764231999993E-2</v>
      </c>
      <c r="BC452" s="168">
        <v>0.2865636104</v>
      </c>
      <c r="BD452" s="168">
        <f>IF(BC452="","",BC452-BC$6)</f>
        <v>9.2255043910000001E-2</v>
      </c>
      <c r="BE452" s="168"/>
      <c r="BF452" s="168" t="str">
        <f>IF(BE452="","",BE452-BE$6)</f>
        <v/>
      </c>
      <c r="BG452" s="168"/>
      <c r="BH452" s="168" t="str">
        <f>IF(BG452="","",BG452-BG$6)</f>
        <v/>
      </c>
      <c r="BI452" s="168"/>
      <c r="BJ452" s="168" t="str">
        <f>IF(BI452="","",BI452-BI$6)</f>
        <v/>
      </c>
      <c r="BK452" s="169">
        <v>9.1305358684000009</v>
      </c>
      <c r="BL452" s="115"/>
      <c r="BM452" s="170">
        <v>5.4254332234000002E-2</v>
      </c>
      <c r="BN452" s="163">
        <v>-2.3886096422E-2</v>
      </c>
      <c r="BO452" s="163">
        <v>9.8747795097999996E-2</v>
      </c>
      <c r="BP452" s="163">
        <v>-1.5279496635000001E-2</v>
      </c>
      <c r="BQ452" s="171">
        <v>6</v>
      </c>
      <c r="BR452" s="171">
        <v>6</v>
      </c>
      <c r="BS452" s="171">
        <v>6</v>
      </c>
      <c r="BT452" s="171">
        <v>6</v>
      </c>
      <c r="BU452" s="172">
        <v>0.39973053352999999</v>
      </c>
      <c r="BV452" s="172"/>
      <c r="BW452" s="163">
        <v>9.5203501840999995E-3</v>
      </c>
      <c r="BX452" s="163">
        <v>3.6637063862999999E-3</v>
      </c>
      <c r="BY452" s="161">
        <v>3.0932567354999998</v>
      </c>
      <c r="BZ452" s="163">
        <v>-3.7689548316999999E-2</v>
      </c>
      <c r="CA452" s="163">
        <v>-3.7689548316999999E-2</v>
      </c>
      <c r="CB452" s="154">
        <v>45189</v>
      </c>
      <c r="CC452" s="154">
        <v>45202</v>
      </c>
      <c r="CD452" s="173">
        <v>37</v>
      </c>
      <c r="CE452" s="174">
        <v>45244</v>
      </c>
      <c r="CF452" s="115"/>
    </row>
    <row r="453" spans="2:84" ht="15.6" x14ac:dyDescent="0.3">
      <c r="B453" s="98" t="s">
        <v>1507</v>
      </c>
      <c r="C453" s="175" t="s">
        <v>2153</v>
      </c>
      <c r="D453" s="176" t="s">
        <v>22</v>
      </c>
      <c r="E453" s="176" t="s">
        <v>226</v>
      </c>
      <c r="F453" s="177">
        <v>7859971000130</v>
      </c>
      <c r="G453" s="177" t="s">
        <v>1865</v>
      </c>
      <c r="H453" s="177" t="s">
        <v>388</v>
      </c>
      <c r="I453" s="178">
        <v>10</v>
      </c>
      <c r="J453" s="179">
        <v>2</v>
      </c>
      <c r="K453" s="179" t="s">
        <v>130</v>
      </c>
      <c r="L453" s="179" t="s">
        <v>118</v>
      </c>
      <c r="M453" s="179" t="s">
        <v>114</v>
      </c>
      <c r="N453" s="179" t="s">
        <v>109</v>
      </c>
      <c r="O453" s="180">
        <v>100000</v>
      </c>
      <c r="P453" s="181">
        <v>100000000</v>
      </c>
      <c r="Q453" s="181">
        <v>1000</v>
      </c>
      <c r="R453" s="182">
        <v>44331</v>
      </c>
      <c r="S453" s="182">
        <v>49810</v>
      </c>
      <c r="T453" s="183" t="s">
        <v>2021</v>
      </c>
      <c r="U453" s="183" t="s">
        <v>1724</v>
      </c>
      <c r="V453" s="182" t="s">
        <v>105</v>
      </c>
      <c r="W453" s="182" t="s">
        <v>102</v>
      </c>
      <c r="X453" s="182" t="s">
        <v>1628</v>
      </c>
      <c r="Y453" s="182">
        <v>49444</v>
      </c>
      <c r="Z453" s="184">
        <f>IFERROR(INDEX(Base!G:G,MATCH('Debêntures IPCA-Spread'!Y453,Base!F:F,0)),"")</f>
        <v>6.3137999999999996</v>
      </c>
      <c r="AA453" s="115"/>
      <c r="AB453" s="185">
        <v>45552</v>
      </c>
      <c r="AC453" s="186">
        <v>6.4192</v>
      </c>
      <c r="AD453" s="187">
        <f t="shared" si="19"/>
        <v>0.10540000000000038</v>
      </c>
      <c r="AE453" s="188">
        <v>0.1</v>
      </c>
      <c r="AF453" s="189">
        <v>6.7492000000000001</v>
      </c>
      <c r="AG453" s="189"/>
      <c r="AH453" s="190">
        <v>1092.1747989999999</v>
      </c>
      <c r="AI453" s="190">
        <v>1117.364918</v>
      </c>
      <c r="AJ453" s="191">
        <f t="shared" si="20"/>
        <v>0.97745578137079103</v>
      </c>
      <c r="AK453" s="192">
        <v>45530</v>
      </c>
      <c r="AL453" s="193">
        <v>87.89</v>
      </c>
      <c r="AM453" s="194">
        <v>2046</v>
      </c>
      <c r="AN453" s="115"/>
      <c r="AO453" s="195">
        <v>-1.4180976504E-3</v>
      </c>
      <c r="AP453" s="196">
        <f>IF(AO453="","",AO453-AO$6)</f>
        <v>-1.89824253533E-3</v>
      </c>
      <c r="AQ453" s="196">
        <v>1.2295175001000001E-3</v>
      </c>
      <c r="AR453" s="196">
        <f>IF(AQ453="","",AQ453-AQ$6)</f>
        <v>1.4470242530600001E-3</v>
      </c>
      <c r="AS453" s="196">
        <v>6.3689925041999995E-2</v>
      </c>
      <c r="AT453" s="196">
        <f>IF(AS453="","",AS453-AS$6)</f>
        <v>4.8964089986999998E-2</v>
      </c>
      <c r="AU453" s="196">
        <v>-3.9565942060999998E-3</v>
      </c>
      <c r="AV453" s="196">
        <f>IF(AU453="","",AU453-AU$6)</f>
        <v>9.1119883898999991E-3</v>
      </c>
      <c r="AW453" s="196">
        <v>5.5144968529999998E-2</v>
      </c>
      <c r="AX453" s="196">
        <f>IF(AW453="","",AW453-AW$6)</f>
        <v>3.1149900741999997E-2</v>
      </c>
      <c r="AY453" s="196">
        <v>2.1983490426000001E-2</v>
      </c>
      <c r="AZ453" s="196">
        <f>IF(AY453="","",AY453-AY$6)</f>
        <v>7.741235636E-3</v>
      </c>
      <c r="BA453" s="196">
        <v>0.12290955270999999</v>
      </c>
      <c r="BB453" s="196">
        <f>IF(BA453="","",BA453-BA$6)</f>
        <v>6.9422588152000003E-2</v>
      </c>
      <c r="BC453" s="196">
        <v>0.24625836642000001</v>
      </c>
      <c r="BD453" s="196">
        <f>IF(BC453="","",BC453-BC$6)</f>
        <v>5.1949799930000012E-2</v>
      </c>
      <c r="BE453" s="196"/>
      <c r="BF453" s="196" t="str">
        <f>IF(BE453="","",BE453-BE$6)</f>
        <v/>
      </c>
      <c r="BG453" s="196"/>
      <c r="BH453" s="196" t="str">
        <f>IF(BG453="","",BG453-BG$6)</f>
        <v/>
      </c>
      <c r="BI453" s="196"/>
      <c r="BJ453" s="196" t="str">
        <f>IF(BI453="","",BI453-BI$6)</f>
        <v/>
      </c>
      <c r="BK453" s="197">
        <v>8.2750740929000006</v>
      </c>
      <c r="BL453" s="115"/>
      <c r="BM453" s="198">
        <v>1.5695337845000001E-2</v>
      </c>
      <c r="BN453" s="191">
        <v>-1.6573706640000001E-2</v>
      </c>
      <c r="BO453" s="191">
        <v>3.3140124432999997E-2</v>
      </c>
      <c r="BP453" s="191">
        <v>-3.5272302750999997E-2</v>
      </c>
      <c r="BQ453" s="199">
        <v>10</v>
      </c>
      <c r="BR453" s="199">
        <v>2</v>
      </c>
      <c r="BS453" s="199">
        <v>7</v>
      </c>
      <c r="BT453" s="199">
        <v>5</v>
      </c>
      <c r="BU453" s="200">
        <v>0.1629260166</v>
      </c>
      <c r="BV453" s="200"/>
      <c r="BW453" s="191">
        <v>8.5499772134999992E-3</v>
      </c>
      <c r="BX453" s="191">
        <v>9.6170744135999995E-3</v>
      </c>
      <c r="BY453" s="189">
        <v>0.58499282422999999</v>
      </c>
      <c r="BZ453" s="191">
        <v>-5.1378381621000002E-2</v>
      </c>
      <c r="CA453" s="191">
        <v>-5.1378381621000002E-2</v>
      </c>
      <c r="CB453" s="182">
        <v>45376</v>
      </c>
      <c r="CC453" s="182">
        <v>45476</v>
      </c>
      <c r="CD453" s="201">
        <v>92</v>
      </c>
      <c r="CE453" s="202">
        <v>45509</v>
      </c>
      <c r="CF453" s="115"/>
    </row>
    <row r="454" spans="2:84" ht="15.6" x14ac:dyDescent="0.3">
      <c r="B454" s="110" t="s">
        <v>1508</v>
      </c>
      <c r="C454" s="147" t="s">
        <v>2154</v>
      </c>
      <c r="D454" s="148" t="s">
        <v>22</v>
      </c>
      <c r="E454" s="148" t="s">
        <v>226</v>
      </c>
      <c r="F454" s="149">
        <v>7859971000130</v>
      </c>
      <c r="G454" s="149" t="s">
        <v>1866</v>
      </c>
      <c r="H454" s="149" t="s">
        <v>388</v>
      </c>
      <c r="I454" s="150">
        <v>12</v>
      </c>
      <c r="J454" s="151">
        <v>1</v>
      </c>
      <c r="K454" s="151" t="s">
        <v>126</v>
      </c>
      <c r="L454" s="151" t="s">
        <v>122</v>
      </c>
      <c r="M454" s="151" t="s">
        <v>106</v>
      </c>
      <c r="N454" s="151" t="s">
        <v>109</v>
      </c>
      <c r="O454" s="152">
        <v>630783</v>
      </c>
      <c r="P454" s="153">
        <v>630783000</v>
      </c>
      <c r="Q454" s="153">
        <v>1000</v>
      </c>
      <c r="R454" s="154">
        <v>44666</v>
      </c>
      <c r="S454" s="154">
        <v>47223</v>
      </c>
      <c r="T454" s="155" t="s">
        <v>2007</v>
      </c>
      <c r="U454" s="155" t="s">
        <v>113</v>
      </c>
      <c r="V454" s="154" t="s">
        <v>105</v>
      </c>
      <c r="W454" s="154" t="s">
        <v>102</v>
      </c>
      <c r="X454" s="154" t="s">
        <v>1336</v>
      </c>
      <c r="Y454" s="154">
        <v>47253</v>
      </c>
      <c r="Z454" s="156">
        <f>IFERROR(INDEX(Base!G:G,MATCH('Debêntures IPCA-Spread'!Y454,Base!F:F,0)),"")</f>
        <v>6.41</v>
      </c>
      <c r="AA454" s="115"/>
      <c r="AB454" s="157">
        <v>45552</v>
      </c>
      <c r="AC454" s="158">
        <v>6.2851999999999997</v>
      </c>
      <c r="AD454" s="159">
        <f t="shared" si="19"/>
        <v>-0.12480000000000047</v>
      </c>
      <c r="AE454" s="160">
        <v>0.08</v>
      </c>
      <c r="AF454" s="161">
        <v>6.5218999999999996</v>
      </c>
      <c r="AG454" s="161">
        <v>6.0842999999999998</v>
      </c>
      <c r="AH454" s="162">
        <v>1091.79367</v>
      </c>
      <c r="AI454" s="162">
        <v>1094.349166</v>
      </c>
      <c r="AJ454" s="163">
        <f t="shared" si="20"/>
        <v>0.99766482574355986</v>
      </c>
      <c r="AK454" s="164">
        <v>45519</v>
      </c>
      <c r="AL454" s="165">
        <v>97.46</v>
      </c>
      <c r="AM454" s="166">
        <v>1001</v>
      </c>
      <c r="AN454" s="115"/>
      <c r="AO454" s="167">
        <v>1.9872970351999999E-3</v>
      </c>
      <c r="AP454" s="168">
        <f>IF(AO454="","",AO454-AO$6)</f>
        <v>1.5071521502699999E-3</v>
      </c>
      <c r="AQ454" s="168">
        <v>5.9916965892999998E-3</v>
      </c>
      <c r="AR454" s="168">
        <f>IF(AQ454="","",AQ454-AQ$6)</f>
        <v>6.2092033422599998E-3</v>
      </c>
      <c r="AS454" s="168">
        <v>5.4812969574000003E-2</v>
      </c>
      <c r="AT454" s="168">
        <f>IF(AS454="","",AS454-AS$6)</f>
        <v>4.0087134519000006E-2</v>
      </c>
      <c r="AU454" s="168">
        <v>2.1747848041000001E-4</v>
      </c>
      <c r="AV454" s="168">
        <f>IF(AU454="","",AU454-AU$6)</f>
        <v>1.328606107641E-2</v>
      </c>
      <c r="AW454" s="168">
        <v>3.4226475263000003E-2</v>
      </c>
      <c r="AX454" s="168">
        <f>IF(AW454="","",AW454-AW$6)</f>
        <v>1.0231407475000003E-2</v>
      </c>
      <c r="AY454" s="168">
        <v>2.5031890681999999E-2</v>
      </c>
      <c r="AZ454" s="168">
        <f>IF(AY454="","",AY454-AY$6)</f>
        <v>1.0789635891999999E-2</v>
      </c>
      <c r="BA454" s="168">
        <v>8.8161908487000007E-2</v>
      </c>
      <c r="BB454" s="168">
        <f>IF(BA454="","",BA454-BA$6)</f>
        <v>3.4674943929000009E-2</v>
      </c>
      <c r="BC454" s="168">
        <v>0.22358147376000001</v>
      </c>
      <c r="BD454" s="168">
        <f>IF(BC454="","",BC454-BC$6)</f>
        <v>2.9272907270000009E-2</v>
      </c>
      <c r="BE454" s="168"/>
      <c r="BF454" s="168" t="str">
        <f>IF(BE454="","",BE454-BE$6)</f>
        <v/>
      </c>
      <c r="BG454" s="168"/>
      <c r="BH454" s="168" t="str">
        <f>IF(BG454="","",BG454-BG$6)</f>
        <v/>
      </c>
      <c r="BI454" s="168"/>
      <c r="BJ454" s="168" t="str">
        <f>IF(BI454="","",BI454-BI$6)</f>
        <v/>
      </c>
      <c r="BK454" s="169">
        <v>4.0209476785999998</v>
      </c>
      <c r="BL454" s="115"/>
      <c r="BM454" s="170">
        <v>8.1865198425999999E-3</v>
      </c>
      <c r="BN454" s="163">
        <v>-6.7308462203E-3</v>
      </c>
      <c r="BO454" s="163">
        <v>2.5194155364999998E-2</v>
      </c>
      <c r="BP454" s="163">
        <v>-1.6514085219E-2</v>
      </c>
      <c r="BQ454" s="171">
        <v>9</v>
      </c>
      <c r="BR454" s="171">
        <v>3</v>
      </c>
      <c r="BS454" s="171">
        <v>7</v>
      </c>
      <c r="BT454" s="171">
        <v>5</v>
      </c>
      <c r="BU454" s="172">
        <v>-0.50853128202999998</v>
      </c>
      <c r="BV454" s="172"/>
      <c r="BW454" s="163">
        <v>4.1554872353000002E-3</v>
      </c>
      <c r="BX454" s="163">
        <v>3.4601167240000002E-3</v>
      </c>
      <c r="BY454" s="161">
        <v>-2.8370412554</v>
      </c>
      <c r="BZ454" s="163">
        <v>-1.8053061288000001E-2</v>
      </c>
      <c r="CA454" s="163">
        <v>-1.8053061288000001E-2</v>
      </c>
      <c r="CB454" s="154">
        <v>45391</v>
      </c>
      <c r="CC454" s="154">
        <v>45412</v>
      </c>
      <c r="CD454" s="173">
        <v>64</v>
      </c>
      <c r="CE454" s="174">
        <v>45483</v>
      </c>
      <c r="CF454" s="115"/>
    </row>
    <row r="455" spans="2:84" ht="15.6" x14ac:dyDescent="0.3">
      <c r="B455" s="98" t="s">
        <v>1509</v>
      </c>
      <c r="C455" s="175" t="s">
        <v>2155</v>
      </c>
      <c r="D455" s="176" t="s">
        <v>22</v>
      </c>
      <c r="E455" s="176" t="s">
        <v>226</v>
      </c>
      <c r="F455" s="177">
        <v>7859971000130</v>
      </c>
      <c r="G455" s="177" t="s">
        <v>1867</v>
      </c>
      <c r="H455" s="177" t="s">
        <v>388</v>
      </c>
      <c r="I455" s="178">
        <v>12</v>
      </c>
      <c r="J455" s="179">
        <v>2</v>
      </c>
      <c r="K455" s="179" t="s">
        <v>126</v>
      </c>
      <c r="L455" s="179" t="s">
        <v>122</v>
      </c>
      <c r="M455" s="179" t="s">
        <v>106</v>
      </c>
      <c r="N455" s="179" t="s">
        <v>109</v>
      </c>
      <c r="O455" s="180">
        <v>300410</v>
      </c>
      <c r="P455" s="181">
        <v>300410000</v>
      </c>
      <c r="Q455" s="181">
        <v>1000</v>
      </c>
      <c r="R455" s="182">
        <v>44666</v>
      </c>
      <c r="S455" s="182">
        <v>48319</v>
      </c>
      <c r="T455" s="183" t="s">
        <v>2007</v>
      </c>
      <c r="U455" s="183" t="s">
        <v>1725</v>
      </c>
      <c r="V455" s="182" t="s">
        <v>105</v>
      </c>
      <c r="W455" s="182" t="s">
        <v>102</v>
      </c>
      <c r="X455" s="182" t="s">
        <v>1382</v>
      </c>
      <c r="Y455" s="182">
        <v>47710</v>
      </c>
      <c r="Z455" s="184">
        <f>IFERROR(INDEX(Base!G:G,MATCH('Debêntures IPCA-Spread'!Y455,Base!F:F,0)),"")</f>
        <v>6.3273999999999999</v>
      </c>
      <c r="AA455" s="115"/>
      <c r="AB455" s="185">
        <v>45552</v>
      </c>
      <c r="AC455" s="186">
        <v>6.5171000000000001</v>
      </c>
      <c r="AD455" s="187">
        <f t="shared" si="19"/>
        <v>0.1897000000000002</v>
      </c>
      <c r="AE455" s="188">
        <v>0.02</v>
      </c>
      <c r="AF455" s="189">
        <v>6.6492000000000004</v>
      </c>
      <c r="AG455" s="189">
        <v>6.3688000000000002</v>
      </c>
      <c r="AH455" s="190">
        <v>1078.146835</v>
      </c>
      <c r="AI455" s="190">
        <v>1093.9073760000001</v>
      </c>
      <c r="AJ455" s="191">
        <f t="shared" si="20"/>
        <v>0.98559243557015741</v>
      </c>
      <c r="AK455" s="192">
        <v>45519</v>
      </c>
      <c r="AL455" s="193">
        <v>96.18</v>
      </c>
      <c r="AM455" s="194">
        <v>1353</v>
      </c>
      <c r="AN455" s="115"/>
      <c r="AO455" s="195">
        <v>-9.4117798107999997E-4</v>
      </c>
      <c r="AP455" s="196">
        <f>IF(AO455="","",AO455-AO$6)</f>
        <v>-1.4213228660099999E-3</v>
      </c>
      <c r="AQ455" s="196">
        <v>-3.1516753907000002E-3</v>
      </c>
      <c r="AR455" s="196">
        <f>IF(AQ455="","",AQ455-AQ$6)</f>
        <v>-2.9341686377400002E-3</v>
      </c>
      <c r="AS455" s="196">
        <v>3.9266496720000002E-2</v>
      </c>
      <c r="AT455" s="196">
        <f>IF(AS455="","",AS455-AS$6)</f>
        <v>2.4540661665000001E-2</v>
      </c>
      <c r="AU455" s="196">
        <v>-1.0017782645999999E-2</v>
      </c>
      <c r="AV455" s="196">
        <f>IF(AU455="","",AU455-AU$6)</f>
        <v>3.0507999500000004E-3</v>
      </c>
      <c r="AW455" s="196">
        <v>3.1945467237000001E-2</v>
      </c>
      <c r="AX455" s="196">
        <f>IF(AW455="","",AW455-AW$6)</f>
        <v>7.9503994490000007E-3</v>
      </c>
      <c r="AY455" s="196">
        <v>1.1180124769E-2</v>
      </c>
      <c r="AZ455" s="196">
        <f>IF(AY455="","",AY455-AY$6)</f>
        <v>-3.0621300210000001E-3</v>
      </c>
      <c r="BA455" s="196">
        <v>6.0808853075000002E-2</v>
      </c>
      <c r="BB455" s="196">
        <f>IF(BA455="","",BA455-BA$6)</f>
        <v>7.3218885170000039E-3</v>
      </c>
      <c r="BC455" s="196">
        <v>0.21826686485999999</v>
      </c>
      <c r="BD455" s="196">
        <f>IF(BC455="","",BC455-BC$6)</f>
        <v>2.3958298369999992E-2</v>
      </c>
      <c r="BE455" s="196"/>
      <c r="BF455" s="196" t="str">
        <f>IF(BE455="","",BE455-BE$6)</f>
        <v/>
      </c>
      <c r="BG455" s="196"/>
      <c r="BH455" s="196" t="str">
        <f>IF(BG455="","",BG455-BG$6)</f>
        <v/>
      </c>
      <c r="BI455" s="196"/>
      <c r="BJ455" s="196" t="str">
        <f>IF(BI455="","",BI455-BI$6)</f>
        <v/>
      </c>
      <c r="BK455" s="197">
        <v>5.6397275201000001</v>
      </c>
      <c r="BL455" s="115"/>
      <c r="BM455" s="198">
        <v>1.1247939142000001E-2</v>
      </c>
      <c r="BN455" s="191">
        <v>-1.1183803658000001E-2</v>
      </c>
      <c r="BO455" s="191">
        <v>3.3555725708999999E-2</v>
      </c>
      <c r="BP455" s="191">
        <v>-2.5318519035999999E-2</v>
      </c>
      <c r="BQ455" s="199">
        <v>8</v>
      </c>
      <c r="BR455" s="199">
        <v>4</v>
      </c>
      <c r="BS455" s="199">
        <v>7</v>
      </c>
      <c r="BT455" s="199">
        <v>5</v>
      </c>
      <c r="BU455" s="200">
        <v>-0.78598436763000001</v>
      </c>
      <c r="BV455" s="200"/>
      <c r="BW455" s="191">
        <v>5.826884783E-3</v>
      </c>
      <c r="BX455" s="191">
        <v>3.4879752851E-3</v>
      </c>
      <c r="BY455" s="189">
        <v>-5.6680608751000001</v>
      </c>
      <c r="BZ455" s="191">
        <v>-3.7372582069000002E-2</v>
      </c>
      <c r="CA455" s="191">
        <v>-3.7372582069000002E-2</v>
      </c>
      <c r="CB455" s="182">
        <v>45187</v>
      </c>
      <c r="CC455" s="182">
        <v>45202</v>
      </c>
      <c r="CD455" s="201">
        <v>49</v>
      </c>
      <c r="CE455" s="202">
        <v>45259</v>
      </c>
      <c r="CF455" s="115"/>
    </row>
    <row r="456" spans="2:84" ht="15.6" x14ac:dyDescent="0.3">
      <c r="B456" s="110" t="s">
        <v>1510</v>
      </c>
      <c r="C456" s="147" t="s">
        <v>2156</v>
      </c>
      <c r="D456" s="148" t="s">
        <v>22</v>
      </c>
      <c r="E456" s="148" t="s">
        <v>226</v>
      </c>
      <c r="F456" s="149">
        <v>7859971000130</v>
      </c>
      <c r="G456" s="149" t="s">
        <v>1868</v>
      </c>
      <c r="H456" s="149" t="s">
        <v>388</v>
      </c>
      <c r="I456" s="150">
        <v>12</v>
      </c>
      <c r="J456" s="151">
        <v>3</v>
      </c>
      <c r="K456" s="151" t="s">
        <v>126</v>
      </c>
      <c r="L456" s="151" t="s">
        <v>122</v>
      </c>
      <c r="M456" s="151" t="s">
        <v>106</v>
      </c>
      <c r="N456" s="151" t="s">
        <v>109</v>
      </c>
      <c r="O456" s="152">
        <v>318807</v>
      </c>
      <c r="P456" s="153">
        <v>318807000</v>
      </c>
      <c r="Q456" s="153">
        <v>1000</v>
      </c>
      <c r="R456" s="154">
        <v>44666</v>
      </c>
      <c r="S456" s="154">
        <v>50145</v>
      </c>
      <c r="T456" s="155" t="s">
        <v>2022</v>
      </c>
      <c r="U456" s="155" t="s">
        <v>1726</v>
      </c>
      <c r="V456" s="154" t="s">
        <v>105</v>
      </c>
      <c r="W456" s="154" t="s">
        <v>102</v>
      </c>
      <c r="X456" s="154" t="s">
        <v>1629</v>
      </c>
      <c r="Y456" s="154">
        <v>49444</v>
      </c>
      <c r="Z456" s="156">
        <f>IFERROR(INDEX(Base!G:G,MATCH('Debêntures IPCA-Spread'!Y456,Base!F:F,0)),"")</f>
        <v>6.3137999999999996</v>
      </c>
      <c r="AA456" s="115"/>
      <c r="AB456" s="157">
        <v>45552</v>
      </c>
      <c r="AC456" s="158">
        <v>6.4893000000000001</v>
      </c>
      <c r="AD456" s="159">
        <f t="shared" si="19"/>
        <v>0.17550000000000043</v>
      </c>
      <c r="AE456" s="160">
        <v>0.12</v>
      </c>
      <c r="AF456" s="161">
        <v>6.5944000000000003</v>
      </c>
      <c r="AG456" s="161">
        <v>6.3350999999999997</v>
      </c>
      <c r="AH456" s="162">
        <v>1066.749372</v>
      </c>
      <c r="AI456" s="162">
        <v>1094.786118</v>
      </c>
      <c r="AJ456" s="163">
        <f t="shared" si="20"/>
        <v>0.97439066358347814</v>
      </c>
      <c r="AK456" s="164">
        <v>45519</v>
      </c>
      <c r="AL456" s="165">
        <v>95.13</v>
      </c>
      <c r="AM456" s="166">
        <v>2078</v>
      </c>
      <c r="AN456" s="115"/>
      <c r="AO456" s="167">
        <v>-1.4986430741999999E-3</v>
      </c>
      <c r="AP456" s="168">
        <f>IF(AO456="","",AO456-AO$6)</f>
        <v>-1.9787879591299999E-3</v>
      </c>
      <c r="AQ456" s="168">
        <v>2.2807733367000002E-3</v>
      </c>
      <c r="AR456" s="168">
        <f>IF(AQ456="","",AQ456-AQ$6)</f>
        <v>2.4982800896600002E-3</v>
      </c>
      <c r="AS456" s="168">
        <v>4.8094859158999997E-2</v>
      </c>
      <c r="AT456" s="168">
        <f>IF(AS456="","",AS456-AS$6)</f>
        <v>3.3369024104E-2</v>
      </c>
      <c r="AU456" s="168">
        <v>-2.1808927454999998E-2</v>
      </c>
      <c r="AV456" s="168">
        <f>IF(AU456="","",AU456-AU$6)</f>
        <v>-8.7403448589999985E-3</v>
      </c>
      <c r="AW456" s="168">
        <v>3.7282627792999998E-2</v>
      </c>
      <c r="AX456" s="168">
        <f>IF(AW456="","",AW456-AW$6)</f>
        <v>1.3287560004999997E-2</v>
      </c>
      <c r="AY456" s="168">
        <v>1.5604449350000001E-2</v>
      </c>
      <c r="AZ456" s="168">
        <f>IF(AY456="","",AY456-AY$6)</f>
        <v>1.3621945600000001E-3</v>
      </c>
      <c r="BA456" s="168">
        <v>9.1459980672999999E-2</v>
      </c>
      <c r="BB456" s="168">
        <f>IF(BA456="","",BA456-BA$6)</f>
        <v>3.7973016115000001E-2</v>
      </c>
      <c r="BC456" s="168">
        <v>0.2357214926</v>
      </c>
      <c r="BD456" s="168">
        <f>IF(BC456="","",BC456-BC$6)</f>
        <v>4.1412926109999998E-2</v>
      </c>
      <c r="BE456" s="168"/>
      <c r="BF456" s="168" t="str">
        <f>IF(BE456="","",BE456-BE$6)</f>
        <v/>
      </c>
      <c r="BG456" s="168"/>
      <c r="BH456" s="168" t="str">
        <f>IF(BG456="","",BG456-BG$6)</f>
        <v/>
      </c>
      <c r="BI456" s="168"/>
      <c r="BJ456" s="168" t="str">
        <f>IF(BI456="","",BI456-BI$6)</f>
        <v/>
      </c>
      <c r="BK456" s="169">
        <v>8.1127003174999999</v>
      </c>
      <c r="BL456" s="115"/>
      <c r="BM456" s="170">
        <v>1.4555208752E-2</v>
      </c>
      <c r="BN456" s="163">
        <v>-1.5772568271000001E-2</v>
      </c>
      <c r="BO456" s="163">
        <v>3.7569678305E-2</v>
      </c>
      <c r="BP456" s="163">
        <v>-2.8843382843E-2</v>
      </c>
      <c r="BQ456" s="171">
        <v>8</v>
      </c>
      <c r="BR456" s="171">
        <v>4</v>
      </c>
      <c r="BS456" s="171">
        <v>5</v>
      </c>
      <c r="BT456" s="171">
        <v>7</v>
      </c>
      <c r="BU456" s="172">
        <v>-0.18542383012999999</v>
      </c>
      <c r="BV456" s="172"/>
      <c r="BW456" s="163">
        <v>8.3824624827999999E-3</v>
      </c>
      <c r="BX456" s="163">
        <v>7.8222238855999993E-3</v>
      </c>
      <c r="BY456" s="161">
        <v>-2.5547952836999999</v>
      </c>
      <c r="BZ456" s="163">
        <v>-3.8735317193000003E-2</v>
      </c>
      <c r="CA456" s="163">
        <v>-3.8735317193000003E-2</v>
      </c>
      <c r="CB456" s="154">
        <v>45358</v>
      </c>
      <c r="CC456" s="154">
        <v>45474</v>
      </c>
      <c r="CD456" s="173">
        <v>101</v>
      </c>
      <c r="CE456" s="174">
        <v>45504</v>
      </c>
      <c r="CF456" s="115"/>
    </row>
    <row r="457" spans="2:84" ht="15.6" x14ac:dyDescent="0.3">
      <c r="B457" s="98" t="s">
        <v>2319</v>
      </c>
      <c r="C457" s="175" t="s">
        <v>2704</v>
      </c>
      <c r="D457" s="176" t="s">
        <v>22</v>
      </c>
      <c r="E457" s="176" t="s">
        <v>226</v>
      </c>
      <c r="F457" s="177">
        <v>7859971000130</v>
      </c>
      <c r="G457" s="177" t="s">
        <v>2456</v>
      </c>
      <c r="H457" s="177" t="s">
        <v>388</v>
      </c>
      <c r="I457" s="178">
        <v>14</v>
      </c>
      <c r="J457" s="179">
        <v>1</v>
      </c>
      <c r="K457" s="179" t="s">
        <v>126</v>
      </c>
      <c r="L457" s="179" t="s">
        <v>122</v>
      </c>
      <c r="M457" s="179" t="s">
        <v>106</v>
      </c>
      <c r="N457" s="179" t="s">
        <v>109</v>
      </c>
      <c r="O457" s="180">
        <v>327835</v>
      </c>
      <c r="P457" s="181">
        <v>327835000</v>
      </c>
      <c r="Q457" s="181">
        <v>1000</v>
      </c>
      <c r="R457" s="182">
        <v>45184</v>
      </c>
      <c r="S457" s="182">
        <v>48837</v>
      </c>
      <c r="T457" s="183" t="s">
        <v>2828</v>
      </c>
      <c r="U457" s="183" t="s">
        <v>113</v>
      </c>
      <c r="V457" s="182" t="s">
        <v>105</v>
      </c>
      <c r="W457" s="182" t="s">
        <v>102</v>
      </c>
      <c r="X457" s="182" t="s">
        <v>2574</v>
      </c>
      <c r="Y457" s="182">
        <v>48714</v>
      </c>
      <c r="Z457" s="184">
        <f>IFERROR(INDEX(Base!G:G,MATCH('Debêntures IPCA-Spread'!Y457,Base!F:F,0)),"")</f>
        <v>6.3373999999999997</v>
      </c>
      <c r="AA457" s="115"/>
      <c r="AB457" s="185">
        <v>45552</v>
      </c>
      <c r="AC457" s="186">
        <v>6.4858000000000002</v>
      </c>
      <c r="AD457" s="187">
        <f t="shared" si="19"/>
        <v>0.14840000000000053</v>
      </c>
      <c r="AE457" s="188">
        <v>0.05</v>
      </c>
      <c r="AF457" s="189">
        <v>6.6260000000000003</v>
      </c>
      <c r="AG457" s="189">
        <v>6.3113999999999999</v>
      </c>
      <c r="AH457" s="190">
        <v>1000.151617</v>
      </c>
      <c r="AI457" s="190"/>
      <c r="AJ457" s="191" t="str">
        <f t="shared" si="20"/>
        <v/>
      </c>
      <c r="AK457" s="192"/>
      <c r="AL457" s="193">
        <v>96</v>
      </c>
      <c r="AM457" s="194">
        <v>1779</v>
      </c>
      <c r="AN457" s="115"/>
      <c r="AO457" s="195">
        <v>-8.4466775933999996E-4</v>
      </c>
      <c r="AP457" s="196">
        <f>IF(AO457="","",AO457-AO$6)</f>
        <v>-1.3248126442700001E-3</v>
      </c>
      <c r="AQ457" s="196">
        <v>-4.1312596967999996E-3</v>
      </c>
      <c r="AR457" s="196">
        <f>IF(AQ457="","",AQ457-AQ$6)</f>
        <v>-3.9137529438399996E-3</v>
      </c>
      <c r="AS457" s="196">
        <v>3.3292172729000001E-2</v>
      </c>
      <c r="AT457" s="196">
        <f>IF(AS457="","",AS457-AS$6)</f>
        <v>1.8566337674E-2</v>
      </c>
      <c r="AU457" s="196">
        <v>-1.9304775749000001E-2</v>
      </c>
      <c r="AV457" s="196">
        <f>IF(AU457="","",AU457-AU$6)</f>
        <v>-6.2361931530000008E-3</v>
      </c>
      <c r="AW457" s="196">
        <v>2.8181281414E-2</v>
      </c>
      <c r="AX457" s="196">
        <f>IF(AW457="","",AW457-AW$6)</f>
        <v>4.1862136259999995E-3</v>
      </c>
      <c r="AY457" s="196">
        <v>7.3657841930999998E-3</v>
      </c>
      <c r="AZ457" s="196">
        <f>IF(AY457="","",AY457-AY$6)</f>
        <v>-6.8764705969000008E-3</v>
      </c>
      <c r="BA457" s="196"/>
      <c r="BB457" s="196" t="str">
        <f>IF(BA457="","",BA457-BA$6)</f>
        <v/>
      </c>
      <c r="BC457" s="196"/>
      <c r="BD457" s="196" t="str">
        <f>IF(BC457="","",BC457-BC$6)</f>
        <v/>
      </c>
      <c r="BE457" s="196"/>
      <c r="BF457" s="196" t="str">
        <f>IF(BE457="","",BE457-BE$6)</f>
        <v/>
      </c>
      <c r="BG457" s="196"/>
      <c r="BH457" s="196" t="str">
        <f>IF(BG457="","",BG457-BG$6)</f>
        <v/>
      </c>
      <c r="BI457" s="196"/>
      <c r="BJ457" s="196" t="str">
        <f>IF(BI457="","",BI457-BI$6)</f>
        <v/>
      </c>
      <c r="BK457" s="197"/>
      <c r="BL457" s="115"/>
      <c r="BM457" s="198">
        <v>1.5848456173999999E-2</v>
      </c>
      <c r="BN457" s="191">
        <v>-1.0854331974999999E-2</v>
      </c>
      <c r="BO457" s="191">
        <v>3.1275805533000002E-2</v>
      </c>
      <c r="BP457" s="191">
        <v>-3.4981814052000001E-2</v>
      </c>
      <c r="BQ457" s="199"/>
      <c r="BR457" s="199"/>
      <c r="BS457" s="199"/>
      <c r="BT457" s="199"/>
      <c r="BU457" s="200"/>
      <c r="BV457" s="200"/>
      <c r="BW457" s="191"/>
      <c r="BX457" s="191">
        <v>4.8813952679000001E-3</v>
      </c>
      <c r="BY457" s="189"/>
      <c r="BZ457" s="191">
        <v>-3.8922526067000002E-2</v>
      </c>
      <c r="CA457" s="191">
        <v>-3.8922526067000002E-2</v>
      </c>
      <c r="CB457" s="182">
        <v>45378</v>
      </c>
      <c r="CC457" s="182">
        <v>45455</v>
      </c>
      <c r="CD457" s="201">
        <v>89</v>
      </c>
      <c r="CE457" s="202">
        <v>45506</v>
      </c>
      <c r="CF457" s="115"/>
    </row>
    <row r="458" spans="2:84" ht="15.6" x14ac:dyDescent="0.3">
      <c r="B458" s="110" t="s">
        <v>2320</v>
      </c>
      <c r="C458" s="147" t="s">
        <v>2705</v>
      </c>
      <c r="D458" s="148" t="s">
        <v>22</v>
      </c>
      <c r="E458" s="148" t="s">
        <v>226</v>
      </c>
      <c r="F458" s="149">
        <v>7859971000130</v>
      </c>
      <c r="G458" s="149" t="s">
        <v>2457</v>
      </c>
      <c r="H458" s="149" t="s">
        <v>388</v>
      </c>
      <c r="I458" s="150">
        <v>14</v>
      </c>
      <c r="J458" s="151">
        <v>2</v>
      </c>
      <c r="K458" s="151" t="s">
        <v>126</v>
      </c>
      <c r="L458" s="151" t="s">
        <v>122</v>
      </c>
      <c r="M458" s="151" t="s">
        <v>106</v>
      </c>
      <c r="N458" s="151" t="s">
        <v>109</v>
      </c>
      <c r="O458" s="152">
        <v>86261</v>
      </c>
      <c r="P458" s="153">
        <v>86261000</v>
      </c>
      <c r="Q458" s="153">
        <v>1000</v>
      </c>
      <c r="R458" s="154">
        <v>45184</v>
      </c>
      <c r="S458" s="154">
        <v>49567</v>
      </c>
      <c r="T458" s="155" t="s">
        <v>2828</v>
      </c>
      <c r="U458" s="155" t="s">
        <v>113</v>
      </c>
      <c r="V458" s="154" t="s">
        <v>105</v>
      </c>
      <c r="W458" s="154" t="s">
        <v>102</v>
      </c>
      <c r="X458" s="154" t="s">
        <v>2575</v>
      </c>
      <c r="Y458" s="154">
        <v>49444</v>
      </c>
      <c r="Z458" s="156">
        <f>IFERROR(INDEX(Base!G:G,MATCH('Debêntures IPCA-Spread'!Y458,Base!F:F,0)),"")</f>
        <v>6.3137999999999996</v>
      </c>
      <c r="AA458" s="115"/>
      <c r="AB458" s="157">
        <v>45552</v>
      </c>
      <c r="AC458" s="158">
        <v>6.5442999999999998</v>
      </c>
      <c r="AD458" s="159">
        <f t="shared" si="19"/>
        <v>0.23050000000000015</v>
      </c>
      <c r="AE458" s="160">
        <v>0.04</v>
      </c>
      <c r="AF458" s="161">
        <v>6.6452</v>
      </c>
      <c r="AG458" s="161">
        <v>6.3364000000000003</v>
      </c>
      <c r="AH458" s="162">
        <v>1004.257188</v>
      </c>
      <c r="AI458" s="162"/>
      <c r="AJ458" s="163" t="str">
        <f t="shared" si="20"/>
        <v/>
      </c>
      <c r="AK458" s="164"/>
      <c r="AL458" s="165">
        <v>96.39</v>
      </c>
      <c r="AM458" s="166">
        <v>2046</v>
      </c>
      <c r="AN458" s="115"/>
      <c r="AO458" s="167">
        <v>-2.0126872522999999E-3</v>
      </c>
      <c r="AP458" s="168">
        <f>IF(AO458="","",AO458-AO$6)</f>
        <v>-2.4928321372299999E-3</v>
      </c>
      <c r="AQ458" s="168">
        <v>-2.4501028928999998E-4</v>
      </c>
      <c r="AR458" s="168">
        <f>IF(AQ458="","",AQ458-AQ$6)</f>
        <v>-2.7503536329999981E-5</v>
      </c>
      <c r="AS458" s="168">
        <v>3.5586417184999997E-2</v>
      </c>
      <c r="AT458" s="168">
        <f>IF(AS458="","",AS458-AS$6)</f>
        <v>2.0860582129999996E-2</v>
      </c>
      <c r="AU458" s="168">
        <v>-2.2843957928000001E-2</v>
      </c>
      <c r="AV458" s="168">
        <f>IF(AU458="","",AU458-AU$6)</f>
        <v>-9.7753753320000015E-3</v>
      </c>
      <c r="AW458" s="168">
        <v>3.0253765767999999E-2</v>
      </c>
      <c r="AX458" s="168">
        <f>IF(AW458="","",AW458-AW$6)</f>
        <v>6.2586979799999984E-3</v>
      </c>
      <c r="AY458" s="168">
        <v>-1.6456400717E-3</v>
      </c>
      <c r="AZ458" s="168">
        <f>IF(AY458="","",AY458-AY$6)</f>
        <v>-1.5887894861699999E-2</v>
      </c>
      <c r="BA458" s="168"/>
      <c r="BB458" s="168" t="str">
        <f>IF(BA458="","",BA458-BA$6)</f>
        <v/>
      </c>
      <c r="BC458" s="168"/>
      <c r="BD458" s="168" t="str">
        <f>IF(BC458="","",BC458-BC$6)</f>
        <v/>
      </c>
      <c r="BE458" s="168"/>
      <c r="BF458" s="168" t="str">
        <f>IF(BE458="","",BE458-BE$6)</f>
        <v/>
      </c>
      <c r="BG458" s="168"/>
      <c r="BH458" s="168" t="str">
        <f>IF(BG458="","",BG458-BG$6)</f>
        <v/>
      </c>
      <c r="BI458" s="168"/>
      <c r="BJ458" s="168" t="str">
        <f>IF(BI458="","",BI458-BI$6)</f>
        <v/>
      </c>
      <c r="BK458" s="169"/>
      <c r="BL458" s="115"/>
      <c r="BM458" s="170">
        <v>1.4074356797E-2</v>
      </c>
      <c r="BN458" s="163">
        <v>-1.4774434926E-2</v>
      </c>
      <c r="BO458" s="163">
        <v>3.4372204013999999E-2</v>
      </c>
      <c r="BP458" s="163">
        <v>-3.3497117563999999E-2</v>
      </c>
      <c r="BQ458" s="171"/>
      <c r="BR458" s="171"/>
      <c r="BS458" s="171"/>
      <c r="BT458" s="171"/>
      <c r="BU458" s="172"/>
      <c r="BV458" s="172"/>
      <c r="BW458" s="163"/>
      <c r="BX458" s="163">
        <v>5.7351491800000003E-3</v>
      </c>
      <c r="BY458" s="161"/>
      <c r="BZ458" s="163">
        <v>-4.8911418893999997E-2</v>
      </c>
      <c r="CA458" s="163">
        <v>-4.8911418893999997E-2</v>
      </c>
      <c r="CB458" s="154">
        <v>45363</v>
      </c>
      <c r="CC458" s="154">
        <v>45455</v>
      </c>
      <c r="CD458" s="173">
        <v>100</v>
      </c>
      <c r="CE458" s="174">
        <v>45506</v>
      </c>
      <c r="CF458" s="115"/>
    </row>
    <row r="459" spans="2:84" ht="15.6" x14ac:dyDescent="0.3">
      <c r="B459" s="98" t="s">
        <v>2321</v>
      </c>
      <c r="C459" s="175" t="s">
        <v>2706</v>
      </c>
      <c r="D459" s="176" t="s">
        <v>22</v>
      </c>
      <c r="E459" s="176" t="s">
        <v>226</v>
      </c>
      <c r="F459" s="177">
        <v>7859971000130</v>
      </c>
      <c r="G459" s="177" t="s">
        <v>2458</v>
      </c>
      <c r="H459" s="177" t="s">
        <v>388</v>
      </c>
      <c r="I459" s="178">
        <v>14</v>
      </c>
      <c r="J459" s="179">
        <v>3</v>
      </c>
      <c r="K459" s="179" t="s">
        <v>126</v>
      </c>
      <c r="L459" s="179" t="s">
        <v>122</v>
      </c>
      <c r="M459" s="179" t="s">
        <v>106</v>
      </c>
      <c r="N459" s="179" t="s">
        <v>109</v>
      </c>
      <c r="O459" s="180">
        <v>385904</v>
      </c>
      <c r="P459" s="181">
        <v>385904000</v>
      </c>
      <c r="Q459" s="181">
        <v>1000</v>
      </c>
      <c r="R459" s="182">
        <v>45184</v>
      </c>
      <c r="S459" s="182">
        <v>50663</v>
      </c>
      <c r="T459" s="183" t="s">
        <v>2828</v>
      </c>
      <c r="U459" s="183" t="s">
        <v>2767</v>
      </c>
      <c r="V459" s="182" t="s">
        <v>105</v>
      </c>
      <c r="W459" s="182" t="s">
        <v>102</v>
      </c>
      <c r="X459" s="182" t="s">
        <v>2576</v>
      </c>
      <c r="Y459" s="182">
        <v>49444</v>
      </c>
      <c r="Z459" s="184">
        <f>IFERROR(INDEX(Base!G:G,MATCH('Debêntures IPCA-Spread'!Y459,Base!F:F,0)),"")</f>
        <v>6.3137999999999996</v>
      </c>
      <c r="AA459" s="115"/>
      <c r="AB459" s="185">
        <v>45552</v>
      </c>
      <c r="AC459" s="186">
        <v>6.5606</v>
      </c>
      <c r="AD459" s="187">
        <f t="shared" si="19"/>
        <v>0.24680000000000035</v>
      </c>
      <c r="AE459" s="188">
        <v>0.09</v>
      </c>
      <c r="AF459" s="189">
        <v>6.7224000000000004</v>
      </c>
      <c r="AG459" s="189">
        <v>6.3425000000000002</v>
      </c>
      <c r="AH459" s="190">
        <v>1016.49221</v>
      </c>
      <c r="AI459" s="190"/>
      <c r="AJ459" s="191" t="str">
        <f t="shared" si="20"/>
        <v/>
      </c>
      <c r="AK459" s="192"/>
      <c r="AL459" s="193">
        <v>97.57</v>
      </c>
      <c r="AM459" s="194">
        <v>2272</v>
      </c>
      <c r="AN459" s="115"/>
      <c r="AO459" s="195">
        <v>-6.1906000938E-3</v>
      </c>
      <c r="AP459" s="196">
        <f>IF(AO459="","",AO459-AO$6)</f>
        <v>-6.67074497873E-3</v>
      </c>
      <c r="AQ459" s="196">
        <v>-1.0311935142E-2</v>
      </c>
      <c r="AR459" s="196">
        <f>IF(AQ459="","",AQ459-AQ$6)</f>
        <v>-1.0094428389040001E-2</v>
      </c>
      <c r="AS459" s="196">
        <v>3.2748219412999997E-2</v>
      </c>
      <c r="AT459" s="196">
        <f>IF(AS459="","",AS459-AS$6)</f>
        <v>1.8022384357999997E-2</v>
      </c>
      <c r="AU459" s="196">
        <v>-2.9493776877E-2</v>
      </c>
      <c r="AV459" s="196">
        <f>IF(AU459="","",AU459-AU$6)</f>
        <v>-1.6425194280999998E-2</v>
      </c>
      <c r="AW459" s="196">
        <v>1.7120833070000001E-2</v>
      </c>
      <c r="AX459" s="196">
        <f>IF(AW459="","",AW459-AW$6)</f>
        <v>-6.8742347179999996E-3</v>
      </c>
      <c r="AY459" s="196">
        <v>-1.5486530992000001E-3</v>
      </c>
      <c r="AZ459" s="196">
        <f>IF(AY459="","",AY459-AY$6)</f>
        <v>-1.5790907889200002E-2</v>
      </c>
      <c r="BA459" s="196"/>
      <c r="BB459" s="196" t="str">
        <f>IF(BA459="","",BA459-BA$6)</f>
        <v/>
      </c>
      <c r="BC459" s="196"/>
      <c r="BD459" s="196" t="str">
        <f>IF(BC459="","",BC459-BC$6)</f>
        <v/>
      </c>
      <c r="BE459" s="196"/>
      <c r="BF459" s="196" t="str">
        <f>IF(BE459="","",BE459-BE$6)</f>
        <v/>
      </c>
      <c r="BG459" s="196"/>
      <c r="BH459" s="196" t="str">
        <f>IF(BG459="","",BG459-BG$6)</f>
        <v/>
      </c>
      <c r="BI459" s="196"/>
      <c r="BJ459" s="196" t="str">
        <f>IF(BI459="","",BI459-BI$6)</f>
        <v/>
      </c>
      <c r="BK459" s="197"/>
      <c r="BL459" s="115"/>
      <c r="BM459" s="198">
        <v>1.3234223357000001E-2</v>
      </c>
      <c r="BN459" s="191">
        <v>-1.5041653091E-2</v>
      </c>
      <c r="BO459" s="191">
        <v>4.5753234407999999E-2</v>
      </c>
      <c r="BP459" s="191">
        <v>-4.3352181413999998E-2</v>
      </c>
      <c r="BQ459" s="199"/>
      <c r="BR459" s="199"/>
      <c r="BS459" s="199"/>
      <c r="BT459" s="199"/>
      <c r="BU459" s="200"/>
      <c r="BV459" s="200"/>
      <c r="BW459" s="191"/>
      <c r="BX459" s="191">
        <v>6.5383541111000004E-3</v>
      </c>
      <c r="BY459" s="189"/>
      <c r="BZ459" s="191">
        <v>-5.0119955851E-2</v>
      </c>
      <c r="CA459" s="191">
        <v>-5.0119955851E-2</v>
      </c>
      <c r="CB459" s="182">
        <v>45379</v>
      </c>
      <c r="CC459" s="182">
        <v>45474</v>
      </c>
      <c r="CD459" s="201">
        <v>88</v>
      </c>
      <c r="CE459" s="202">
        <v>45506</v>
      </c>
      <c r="CF459" s="115"/>
    </row>
    <row r="460" spans="2:84" ht="15.6" x14ac:dyDescent="0.3">
      <c r="B460" s="110" t="s">
        <v>1511</v>
      </c>
      <c r="C460" s="147" t="s">
        <v>2157</v>
      </c>
      <c r="D460" s="148" t="s">
        <v>1937</v>
      </c>
      <c r="E460" s="148" t="s">
        <v>104</v>
      </c>
      <c r="F460" s="149">
        <v>1115535000170</v>
      </c>
      <c r="G460" s="149" t="s">
        <v>1869</v>
      </c>
      <c r="H460" s="149" t="s">
        <v>388</v>
      </c>
      <c r="I460" s="150">
        <v>3</v>
      </c>
      <c r="J460" s="151" t="s">
        <v>107</v>
      </c>
      <c r="K460" s="151" t="s">
        <v>111</v>
      </c>
      <c r="L460" s="151" t="s">
        <v>122</v>
      </c>
      <c r="M460" s="151" t="s">
        <v>986</v>
      </c>
      <c r="N460" s="151" t="s">
        <v>109</v>
      </c>
      <c r="O460" s="152">
        <v>350000</v>
      </c>
      <c r="P460" s="153">
        <v>350000000</v>
      </c>
      <c r="Q460" s="153">
        <v>1000</v>
      </c>
      <c r="R460" s="154">
        <v>44515</v>
      </c>
      <c r="S460" s="154">
        <v>49658</v>
      </c>
      <c r="T460" s="155" t="s">
        <v>2023</v>
      </c>
      <c r="U460" s="155" t="s">
        <v>1727</v>
      </c>
      <c r="V460" s="154" t="s">
        <v>194</v>
      </c>
      <c r="W460" s="154" t="s">
        <v>102</v>
      </c>
      <c r="X460" s="154" t="s">
        <v>1630</v>
      </c>
      <c r="Y460" s="154">
        <v>47710</v>
      </c>
      <c r="Z460" s="156">
        <f>IFERROR(INDEX(Base!G:G,MATCH('Debêntures IPCA-Spread'!Y460,Base!F:F,0)),"")</f>
        <v>6.3273999999999999</v>
      </c>
      <c r="AA460" s="115"/>
      <c r="AB460" s="157">
        <v>45552</v>
      </c>
      <c r="AC460" s="158">
        <v>7.5541999999999998</v>
      </c>
      <c r="AD460" s="159">
        <f t="shared" si="19"/>
        <v>1.2267999999999999</v>
      </c>
      <c r="AE460" s="160">
        <v>0.16</v>
      </c>
      <c r="AF460" s="161">
        <v>7.7210000000000001</v>
      </c>
      <c r="AG460" s="161">
        <v>7.4160000000000004</v>
      </c>
      <c r="AH460" s="162">
        <v>1195.7029729999999</v>
      </c>
      <c r="AI460" s="162">
        <v>1210.6149539999999</v>
      </c>
      <c r="AJ460" s="163">
        <f t="shared" si="20"/>
        <v>0.98768230893668607</v>
      </c>
      <c r="AK460" s="164">
        <v>45519</v>
      </c>
      <c r="AL460" s="165">
        <v>102.84</v>
      </c>
      <c r="AM460" s="166">
        <v>1244</v>
      </c>
      <c r="AN460" s="115"/>
      <c r="AO460" s="167">
        <v>1.6257920196999999E-3</v>
      </c>
      <c r="AP460" s="168">
        <f>IF(AO460="","",AO460-AO$6)</f>
        <v>1.1456471347699999E-3</v>
      </c>
      <c r="AQ460" s="168">
        <v>-3.1391068969E-3</v>
      </c>
      <c r="AR460" s="168">
        <f>IF(AQ460="","",AQ460-AQ$6)</f>
        <v>-2.92160014394E-3</v>
      </c>
      <c r="AS460" s="168">
        <v>7.4057075476999995E-2</v>
      </c>
      <c r="AT460" s="168">
        <f>IF(AS460="","",AS460-AS$6)</f>
        <v>5.9331240421999998E-2</v>
      </c>
      <c r="AU460" s="168">
        <v>-9.2705974538999994E-3</v>
      </c>
      <c r="AV460" s="168">
        <f>IF(AU460="","",AU460-AU$6)</f>
        <v>3.7979851421000004E-3</v>
      </c>
      <c r="AW460" s="168">
        <v>2.8083198542000001E-2</v>
      </c>
      <c r="AX460" s="168">
        <f>IF(AW460="","",AW460-AW$6)</f>
        <v>4.0881307540000002E-3</v>
      </c>
      <c r="AY460" s="168">
        <v>2.6371929828999999E-2</v>
      </c>
      <c r="AZ460" s="168">
        <f>IF(AY460="","",AY460-AY$6)</f>
        <v>1.2129675038999999E-2</v>
      </c>
      <c r="BA460" s="168">
        <v>0.11333013882</v>
      </c>
      <c r="BB460" s="168">
        <f>IF(BA460="","",BA460-BA$6)</f>
        <v>5.9843174261999997E-2</v>
      </c>
      <c r="BC460" s="168">
        <v>0.28426420902999999</v>
      </c>
      <c r="BD460" s="168">
        <f>IF(BC460="","",BC460-BC$6)</f>
        <v>8.9955642539999991E-2</v>
      </c>
      <c r="BE460" s="168"/>
      <c r="BF460" s="168" t="str">
        <f>IF(BE460="","",BE460-BE$6)</f>
        <v/>
      </c>
      <c r="BG460" s="168"/>
      <c r="BH460" s="168" t="str">
        <f>IF(BG460="","",BG460-BG$6)</f>
        <v/>
      </c>
      <c r="BI460" s="168"/>
      <c r="BJ460" s="168" t="str">
        <f>IF(BI460="","",BI460-BI$6)</f>
        <v/>
      </c>
      <c r="BK460" s="169">
        <v>5.4803379592999999</v>
      </c>
      <c r="BL460" s="115"/>
      <c r="BM460" s="170">
        <v>1.2180123786999999E-2</v>
      </c>
      <c r="BN460" s="163">
        <v>-1.0513090403000001E-2</v>
      </c>
      <c r="BO460" s="163">
        <v>4.0918283835999998E-2</v>
      </c>
      <c r="BP460" s="163">
        <v>-1.3482625103999999E-2</v>
      </c>
      <c r="BQ460" s="171">
        <v>8</v>
      </c>
      <c r="BR460" s="171">
        <v>4</v>
      </c>
      <c r="BS460" s="171">
        <v>6</v>
      </c>
      <c r="BT460" s="171">
        <v>6</v>
      </c>
      <c r="BU460" s="172">
        <v>5.2957358677999999E-2</v>
      </c>
      <c r="BV460" s="172"/>
      <c r="BW460" s="163">
        <v>5.6633065568000001E-3</v>
      </c>
      <c r="BX460" s="163">
        <v>3.4115135823999999E-3</v>
      </c>
      <c r="BY460" s="161">
        <v>-0.29410727154999999</v>
      </c>
      <c r="BZ460" s="163">
        <v>-2.0420096950000001E-2</v>
      </c>
      <c r="CA460" s="163">
        <v>-2.0420096950000001E-2</v>
      </c>
      <c r="CB460" s="154">
        <v>45189</v>
      </c>
      <c r="CC460" s="154">
        <v>45202</v>
      </c>
      <c r="CD460" s="173">
        <v>38</v>
      </c>
      <c r="CE460" s="174">
        <v>45246</v>
      </c>
      <c r="CF460" s="115"/>
    </row>
    <row r="461" spans="2:84" ht="15.6" x14ac:dyDescent="0.3">
      <c r="B461" s="98" t="s">
        <v>596</v>
      </c>
      <c r="C461" s="175" t="s">
        <v>1011</v>
      </c>
      <c r="D461" s="176" t="s">
        <v>989</v>
      </c>
      <c r="E461" s="176" t="s">
        <v>226</v>
      </c>
      <c r="F461" s="177">
        <v>23080281000135</v>
      </c>
      <c r="G461" s="177" t="s">
        <v>1039</v>
      </c>
      <c r="H461" s="177" t="s">
        <v>388</v>
      </c>
      <c r="I461" s="178">
        <v>1</v>
      </c>
      <c r="J461" s="179" t="s">
        <v>107</v>
      </c>
      <c r="K461" s="179" t="s">
        <v>111</v>
      </c>
      <c r="L461" s="179" t="s">
        <v>122</v>
      </c>
      <c r="M461" s="179" t="s">
        <v>986</v>
      </c>
      <c r="N461" s="179" t="s">
        <v>109</v>
      </c>
      <c r="O461" s="180">
        <v>210000</v>
      </c>
      <c r="P461" s="181">
        <v>210000000</v>
      </c>
      <c r="Q461" s="181">
        <v>1000</v>
      </c>
      <c r="R461" s="182">
        <v>43661</v>
      </c>
      <c r="S461" s="182">
        <v>49505</v>
      </c>
      <c r="T461" s="183" t="s">
        <v>1057</v>
      </c>
      <c r="U461" s="183" t="s">
        <v>1074</v>
      </c>
      <c r="V461" s="182" t="s">
        <v>194</v>
      </c>
      <c r="W461" s="182" t="s">
        <v>102</v>
      </c>
      <c r="X461" s="182" t="s">
        <v>1083</v>
      </c>
      <c r="Y461" s="182">
        <v>47710</v>
      </c>
      <c r="Z461" s="184">
        <f>IFERROR(INDEX(Base!G:G,MATCH('Debêntures IPCA-Spread'!Y461,Base!F:F,0)),"")</f>
        <v>6.3273999999999999</v>
      </c>
      <c r="AA461" s="115"/>
      <c r="AB461" s="185">
        <v>45552</v>
      </c>
      <c r="AC461" s="186">
        <v>7.5652999999999997</v>
      </c>
      <c r="AD461" s="187">
        <f t="shared" si="19"/>
        <v>1.2378999999999998</v>
      </c>
      <c r="AE461" s="188">
        <v>0.09</v>
      </c>
      <c r="AF461" s="189">
        <v>7.835</v>
      </c>
      <c r="AG461" s="189">
        <v>7.1891999999999996</v>
      </c>
      <c r="AH461" s="190">
        <v>1008.728625</v>
      </c>
      <c r="AI461" s="190">
        <v>1025.324597</v>
      </c>
      <c r="AJ461" s="191">
        <f t="shared" si="20"/>
        <v>0.98381393360838287</v>
      </c>
      <c r="AK461" s="192">
        <v>45518</v>
      </c>
      <c r="AL461" s="193">
        <v>89.76</v>
      </c>
      <c r="AM461" s="194">
        <v>1267</v>
      </c>
      <c r="AN461" s="115"/>
      <c r="AO461" s="195">
        <v>1.9054145195999999E-4</v>
      </c>
      <c r="AP461" s="196">
        <f>IF(AO461="","",AO461-AO$6)</f>
        <v>-2.8960343297000001E-4</v>
      </c>
      <c r="AQ461" s="196">
        <v>-1.6085980860000001E-4</v>
      </c>
      <c r="AR461" s="196">
        <f>IF(AQ461="","",AQ461-AQ$6)</f>
        <v>5.6646944359999989E-5</v>
      </c>
      <c r="AS461" s="196">
        <v>4.1645656400000002E-2</v>
      </c>
      <c r="AT461" s="196">
        <f>IF(AS461="","",AS461-AS$6)</f>
        <v>2.6919821345000001E-2</v>
      </c>
      <c r="AU461" s="196">
        <v>-1.4184789337999999E-2</v>
      </c>
      <c r="AV461" s="196">
        <f>IF(AU461="","",AU461-AU$6)</f>
        <v>-1.1162067419999994E-3</v>
      </c>
      <c r="AW461" s="196">
        <v>2.3059959639999999E-2</v>
      </c>
      <c r="AX461" s="196">
        <f>IF(AW461="","",AW461-AW$6)</f>
        <v>-9.3510814800000161E-4</v>
      </c>
      <c r="AY461" s="196">
        <v>2.2208675422000002E-2</v>
      </c>
      <c r="AZ461" s="196">
        <f>IF(AY461="","",AY461-AY$6)</f>
        <v>7.966420632000001E-3</v>
      </c>
      <c r="BA461" s="196">
        <v>7.8927542077999999E-2</v>
      </c>
      <c r="BB461" s="196">
        <f>IF(BA461="","",BA461-BA$6)</f>
        <v>2.544057752E-2</v>
      </c>
      <c r="BC461" s="196">
        <v>0.18927061068000001</v>
      </c>
      <c r="BD461" s="196">
        <f>IF(BC461="","",BC461-BC$6)</f>
        <v>-5.0379558099999944E-3</v>
      </c>
      <c r="BE461" s="196">
        <v>0.27774939892</v>
      </c>
      <c r="BF461" s="196">
        <f>IF(BE461="","",BE461-BE$6)</f>
        <v>1.6030059380000017E-2</v>
      </c>
      <c r="BG461" s="196">
        <v>0.41477311998999999</v>
      </c>
      <c r="BH461" s="196">
        <f>IF(BG461="","",BG461-BG$6)</f>
        <v>0.10585647117999997</v>
      </c>
      <c r="BI461" s="196"/>
      <c r="BJ461" s="196" t="str">
        <f>IF(BI461="","",BI461-BI$6)</f>
        <v/>
      </c>
      <c r="BK461" s="197">
        <v>4.9786892994</v>
      </c>
      <c r="BL461" s="115"/>
      <c r="BM461" s="198">
        <v>9.8481953318999994E-3</v>
      </c>
      <c r="BN461" s="191">
        <v>-1.2886825992999999E-2</v>
      </c>
      <c r="BO461" s="191">
        <v>2.8108304660999998E-2</v>
      </c>
      <c r="BP461" s="191">
        <v>-1.7967097277999999E-2</v>
      </c>
      <c r="BQ461" s="199">
        <v>7</v>
      </c>
      <c r="BR461" s="199">
        <v>5</v>
      </c>
      <c r="BS461" s="199">
        <v>5</v>
      </c>
      <c r="BT461" s="199">
        <v>7</v>
      </c>
      <c r="BU461" s="200">
        <v>-0.56961953028000001</v>
      </c>
      <c r="BV461" s="200">
        <v>-0.49443532569999998</v>
      </c>
      <c r="BW461" s="191">
        <v>5.1426718758999998E-3</v>
      </c>
      <c r="BX461" s="191">
        <v>4.3870543133000001E-3</v>
      </c>
      <c r="BY461" s="189">
        <v>-3.8517908162999999</v>
      </c>
      <c r="BZ461" s="191">
        <v>-2.3726012872000001E-2</v>
      </c>
      <c r="CA461" s="191">
        <v>-2.3726012872000001E-2</v>
      </c>
      <c r="CB461" s="182">
        <v>45191</v>
      </c>
      <c r="CC461" s="182">
        <v>45202</v>
      </c>
      <c r="CD461" s="201">
        <v>37</v>
      </c>
      <c r="CE461" s="202">
        <v>45247</v>
      </c>
      <c r="CF461" s="115"/>
    </row>
    <row r="462" spans="2:84" ht="15.6" x14ac:dyDescent="0.3">
      <c r="B462" s="110" t="s">
        <v>1512</v>
      </c>
      <c r="C462" s="147" t="s">
        <v>2158</v>
      </c>
      <c r="D462" s="148" t="s">
        <v>1938</v>
      </c>
      <c r="E462" s="148" t="s">
        <v>227</v>
      </c>
      <c r="F462" s="149">
        <v>2421421000111</v>
      </c>
      <c r="G462" s="149" t="s">
        <v>1870</v>
      </c>
      <c r="H462" s="149" t="s">
        <v>388</v>
      </c>
      <c r="I462" s="150">
        <v>2</v>
      </c>
      <c r="J462" s="151" t="s">
        <v>107</v>
      </c>
      <c r="K462" s="151" t="s">
        <v>126</v>
      </c>
      <c r="L462" s="151" t="s">
        <v>112</v>
      </c>
      <c r="M462" s="151" t="s">
        <v>106</v>
      </c>
      <c r="N462" s="151" t="s">
        <v>109</v>
      </c>
      <c r="O462" s="152">
        <v>1600000</v>
      </c>
      <c r="P462" s="153">
        <v>1600000000</v>
      </c>
      <c r="Q462" s="153">
        <v>1000</v>
      </c>
      <c r="R462" s="154">
        <v>44362</v>
      </c>
      <c r="S462" s="154">
        <v>46919</v>
      </c>
      <c r="T462" s="155" t="s">
        <v>1977</v>
      </c>
      <c r="U462" s="155" t="s">
        <v>1728</v>
      </c>
      <c r="V462" s="154" t="s">
        <v>105</v>
      </c>
      <c r="W462" s="154" t="s">
        <v>102</v>
      </c>
      <c r="X462" s="154" t="s">
        <v>2577</v>
      </c>
      <c r="Y462" s="154">
        <v>46522</v>
      </c>
      <c r="Z462" s="156">
        <f>IFERROR(INDEX(Base!G:G,MATCH('Debêntures IPCA-Spread'!Y462,Base!F:F,0)),"")</f>
        <v>6.391</v>
      </c>
      <c r="AA462" s="115"/>
      <c r="AB462" s="157">
        <v>45552</v>
      </c>
      <c r="AC462" s="158">
        <v>6.3338999999999999</v>
      </c>
      <c r="AD462" s="159">
        <f t="shared" si="19"/>
        <v>-5.7100000000000151E-2</v>
      </c>
      <c r="AE462" s="160">
        <v>0.1</v>
      </c>
      <c r="AF462" s="161">
        <v>6.5582000000000003</v>
      </c>
      <c r="AG462" s="161">
        <v>6.1871</v>
      </c>
      <c r="AH462" s="162">
        <v>1160.252043</v>
      </c>
      <c r="AI462" s="162">
        <v>1160.432787</v>
      </c>
      <c r="AJ462" s="163">
        <f t="shared" si="20"/>
        <v>0.99984424431813301</v>
      </c>
      <c r="AK462" s="164">
        <v>45548</v>
      </c>
      <c r="AL462" s="165">
        <v>94.58</v>
      </c>
      <c r="AM462" s="166">
        <v>643</v>
      </c>
      <c r="AN462" s="115"/>
      <c r="AO462" s="167">
        <v>1.4208395368E-3</v>
      </c>
      <c r="AP462" s="168">
        <f>IF(AO462="","",AO462-AO$6)</f>
        <v>9.4069465186999998E-4</v>
      </c>
      <c r="AQ462" s="168">
        <v>7.4245954892999998E-3</v>
      </c>
      <c r="AR462" s="168">
        <f>IF(AQ462="","",AQ462-AQ$6)</f>
        <v>7.6421022422599998E-3</v>
      </c>
      <c r="AS462" s="168">
        <v>6.3880517087000002E-2</v>
      </c>
      <c r="AT462" s="168">
        <f>IF(AS462="","",AS462-AS$6)</f>
        <v>4.9154682032000005E-2</v>
      </c>
      <c r="AU462" s="168">
        <v>5.8925101148000003E-3</v>
      </c>
      <c r="AV462" s="168">
        <f>IF(AU462="","",AU462-AU$6)</f>
        <v>1.8961092710800001E-2</v>
      </c>
      <c r="AW462" s="168">
        <v>3.0600200389E-2</v>
      </c>
      <c r="AX462" s="168">
        <f>IF(AW462="","",AW462-AW$6)</f>
        <v>6.6051326009999994E-3</v>
      </c>
      <c r="AY462" s="168">
        <v>2.7876642486999999E-2</v>
      </c>
      <c r="AZ462" s="168">
        <f>IF(AY462="","",AY462-AY$6)</f>
        <v>1.3634387696999999E-2</v>
      </c>
      <c r="BA462" s="168">
        <v>9.4234726936999996E-2</v>
      </c>
      <c r="BB462" s="168">
        <f>IF(BA462="","",BA462-BA$6)</f>
        <v>4.0747762378999998E-2</v>
      </c>
      <c r="BC462" s="168"/>
      <c r="BD462" s="168" t="str">
        <f>IF(BC462="","",BC462-BC$6)</f>
        <v/>
      </c>
      <c r="BE462" s="168"/>
      <c r="BF462" s="168" t="str">
        <f>IF(BE462="","",BE462-BE$6)</f>
        <v/>
      </c>
      <c r="BG462" s="168"/>
      <c r="BH462" s="168" t="str">
        <f>IF(BG462="","",BG462-BG$6)</f>
        <v/>
      </c>
      <c r="BI462" s="168"/>
      <c r="BJ462" s="168" t="str">
        <f>IF(BI462="","",BI462-BI$6)</f>
        <v/>
      </c>
      <c r="BK462" s="169">
        <v>3.1005483099000002</v>
      </c>
      <c r="BL462" s="115"/>
      <c r="BM462" s="170">
        <v>5.8598076266E-3</v>
      </c>
      <c r="BN462" s="163">
        <v>-5.4783301756999997E-3</v>
      </c>
      <c r="BO462" s="163">
        <v>2.6088521627999999E-2</v>
      </c>
      <c r="BP462" s="163">
        <v>-1.0585243014E-2</v>
      </c>
      <c r="BQ462" s="171">
        <v>10</v>
      </c>
      <c r="BR462" s="171">
        <v>2</v>
      </c>
      <c r="BS462" s="171">
        <v>6</v>
      </c>
      <c r="BT462" s="171">
        <v>6</v>
      </c>
      <c r="BU462" s="172">
        <v>-0.49378212379000003</v>
      </c>
      <c r="BV462" s="172"/>
      <c r="BW462" s="163">
        <v>3.2033284785000001E-3</v>
      </c>
      <c r="BX462" s="163">
        <v>2.1774497418E-3</v>
      </c>
      <c r="BY462" s="161">
        <v>-2.1840929093999999</v>
      </c>
      <c r="BZ462" s="163">
        <v>-1.6649771979E-2</v>
      </c>
      <c r="CA462" s="163">
        <v>-1.6649771979E-2</v>
      </c>
      <c r="CB462" s="154">
        <v>45187</v>
      </c>
      <c r="CC462" s="154">
        <v>45230</v>
      </c>
      <c r="CD462" s="173">
        <v>40</v>
      </c>
      <c r="CE462" s="174">
        <v>45246</v>
      </c>
      <c r="CF462" s="115"/>
    </row>
    <row r="463" spans="2:84" ht="15.6" x14ac:dyDescent="0.3">
      <c r="B463" s="98" t="s">
        <v>456</v>
      </c>
      <c r="C463" s="175" t="s">
        <v>478</v>
      </c>
      <c r="D463" s="176" t="s">
        <v>461</v>
      </c>
      <c r="E463" s="176" t="s">
        <v>226</v>
      </c>
      <c r="F463" s="177">
        <v>26796739000145</v>
      </c>
      <c r="G463" s="177" t="s">
        <v>468</v>
      </c>
      <c r="H463" s="177" t="s">
        <v>388</v>
      </c>
      <c r="I463" s="178">
        <v>1</v>
      </c>
      <c r="J463" s="179" t="s">
        <v>107</v>
      </c>
      <c r="K463" s="179" t="s">
        <v>126</v>
      </c>
      <c r="L463" s="179" t="s">
        <v>112</v>
      </c>
      <c r="M463" s="179" t="s">
        <v>114</v>
      </c>
      <c r="N463" s="179" t="s">
        <v>109</v>
      </c>
      <c r="O463" s="180">
        <v>1070000</v>
      </c>
      <c r="P463" s="181">
        <v>1070000000</v>
      </c>
      <c r="Q463" s="181">
        <v>1000</v>
      </c>
      <c r="R463" s="182">
        <v>43358</v>
      </c>
      <c r="S463" s="182">
        <v>47011</v>
      </c>
      <c r="T463" s="183" t="s">
        <v>487</v>
      </c>
      <c r="U463" s="183" t="s">
        <v>482</v>
      </c>
      <c r="V463" s="182" t="s">
        <v>105</v>
      </c>
      <c r="W463" s="182" t="s">
        <v>102</v>
      </c>
      <c r="X463" s="182" t="s">
        <v>1377</v>
      </c>
      <c r="Y463" s="182">
        <v>46522</v>
      </c>
      <c r="Z463" s="184">
        <f>IFERROR(INDEX(Base!G:G,MATCH('Debêntures IPCA-Spread'!Y463,Base!F:F,0)),"")</f>
        <v>6.391</v>
      </c>
      <c r="AA463" s="115"/>
      <c r="AB463" s="185">
        <v>45552</v>
      </c>
      <c r="AC463" s="186">
        <v>6.4109999999999996</v>
      </c>
      <c r="AD463" s="187">
        <f t="shared" si="19"/>
        <v>1.9999999999999574E-2</v>
      </c>
      <c r="AE463" s="188">
        <v>0.13</v>
      </c>
      <c r="AF463" s="189">
        <v>6.6292999999999997</v>
      </c>
      <c r="AG463" s="189">
        <v>6.2897999999999996</v>
      </c>
      <c r="AH463" s="190">
        <v>1155.6673619999999</v>
      </c>
      <c r="AI463" s="190">
        <v>1157.157408</v>
      </c>
      <c r="AJ463" s="191">
        <f t="shared" si="20"/>
        <v>0.99871232211823668</v>
      </c>
      <c r="AK463" s="192">
        <v>45548</v>
      </c>
      <c r="AL463" s="193">
        <v>100.33</v>
      </c>
      <c r="AM463" s="194">
        <v>721</v>
      </c>
      <c r="AN463" s="115"/>
      <c r="AO463" s="195">
        <v>1.6793810572999999E-4</v>
      </c>
      <c r="AP463" s="196">
        <f>IF(AO463="","",AO463-AO$6)</f>
        <v>-3.1220677919999997E-4</v>
      </c>
      <c r="AQ463" s="196">
        <v>6.8594373861000004E-3</v>
      </c>
      <c r="AR463" s="196">
        <f>IF(AQ463="","",AQ463-AQ$6)</f>
        <v>7.0769441390600004E-3</v>
      </c>
      <c r="AS463" s="196">
        <v>6.2062903033000001E-2</v>
      </c>
      <c r="AT463" s="196">
        <f>IF(AS463="","",AS463-AS$6)</f>
        <v>4.7337067977999997E-2</v>
      </c>
      <c r="AU463" s="196">
        <v>3.3234868424000001E-3</v>
      </c>
      <c r="AV463" s="196">
        <f>IF(AU463="","",AU463-AU$6)</f>
        <v>1.6392069438399999E-2</v>
      </c>
      <c r="AW463" s="196">
        <v>3.2313460681000002E-2</v>
      </c>
      <c r="AX463" s="196">
        <f>IF(AW463="","",AW463-AW$6)</f>
        <v>8.3183928930000012E-3</v>
      </c>
      <c r="AY463" s="196">
        <v>2.7954832826999999E-2</v>
      </c>
      <c r="AZ463" s="196">
        <f>IF(AY463="","",AY463-AY$6)</f>
        <v>1.3712578036999998E-2</v>
      </c>
      <c r="BA463" s="196">
        <v>9.0388522671000004E-2</v>
      </c>
      <c r="BB463" s="196">
        <f>IF(BA463="","",BA463-BA$6)</f>
        <v>3.6901558113000006E-2</v>
      </c>
      <c r="BC463" s="196">
        <v>0.23396487401999999</v>
      </c>
      <c r="BD463" s="196">
        <f>IF(BC463="","",BC463-BC$6)</f>
        <v>3.965630752999999E-2</v>
      </c>
      <c r="BE463" s="196">
        <v>0.34342557945000002</v>
      </c>
      <c r="BF463" s="196">
        <f>IF(BE463="","",BE463-BE$6)</f>
        <v>8.1706239910000034E-2</v>
      </c>
      <c r="BG463" s="196">
        <v>0.45174218428000001</v>
      </c>
      <c r="BH463" s="196">
        <f>IF(BG463="","",BG463-BG$6)</f>
        <v>0.14282553546999999</v>
      </c>
      <c r="BI463" s="196">
        <v>0.51446125879000004</v>
      </c>
      <c r="BJ463" s="196">
        <f>IF(BI463="","",BI463-BI$6)</f>
        <v>0.14151824871000002</v>
      </c>
      <c r="BK463" s="197">
        <v>3.5658667326</v>
      </c>
      <c r="BL463" s="115"/>
      <c r="BM463" s="198">
        <v>8.4049993401999999E-3</v>
      </c>
      <c r="BN463" s="191">
        <v>-6.5733093378999999E-3</v>
      </c>
      <c r="BO463" s="191">
        <v>2.4120584008E-2</v>
      </c>
      <c r="BP463" s="191">
        <v>-1.0828464362000001E-2</v>
      </c>
      <c r="BQ463" s="199">
        <v>10</v>
      </c>
      <c r="BR463" s="199">
        <v>2</v>
      </c>
      <c r="BS463" s="199">
        <v>7</v>
      </c>
      <c r="BT463" s="199">
        <v>5</v>
      </c>
      <c r="BU463" s="200">
        <v>-0.52201908485000004</v>
      </c>
      <c r="BV463" s="200">
        <v>-0.28039036879000001</v>
      </c>
      <c r="BW463" s="191">
        <v>3.6848488839000002E-3</v>
      </c>
      <c r="BX463" s="191">
        <v>2.6589983238999998E-3</v>
      </c>
      <c r="BY463" s="189">
        <v>-2.5670459606999998</v>
      </c>
      <c r="BZ463" s="191">
        <v>-1.6728740791E-2</v>
      </c>
      <c r="CA463" s="191">
        <v>-1.6728740791E-2</v>
      </c>
      <c r="CB463" s="182">
        <v>45189</v>
      </c>
      <c r="CC463" s="182">
        <v>45222</v>
      </c>
      <c r="CD463" s="201">
        <v>37</v>
      </c>
      <c r="CE463" s="202">
        <v>45244</v>
      </c>
      <c r="CF463" s="115"/>
    </row>
    <row r="464" spans="2:84" ht="15.6" x14ac:dyDescent="0.3">
      <c r="B464" s="110" t="s">
        <v>63</v>
      </c>
      <c r="C464" s="147" t="s">
        <v>327</v>
      </c>
      <c r="D464" s="148" t="s">
        <v>23</v>
      </c>
      <c r="E464" s="148" t="s">
        <v>226</v>
      </c>
      <c r="F464" s="149">
        <v>2998611000104</v>
      </c>
      <c r="G464" s="149" t="s">
        <v>383</v>
      </c>
      <c r="H464" s="149" t="s">
        <v>388</v>
      </c>
      <c r="I464" s="150">
        <v>7</v>
      </c>
      <c r="J464" s="151" t="s">
        <v>108</v>
      </c>
      <c r="K464" s="151" t="s">
        <v>126</v>
      </c>
      <c r="L464" s="151" t="s">
        <v>112</v>
      </c>
      <c r="M464" s="151" t="s">
        <v>106</v>
      </c>
      <c r="N464" s="151" t="s">
        <v>109</v>
      </c>
      <c r="O464" s="152">
        <v>621000</v>
      </c>
      <c r="P464" s="153">
        <v>621000000</v>
      </c>
      <c r="Q464" s="153">
        <v>1000</v>
      </c>
      <c r="R464" s="154">
        <v>43205</v>
      </c>
      <c r="S464" s="154">
        <v>45762</v>
      </c>
      <c r="T464" s="155" t="s">
        <v>162</v>
      </c>
      <c r="U464" s="155" t="s">
        <v>166</v>
      </c>
      <c r="V464" s="154" t="s">
        <v>105</v>
      </c>
      <c r="W464" s="154" t="s">
        <v>102</v>
      </c>
      <c r="X464" s="154" t="s">
        <v>1378</v>
      </c>
      <c r="Y464" s="154">
        <v>45792</v>
      </c>
      <c r="Z464" s="156">
        <f>IFERROR(INDEX(Base!G:G,MATCH('Debêntures IPCA-Spread'!Y464,Base!F:F,0)),"")</f>
        <v>5.73</v>
      </c>
      <c r="AA464" s="115"/>
      <c r="AB464" s="157">
        <v>45552</v>
      </c>
      <c r="AC464" s="158">
        <v>5.5876000000000001</v>
      </c>
      <c r="AD464" s="159">
        <f t="shared" si="19"/>
        <v>-0.1424000000000003</v>
      </c>
      <c r="AE464" s="160">
        <v>0.15</v>
      </c>
      <c r="AF464" s="161">
        <v>5.8170000000000002</v>
      </c>
      <c r="AG464" s="161">
        <v>5.3247</v>
      </c>
      <c r="AH464" s="162">
        <v>1427.2214140000001</v>
      </c>
      <c r="AI464" s="162">
        <v>1427.2214140000001</v>
      </c>
      <c r="AJ464" s="163">
        <f t="shared" si="20"/>
        <v>1</v>
      </c>
      <c r="AK464" s="164">
        <v>45552</v>
      </c>
      <c r="AL464" s="165">
        <v>99.53</v>
      </c>
      <c r="AM464" s="166">
        <v>141</v>
      </c>
      <c r="AN464" s="115"/>
      <c r="AO464" s="167">
        <v>1.0667478527000001E-3</v>
      </c>
      <c r="AP464" s="168">
        <f>IF(AO464="","",AO464-AO$6)</f>
        <v>5.8660296777000008E-4</v>
      </c>
      <c r="AQ464" s="168">
        <v>5.3577239523000001E-3</v>
      </c>
      <c r="AR464" s="168">
        <f>IF(AQ464="","",AQ464-AQ$6)</f>
        <v>5.5752307052600002E-3</v>
      </c>
      <c r="AS464" s="168">
        <v>7.6978843800999994E-2</v>
      </c>
      <c r="AT464" s="168">
        <f>IF(AS464="","",AS464-AS$6)</f>
        <v>6.2253008745999996E-2</v>
      </c>
      <c r="AU464" s="168">
        <v>8.1963800784999995E-3</v>
      </c>
      <c r="AV464" s="168">
        <f>IF(AU464="","",AU464-AU$6)</f>
        <v>2.1264962674499999E-2</v>
      </c>
      <c r="AW464" s="168">
        <v>2.6049842066999999E-2</v>
      </c>
      <c r="AX464" s="168">
        <f>IF(AW464="","",AW464-AW$6)</f>
        <v>2.054774278999999E-3</v>
      </c>
      <c r="AY464" s="168">
        <v>4.9208573989999997E-2</v>
      </c>
      <c r="AZ464" s="168">
        <f>IF(AY464="","",AY464-AY$6)</f>
        <v>3.4966319199999998E-2</v>
      </c>
      <c r="BA464" s="168">
        <v>0.10665133860999999</v>
      </c>
      <c r="BB464" s="168">
        <f>IF(BA464="","",BA464-BA$6)</f>
        <v>5.3164374051999995E-2</v>
      </c>
      <c r="BC464" s="168">
        <v>0.22702183758</v>
      </c>
      <c r="BD464" s="168">
        <f>IF(BC464="","",BC464-BC$6)</f>
        <v>3.2713271089999996E-2</v>
      </c>
      <c r="BE464" s="168">
        <v>0.33942066759</v>
      </c>
      <c r="BF464" s="168">
        <f>IF(BE464="","",BE464-BE$6)</f>
        <v>7.7701328050000018E-2</v>
      </c>
      <c r="BG464" s="168">
        <v>0.44876422396999999</v>
      </c>
      <c r="BH464" s="168">
        <f>IF(BG464="","",BG464-BG$6)</f>
        <v>0.13984757515999996</v>
      </c>
      <c r="BI464" s="168">
        <v>0.54501948514999998</v>
      </c>
      <c r="BJ464" s="168">
        <f>IF(BI464="","",BI464-BI$6)</f>
        <v>0.17207647506999996</v>
      </c>
      <c r="BK464" s="169">
        <v>1.0593115688000001</v>
      </c>
      <c r="BL464" s="115"/>
      <c r="BM464" s="170">
        <v>2.3823500924000001E-3</v>
      </c>
      <c r="BN464" s="163">
        <v>-2.4953997053999998E-3</v>
      </c>
      <c r="BO464" s="163">
        <v>1.3494147155E-2</v>
      </c>
      <c r="BP464" s="163">
        <v>1.2589630059E-3</v>
      </c>
      <c r="BQ464" s="171">
        <v>12</v>
      </c>
      <c r="BR464" s="171">
        <v>0</v>
      </c>
      <c r="BS464" s="171">
        <v>8</v>
      </c>
      <c r="BT464" s="171">
        <v>4</v>
      </c>
      <c r="BU464" s="172">
        <v>-0.42906538871</v>
      </c>
      <c r="BV464" s="172">
        <v>-0.48561244894</v>
      </c>
      <c r="BW464" s="163">
        <v>1.0945051271E-3</v>
      </c>
      <c r="BX464" s="163">
        <v>8.3170123324999995E-4</v>
      </c>
      <c r="BY464" s="161">
        <v>-0.66955460528999999</v>
      </c>
      <c r="BZ464" s="163">
        <v>-4.0027352760000001E-3</v>
      </c>
      <c r="CA464" s="163">
        <v>-4.0027352760000001E-3</v>
      </c>
      <c r="CB464" s="154">
        <v>45198</v>
      </c>
      <c r="CC464" s="154">
        <v>45202</v>
      </c>
      <c r="CD464" s="173">
        <v>16</v>
      </c>
      <c r="CE464" s="174">
        <v>45223</v>
      </c>
      <c r="CF464" s="115"/>
    </row>
    <row r="465" spans="2:84" ht="15.6" x14ac:dyDescent="0.3">
      <c r="B465" s="98" t="s">
        <v>597</v>
      </c>
      <c r="C465" s="175" t="s">
        <v>1012</v>
      </c>
      <c r="D465" s="176" t="s">
        <v>23</v>
      </c>
      <c r="E465" s="176" t="s">
        <v>226</v>
      </c>
      <c r="F465" s="177">
        <v>2998611000104</v>
      </c>
      <c r="G465" s="177" t="s">
        <v>1040</v>
      </c>
      <c r="H465" s="177" t="s">
        <v>388</v>
      </c>
      <c r="I465" s="178">
        <v>8</v>
      </c>
      <c r="J465" s="179" t="s">
        <v>107</v>
      </c>
      <c r="K465" s="179" t="s">
        <v>126</v>
      </c>
      <c r="L465" s="179" t="s">
        <v>123</v>
      </c>
      <c r="M465" s="179" t="s">
        <v>106</v>
      </c>
      <c r="N465" s="179" t="s">
        <v>109</v>
      </c>
      <c r="O465" s="180">
        <v>409325</v>
      </c>
      <c r="P465" s="181">
        <v>409325000</v>
      </c>
      <c r="Q465" s="181">
        <v>1000</v>
      </c>
      <c r="R465" s="182">
        <v>43814</v>
      </c>
      <c r="S465" s="182">
        <v>47467</v>
      </c>
      <c r="T465" s="183" t="s">
        <v>769</v>
      </c>
      <c r="U465" s="183" t="s">
        <v>1075</v>
      </c>
      <c r="V465" s="182" t="s">
        <v>105</v>
      </c>
      <c r="W465" s="182" t="s">
        <v>102</v>
      </c>
      <c r="X465" s="182" t="s">
        <v>1379</v>
      </c>
      <c r="Y465" s="182">
        <v>47253</v>
      </c>
      <c r="Z465" s="184">
        <f>IFERROR(INDEX(Base!G:G,MATCH('Debêntures IPCA-Spread'!Y465,Base!F:F,0)),"")</f>
        <v>6.41</v>
      </c>
      <c r="AA465" s="115"/>
      <c r="AB465" s="185">
        <v>45552</v>
      </c>
      <c r="AC465" s="186">
        <v>6.3235000000000001</v>
      </c>
      <c r="AD465" s="187">
        <f t="shared" si="19"/>
        <v>-8.6500000000000021E-2</v>
      </c>
      <c r="AE465" s="188">
        <v>0.23</v>
      </c>
      <c r="AF465" s="189">
        <v>6.4950999999999999</v>
      </c>
      <c r="AG465" s="189">
        <v>6.2758000000000003</v>
      </c>
      <c r="AH465" s="190">
        <v>1201.0045970000001</v>
      </c>
      <c r="AI465" s="190">
        <v>1205.522383</v>
      </c>
      <c r="AJ465" s="191">
        <f t="shared" si="20"/>
        <v>0.9962524246221317</v>
      </c>
      <c r="AK465" s="192">
        <v>45518</v>
      </c>
      <c r="AL465" s="193">
        <v>90.05</v>
      </c>
      <c r="AM465" s="194">
        <v>977</v>
      </c>
      <c r="AN465" s="115"/>
      <c r="AO465" s="195">
        <v>4.1439237975000003E-4</v>
      </c>
      <c r="AP465" s="196">
        <f>IF(AO465="","",AO465-AO$6)</f>
        <v>-6.5752505179999968E-5</v>
      </c>
      <c r="AQ465" s="196">
        <v>6.1766535546000003E-3</v>
      </c>
      <c r="AR465" s="196">
        <f>IF(AQ465="","",AQ465-AQ$6)</f>
        <v>6.3941603075600003E-3</v>
      </c>
      <c r="AS465" s="196">
        <v>5.5626932060000002E-2</v>
      </c>
      <c r="AT465" s="196">
        <f>IF(AS465="","",AS465-AS$6)</f>
        <v>4.0901097004999998E-2</v>
      </c>
      <c r="AU465" s="196">
        <v>-3.1610616042999999E-4</v>
      </c>
      <c r="AV465" s="196">
        <f>IF(AU465="","",AU465-AU$6)</f>
        <v>1.2752476435570001E-2</v>
      </c>
      <c r="AW465" s="196">
        <v>3.2533194442E-2</v>
      </c>
      <c r="AX465" s="196">
        <f>IF(AW465="","",AW465-AW$6)</f>
        <v>8.538126654E-3</v>
      </c>
      <c r="AY465" s="196">
        <v>2.5813513650000001E-2</v>
      </c>
      <c r="AZ465" s="196">
        <f>IF(AY465="","",AY465-AY$6)</f>
        <v>1.1571258860000001E-2</v>
      </c>
      <c r="BA465" s="196">
        <v>9.4362769021000006E-2</v>
      </c>
      <c r="BB465" s="196">
        <f>IF(BA465="","",BA465-BA$6)</f>
        <v>4.0875804463000008E-2</v>
      </c>
      <c r="BC465" s="196">
        <v>0.21834380250999999</v>
      </c>
      <c r="BD465" s="196">
        <f>IF(BC465="","",BC465-BC$6)</f>
        <v>2.4035236019999989E-2</v>
      </c>
      <c r="BE465" s="196">
        <v>0.30143146216</v>
      </c>
      <c r="BF465" s="196">
        <f>IF(BE465="","",BE465-BE$6)</f>
        <v>3.9712122620000012E-2</v>
      </c>
      <c r="BG465" s="196">
        <v>0.42191271443</v>
      </c>
      <c r="BH465" s="196">
        <f>IF(BG465="","",BG465-BG$6)</f>
        <v>0.11299606561999997</v>
      </c>
      <c r="BI465" s="196"/>
      <c r="BJ465" s="196" t="str">
        <f>IF(BI465="","",BI465-BI$6)</f>
        <v/>
      </c>
      <c r="BK465" s="197">
        <v>4.2753340491999996</v>
      </c>
      <c r="BL465" s="115"/>
      <c r="BM465" s="198">
        <v>7.6124342195000002E-3</v>
      </c>
      <c r="BN465" s="191">
        <v>-9.7880478715999999E-3</v>
      </c>
      <c r="BO465" s="191">
        <v>2.7788713000999998E-2</v>
      </c>
      <c r="BP465" s="191">
        <v>-1.6259217592000001E-2</v>
      </c>
      <c r="BQ465" s="199">
        <v>9</v>
      </c>
      <c r="BR465" s="199">
        <v>3</v>
      </c>
      <c r="BS465" s="199">
        <v>6</v>
      </c>
      <c r="BT465" s="199">
        <v>6</v>
      </c>
      <c r="BU465" s="200">
        <v>-0.34533410738999998</v>
      </c>
      <c r="BV465" s="200">
        <v>-0.40113534670000001</v>
      </c>
      <c r="BW465" s="191">
        <v>4.4181569559000001E-3</v>
      </c>
      <c r="BX465" s="191">
        <v>3.6172243904000001E-3</v>
      </c>
      <c r="BY465" s="189">
        <v>-2.2651769214000002</v>
      </c>
      <c r="BZ465" s="191">
        <v>-1.9028041347000001E-2</v>
      </c>
      <c r="CA465" s="191">
        <v>-1.9028041347000001E-2</v>
      </c>
      <c r="CB465" s="182">
        <v>45189</v>
      </c>
      <c r="CC465" s="182">
        <v>45202</v>
      </c>
      <c r="CD465" s="201">
        <v>39</v>
      </c>
      <c r="CE465" s="202">
        <v>45247</v>
      </c>
      <c r="CF465" s="115"/>
    </row>
    <row r="466" spans="2:84" ht="15.6" x14ac:dyDescent="0.3">
      <c r="B466" s="110" t="s">
        <v>598</v>
      </c>
      <c r="C466" s="147" t="s">
        <v>1013</v>
      </c>
      <c r="D466" s="148" t="s">
        <v>23</v>
      </c>
      <c r="E466" s="148" t="s">
        <v>226</v>
      </c>
      <c r="F466" s="149">
        <v>2998611000104</v>
      </c>
      <c r="G466" s="149" t="s">
        <v>1041</v>
      </c>
      <c r="H466" s="149" t="s">
        <v>388</v>
      </c>
      <c r="I466" s="150">
        <v>9</v>
      </c>
      <c r="J466" s="151">
        <v>2</v>
      </c>
      <c r="K466" s="151" t="s">
        <v>111</v>
      </c>
      <c r="L466" s="151" t="s">
        <v>118</v>
      </c>
      <c r="M466" s="151" t="s">
        <v>986</v>
      </c>
      <c r="N466" s="151" t="s">
        <v>109</v>
      </c>
      <c r="O466" s="152">
        <v>800000</v>
      </c>
      <c r="P466" s="153">
        <v>800000000</v>
      </c>
      <c r="Q466" s="153">
        <v>1000</v>
      </c>
      <c r="R466" s="154">
        <v>44150</v>
      </c>
      <c r="S466" s="154">
        <v>52732</v>
      </c>
      <c r="T466" s="155" t="s">
        <v>1058</v>
      </c>
      <c r="U466" s="155" t="s">
        <v>1058</v>
      </c>
      <c r="V466" s="154" t="s">
        <v>105</v>
      </c>
      <c r="W466" s="154" t="s">
        <v>102</v>
      </c>
      <c r="X466" s="154" t="s">
        <v>1380</v>
      </c>
      <c r="Y466" s="154">
        <v>49444</v>
      </c>
      <c r="Z466" s="156">
        <f>IFERROR(INDEX(Base!G:G,MATCH('Debêntures IPCA-Spread'!Y466,Base!F:F,0)),"")</f>
        <v>6.3137999999999996</v>
      </c>
      <c r="AA466" s="115"/>
      <c r="AB466" s="157">
        <v>45552</v>
      </c>
      <c r="AC466" s="158">
        <v>6.5739000000000001</v>
      </c>
      <c r="AD466" s="159">
        <f t="shared" si="19"/>
        <v>0.26010000000000044</v>
      </c>
      <c r="AE466" s="160">
        <v>0.06</v>
      </c>
      <c r="AF466" s="161">
        <v>6.7755999999999998</v>
      </c>
      <c r="AG466" s="161">
        <v>6.3846999999999996</v>
      </c>
      <c r="AH466" s="162">
        <v>1045.2435740000001</v>
      </c>
      <c r="AI466" s="162">
        <v>1063.577313</v>
      </c>
      <c r="AJ466" s="163">
        <f t="shared" si="20"/>
        <v>0.9827621943643321</v>
      </c>
      <c r="AK466" s="164">
        <v>45518</v>
      </c>
      <c r="AL466" s="165">
        <v>91.37</v>
      </c>
      <c r="AM466" s="166">
        <v>1848</v>
      </c>
      <c r="AN466" s="115"/>
      <c r="AO466" s="167">
        <v>-5.5564935556000001E-3</v>
      </c>
      <c r="AP466" s="168">
        <f>IF(AO466="","",AO466-AO$6)</f>
        <v>-6.0366384405300001E-3</v>
      </c>
      <c r="AQ466" s="168">
        <v>-4.6121210698000003E-3</v>
      </c>
      <c r="AR466" s="168">
        <f>IF(AQ466="","",AQ466-AQ$6)</f>
        <v>-4.3946143168400002E-3</v>
      </c>
      <c r="AS466" s="168">
        <v>4.6379761039000003E-2</v>
      </c>
      <c r="AT466" s="168">
        <f>IF(AS466="","",AS466-AS$6)</f>
        <v>3.1653925984000006E-2</v>
      </c>
      <c r="AU466" s="168">
        <v>-1.3404846227E-2</v>
      </c>
      <c r="AV466" s="168">
        <f>IF(AU466="","",AU466-AU$6)</f>
        <v>-3.3626363100000035E-4</v>
      </c>
      <c r="AW466" s="168">
        <v>3.5696732800999997E-2</v>
      </c>
      <c r="AX466" s="168">
        <f>IF(AW466="","",AW466-AW$6)</f>
        <v>1.1701665012999997E-2</v>
      </c>
      <c r="AY466" s="168">
        <v>2.1665981458E-2</v>
      </c>
      <c r="AZ466" s="168">
        <f>IF(AY466="","",AY466-AY$6)</f>
        <v>7.4237266679999993E-3</v>
      </c>
      <c r="BA466" s="168">
        <v>9.0989319218000006E-2</v>
      </c>
      <c r="BB466" s="168">
        <f>IF(BA466="","",BA466-BA$6)</f>
        <v>3.7502354660000008E-2</v>
      </c>
      <c r="BC466" s="168">
        <v>0.24032807220999999</v>
      </c>
      <c r="BD466" s="168">
        <f>IF(BC466="","",BC466-BC$6)</f>
        <v>4.6019505719999992E-2</v>
      </c>
      <c r="BE466" s="168">
        <v>0.31581076466000002</v>
      </c>
      <c r="BF466" s="168">
        <f>IF(BE466="","",BE466-BE$6)</f>
        <v>5.4091425120000036E-2</v>
      </c>
      <c r="BG466" s="168"/>
      <c r="BH466" s="168" t="str">
        <f>IF(BG466="","",BG466-BG$6)</f>
        <v/>
      </c>
      <c r="BI466" s="168"/>
      <c r="BJ466" s="168" t="str">
        <f>IF(BI466="","",BI466-BI$6)</f>
        <v/>
      </c>
      <c r="BK466" s="169">
        <v>5.9296848657999996</v>
      </c>
      <c r="BL466" s="115"/>
      <c r="BM466" s="170">
        <v>9.6545614541999995E-3</v>
      </c>
      <c r="BN466" s="163">
        <v>-1.3352218838E-2</v>
      </c>
      <c r="BO466" s="163">
        <v>3.8468184959E-2</v>
      </c>
      <c r="BP466" s="163">
        <v>-2.2532081797999998E-2</v>
      </c>
      <c r="BQ466" s="171">
        <v>7</v>
      </c>
      <c r="BR466" s="171">
        <v>5</v>
      </c>
      <c r="BS466" s="171">
        <v>6</v>
      </c>
      <c r="BT466" s="171">
        <v>6</v>
      </c>
      <c r="BU466" s="172">
        <v>-0.28640607584</v>
      </c>
      <c r="BV466" s="172">
        <v>-0.26018053155999998</v>
      </c>
      <c r="BW466" s="163">
        <v>6.1241280120000003E-3</v>
      </c>
      <c r="BX466" s="163">
        <v>4.8734363346999996E-3</v>
      </c>
      <c r="BY466" s="161">
        <v>-2.5793829813000002</v>
      </c>
      <c r="BZ466" s="163">
        <v>-2.8741248393000001E-2</v>
      </c>
      <c r="CA466" s="163">
        <v>-2.8741248393000001E-2</v>
      </c>
      <c r="CB466" s="154">
        <v>45357</v>
      </c>
      <c r="CC466" s="154">
        <v>45412</v>
      </c>
      <c r="CD466" s="173">
        <v>89</v>
      </c>
      <c r="CE466" s="174">
        <v>45485</v>
      </c>
      <c r="CF466" s="115"/>
    </row>
    <row r="467" spans="2:84" ht="15.6" x14ac:dyDescent="0.3">
      <c r="B467" s="98" t="s">
        <v>1513</v>
      </c>
      <c r="C467" s="175" t="s">
        <v>2159</v>
      </c>
      <c r="D467" s="176" t="s">
        <v>23</v>
      </c>
      <c r="E467" s="176" t="s">
        <v>226</v>
      </c>
      <c r="F467" s="177">
        <v>2998611000104</v>
      </c>
      <c r="G467" s="177" t="s">
        <v>1871</v>
      </c>
      <c r="H467" s="177" t="s">
        <v>388</v>
      </c>
      <c r="I467" s="178">
        <v>11</v>
      </c>
      <c r="J467" s="179">
        <v>1</v>
      </c>
      <c r="K467" s="179" t="s">
        <v>111</v>
      </c>
      <c r="L467" s="179" t="s">
        <v>1252</v>
      </c>
      <c r="M467" s="179" t="s">
        <v>986</v>
      </c>
      <c r="N467" s="179" t="s">
        <v>109</v>
      </c>
      <c r="O467" s="180">
        <v>668833</v>
      </c>
      <c r="P467" s="181">
        <v>668833000</v>
      </c>
      <c r="Q467" s="181">
        <v>1000</v>
      </c>
      <c r="R467" s="182">
        <v>44484</v>
      </c>
      <c r="S467" s="182">
        <v>48136</v>
      </c>
      <c r="T467" s="183" t="s">
        <v>1199</v>
      </c>
      <c r="U467" s="183" t="s">
        <v>161</v>
      </c>
      <c r="V467" s="182" t="s">
        <v>105</v>
      </c>
      <c r="W467" s="182" t="s">
        <v>102</v>
      </c>
      <c r="X467" s="182" t="s">
        <v>1631</v>
      </c>
      <c r="Y467" s="182">
        <v>48441</v>
      </c>
      <c r="Z467" s="184">
        <f>IFERROR(INDEX(Base!G:G,MATCH('Debêntures IPCA-Spread'!Y467,Base!F:F,0)),"")</f>
        <v>6.3467000000000002</v>
      </c>
      <c r="AA467" s="115"/>
      <c r="AB467" s="185">
        <v>45552</v>
      </c>
      <c r="AC467" s="186">
        <v>6.4318</v>
      </c>
      <c r="AD467" s="187">
        <f t="shared" si="19"/>
        <v>8.5099999999999731E-2</v>
      </c>
      <c r="AE467" s="188">
        <v>0.12</v>
      </c>
      <c r="AF467" s="189">
        <v>6.6214000000000004</v>
      </c>
      <c r="AG467" s="189">
        <v>6.2034000000000002</v>
      </c>
      <c r="AH467" s="190">
        <v>1152.4742229999999</v>
      </c>
      <c r="AI467" s="190">
        <v>1173.527922</v>
      </c>
      <c r="AJ467" s="191">
        <f t="shared" si="20"/>
        <v>0.98205948183651304</v>
      </c>
      <c r="AK467" s="192">
        <v>45518</v>
      </c>
      <c r="AL467" s="193">
        <v>96.49</v>
      </c>
      <c r="AM467" s="194">
        <v>1442</v>
      </c>
      <c r="AN467" s="115"/>
      <c r="AO467" s="195">
        <v>-9.4453552991999995E-4</v>
      </c>
      <c r="AP467" s="196">
        <f>IF(AO467="","",AO467-AO$6)</f>
        <v>-1.4246804148500001E-3</v>
      </c>
      <c r="AQ467" s="196">
        <v>-2.0801911005000001E-3</v>
      </c>
      <c r="AR467" s="196">
        <f>IF(AQ467="","",AQ467-AQ$6)</f>
        <v>-1.8626843475400001E-3</v>
      </c>
      <c r="AS467" s="196">
        <v>4.9866884978000001E-2</v>
      </c>
      <c r="AT467" s="196">
        <f>IF(AS467="","",AS467-AS$6)</f>
        <v>3.5141049923000003E-2</v>
      </c>
      <c r="AU467" s="196">
        <v>-1.0543011200999999E-2</v>
      </c>
      <c r="AV467" s="196">
        <f>IF(AU467="","",AU467-AU$6)</f>
        <v>2.5255713950000005E-3</v>
      </c>
      <c r="AW467" s="196">
        <v>3.0153177468999998E-2</v>
      </c>
      <c r="AX467" s="196">
        <f>IF(AW467="","",AW467-AW$6)</f>
        <v>6.1581096809999979E-3</v>
      </c>
      <c r="AY467" s="196">
        <v>2.1223273287000001E-2</v>
      </c>
      <c r="AZ467" s="196">
        <f>IF(AY467="","",AY467-AY$6)</f>
        <v>6.9810184970000005E-3</v>
      </c>
      <c r="BA467" s="196">
        <v>8.5099172491000005E-2</v>
      </c>
      <c r="BB467" s="196">
        <f>IF(BA467="","",BA467-BA$6)</f>
        <v>3.1612207933000007E-2</v>
      </c>
      <c r="BC467" s="196">
        <v>0.23108840990000001</v>
      </c>
      <c r="BD467" s="196">
        <f>IF(BC467="","",BC467-BC$6)</f>
        <v>3.6779843410000013E-2</v>
      </c>
      <c r="BE467" s="196"/>
      <c r="BF467" s="196" t="str">
        <f>IF(BE467="","",BE467-BE$6)</f>
        <v/>
      </c>
      <c r="BG467" s="196"/>
      <c r="BH467" s="196" t="str">
        <f>IF(BG467="","",BG467-BG$6)</f>
        <v/>
      </c>
      <c r="BI467" s="196"/>
      <c r="BJ467" s="196" t="str">
        <f>IF(BI467="","",BI467-BI$6)</f>
        <v/>
      </c>
      <c r="BK467" s="197">
        <v>5.4016270226999996</v>
      </c>
      <c r="BL467" s="115"/>
      <c r="BM467" s="198">
        <v>1.1803099540999999E-2</v>
      </c>
      <c r="BN467" s="191">
        <v>-1.1976881506999999E-2</v>
      </c>
      <c r="BO467" s="191">
        <v>3.0603975677999998E-2</v>
      </c>
      <c r="BP467" s="191">
        <v>-1.9232722274E-2</v>
      </c>
      <c r="BQ467" s="199">
        <v>6</v>
      </c>
      <c r="BR467" s="199">
        <v>6</v>
      </c>
      <c r="BS467" s="199">
        <v>6</v>
      </c>
      <c r="BT467" s="199">
        <v>6</v>
      </c>
      <c r="BU467" s="200">
        <v>-0.41781539189</v>
      </c>
      <c r="BV467" s="200"/>
      <c r="BW467" s="191">
        <v>5.5824916216999998E-3</v>
      </c>
      <c r="BX467" s="191">
        <v>3.3840421616000002E-3</v>
      </c>
      <c r="BY467" s="189">
        <v>-3.1549862555999999</v>
      </c>
      <c r="BZ467" s="191">
        <v>-2.6319499989E-2</v>
      </c>
      <c r="CA467" s="191">
        <v>-2.6319499989E-2</v>
      </c>
      <c r="CB467" s="182">
        <v>45187</v>
      </c>
      <c r="CC467" s="182">
        <v>45202</v>
      </c>
      <c r="CD467" s="201">
        <v>41</v>
      </c>
      <c r="CE467" s="202">
        <v>45247</v>
      </c>
      <c r="CF467" s="115"/>
    </row>
    <row r="468" spans="2:84" ht="15.6" x14ac:dyDescent="0.3">
      <c r="B468" s="110" t="s">
        <v>1514</v>
      </c>
      <c r="C468" s="147" t="s">
        <v>2160</v>
      </c>
      <c r="D468" s="148" t="s">
        <v>23</v>
      </c>
      <c r="E468" s="148" t="s">
        <v>226</v>
      </c>
      <c r="F468" s="149">
        <v>2998611000104</v>
      </c>
      <c r="G468" s="149" t="s">
        <v>1872</v>
      </c>
      <c r="H468" s="149" t="s">
        <v>388</v>
      </c>
      <c r="I468" s="150">
        <v>11</v>
      </c>
      <c r="J468" s="151">
        <v>2</v>
      </c>
      <c r="K468" s="151" t="s">
        <v>111</v>
      </c>
      <c r="L468" s="151" t="s">
        <v>1252</v>
      </c>
      <c r="M468" s="151" t="s">
        <v>986</v>
      </c>
      <c r="N468" s="151" t="s">
        <v>109</v>
      </c>
      <c r="O468" s="152">
        <v>281167</v>
      </c>
      <c r="P468" s="153">
        <v>281167000</v>
      </c>
      <c r="Q468" s="153">
        <v>1000</v>
      </c>
      <c r="R468" s="154">
        <v>44484</v>
      </c>
      <c r="S468" s="154">
        <v>51058</v>
      </c>
      <c r="T468" s="155" t="s">
        <v>2024</v>
      </c>
      <c r="U468" s="155" t="s">
        <v>1729</v>
      </c>
      <c r="V468" s="154" t="s">
        <v>105</v>
      </c>
      <c r="W468" s="154" t="s">
        <v>102</v>
      </c>
      <c r="X468" s="154" t="s">
        <v>1632</v>
      </c>
      <c r="Y468" s="154">
        <v>51363</v>
      </c>
      <c r="Z468" s="156">
        <f>IFERROR(INDEX(Base!G:G,MATCH('Debêntures IPCA-Spread'!Y468,Base!F:F,0)),"")</f>
        <v>6.2279</v>
      </c>
      <c r="AA468" s="115"/>
      <c r="AB468" s="157">
        <v>45552</v>
      </c>
      <c r="AC468" s="158">
        <v>6.4204999999999997</v>
      </c>
      <c r="AD468" s="159">
        <f t="shared" si="19"/>
        <v>0.19259999999999966</v>
      </c>
      <c r="AE468" s="160">
        <v>0.02</v>
      </c>
      <c r="AF468" s="161">
        <v>6.7233000000000001</v>
      </c>
      <c r="AG468" s="161">
        <v>6.2739000000000003</v>
      </c>
      <c r="AH468" s="162">
        <v>1136.9879390000001</v>
      </c>
      <c r="AI468" s="162">
        <v>1165.5505860000001</v>
      </c>
      <c r="AJ468" s="163">
        <f t="shared" si="20"/>
        <v>0.97549428798451143</v>
      </c>
      <c r="AK468" s="164">
        <v>45518</v>
      </c>
      <c r="AL468" s="165">
        <v>95.16</v>
      </c>
      <c r="AM468" s="166">
        <v>2369</v>
      </c>
      <c r="AN468" s="115"/>
      <c r="AO468" s="167">
        <v>-4.4486922880000003E-3</v>
      </c>
      <c r="AP468" s="168">
        <f>IF(AO468="","",AO468-AO$6)</f>
        <v>-4.9288371729300003E-3</v>
      </c>
      <c r="AQ468" s="168">
        <v>-5.1348562238000004E-3</v>
      </c>
      <c r="AR468" s="168">
        <f>IF(AQ468="","",AQ468-AQ$6)</f>
        <v>-4.9173494708400003E-3</v>
      </c>
      <c r="AS468" s="168">
        <v>5.8332376137999999E-2</v>
      </c>
      <c r="AT468" s="168">
        <f>IF(AS468="","",AS468-AS$6)</f>
        <v>4.3606541082999994E-2</v>
      </c>
      <c r="AU468" s="168">
        <v>-1.9933926174E-2</v>
      </c>
      <c r="AV468" s="168">
        <f>IF(AU468="","",AU468-AU$6)</f>
        <v>-6.8653435779999997E-3</v>
      </c>
      <c r="AW468" s="168">
        <v>3.9798723815999998E-2</v>
      </c>
      <c r="AX468" s="168">
        <f>IF(AW468="","",AW468-AW$6)</f>
        <v>1.5803656027999997E-2</v>
      </c>
      <c r="AY468" s="168">
        <v>3.7754584016999999E-2</v>
      </c>
      <c r="AZ468" s="168">
        <f>IF(AY468="","",AY468-AY$6)</f>
        <v>2.3512329227000001E-2</v>
      </c>
      <c r="BA468" s="168">
        <v>0.10758505718</v>
      </c>
      <c r="BB468" s="168">
        <f>IF(BA468="","",BA468-BA$6)</f>
        <v>5.4098092622000001E-2</v>
      </c>
      <c r="BC468" s="168">
        <v>0.27349849984000002</v>
      </c>
      <c r="BD468" s="168">
        <f>IF(BC468="","",BC468-BC$6)</f>
        <v>7.9189933350000019E-2</v>
      </c>
      <c r="BE468" s="168"/>
      <c r="BF468" s="168" t="str">
        <f>IF(BE468="","",BE468-BE$6)</f>
        <v/>
      </c>
      <c r="BG468" s="168"/>
      <c r="BH468" s="168" t="str">
        <f>IF(BG468="","",BG468-BG$6)</f>
        <v/>
      </c>
      <c r="BI468" s="168"/>
      <c r="BJ468" s="168" t="str">
        <f>IF(BI468="","",BI468-BI$6)</f>
        <v/>
      </c>
      <c r="BK468" s="169">
        <v>8.1631947061000005</v>
      </c>
      <c r="BL468" s="115"/>
      <c r="BM468" s="170">
        <v>1.6486427678000001E-2</v>
      </c>
      <c r="BN468" s="163">
        <v>-1.3117331992999999E-2</v>
      </c>
      <c r="BO468" s="163">
        <v>4.5741511636000001E-2</v>
      </c>
      <c r="BP468" s="163">
        <v>-2.3569435085999998E-2</v>
      </c>
      <c r="BQ468" s="171">
        <v>8</v>
      </c>
      <c r="BR468" s="171">
        <v>4</v>
      </c>
      <c r="BS468" s="171">
        <v>7</v>
      </c>
      <c r="BT468" s="171">
        <v>5</v>
      </c>
      <c r="BU468" s="172">
        <v>-5.4321871241E-3</v>
      </c>
      <c r="BV468" s="172"/>
      <c r="BW468" s="163">
        <v>8.4431741667000005E-3</v>
      </c>
      <c r="BX468" s="163">
        <v>4.6038355121000001E-3</v>
      </c>
      <c r="BY468" s="161">
        <v>-0.87909974212999997</v>
      </c>
      <c r="BZ468" s="163">
        <v>-3.6152414451000002E-2</v>
      </c>
      <c r="CA468" s="163">
        <v>-3.6152414451000002E-2</v>
      </c>
      <c r="CB468" s="154">
        <v>45378</v>
      </c>
      <c r="CC468" s="154">
        <v>45471</v>
      </c>
      <c r="CD468" s="173">
        <v>76</v>
      </c>
      <c r="CE468" s="174">
        <v>45489</v>
      </c>
      <c r="CF468" s="115"/>
    </row>
    <row r="469" spans="2:84" ht="15.6" x14ac:dyDescent="0.3">
      <c r="B469" s="98" t="s">
        <v>2322</v>
      </c>
      <c r="C469" s="175" t="s">
        <v>2707</v>
      </c>
      <c r="D469" s="176" t="s">
        <v>23</v>
      </c>
      <c r="E469" s="176" t="s">
        <v>226</v>
      </c>
      <c r="F469" s="177">
        <v>2998611000104</v>
      </c>
      <c r="G469" s="177" t="s">
        <v>2459</v>
      </c>
      <c r="H469" s="177" t="s">
        <v>388</v>
      </c>
      <c r="I469" s="178">
        <v>14</v>
      </c>
      <c r="J469" s="179">
        <v>1</v>
      </c>
      <c r="K469" s="179" t="s">
        <v>111</v>
      </c>
      <c r="L469" s="179" t="s">
        <v>2466</v>
      </c>
      <c r="M469" s="179" t="s">
        <v>986</v>
      </c>
      <c r="N469" s="179" t="s">
        <v>109</v>
      </c>
      <c r="O469" s="180">
        <v>783786</v>
      </c>
      <c r="P469" s="181">
        <v>783786000</v>
      </c>
      <c r="Q469" s="181">
        <v>1000</v>
      </c>
      <c r="R469" s="182">
        <v>45214</v>
      </c>
      <c r="S469" s="182">
        <v>48867</v>
      </c>
      <c r="T469" s="183" t="s">
        <v>2771</v>
      </c>
      <c r="U469" s="183" t="s">
        <v>2777</v>
      </c>
      <c r="V469" s="182" t="s">
        <v>105</v>
      </c>
      <c r="W469" s="182" t="s">
        <v>102</v>
      </c>
      <c r="X469" s="182" t="s">
        <v>2578</v>
      </c>
      <c r="Y469" s="182">
        <v>48714</v>
      </c>
      <c r="Z469" s="184">
        <f>IFERROR(INDEX(Base!G:G,MATCH('Debêntures IPCA-Spread'!Y469,Base!F:F,0)),"")</f>
        <v>6.3373999999999997</v>
      </c>
      <c r="AA469" s="115"/>
      <c r="AB469" s="185">
        <v>45552</v>
      </c>
      <c r="AC469" s="186">
        <v>6.4641999999999999</v>
      </c>
      <c r="AD469" s="187">
        <f t="shared" si="19"/>
        <v>0.12680000000000025</v>
      </c>
      <c r="AE469" s="188">
        <v>0.06</v>
      </c>
      <c r="AF469" s="189">
        <v>6.6193999999999997</v>
      </c>
      <c r="AG469" s="189">
        <v>6.3220000000000001</v>
      </c>
      <c r="AH469" s="190">
        <v>1053.44281</v>
      </c>
      <c r="AI469" s="190"/>
      <c r="AJ469" s="191" t="str">
        <f t="shared" si="20"/>
        <v/>
      </c>
      <c r="AK469" s="192"/>
      <c r="AL469" s="193">
        <v>98.75</v>
      </c>
      <c r="AM469" s="194">
        <v>1654</v>
      </c>
      <c r="AN469" s="115"/>
      <c r="AO469" s="195">
        <v>1.0720952923E-4</v>
      </c>
      <c r="AP469" s="196">
        <f>IF(AO469="","",AO469-AO$6)</f>
        <v>-3.7293535569999996E-4</v>
      </c>
      <c r="AQ469" s="196">
        <v>-1.8790450430999999E-3</v>
      </c>
      <c r="AR469" s="196">
        <f>IF(AQ469="","",AQ469-AQ$6)</f>
        <v>-1.6615382901399999E-3</v>
      </c>
      <c r="AS469" s="196">
        <v>4.8667074934E-2</v>
      </c>
      <c r="AT469" s="196">
        <f>IF(AS469="","",AS469-AS$6)</f>
        <v>3.3941239878999996E-2</v>
      </c>
      <c r="AU469" s="196">
        <v>-1.5386524138000001E-2</v>
      </c>
      <c r="AV469" s="196">
        <f>IF(AU469="","",AU469-AU$6)</f>
        <v>-2.3179415420000009E-3</v>
      </c>
      <c r="AW469" s="196">
        <v>3.0340133038000001E-2</v>
      </c>
      <c r="AX469" s="196">
        <f>IF(AW469="","",AW469-AW$6)</f>
        <v>6.3450652500000003E-3</v>
      </c>
      <c r="AY469" s="196">
        <v>1.1808352821E-2</v>
      </c>
      <c r="AZ469" s="196">
        <f>IF(AY469="","",AY469-AY$6)</f>
        <v>-2.4339019690000005E-3</v>
      </c>
      <c r="BA469" s="196"/>
      <c r="BB469" s="196" t="str">
        <f>IF(BA469="","",BA469-BA$6)</f>
        <v/>
      </c>
      <c r="BC469" s="196"/>
      <c r="BD469" s="196" t="str">
        <f>IF(BC469="","",BC469-BC$6)</f>
        <v/>
      </c>
      <c r="BE469" s="196"/>
      <c r="BF469" s="196" t="str">
        <f>IF(BE469="","",BE469-BE$6)</f>
        <v/>
      </c>
      <c r="BG469" s="196"/>
      <c r="BH469" s="196" t="str">
        <f>IF(BG469="","",BG469-BG$6)</f>
        <v/>
      </c>
      <c r="BI469" s="196"/>
      <c r="BJ469" s="196" t="str">
        <f>IF(BI469="","",BI469-BI$6)</f>
        <v/>
      </c>
      <c r="BK469" s="197"/>
      <c r="BL469" s="115"/>
      <c r="BM469" s="198">
        <v>1.5517643314000001E-2</v>
      </c>
      <c r="BN469" s="191">
        <v>-8.5982889795999991E-3</v>
      </c>
      <c r="BO469" s="191">
        <v>3.1621337397000002E-2</v>
      </c>
      <c r="BP469" s="191">
        <v>-2.3236316784E-2</v>
      </c>
      <c r="BQ469" s="199"/>
      <c r="BR469" s="199"/>
      <c r="BS469" s="199"/>
      <c r="BT469" s="199"/>
      <c r="BU469" s="200"/>
      <c r="BV469" s="200"/>
      <c r="BW469" s="191"/>
      <c r="BX469" s="191">
        <v>4.6315176068999998E-3</v>
      </c>
      <c r="BY469" s="189"/>
      <c r="BZ469" s="191">
        <v>-3.3662417095000001E-2</v>
      </c>
      <c r="CA469" s="191">
        <v>-3.3662417095000001E-2</v>
      </c>
      <c r="CB469" s="182">
        <v>45364</v>
      </c>
      <c r="CC469" s="182">
        <v>45475</v>
      </c>
      <c r="CD469" s="201">
        <v>98</v>
      </c>
      <c r="CE469" s="202">
        <v>45505</v>
      </c>
      <c r="CF469" s="115"/>
    </row>
    <row r="470" spans="2:84" ht="15.6" x14ac:dyDescent="0.3">
      <c r="B470" s="110" t="s">
        <v>2323</v>
      </c>
      <c r="C470" s="147" t="s">
        <v>2708</v>
      </c>
      <c r="D470" s="148" t="s">
        <v>23</v>
      </c>
      <c r="E470" s="148" t="s">
        <v>226</v>
      </c>
      <c r="F470" s="149">
        <v>2998611000104</v>
      </c>
      <c r="G470" s="149" t="s">
        <v>2460</v>
      </c>
      <c r="H470" s="149" t="s">
        <v>388</v>
      </c>
      <c r="I470" s="150">
        <v>14</v>
      </c>
      <c r="J470" s="151">
        <v>2</v>
      </c>
      <c r="K470" s="151" t="s">
        <v>111</v>
      </c>
      <c r="L470" s="151" t="s">
        <v>2466</v>
      </c>
      <c r="M470" s="151" t="s">
        <v>986</v>
      </c>
      <c r="N470" s="151" t="s">
        <v>109</v>
      </c>
      <c r="O470" s="152">
        <v>1116214</v>
      </c>
      <c r="P470" s="153">
        <v>1116214000</v>
      </c>
      <c r="Q470" s="153">
        <v>1000</v>
      </c>
      <c r="R470" s="154">
        <v>45214</v>
      </c>
      <c r="S470" s="154">
        <v>50693</v>
      </c>
      <c r="T470" s="155" t="s">
        <v>2771</v>
      </c>
      <c r="U470" s="155" t="s">
        <v>2778</v>
      </c>
      <c r="V470" s="154" t="s">
        <v>105</v>
      </c>
      <c r="W470" s="154" t="s">
        <v>102</v>
      </c>
      <c r="X470" s="154" t="s">
        <v>2579</v>
      </c>
      <c r="Y470" s="154">
        <v>49444</v>
      </c>
      <c r="Z470" s="156">
        <f>IFERROR(INDEX(Base!G:G,MATCH('Debêntures IPCA-Spread'!Y470,Base!F:F,0)),"")</f>
        <v>6.3137999999999996</v>
      </c>
      <c r="AA470" s="115"/>
      <c r="AB470" s="157">
        <v>45552</v>
      </c>
      <c r="AC470" s="158">
        <v>6.4634</v>
      </c>
      <c r="AD470" s="159">
        <f t="shared" si="19"/>
        <v>0.1496000000000004</v>
      </c>
      <c r="AE470" s="160">
        <v>0.05</v>
      </c>
      <c r="AF470" s="161">
        <v>6.6178999999999997</v>
      </c>
      <c r="AG470" s="161">
        <v>6.2766999999999999</v>
      </c>
      <c r="AH470" s="162">
        <v>1065.1595159999999</v>
      </c>
      <c r="AI470" s="162"/>
      <c r="AJ470" s="163" t="str">
        <f t="shared" si="20"/>
        <v/>
      </c>
      <c r="AK470" s="164"/>
      <c r="AL470" s="165">
        <v>99.78</v>
      </c>
      <c r="AM470" s="166">
        <v>2215</v>
      </c>
      <c r="AN470" s="115"/>
      <c r="AO470" s="167">
        <v>-4.946727483E-3</v>
      </c>
      <c r="AP470" s="168">
        <f>IF(AO470="","",AO470-AO$6)</f>
        <v>-5.42687236793E-3</v>
      </c>
      <c r="AQ470" s="168">
        <v>-7.8085297400000003E-3</v>
      </c>
      <c r="AR470" s="168">
        <f>IF(AQ470="","",AQ470-AQ$6)</f>
        <v>-7.5910229870400003E-3</v>
      </c>
      <c r="AS470" s="168">
        <v>3.870611166E-2</v>
      </c>
      <c r="AT470" s="168">
        <f>IF(AS470="","",AS470-AS$6)</f>
        <v>2.3980276605E-2</v>
      </c>
      <c r="AU470" s="168">
        <v>-2.593470065E-2</v>
      </c>
      <c r="AV470" s="168">
        <f>IF(AU470="","",AU470-AU$6)</f>
        <v>-1.2866118054E-2</v>
      </c>
      <c r="AW470" s="168">
        <v>2.8849492433000001E-2</v>
      </c>
      <c r="AX470" s="168">
        <f>IF(AW470="","",AW470-AW$6)</f>
        <v>4.8544246450000009E-3</v>
      </c>
      <c r="AY470" s="168">
        <v>1.2611221069000001E-2</v>
      </c>
      <c r="AZ470" s="168">
        <f>IF(AY470="","",AY470-AY$6)</f>
        <v>-1.6310337209999998E-3</v>
      </c>
      <c r="BA470" s="168"/>
      <c r="BB470" s="168" t="str">
        <f>IF(BA470="","",BA470-BA$6)</f>
        <v/>
      </c>
      <c r="BC470" s="168"/>
      <c r="BD470" s="168" t="str">
        <f>IF(BC470="","",BC470-BC$6)</f>
        <v/>
      </c>
      <c r="BE470" s="168"/>
      <c r="BF470" s="168" t="str">
        <f>IF(BE470="","",BE470-BE$6)</f>
        <v/>
      </c>
      <c r="BG470" s="168"/>
      <c r="BH470" s="168" t="str">
        <f>IF(BG470="","",BG470-BG$6)</f>
        <v/>
      </c>
      <c r="BI470" s="168"/>
      <c r="BJ470" s="168" t="str">
        <f>IF(BI470="","",BI470-BI$6)</f>
        <v/>
      </c>
      <c r="BK470" s="169"/>
      <c r="BL470" s="115"/>
      <c r="BM470" s="170">
        <v>2.4858596502000001E-2</v>
      </c>
      <c r="BN470" s="163">
        <v>-1.5096744549999999E-2</v>
      </c>
      <c r="BO470" s="163">
        <v>4.4626171185999999E-2</v>
      </c>
      <c r="BP470" s="163">
        <v>-3.6408350460000002E-2</v>
      </c>
      <c r="BQ470" s="171"/>
      <c r="BR470" s="171"/>
      <c r="BS470" s="171"/>
      <c r="BT470" s="171"/>
      <c r="BU470" s="172"/>
      <c r="BV470" s="172"/>
      <c r="BW470" s="163"/>
      <c r="BX470" s="163">
        <v>6.7088866411000002E-3</v>
      </c>
      <c r="BY470" s="161"/>
      <c r="BZ470" s="163">
        <v>-5.4509890737000001E-2</v>
      </c>
      <c r="CA470" s="163">
        <v>-5.4509890737000001E-2</v>
      </c>
      <c r="CB470" s="154">
        <v>45364</v>
      </c>
      <c r="CC470" s="154">
        <v>45455</v>
      </c>
      <c r="CD470" s="173">
        <v>100</v>
      </c>
      <c r="CE470" s="174">
        <v>45509</v>
      </c>
      <c r="CF470" s="115"/>
    </row>
    <row r="471" spans="2:84" ht="15.6" x14ac:dyDescent="0.3">
      <c r="B471" s="98" t="s">
        <v>1515</v>
      </c>
      <c r="C471" s="175" t="s">
        <v>2161</v>
      </c>
      <c r="D471" s="176" t="s">
        <v>1939</v>
      </c>
      <c r="E471" s="176" t="s">
        <v>228</v>
      </c>
      <c r="F471" s="177">
        <v>9074183000164</v>
      </c>
      <c r="G471" s="177" t="s">
        <v>1873</v>
      </c>
      <c r="H471" s="177" t="s">
        <v>388</v>
      </c>
      <c r="I471" s="178">
        <v>8</v>
      </c>
      <c r="J471" s="179" t="s">
        <v>107</v>
      </c>
      <c r="K471" s="179" t="s">
        <v>130</v>
      </c>
      <c r="L471" s="179" t="s">
        <v>1745</v>
      </c>
      <c r="M471" s="179" t="s">
        <v>128</v>
      </c>
      <c r="N471" s="179" t="s">
        <v>109</v>
      </c>
      <c r="O471" s="180">
        <v>275400</v>
      </c>
      <c r="P471" s="181">
        <v>275400000</v>
      </c>
      <c r="Q471" s="181">
        <v>1000</v>
      </c>
      <c r="R471" s="182">
        <v>44645</v>
      </c>
      <c r="S471" s="182">
        <v>48482</v>
      </c>
      <c r="T471" s="183" t="s">
        <v>2025</v>
      </c>
      <c r="U471" s="183" t="s">
        <v>1730</v>
      </c>
      <c r="V471" s="182" t="s">
        <v>194</v>
      </c>
      <c r="W471" s="182" t="s">
        <v>102</v>
      </c>
      <c r="X471" s="182" t="s">
        <v>1633</v>
      </c>
      <c r="Y471" s="182">
        <v>46980</v>
      </c>
      <c r="Z471" s="184">
        <f>IFERROR(INDEX(Base!G:G,MATCH('Debêntures IPCA-Spread'!Y471,Base!F:F,0)),"")</f>
        <v>6.4702000000000002</v>
      </c>
      <c r="AA471" s="115"/>
      <c r="AB471" s="185">
        <v>45107</v>
      </c>
      <c r="AC471" s="186"/>
      <c r="AD471" s="187" t="str">
        <f t="shared" si="19"/>
        <v/>
      </c>
      <c r="AE471" s="188"/>
      <c r="AF471" s="189"/>
      <c r="AG471" s="189"/>
      <c r="AH471" s="190"/>
      <c r="AI471" s="190"/>
      <c r="AJ471" s="191" t="str">
        <f t="shared" si="20"/>
        <v/>
      </c>
      <c r="AK471" s="192"/>
      <c r="AL471" s="193"/>
      <c r="AM471" s="194"/>
      <c r="AN471" s="115"/>
      <c r="AO471" s="195"/>
      <c r="AP471" s="196" t="str">
        <f>IF(AO471="","",AO471-AO$6)</f>
        <v/>
      </c>
      <c r="AQ471" s="196"/>
      <c r="AR471" s="196" t="str">
        <f>IF(AQ471="","",AQ471-AQ$6)</f>
        <v/>
      </c>
      <c r="AS471" s="196"/>
      <c r="AT471" s="196" t="str">
        <f>IF(AS471="","",AS471-AS$6)</f>
        <v/>
      </c>
      <c r="AU471" s="196"/>
      <c r="AV471" s="196" t="str">
        <f>IF(AU471="","",AU471-AU$6)</f>
        <v/>
      </c>
      <c r="AW471" s="196"/>
      <c r="AX471" s="196" t="str">
        <f>IF(AW471="","",AW471-AW$6)</f>
        <v/>
      </c>
      <c r="AY471" s="196"/>
      <c r="AZ471" s="196" t="str">
        <f>IF(AY471="","",AY471-AY$6)</f>
        <v/>
      </c>
      <c r="BA471" s="196"/>
      <c r="BB471" s="196" t="str">
        <f>IF(BA471="","",BA471-BA$6)</f>
        <v/>
      </c>
      <c r="BC471" s="196"/>
      <c r="BD471" s="196" t="str">
        <f>IF(BC471="","",BC471-BC$6)</f>
        <v/>
      </c>
      <c r="BE471" s="196"/>
      <c r="BF471" s="196" t="str">
        <f>IF(BE471="","",BE471-BE$6)</f>
        <v/>
      </c>
      <c r="BG471" s="196"/>
      <c r="BH471" s="196" t="str">
        <f>IF(BG471="","",BG471-BG$6)</f>
        <v/>
      </c>
      <c r="BI471" s="196"/>
      <c r="BJ471" s="196" t="str">
        <f>IF(BI471="","",BI471-BI$6)</f>
        <v/>
      </c>
      <c r="BK471" s="197"/>
      <c r="BL471" s="115"/>
      <c r="BM471" s="198"/>
      <c r="BN471" s="191"/>
      <c r="BO471" s="191"/>
      <c r="BP471" s="191"/>
      <c r="BQ471" s="199"/>
      <c r="BR471" s="199"/>
      <c r="BS471" s="199"/>
      <c r="BT471" s="199"/>
      <c r="BU471" s="200"/>
      <c r="BV471" s="200"/>
      <c r="BW471" s="191"/>
      <c r="BX471" s="191"/>
      <c r="BY471" s="189"/>
      <c r="BZ471" s="191"/>
      <c r="CA471" s="191"/>
      <c r="CB471" s="182"/>
      <c r="CC471" s="182"/>
      <c r="CD471" s="201"/>
      <c r="CE471" s="202"/>
      <c r="CF471" s="115"/>
    </row>
    <row r="472" spans="2:84" ht="15.6" x14ac:dyDescent="0.3">
      <c r="B472" s="110" t="s">
        <v>1516</v>
      </c>
      <c r="C472" s="147" t="s">
        <v>2162</v>
      </c>
      <c r="D472" s="148" t="s">
        <v>1940</v>
      </c>
      <c r="E472" s="148" t="s">
        <v>226</v>
      </c>
      <c r="F472" s="149">
        <v>26796760000140</v>
      </c>
      <c r="G472" s="149" t="s">
        <v>1874</v>
      </c>
      <c r="H472" s="149" t="s">
        <v>388</v>
      </c>
      <c r="I472" s="150">
        <v>1</v>
      </c>
      <c r="J472" s="151" t="s">
        <v>108</v>
      </c>
      <c r="K472" s="151" t="s">
        <v>126</v>
      </c>
      <c r="L472" s="151" t="s">
        <v>112</v>
      </c>
      <c r="M472" s="151" t="s">
        <v>114</v>
      </c>
      <c r="N472" s="151" t="s">
        <v>109</v>
      </c>
      <c r="O472" s="152">
        <v>680000</v>
      </c>
      <c r="P472" s="153">
        <v>680000000</v>
      </c>
      <c r="Q472" s="153">
        <v>1000</v>
      </c>
      <c r="R472" s="154">
        <v>43358</v>
      </c>
      <c r="S472" s="154">
        <v>47011</v>
      </c>
      <c r="T472" s="155" t="s">
        <v>2026</v>
      </c>
      <c r="U472" s="155" t="s">
        <v>1731</v>
      </c>
      <c r="V472" s="154" t="s">
        <v>105</v>
      </c>
      <c r="W472" s="154" t="s">
        <v>102</v>
      </c>
      <c r="X472" s="154" t="s">
        <v>1377</v>
      </c>
      <c r="Y472" s="154">
        <v>46522</v>
      </c>
      <c r="Z472" s="156">
        <f>IFERROR(INDEX(Base!G:G,MATCH('Debêntures IPCA-Spread'!Y472,Base!F:F,0)),"")</f>
        <v>6.391</v>
      </c>
      <c r="AA472" s="115"/>
      <c r="AB472" s="157">
        <v>45552</v>
      </c>
      <c r="AC472" s="158">
        <v>6.3296000000000001</v>
      </c>
      <c r="AD472" s="159">
        <f t="shared" si="19"/>
        <v>-6.1399999999999899E-2</v>
      </c>
      <c r="AE472" s="160">
        <v>0.11</v>
      </c>
      <c r="AF472" s="161">
        <v>6.6398000000000001</v>
      </c>
      <c r="AG472" s="161">
        <v>6.0628000000000002</v>
      </c>
      <c r="AH472" s="162">
        <v>1158.2002620000001</v>
      </c>
      <c r="AI472" s="162">
        <v>1158.30756</v>
      </c>
      <c r="AJ472" s="163">
        <f t="shared" si="20"/>
        <v>0.99990736657196655</v>
      </c>
      <c r="AK472" s="164">
        <v>45548</v>
      </c>
      <c r="AL472" s="165">
        <v>100.55</v>
      </c>
      <c r="AM472" s="166">
        <v>721</v>
      </c>
      <c r="AN472" s="115"/>
      <c r="AO472" s="167">
        <v>1.1594940515000001E-3</v>
      </c>
      <c r="AP472" s="168">
        <f>IF(AO472="","",AO472-AO$6)</f>
        <v>6.7934916657000008E-4</v>
      </c>
      <c r="AQ472" s="168">
        <v>6.7507078765999999E-3</v>
      </c>
      <c r="AR472" s="168">
        <f>IF(AQ472="","",AQ472-AQ$6)</f>
        <v>6.96821462956E-3</v>
      </c>
      <c r="AS472" s="168">
        <v>7.7015679872000004E-2</v>
      </c>
      <c r="AT472" s="168">
        <f>IF(AS472="","",AS472-AS$6)</f>
        <v>6.2289844817000006E-2</v>
      </c>
      <c r="AU472" s="168">
        <v>4.7621834073999997E-3</v>
      </c>
      <c r="AV472" s="168">
        <f>IF(AU472="","",AU472-AU$6)</f>
        <v>1.78307660034E-2</v>
      </c>
      <c r="AW472" s="168">
        <v>3.7628515553000001E-2</v>
      </c>
      <c r="AX472" s="168">
        <f>IF(AW472="","",AW472-AW$6)</f>
        <v>1.3633447765000001E-2</v>
      </c>
      <c r="AY472" s="168">
        <v>4.0051301882999997E-2</v>
      </c>
      <c r="AZ472" s="168">
        <f>IF(AY472="","",AY472-AY$6)</f>
        <v>2.5809047092999998E-2</v>
      </c>
      <c r="BA472" s="168">
        <v>0.10649176790999999</v>
      </c>
      <c r="BB472" s="168">
        <f>IF(BA472="","",BA472-BA$6)</f>
        <v>5.3004803351999995E-2</v>
      </c>
      <c r="BC472" s="168"/>
      <c r="BD472" s="168" t="str">
        <f>IF(BC472="","",BC472-BC$6)</f>
        <v/>
      </c>
      <c r="BE472" s="168"/>
      <c r="BF472" s="168" t="str">
        <f>IF(BE472="","",BE472-BE$6)</f>
        <v/>
      </c>
      <c r="BG472" s="168"/>
      <c r="BH472" s="168" t="str">
        <f>IF(BG472="","",BG472-BG$6)</f>
        <v/>
      </c>
      <c r="BI472" s="168"/>
      <c r="BJ472" s="168" t="str">
        <f>IF(BI472="","",BI472-BI$6)</f>
        <v/>
      </c>
      <c r="BK472" s="169">
        <v>4.0518124781999996</v>
      </c>
      <c r="BL472" s="115"/>
      <c r="BM472" s="170">
        <v>7.4022492408000002E-3</v>
      </c>
      <c r="BN472" s="163">
        <v>-9.9994068960000005E-3</v>
      </c>
      <c r="BO472" s="163">
        <v>2.1779786876999999E-2</v>
      </c>
      <c r="BP472" s="163">
        <v>-1.2572128865000001E-2</v>
      </c>
      <c r="BQ472" s="171">
        <v>9</v>
      </c>
      <c r="BR472" s="171">
        <v>3</v>
      </c>
      <c r="BS472" s="171">
        <v>9</v>
      </c>
      <c r="BT472" s="171">
        <v>3</v>
      </c>
      <c r="BU472" s="172">
        <v>-9.7186415311000002E-2</v>
      </c>
      <c r="BV472" s="172"/>
      <c r="BW472" s="163">
        <v>4.1859925572E-3</v>
      </c>
      <c r="BX472" s="163">
        <v>2.8954570191999998E-3</v>
      </c>
      <c r="BY472" s="161">
        <v>-0.94803097464999997</v>
      </c>
      <c r="BZ472" s="163">
        <v>-1.9823704638000001E-2</v>
      </c>
      <c r="CA472" s="163">
        <v>-1.9823704638000001E-2</v>
      </c>
      <c r="CB472" s="154">
        <v>45376</v>
      </c>
      <c r="CC472" s="154">
        <v>45399</v>
      </c>
      <c r="CD472" s="173">
        <v>43</v>
      </c>
      <c r="CE472" s="174">
        <v>45439</v>
      </c>
      <c r="CF472" s="115"/>
    </row>
    <row r="473" spans="2:84" ht="15.6" x14ac:dyDescent="0.3">
      <c r="B473" s="98" t="s">
        <v>2324</v>
      </c>
      <c r="C473" s="175" t="s">
        <v>2709</v>
      </c>
      <c r="D473" s="176" t="s">
        <v>2815</v>
      </c>
      <c r="E473" s="176" t="s">
        <v>2783</v>
      </c>
      <c r="F473" s="177">
        <v>6248349000123</v>
      </c>
      <c r="G473" s="177" t="s">
        <v>2461</v>
      </c>
      <c r="H473" s="177" t="s">
        <v>388</v>
      </c>
      <c r="I473" s="178">
        <v>2</v>
      </c>
      <c r="J473" s="179" t="s">
        <v>107</v>
      </c>
      <c r="K473" s="179" t="s">
        <v>126</v>
      </c>
      <c r="L473" s="179" t="s">
        <v>112</v>
      </c>
      <c r="M473" s="179" t="s">
        <v>114</v>
      </c>
      <c r="N473" s="179" t="s">
        <v>109</v>
      </c>
      <c r="O473" s="180">
        <v>600000</v>
      </c>
      <c r="P473" s="181">
        <v>600000000</v>
      </c>
      <c r="Q473" s="181">
        <v>1000</v>
      </c>
      <c r="R473" s="182">
        <v>45275</v>
      </c>
      <c r="S473" s="182">
        <v>48928</v>
      </c>
      <c r="T473" s="183" t="s">
        <v>2001</v>
      </c>
      <c r="U473" s="183" t="s">
        <v>2737</v>
      </c>
      <c r="V473" s="182" t="s">
        <v>105</v>
      </c>
      <c r="W473" s="182" t="s">
        <v>102</v>
      </c>
      <c r="X473" s="182" t="s">
        <v>2580</v>
      </c>
      <c r="Y473" s="182">
        <v>48441</v>
      </c>
      <c r="Z473" s="184">
        <f>IFERROR(INDEX(Base!G:G,MATCH('Debêntures IPCA-Spread'!Y473,Base!F:F,0)),"")</f>
        <v>6.3467000000000002</v>
      </c>
      <c r="AA473" s="115"/>
      <c r="AB473" s="185">
        <v>45552</v>
      </c>
      <c r="AC473" s="186">
        <v>6.3632999999999997</v>
      </c>
      <c r="AD473" s="187">
        <f t="shared" si="19"/>
        <v>1.6599999999999504E-2</v>
      </c>
      <c r="AE473" s="188">
        <v>0.04</v>
      </c>
      <c r="AF473" s="189">
        <v>6.5503</v>
      </c>
      <c r="AG473" s="189">
        <v>6.2244999999999999</v>
      </c>
      <c r="AH473" s="190">
        <v>1026.4220869999999</v>
      </c>
      <c r="AI473" s="190"/>
      <c r="AJ473" s="191" t="str">
        <f t="shared" si="20"/>
        <v/>
      </c>
      <c r="AK473" s="192"/>
      <c r="AL473" s="193">
        <v>97.71</v>
      </c>
      <c r="AM473" s="194">
        <v>1633</v>
      </c>
      <c r="AN473" s="115"/>
      <c r="AO473" s="195">
        <v>-3.6704847662E-4</v>
      </c>
      <c r="AP473" s="196">
        <f>IF(AO473="","",AO473-AO$6)</f>
        <v>-8.4719336155E-4</v>
      </c>
      <c r="AQ473" s="196">
        <v>-4.3362164769999998E-3</v>
      </c>
      <c r="AR473" s="196">
        <f>IF(AQ473="","",AQ473-AQ$6)</f>
        <v>-4.1187097240399997E-3</v>
      </c>
      <c r="AS473" s="196"/>
      <c r="AT473" s="196" t="str">
        <f>IF(AS473="","",AS473-AS$6)</f>
        <v/>
      </c>
      <c r="AU473" s="196"/>
      <c r="AV473" s="196" t="str">
        <f>IF(AU473="","",AU473-AU$6)</f>
        <v/>
      </c>
      <c r="AW473" s="196"/>
      <c r="AX473" s="196" t="str">
        <f>IF(AW473="","",AW473-AW$6)</f>
        <v/>
      </c>
      <c r="AY473" s="196"/>
      <c r="AZ473" s="196" t="str">
        <f>IF(AY473="","",AY473-AY$6)</f>
        <v/>
      </c>
      <c r="BA473" s="196"/>
      <c r="BB473" s="196" t="str">
        <f>IF(BA473="","",BA473-BA$6)</f>
        <v/>
      </c>
      <c r="BC473" s="196"/>
      <c r="BD473" s="196" t="str">
        <f>IF(BC473="","",BC473-BC$6)</f>
        <v/>
      </c>
      <c r="BE473" s="196"/>
      <c r="BF473" s="196" t="str">
        <f>IF(BE473="","",BE473-BE$6)</f>
        <v/>
      </c>
      <c r="BG473" s="196"/>
      <c r="BH473" s="196" t="str">
        <f>IF(BG473="","",BG473-BG$6)</f>
        <v/>
      </c>
      <c r="BI473" s="196"/>
      <c r="BJ473" s="196" t="str">
        <f>IF(BI473="","",BI473-BI$6)</f>
        <v/>
      </c>
      <c r="BK473" s="197"/>
      <c r="BL473" s="115"/>
      <c r="BM473" s="198">
        <v>3.2819292428E-3</v>
      </c>
      <c r="BN473" s="191">
        <v>-3.7811299789999998E-3</v>
      </c>
      <c r="BO473" s="191">
        <v>-4.3362164769999998E-3</v>
      </c>
      <c r="BP473" s="191">
        <v>-4.3362164769999998E-3</v>
      </c>
      <c r="BQ473" s="199"/>
      <c r="BR473" s="199"/>
      <c r="BS473" s="199"/>
      <c r="BT473" s="199"/>
      <c r="BU473" s="200"/>
      <c r="BV473" s="200"/>
      <c r="BW473" s="191"/>
      <c r="BX473" s="191"/>
      <c r="BY473" s="189"/>
      <c r="BZ473" s="191">
        <v>-5.0856914870999999E-3</v>
      </c>
      <c r="CA473" s="191">
        <v>-6.9857676826000003E-3</v>
      </c>
      <c r="CB473" s="182">
        <v>45541</v>
      </c>
      <c r="CC473" s="182">
        <v>45552</v>
      </c>
      <c r="CD473" s="201"/>
      <c r="CE473" s="202"/>
      <c r="CF473" s="115"/>
    </row>
    <row r="474" spans="2:84" ht="15.6" x14ac:dyDescent="0.3">
      <c r="B474" s="110" t="s">
        <v>1517</v>
      </c>
      <c r="C474" s="147" t="s">
        <v>2163</v>
      </c>
      <c r="D474" s="148" t="s">
        <v>1941</v>
      </c>
      <c r="E474" s="148" t="s">
        <v>227</v>
      </c>
      <c r="F474" s="149">
        <v>23438929000100</v>
      </c>
      <c r="G474" s="149" t="s">
        <v>1875</v>
      </c>
      <c r="H474" s="149" t="s">
        <v>388</v>
      </c>
      <c r="I474" s="150">
        <v>2</v>
      </c>
      <c r="J474" s="151" t="s">
        <v>107</v>
      </c>
      <c r="K474" s="151" t="s">
        <v>128</v>
      </c>
      <c r="L474" s="151" t="s">
        <v>118</v>
      </c>
      <c r="M474" s="151" t="s">
        <v>128</v>
      </c>
      <c r="N474" s="151" t="s">
        <v>109</v>
      </c>
      <c r="O474" s="152">
        <v>550000</v>
      </c>
      <c r="P474" s="153">
        <v>550000000</v>
      </c>
      <c r="Q474" s="153">
        <v>1000</v>
      </c>
      <c r="R474" s="154">
        <v>44788</v>
      </c>
      <c r="S474" s="154">
        <v>47345</v>
      </c>
      <c r="T474" s="155" t="s">
        <v>2027</v>
      </c>
      <c r="U474" s="155" t="s">
        <v>1732</v>
      </c>
      <c r="V474" s="154" t="s">
        <v>194</v>
      </c>
      <c r="W474" s="154" t="s">
        <v>102</v>
      </c>
      <c r="X474" s="154" t="s">
        <v>1634</v>
      </c>
      <c r="Y474" s="154">
        <v>46522</v>
      </c>
      <c r="Z474" s="156">
        <f>IFERROR(INDEX(Base!G:G,MATCH('Debêntures IPCA-Spread'!Y474,Base!F:F,0)),"")</f>
        <v>6.391</v>
      </c>
      <c r="AA474" s="115"/>
      <c r="AB474" s="157">
        <v>45552</v>
      </c>
      <c r="AC474" s="158">
        <v>11.307700000000001</v>
      </c>
      <c r="AD474" s="159">
        <f t="shared" si="19"/>
        <v>4.9167000000000005</v>
      </c>
      <c r="AE474" s="160">
        <v>0.28000000000000003</v>
      </c>
      <c r="AF474" s="161"/>
      <c r="AG474" s="161">
        <v>11.1282</v>
      </c>
      <c r="AH474" s="162">
        <v>993.40115700000001</v>
      </c>
      <c r="AI474" s="162">
        <v>994.49787083000001</v>
      </c>
      <c r="AJ474" s="163">
        <f t="shared" si="20"/>
        <v>0.99889721852387203</v>
      </c>
      <c r="AK474" s="164">
        <v>45509</v>
      </c>
      <c r="AL474" s="165">
        <v>90.63</v>
      </c>
      <c r="AM474" s="166">
        <v>743</v>
      </c>
      <c r="AN474" s="115"/>
      <c r="AO474" s="167">
        <v>1.5535151669E-3</v>
      </c>
      <c r="AP474" s="168">
        <f>IF(AO474="","",AO474-AO$6)</f>
        <v>1.07337028197E-3</v>
      </c>
      <c r="AQ474" s="168">
        <v>3.0527542821999999E-3</v>
      </c>
      <c r="AR474" s="168">
        <f>IF(AQ474="","",AQ474-AQ$6)</f>
        <v>3.2702610351599999E-3</v>
      </c>
      <c r="AS474" s="168">
        <v>7.8133456022000003E-2</v>
      </c>
      <c r="AT474" s="168">
        <f>IF(AS474="","",AS474-AS$6)</f>
        <v>6.3407620967000006E-2</v>
      </c>
      <c r="AU474" s="168">
        <v>6.5178755120999998E-3</v>
      </c>
      <c r="AV474" s="168">
        <f>IF(AU474="","",AU474-AU$6)</f>
        <v>1.9586458108099999E-2</v>
      </c>
      <c r="AW474" s="168">
        <v>3.7273645511999999E-2</v>
      </c>
      <c r="AX474" s="168">
        <f>IF(AW474="","",AW474-AW$6)</f>
        <v>1.3278577723999999E-2</v>
      </c>
      <c r="AY474" s="168">
        <v>4.8034149289000003E-2</v>
      </c>
      <c r="AZ474" s="168">
        <f>IF(AY474="","",AY474-AY$6)</f>
        <v>3.3791894499000004E-2</v>
      </c>
      <c r="BA474" s="168">
        <v>9.3815206747000002E-2</v>
      </c>
      <c r="BB474" s="168">
        <f>IF(BA474="","",BA474-BA$6)</f>
        <v>4.0328242189000003E-2</v>
      </c>
      <c r="BC474" s="168"/>
      <c r="BD474" s="168" t="str">
        <f>IF(BC474="","",BC474-BC$6)</f>
        <v/>
      </c>
      <c r="BE474" s="168"/>
      <c r="BF474" s="168" t="str">
        <f>IF(BE474="","",BE474-BE$6)</f>
        <v/>
      </c>
      <c r="BG474" s="168"/>
      <c r="BH474" s="168" t="str">
        <f>IF(BG474="","",BG474-BG$6)</f>
        <v/>
      </c>
      <c r="BI474" s="168"/>
      <c r="BJ474" s="168" t="str">
        <f>IF(BI474="","",BI474-BI$6)</f>
        <v/>
      </c>
      <c r="BK474" s="169">
        <v>6.812055022</v>
      </c>
      <c r="BL474" s="115"/>
      <c r="BM474" s="170">
        <v>1.7928063075E-2</v>
      </c>
      <c r="BN474" s="163">
        <v>-1.9816611612000001E-2</v>
      </c>
      <c r="BO474" s="163">
        <v>1.6526114428000001E-2</v>
      </c>
      <c r="BP474" s="163">
        <v>-2.2890753771E-2</v>
      </c>
      <c r="BQ474" s="171">
        <v>10</v>
      </c>
      <c r="BR474" s="171">
        <v>2</v>
      </c>
      <c r="BS474" s="171">
        <v>6</v>
      </c>
      <c r="BT474" s="171">
        <v>6</v>
      </c>
      <c r="BU474" s="172">
        <v>-0.20356020294999999</v>
      </c>
      <c r="BV474" s="172"/>
      <c r="BW474" s="163">
        <v>7.0405950673999998E-3</v>
      </c>
      <c r="BX474" s="163">
        <v>2.1839114607999999E-3</v>
      </c>
      <c r="BY474" s="161">
        <v>-2.0192445588000001</v>
      </c>
      <c r="BZ474" s="163">
        <v>-3.1264073879000001E-2</v>
      </c>
      <c r="CA474" s="163">
        <v>-3.1264073879000001E-2</v>
      </c>
      <c r="CB474" s="154">
        <v>45209</v>
      </c>
      <c r="CC474" s="154">
        <v>45233</v>
      </c>
      <c r="CD474" s="173">
        <v>38</v>
      </c>
      <c r="CE474" s="174">
        <v>45266</v>
      </c>
      <c r="CF474" s="115"/>
    </row>
    <row r="475" spans="2:84" ht="15.6" x14ac:dyDescent="0.3">
      <c r="B475" s="98" t="s">
        <v>1518</v>
      </c>
      <c r="C475" s="175" t="s">
        <v>2164</v>
      </c>
      <c r="D475" s="176" t="s">
        <v>1942</v>
      </c>
      <c r="E475" s="176" t="s">
        <v>104</v>
      </c>
      <c r="F475" s="177">
        <v>35714529000151</v>
      </c>
      <c r="G475" s="177" t="s">
        <v>1876</v>
      </c>
      <c r="H475" s="177" t="s">
        <v>388</v>
      </c>
      <c r="I475" s="178">
        <v>1</v>
      </c>
      <c r="J475" s="179" t="s">
        <v>107</v>
      </c>
      <c r="K475" s="179" t="s">
        <v>111</v>
      </c>
      <c r="L475" s="179" t="s">
        <v>125</v>
      </c>
      <c r="M475" s="179" t="s">
        <v>986</v>
      </c>
      <c r="N475" s="179" t="s">
        <v>109</v>
      </c>
      <c r="O475" s="180">
        <v>200000</v>
      </c>
      <c r="P475" s="181">
        <v>200000000</v>
      </c>
      <c r="Q475" s="181">
        <v>1000</v>
      </c>
      <c r="R475" s="182">
        <v>44454</v>
      </c>
      <c r="S475" s="182">
        <v>51759</v>
      </c>
      <c r="T475" s="183" t="s">
        <v>2028</v>
      </c>
      <c r="U475" s="183" t="s">
        <v>1733</v>
      </c>
      <c r="V475" s="182" t="s">
        <v>105</v>
      </c>
      <c r="W475" s="182" t="s">
        <v>102</v>
      </c>
      <c r="X475" s="182" t="s">
        <v>1635</v>
      </c>
      <c r="Y475" s="182">
        <v>48441</v>
      </c>
      <c r="Z475" s="184">
        <f>IFERROR(INDEX(Base!G:G,MATCH('Debêntures IPCA-Spread'!Y475,Base!F:F,0)),"")</f>
        <v>6.3467000000000002</v>
      </c>
      <c r="AA475" s="115"/>
      <c r="AB475" s="185">
        <v>45552</v>
      </c>
      <c r="AC475" s="186">
        <v>6.6177000000000001</v>
      </c>
      <c r="AD475" s="187">
        <f t="shared" si="19"/>
        <v>0.27099999999999991</v>
      </c>
      <c r="AE475" s="188">
        <v>0.19</v>
      </c>
      <c r="AF475" s="189">
        <v>6.8789999999999996</v>
      </c>
      <c r="AG475" s="189">
        <v>6.3550000000000004</v>
      </c>
      <c r="AH475" s="190">
        <v>1249.860093</v>
      </c>
      <c r="AI475" s="190">
        <v>1252.25674</v>
      </c>
      <c r="AJ475" s="191">
        <f t="shared" si="20"/>
        <v>0.99808613767173648</v>
      </c>
      <c r="AK475" s="192">
        <v>45527</v>
      </c>
      <c r="AL475" s="193">
        <v>99.81</v>
      </c>
      <c r="AM475" s="194">
        <v>1627</v>
      </c>
      <c r="AN475" s="115"/>
      <c r="AO475" s="195">
        <v>3.8571819459000001E-3</v>
      </c>
      <c r="AP475" s="196">
        <f>IF(AO475="","",AO475-AO$6)</f>
        <v>3.3770370609700001E-3</v>
      </c>
      <c r="AQ475" s="196">
        <v>1.8365379763000001E-2</v>
      </c>
      <c r="AR475" s="196">
        <f>IF(AQ475="","",AQ475-AQ$6)</f>
        <v>1.858288651596E-2</v>
      </c>
      <c r="AS475" s="196">
        <v>0.26541627669000001</v>
      </c>
      <c r="AT475" s="196">
        <f>IF(AS475="","",AS475-AS$6)</f>
        <v>0.25069044163499998</v>
      </c>
      <c r="AU475" s="196">
        <v>1.8789714213E-3</v>
      </c>
      <c r="AV475" s="196">
        <f>IF(AU475="","",AU475-AU$6)</f>
        <v>1.49475540173E-2</v>
      </c>
      <c r="AW475" s="196">
        <v>5.9930190949999997E-2</v>
      </c>
      <c r="AX475" s="196">
        <f>IF(AW475="","",AW475-AW$6)</f>
        <v>3.5935123161999996E-2</v>
      </c>
      <c r="AY475" s="196">
        <v>4.8502982558E-2</v>
      </c>
      <c r="AZ475" s="196">
        <f>IF(AY475="","",AY475-AY$6)</f>
        <v>3.4260727768000002E-2</v>
      </c>
      <c r="BA475" s="196">
        <v>0.31539322951999998</v>
      </c>
      <c r="BB475" s="196">
        <f>IF(BA475="","",BA475-BA$6)</f>
        <v>0.26190626496199998</v>
      </c>
      <c r="BC475" s="196">
        <v>0.48883174786</v>
      </c>
      <c r="BD475" s="196">
        <f>IF(BC475="","",BC475-BC$6)</f>
        <v>0.29452318137</v>
      </c>
      <c r="BE475" s="196"/>
      <c r="BF475" s="196" t="str">
        <f>IF(BE475="","",BE475-BE$6)</f>
        <v/>
      </c>
      <c r="BG475" s="196"/>
      <c r="BH475" s="196" t="str">
        <f>IF(BG475="","",BG475-BG$6)</f>
        <v/>
      </c>
      <c r="BI475" s="196"/>
      <c r="BJ475" s="196" t="str">
        <f>IF(BI475="","",BI475-BI$6)</f>
        <v/>
      </c>
      <c r="BK475" s="197">
        <v>15.733457947</v>
      </c>
      <c r="BL475" s="115"/>
      <c r="BM475" s="198">
        <v>0.15216134208000001</v>
      </c>
      <c r="BN475" s="191">
        <v>-1.6619074837000002E-2</v>
      </c>
      <c r="BO475" s="191">
        <v>0.1716788967</v>
      </c>
      <c r="BP475" s="191">
        <v>-2.5599601917E-2</v>
      </c>
      <c r="BQ475" s="199">
        <v>8</v>
      </c>
      <c r="BR475" s="199">
        <v>4</v>
      </c>
      <c r="BS475" s="199">
        <v>8</v>
      </c>
      <c r="BT475" s="199">
        <v>4</v>
      </c>
      <c r="BU475" s="200">
        <v>1.1902865680000001</v>
      </c>
      <c r="BV475" s="200"/>
      <c r="BW475" s="191">
        <v>1.7234066393E-2</v>
      </c>
      <c r="BX475" s="191">
        <v>7.4713500788000002E-3</v>
      </c>
      <c r="BY475" s="189">
        <v>21.178228565000001</v>
      </c>
      <c r="BZ475" s="191">
        <v>-3.1939830845000003E-2</v>
      </c>
      <c r="CA475" s="191">
        <v>-3.1939830845000003E-2</v>
      </c>
      <c r="CB475" s="182">
        <v>45364</v>
      </c>
      <c r="CC475" s="182">
        <v>45455</v>
      </c>
      <c r="CD475" s="201">
        <v>86</v>
      </c>
      <c r="CE475" s="202">
        <v>45489</v>
      </c>
      <c r="CF475" s="115"/>
    </row>
    <row r="476" spans="2:84" ht="15.6" x14ac:dyDescent="0.3">
      <c r="B476" s="110" t="s">
        <v>1519</v>
      </c>
      <c r="C476" s="147" t="s">
        <v>2165</v>
      </c>
      <c r="D476" s="148" t="s">
        <v>1943</v>
      </c>
      <c r="E476" s="148" t="s">
        <v>1958</v>
      </c>
      <c r="F476" s="149">
        <v>2639850000160</v>
      </c>
      <c r="G476" s="149" t="s">
        <v>1877</v>
      </c>
      <c r="H476" s="149" t="s">
        <v>388</v>
      </c>
      <c r="I476" s="150">
        <v>1</v>
      </c>
      <c r="J476" s="151" t="s">
        <v>107</v>
      </c>
      <c r="K476" s="151" t="s">
        <v>128</v>
      </c>
      <c r="L476" s="151" t="s">
        <v>112</v>
      </c>
      <c r="M476" s="151" t="s">
        <v>128</v>
      </c>
      <c r="N476" s="151" t="s">
        <v>109</v>
      </c>
      <c r="O476" s="152">
        <v>240000</v>
      </c>
      <c r="P476" s="153">
        <v>240000000</v>
      </c>
      <c r="Q476" s="153">
        <v>1000</v>
      </c>
      <c r="R476" s="154">
        <v>44515</v>
      </c>
      <c r="S476" s="154">
        <v>48898</v>
      </c>
      <c r="T476" s="155" t="s">
        <v>2846</v>
      </c>
      <c r="U476" s="155" t="s">
        <v>1708</v>
      </c>
      <c r="V476" s="154" t="s">
        <v>194</v>
      </c>
      <c r="W476" s="154" t="s">
        <v>102</v>
      </c>
      <c r="X476" s="154" t="s">
        <v>1636</v>
      </c>
      <c r="Y476" s="154">
        <v>47253</v>
      </c>
      <c r="Z476" s="156">
        <f>IFERROR(INDEX(Base!G:G,MATCH('Debêntures IPCA-Spread'!Y476,Base!F:F,0)),"")</f>
        <v>6.41</v>
      </c>
      <c r="AA476" s="115"/>
      <c r="AB476" s="157">
        <v>45552</v>
      </c>
      <c r="AC476" s="158">
        <v>6.6048</v>
      </c>
      <c r="AD476" s="159">
        <f t="shared" si="19"/>
        <v>0.19479999999999986</v>
      </c>
      <c r="AE476" s="160">
        <v>0.23</v>
      </c>
      <c r="AF476" s="161">
        <v>6.7995999999999999</v>
      </c>
      <c r="AG476" s="161">
        <v>6.5197000000000003</v>
      </c>
      <c r="AH476" s="162">
        <v>991.48680400000001</v>
      </c>
      <c r="AI476" s="162">
        <v>994.675206</v>
      </c>
      <c r="AJ476" s="163">
        <f t="shared" si="20"/>
        <v>0.99679452953007452</v>
      </c>
      <c r="AK476" s="164">
        <v>45544</v>
      </c>
      <c r="AL476" s="165">
        <v>100.91</v>
      </c>
      <c r="AM476" s="166">
        <v>954</v>
      </c>
      <c r="AN476" s="115"/>
      <c r="AO476" s="167">
        <v>-7.4147782470000001E-5</v>
      </c>
      <c r="AP476" s="168">
        <f>IF(AO476="","",AO476-AO$6)</f>
        <v>-5.5429266740000002E-4</v>
      </c>
      <c r="AQ476" s="168">
        <v>5.3904133764999997E-3</v>
      </c>
      <c r="AR476" s="168">
        <f>IF(AQ476="","",AQ476-AQ$6)</f>
        <v>5.6079201294599998E-3</v>
      </c>
      <c r="AS476" s="168">
        <v>7.2567844633999998E-2</v>
      </c>
      <c r="AT476" s="168">
        <f>IF(AS476="","",AS476-AS$6)</f>
        <v>5.7842009579000001E-2</v>
      </c>
      <c r="AU476" s="168">
        <v>6.6862408311999996E-4</v>
      </c>
      <c r="AV476" s="168">
        <f>IF(AU476="","",AU476-AU$6)</f>
        <v>1.373720667912E-2</v>
      </c>
      <c r="AW476" s="168">
        <v>3.7226411167999997E-2</v>
      </c>
      <c r="AX476" s="168">
        <f>IF(AW476="","",AW476-AW$6)</f>
        <v>1.3231343379999996E-2</v>
      </c>
      <c r="AY476" s="168">
        <v>3.3050276819000003E-2</v>
      </c>
      <c r="AZ476" s="168">
        <f>IF(AY476="","",AY476-AY$6)</f>
        <v>1.8808022029000004E-2</v>
      </c>
      <c r="BA476" s="168">
        <v>0.10959802896</v>
      </c>
      <c r="BB476" s="168">
        <f>IF(BA476="","",BA476-BA$6)</f>
        <v>5.6111064401999998E-2</v>
      </c>
      <c r="BC476" s="168">
        <v>0.26516648723000003</v>
      </c>
      <c r="BD476" s="168">
        <f>IF(BC476="","",BC476-BC$6)</f>
        <v>7.0857920740000024E-2</v>
      </c>
      <c r="BE476" s="168"/>
      <c r="BF476" s="168" t="str">
        <f>IF(BE476="","",BE476-BE$6)</f>
        <v/>
      </c>
      <c r="BG476" s="168"/>
      <c r="BH476" s="168" t="str">
        <f>IF(BG476="","",BG476-BG$6)</f>
        <v/>
      </c>
      <c r="BI476" s="168"/>
      <c r="BJ476" s="168" t="str">
        <f>IF(BI476="","",BI476-BI$6)</f>
        <v/>
      </c>
      <c r="BK476" s="169">
        <v>4.2516328728000001</v>
      </c>
      <c r="BL476" s="115"/>
      <c r="BM476" s="170">
        <v>7.9815665958000003E-3</v>
      </c>
      <c r="BN476" s="163">
        <v>-8.3729708021999995E-3</v>
      </c>
      <c r="BO476" s="163">
        <v>2.5929228725999998E-2</v>
      </c>
      <c r="BP476" s="163">
        <v>-1.1677774163999999E-2</v>
      </c>
      <c r="BQ476" s="171">
        <v>9</v>
      </c>
      <c r="BR476" s="171">
        <v>3</v>
      </c>
      <c r="BS476" s="171">
        <v>8</v>
      </c>
      <c r="BT476" s="171">
        <v>4</v>
      </c>
      <c r="BU476" s="172">
        <v>-2.4873267769E-2</v>
      </c>
      <c r="BV476" s="172"/>
      <c r="BW476" s="163">
        <v>4.3933013887999996E-3</v>
      </c>
      <c r="BX476" s="163">
        <v>4.2120075742000003E-3</v>
      </c>
      <c r="BY476" s="161">
        <v>-0.68419527354999998</v>
      </c>
      <c r="BZ476" s="163">
        <v>-1.6981261537000001E-2</v>
      </c>
      <c r="CA476" s="163">
        <v>-1.6981261537000001E-2</v>
      </c>
      <c r="CB476" s="154">
        <v>45187</v>
      </c>
      <c r="CC476" s="154">
        <v>45202</v>
      </c>
      <c r="CD476" s="173">
        <v>41</v>
      </c>
      <c r="CE476" s="174">
        <v>45247</v>
      </c>
      <c r="CF476" s="115"/>
    </row>
    <row r="477" spans="2:84" ht="15.6" x14ac:dyDescent="0.3">
      <c r="B477" s="98" t="s">
        <v>1520</v>
      </c>
      <c r="C477" s="175" t="s">
        <v>2166</v>
      </c>
      <c r="D477" s="176" t="s">
        <v>1944</v>
      </c>
      <c r="E477" s="176" t="s">
        <v>226</v>
      </c>
      <c r="F477" s="177">
        <v>27352303000120</v>
      </c>
      <c r="G477" s="177" t="s">
        <v>1878</v>
      </c>
      <c r="H477" s="177" t="s">
        <v>388</v>
      </c>
      <c r="I477" s="178">
        <v>2</v>
      </c>
      <c r="J477" s="179" t="s">
        <v>107</v>
      </c>
      <c r="K477" s="179" t="s">
        <v>126</v>
      </c>
      <c r="L477" s="179" t="s">
        <v>1746</v>
      </c>
      <c r="M477" s="179" t="s">
        <v>114</v>
      </c>
      <c r="N477" s="179" t="s">
        <v>109</v>
      </c>
      <c r="O477" s="180">
        <v>1055000</v>
      </c>
      <c r="P477" s="181">
        <v>1055000000</v>
      </c>
      <c r="Q477" s="181">
        <v>1000</v>
      </c>
      <c r="R477" s="182">
        <v>44484</v>
      </c>
      <c r="S477" s="182">
        <v>49963</v>
      </c>
      <c r="T477" s="183" t="s">
        <v>2024</v>
      </c>
      <c r="U477" s="183" t="s">
        <v>1734</v>
      </c>
      <c r="V477" s="182" t="s">
        <v>105</v>
      </c>
      <c r="W477" s="182" t="s">
        <v>102</v>
      </c>
      <c r="X477" s="182" t="s">
        <v>1637</v>
      </c>
      <c r="Y477" s="182">
        <v>49444</v>
      </c>
      <c r="Z477" s="184">
        <f>IFERROR(INDEX(Base!G:G,MATCH('Debêntures IPCA-Spread'!Y477,Base!F:F,0)),"")</f>
        <v>6.3137999999999996</v>
      </c>
      <c r="AA477" s="115"/>
      <c r="AB477" s="185">
        <v>45552</v>
      </c>
      <c r="AC477" s="186">
        <v>6.5949</v>
      </c>
      <c r="AD477" s="187">
        <f t="shared" si="19"/>
        <v>0.28110000000000035</v>
      </c>
      <c r="AE477" s="188">
        <v>7.0000000000000007E-2</v>
      </c>
      <c r="AF477" s="189">
        <v>6.7507999999999999</v>
      </c>
      <c r="AG477" s="189">
        <v>6.4523999999999999</v>
      </c>
      <c r="AH477" s="190">
        <v>1133.6347000000001</v>
      </c>
      <c r="AI477" s="190">
        <v>1166.676696</v>
      </c>
      <c r="AJ477" s="191">
        <f t="shared" si="20"/>
        <v>0.97167853261037462</v>
      </c>
      <c r="AK477" s="192">
        <v>45517</v>
      </c>
      <c r="AL477" s="193">
        <v>94.48</v>
      </c>
      <c r="AM477" s="194">
        <v>1947</v>
      </c>
      <c r="AN477" s="115"/>
      <c r="AO477" s="195">
        <v>-5.0340781763000004E-4</v>
      </c>
      <c r="AP477" s="196">
        <f>IF(AO477="","",AO477-AO$6)</f>
        <v>-9.8355270256000014E-4</v>
      </c>
      <c r="AQ477" s="196">
        <v>-5.1396356903000004E-3</v>
      </c>
      <c r="AR477" s="196">
        <f>IF(AQ477="","",AQ477-AQ$6)</f>
        <v>-4.9221289373400003E-3</v>
      </c>
      <c r="AS477" s="196">
        <v>5.6950031266999997E-2</v>
      </c>
      <c r="AT477" s="196">
        <f>IF(AS477="","",AS477-AS$6)</f>
        <v>4.2224196211999993E-2</v>
      </c>
      <c r="AU477" s="196">
        <v>-2.4342884493000001E-2</v>
      </c>
      <c r="AV477" s="196">
        <f>IF(AU477="","",AU477-AU$6)</f>
        <v>-1.1274301897000001E-2</v>
      </c>
      <c r="AW477" s="196">
        <v>3.7177388521999997E-2</v>
      </c>
      <c r="AX477" s="196">
        <f>IF(AW477="","",AW477-AW$6)</f>
        <v>1.3182320733999997E-2</v>
      </c>
      <c r="AY477" s="196">
        <v>9.5274669492999998E-3</v>
      </c>
      <c r="AZ477" s="196">
        <f>IF(AY477="","",AY477-AY$6)</f>
        <v>-4.7147878407000007E-3</v>
      </c>
      <c r="BA477" s="196">
        <v>9.6912597109999998E-2</v>
      </c>
      <c r="BB477" s="196">
        <f>IF(BA477="","",BA477-BA$6)</f>
        <v>4.3425632552E-2</v>
      </c>
      <c r="BC477" s="196">
        <v>0.27254669269999998</v>
      </c>
      <c r="BD477" s="196">
        <f>IF(BC477="","",BC477-BC$6)</f>
        <v>7.8238126209999981E-2</v>
      </c>
      <c r="BE477" s="196"/>
      <c r="BF477" s="196" t="str">
        <f>IF(BE477="","",BE477-BE$6)</f>
        <v/>
      </c>
      <c r="BG477" s="196"/>
      <c r="BH477" s="196" t="str">
        <f>IF(BG477="","",BG477-BG$6)</f>
        <v/>
      </c>
      <c r="BI477" s="196"/>
      <c r="BJ477" s="196" t="str">
        <f>IF(BI477="","",BI477-BI$6)</f>
        <v/>
      </c>
      <c r="BK477" s="197">
        <v>6.9585044544999999</v>
      </c>
      <c r="BL477" s="115"/>
      <c r="BM477" s="198">
        <v>1.2889372374999999E-2</v>
      </c>
      <c r="BN477" s="191">
        <v>-1.5483002696E-2</v>
      </c>
      <c r="BO477" s="191">
        <v>3.5128914364000001E-2</v>
      </c>
      <c r="BP477" s="191">
        <v>-2.2978198145E-2</v>
      </c>
      <c r="BQ477" s="199">
        <v>7</v>
      </c>
      <c r="BR477" s="199">
        <v>5</v>
      </c>
      <c r="BS477" s="199">
        <v>6</v>
      </c>
      <c r="BT477" s="199">
        <v>6</v>
      </c>
      <c r="BU477" s="200">
        <v>-0.15783953398</v>
      </c>
      <c r="BV477" s="200"/>
      <c r="BW477" s="191">
        <v>7.1891892415E-3</v>
      </c>
      <c r="BX477" s="191">
        <v>5.6652655040999996E-3</v>
      </c>
      <c r="BY477" s="189">
        <v>-2.0923921882999998</v>
      </c>
      <c r="BZ477" s="191">
        <v>-4.4871229179000001E-2</v>
      </c>
      <c r="CA477" s="191">
        <v>-4.4871229179000001E-2</v>
      </c>
      <c r="CB477" s="182">
        <v>45364</v>
      </c>
      <c r="CC477" s="182">
        <v>45455</v>
      </c>
      <c r="CD477" s="201">
        <v>98</v>
      </c>
      <c r="CE477" s="202">
        <v>45505</v>
      </c>
      <c r="CF477" s="115"/>
    </row>
    <row r="478" spans="2:84" ht="15.6" x14ac:dyDescent="0.3">
      <c r="B478" s="110" t="s">
        <v>1521</v>
      </c>
      <c r="C478" s="147" t="s">
        <v>2167</v>
      </c>
      <c r="D478" s="148" t="s">
        <v>1945</v>
      </c>
      <c r="E478" s="148" t="s">
        <v>1965</v>
      </c>
      <c r="F478" s="149">
        <v>2255187000108</v>
      </c>
      <c r="G478" s="149" t="s">
        <v>2462</v>
      </c>
      <c r="H478" s="149" t="s">
        <v>388</v>
      </c>
      <c r="I478" s="150">
        <v>1</v>
      </c>
      <c r="J478" s="151" t="s">
        <v>107</v>
      </c>
      <c r="K478" s="151" t="s">
        <v>128</v>
      </c>
      <c r="L478" s="151" t="s">
        <v>118</v>
      </c>
      <c r="M478" s="151" t="s">
        <v>128</v>
      </c>
      <c r="N478" s="151" t="s">
        <v>109</v>
      </c>
      <c r="O478" s="152">
        <v>100000</v>
      </c>
      <c r="P478" s="153">
        <v>100000000</v>
      </c>
      <c r="Q478" s="153">
        <v>1000</v>
      </c>
      <c r="R478" s="154">
        <v>44270</v>
      </c>
      <c r="S478" s="154">
        <v>46827</v>
      </c>
      <c r="T478" s="155" t="s">
        <v>2029</v>
      </c>
      <c r="U478" s="155" t="s">
        <v>1735</v>
      </c>
      <c r="V478" s="154" t="s">
        <v>105</v>
      </c>
      <c r="W478" s="154" t="s">
        <v>102</v>
      </c>
      <c r="X478" s="154" t="s">
        <v>1638</v>
      </c>
      <c r="Y478" s="154">
        <v>46249</v>
      </c>
      <c r="Z478" s="156">
        <f>IFERROR(INDEX(Base!G:G,MATCH('Debêntures IPCA-Spread'!Y478,Base!F:F,0)),"")</f>
        <v>6.5365000000000002</v>
      </c>
      <c r="AA478" s="115"/>
      <c r="AB478" s="157">
        <v>45552</v>
      </c>
      <c r="AC478" s="158">
        <v>6.5952999999999999</v>
      </c>
      <c r="AD478" s="159">
        <f t="shared" si="19"/>
        <v>5.8799999999999741E-2</v>
      </c>
      <c r="AE478" s="160">
        <v>0.46</v>
      </c>
      <c r="AF478" s="161">
        <v>6.9962</v>
      </c>
      <c r="AG478" s="161">
        <v>6.4791999999999996</v>
      </c>
      <c r="AH478" s="162">
        <v>804.30074500000001</v>
      </c>
      <c r="AI478" s="162">
        <v>804.30074500000001</v>
      </c>
      <c r="AJ478" s="163">
        <f t="shared" si="20"/>
        <v>1</v>
      </c>
      <c r="AK478" s="164">
        <v>45552</v>
      </c>
      <c r="AL478" s="165">
        <v>97.82</v>
      </c>
      <c r="AM478" s="166">
        <v>469</v>
      </c>
      <c r="AN478" s="115"/>
      <c r="AO478" s="167">
        <v>1.9055459052000001E-4</v>
      </c>
      <c r="AP478" s="168">
        <f>IF(AO478="","",AO478-AO$6)</f>
        <v>-2.8959029441000001E-4</v>
      </c>
      <c r="AQ478" s="168">
        <v>8.3407251203999992E-3</v>
      </c>
      <c r="AR478" s="168">
        <f>IF(AQ478="","",AQ478-AQ$6)</f>
        <v>8.5582318733599984E-3</v>
      </c>
      <c r="AS478" s="168">
        <v>7.5410469576999997E-2</v>
      </c>
      <c r="AT478" s="168">
        <f>IF(AS478="","",AS478-AS$6)</f>
        <v>6.0684634522E-2</v>
      </c>
      <c r="AU478" s="168">
        <v>8.1167613752999995E-3</v>
      </c>
      <c r="AV478" s="168">
        <f>IF(AU478="","",AU478-AU$6)</f>
        <v>2.1185343971300001E-2</v>
      </c>
      <c r="AW478" s="168">
        <v>3.4321026563999997E-2</v>
      </c>
      <c r="AX478" s="168">
        <f>IF(AW478="","",AW478-AW$6)</f>
        <v>1.0325958775999997E-2</v>
      </c>
      <c r="AY478" s="168">
        <v>4.3426911248000001E-2</v>
      </c>
      <c r="AZ478" s="168">
        <f>IF(AY478="","",AY478-AY$6)</f>
        <v>2.9184656458000002E-2</v>
      </c>
      <c r="BA478" s="168">
        <v>0.10669083605</v>
      </c>
      <c r="BB478" s="168">
        <f>IF(BA478="","",BA478-BA$6)</f>
        <v>5.3203871492000003E-2</v>
      </c>
      <c r="BC478" s="168">
        <v>0.24983327684000001</v>
      </c>
      <c r="BD478" s="168">
        <f>IF(BC478="","",BC478-BC$6)</f>
        <v>5.5524710350000006E-2</v>
      </c>
      <c r="BE478" s="168"/>
      <c r="BF478" s="168" t="str">
        <f>IF(BE478="","",BE478-BE$6)</f>
        <v/>
      </c>
      <c r="BG478" s="168"/>
      <c r="BH478" s="168" t="str">
        <f>IF(BG478="","",BG478-BG$6)</f>
        <v/>
      </c>
      <c r="BI478" s="168"/>
      <c r="BJ478" s="168" t="str">
        <f>IF(BI478="","",BI478-BI$6)</f>
        <v/>
      </c>
      <c r="BK478" s="169">
        <v>3.2262360771999998</v>
      </c>
      <c r="BL478" s="115"/>
      <c r="BM478" s="170">
        <v>5.8413709357000004E-3</v>
      </c>
      <c r="BN478" s="163">
        <v>-7.8716787802000001E-3</v>
      </c>
      <c r="BO478" s="163">
        <v>1.9763462887999999E-2</v>
      </c>
      <c r="BP478" s="163">
        <v>6.8358406861000005E-4</v>
      </c>
      <c r="BQ478" s="171">
        <v>12</v>
      </c>
      <c r="BR478" s="171">
        <v>0</v>
      </c>
      <c r="BS478" s="171">
        <v>8</v>
      </c>
      <c r="BT478" s="171">
        <v>4</v>
      </c>
      <c r="BU478" s="172">
        <v>-0.12574458108</v>
      </c>
      <c r="BV478" s="172"/>
      <c r="BW478" s="163">
        <v>3.3333366477000001E-3</v>
      </c>
      <c r="BX478" s="163">
        <v>2.1786392508000001E-3</v>
      </c>
      <c r="BY478" s="161">
        <v>-0.81382298224000005</v>
      </c>
      <c r="BZ478" s="163">
        <v>-1.1602406690000001E-2</v>
      </c>
      <c r="CA478" s="163">
        <v>-1.1602406690000001E-2</v>
      </c>
      <c r="CB478" s="154">
        <v>45189</v>
      </c>
      <c r="CC478" s="154">
        <v>45222</v>
      </c>
      <c r="CD478" s="173">
        <v>35</v>
      </c>
      <c r="CE478" s="174">
        <v>45240</v>
      </c>
      <c r="CF478" s="115"/>
    </row>
    <row r="479" spans="2:84" ht="15.6" x14ac:dyDescent="0.3">
      <c r="B479" s="98" t="s">
        <v>1522</v>
      </c>
      <c r="C479" s="175" t="s">
        <v>2168</v>
      </c>
      <c r="D479" s="176" t="s">
        <v>1946</v>
      </c>
      <c r="E479" s="176" t="s">
        <v>1966</v>
      </c>
      <c r="F479" s="177">
        <v>50376938000189</v>
      </c>
      <c r="G479" s="177" t="s">
        <v>1879</v>
      </c>
      <c r="H479" s="177" t="s">
        <v>388</v>
      </c>
      <c r="I479" s="178">
        <v>1</v>
      </c>
      <c r="J479" s="179" t="s">
        <v>107</v>
      </c>
      <c r="K479" s="179" t="s">
        <v>128</v>
      </c>
      <c r="L479" s="179" t="s">
        <v>122</v>
      </c>
      <c r="M479" s="179" t="s">
        <v>128</v>
      </c>
      <c r="N479" s="179" t="s">
        <v>109</v>
      </c>
      <c r="O479" s="180">
        <v>200000</v>
      </c>
      <c r="P479" s="181">
        <v>200000000</v>
      </c>
      <c r="Q479" s="181">
        <v>1000</v>
      </c>
      <c r="R479" s="182">
        <v>44607</v>
      </c>
      <c r="S479" s="182">
        <v>46798</v>
      </c>
      <c r="T479" s="183" t="s">
        <v>2030</v>
      </c>
      <c r="U479" s="183" t="s">
        <v>1205</v>
      </c>
      <c r="V479" s="182" t="s">
        <v>194</v>
      </c>
      <c r="W479" s="182" t="s">
        <v>102</v>
      </c>
      <c r="X479" s="182" t="s">
        <v>1639</v>
      </c>
      <c r="Y479" s="182">
        <v>46249</v>
      </c>
      <c r="Z479" s="184">
        <f>IFERROR(INDEX(Base!G:G,MATCH('Debêntures IPCA-Spread'!Y479,Base!F:F,0)),"")</f>
        <v>6.5365000000000002</v>
      </c>
      <c r="AA479" s="115"/>
      <c r="AB479" s="185">
        <v>45552</v>
      </c>
      <c r="AC479" s="186">
        <v>6.7337999999999996</v>
      </c>
      <c r="AD479" s="187">
        <f t="shared" si="19"/>
        <v>0.19729999999999936</v>
      </c>
      <c r="AE479" s="188">
        <v>0.4</v>
      </c>
      <c r="AF479" s="189">
        <v>6.95</v>
      </c>
      <c r="AG479" s="189">
        <v>6.57</v>
      </c>
      <c r="AH479" s="190">
        <v>1140.0005610000001</v>
      </c>
      <c r="AI479" s="190">
        <v>1141.663018</v>
      </c>
      <c r="AJ479" s="191">
        <f t="shared" si="20"/>
        <v>0.99854382863087543</v>
      </c>
      <c r="AK479" s="192">
        <v>45548</v>
      </c>
      <c r="AL479" s="193">
        <v>100.28</v>
      </c>
      <c r="AM479" s="194">
        <v>480</v>
      </c>
      <c r="AN479" s="115"/>
      <c r="AO479" s="195">
        <v>4.2795829903999999E-4</v>
      </c>
      <c r="AP479" s="196">
        <f>IF(AO479="","",AO479-AO$6)</f>
        <v>-5.218658589E-5</v>
      </c>
      <c r="AQ479" s="196">
        <v>1.1669480134E-2</v>
      </c>
      <c r="AR479" s="196">
        <f>IF(AQ479="","",AQ479-AQ$6)</f>
        <v>1.1886986886959999E-2</v>
      </c>
      <c r="AS479" s="196">
        <v>9.1867189518000006E-2</v>
      </c>
      <c r="AT479" s="196">
        <f>IF(AS479="","",AS479-AS$6)</f>
        <v>7.7141354463000009E-2</v>
      </c>
      <c r="AU479" s="196">
        <v>7.1383439353999998E-3</v>
      </c>
      <c r="AV479" s="196">
        <f>IF(AU479="","",AU479-AU$6)</f>
        <v>2.02069265314E-2</v>
      </c>
      <c r="AW479" s="196">
        <v>3.4758382211E-2</v>
      </c>
      <c r="AX479" s="196">
        <f>IF(AW479="","",AW479-AW$6)</f>
        <v>1.0763314422999999E-2</v>
      </c>
      <c r="AY479" s="196">
        <v>4.6607821613999997E-2</v>
      </c>
      <c r="AZ479" s="196">
        <f>IF(AY479="","",AY479-AY$6)</f>
        <v>3.2365566823999999E-2</v>
      </c>
      <c r="BA479" s="196">
        <v>0.13206442539999999</v>
      </c>
      <c r="BB479" s="196">
        <f>IF(BA479="","",BA479-BA$6)</f>
        <v>7.8577460841999985E-2</v>
      </c>
      <c r="BC479" s="196">
        <v>0.25231775104999998</v>
      </c>
      <c r="BD479" s="196">
        <f>IF(BC479="","",BC479-BC$6)</f>
        <v>5.8009184559999982E-2</v>
      </c>
      <c r="BE479" s="196"/>
      <c r="BF479" s="196" t="str">
        <f>IF(BE479="","",BE479-BE$6)</f>
        <v/>
      </c>
      <c r="BG479" s="196"/>
      <c r="BH479" s="196" t="str">
        <f>IF(BG479="","",BG479-BG$6)</f>
        <v/>
      </c>
      <c r="BI479" s="196"/>
      <c r="BJ479" s="196" t="str">
        <f>IF(BI479="","",BI479-BI$6)</f>
        <v/>
      </c>
      <c r="BK479" s="197">
        <v>3.1413685557000002</v>
      </c>
      <c r="BL479" s="115"/>
      <c r="BM479" s="198">
        <v>6.4952100382999998E-3</v>
      </c>
      <c r="BN479" s="191">
        <v>-5.370890146E-3</v>
      </c>
      <c r="BO479" s="191">
        <v>2.4559836753000001E-2</v>
      </c>
      <c r="BP479" s="191">
        <v>-5.2721478013999998E-3</v>
      </c>
      <c r="BQ479" s="199">
        <v>10</v>
      </c>
      <c r="BR479" s="199">
        <v>2</v>
      </c>
      <c r="BS479" s="199">
        <v>7</v>
      </c>
      <c r="BT479" s="199">
        <v>5</v>
      </c>
      <c r="BU479" s="200">
        <v>0.59700701258</v>
      </c>
      <c r="BV479" s="200"/>
      <c r="BW479" s="191">
        <v>3.2463415292E-3</v>
      </c>
      <c r="BX479" s="191">
        <v>3.0344976534999999E-3</v>
      </c>
      <c r="BY479" s="189">
        <v>1.6798041422000001</v>
      </c>
      <c r="BZ479" s="191">
        <v>-1.0924023975000001E-2</v>
      </c>
      <c r="CA479" s="191">
        <v>-1.0924023975000001E-2</v>
      </c>
      <c r="CB479" s="182">
        <v>45209</v>
      </c>
      <c r="CC479" s="182">
        <v>45218</v>
      </c>
      <c r="CD479" s="201">
        <v>21</v>
      </c>
      <c r="CE479" s="202">
        <v>45240</v>
      </c>
      <c r="CF479" s="115"/>
    </row>
    <row r="480" spans="2:84" ht="15.6" x14ac:dyDescent="0.3">
      <c r="B480" s="110" t="s">
        <v>599</v>
      </c>
      <c r="C480" s="147" t="s">
        <v>1014</v>
      </c>
      <c r="D480" s="148" t="s">
        <v>990</v>
      </c>
      <c r="E480" s="148" t="s">
        <v>226</v>
      </c>
      <c r="F480" s="149">
        <v>4739720000124</v>
      </c>
      <c r="G480" s="149" t="s">
        <v>1042</v>
      </c>
      <c r="H480" s="149" t="s">
        <v>388</v>
      </c>
      <c r="I480" s="150">
        <v>1</v>
      </c>
      <c r="J480" s="151">
        <v>1</v>
      </c>
      <c r="K480" s="151" t="s">
        <v>130</v>
      </c>
      <c r="L480" s="151" t="s">
        <v>118</v>
      </c>
      <c r="M480" s="151" t="s">
        <v>106</v>
      </c>
      <c r="N480" s="151" t="s">
        <v>109</v>
      </c>
      <c r="O480" s="152">
        <v>102000</v>
      </c>
      <c r="P480" s="153">
        <v>102000000</v>
      </c>
      <c r="Q480" s="153">
        <v>1000</v>
      </c>
      <c r="R480" s="154">
        <v>44084</v>
      </c>
      <c r="S480" s="154">
        <v>46858</v>
      </c>
      <c r="T480" s="155" t="s">
        <v>1059</v>
      </c>
      <c r="U480" s="155" t="s">
        <v>1059</v>
      </c>
      <c r="V480" s="154" t="s">
        <v>194</v>
      </c>
      <c r="W480" s="154" t="s">
        <v>102</v>
      </c>
      <c r="X480" s="154" t="s">
        <v>1359</v>
      </c>
      <c r="Y480" s="154">
        <v>46249</v>
      </c>
      <c r="Z480" s="156">
        <f>IFERROR(INDEX(Base!G:G,MATCH('Debêntures IPCA-Spread'!Y480,Base!F:F,0)),"")</f>
        <v>6.5365000000000002</v>
      </c>
      <c r="AA480" s="115"/>
      <c r="AB480" s="157">
        <v>45552</v>
      </c>
      <c r="AC480" s="158">
        <v>6.5909000000000004</v>
      </c>
      <c r="AD480" s="159">
        <f t="shared" si="19"/>
        <v>5.4400000000000226E-2</v>
      </c>
      <c r="AE480" s="160">
        <v>0.7</v>
      </c>
      <c r="AF480" s="161">
        <v>7.0054999999999996</v>
      </c>
      <c r="AG480" s="161">
        <v>6.5659000000000001</v>
      </c>
      <c r="AH480" s="162">
        <v>1009.70392</v>
      </c>
      <c r="AI480" s="162">
        <v>1011.4046939999999</v>
      </c>
      <c r="AJ480" s="163">
        <f t="shared" si="20"/>
        <v>0.99831840408682149</v>
      </c>
      <c r="AK480" s="164">
        <v>45551</v>
      </c>
      <c r="AL480" s="165">
        <v>99.38</v>
      </c>
      <c r="AM480" s="166">
        <v>485</v>
      </c>
      <c r="AN480" s="115"/>
      <c r="AO480" s="167">
        <v>-1.6815959134000001E-3</v>
      </c>
      <c r="AP480" s="168">
        <f>IF(AO480="","",AO480-AO$6)</f>
        <v>-2.1617407983299999E-3</v>
      </c>
      <c r="AQ480" s="168">
        <v>7.1585774785000002E-3</v>
      </c>
      <c r="AR480" s="168">
        <f>IF(AQ480="","",AQ480-AQ$6)</f>
        <v>7.3760842314600002E-3</v>
      </c>
      <c r="AS480" s="168">
        <v>8.5163679711000001E-2</v>
      </c>
      <c r="AT480" s="168">
        <f>IF(AS480="","",AS480-AS$6)</f>
        <v>7.0437844656000004E-2</v>
      </c>
      <c r="AU480" s="168">
        <v>7.9879374643E-3</v>
      </c>
      <c r="AV480" s="168">
        <f>IF(AU480="","",AU480-AU$6)</f>
        <v>2.10565200603E-2</v>
      </c>
      <c r="AW480" s="168">
        <v>3.3162500674999998E-2</v>
      </c>
      <c r="AX480" s="168">
        <f>IF(AW480="","",AW480-AW$6)</f>
        <v>9.1674328869999974E-3</v>
      </c>
      <c r="AY480" s="168">
        <v>4.7149527280999998E-2</v>
      </c>
      <c r="AZ480" s="168">
        <f>IF(AY480="","",AY480-AY$6)</f>
        <v>3.2907272490999999E-2</v>
      </c>
      <c r="BA480" s="168">
        <v>0.11372000281</v>
      </c>
      <c r="BB480" s="168">
        <f>IF(BA480="","",BA480-BA$6)</f>
        <v>6.0233038252E-2</v>
      </c>
      <c r="BC480" s="168">
        <v>0.23998895948000001</v>
      </c>
      <c r="BD480" s="168">
        <f>IF(BC480="","",BC480-BC$6)</f>
        <v>4.5680392990000013E-2</v>
      </c>
      <c r="BE480" s="168">
        <v>0.39111898938</v>
      </c>
      <c r="BF480" s="168">
        <f>IF(BE480="","",BE480-BE$6)</f>
        <v>0.12939964984000002</v>
      </c>
      <c r="BG480" s="168"/>
      <c r="BH480" s="168" t="str">
        <f>IF(BG480="","",BG480-BG$6)</f>
        <v/>
      </c>
      <c r="BI480" s="168"/>
      <c r="BJ480" s="168" t="str">
        <f>IF(BI480="","",BI480-BI$6)</f>
        <v/>
      </c>
      <c r="BK480" s="169">
        <v>3.1315559628999998</v>
      </c>
      <c r="BL480" s="115"/>
      <c r="BM480" s="170">
        <v>6.2349386698999998E-3</v>
      </c>
      <c r="BN480" s="163">
        <v>-5.5073731891999997E-3</v>
      </c>
      <c r="BO480" s="163">
        <v>2.1249602499999999E-2</v>
      </c>
      <c r="BP480" s="163">
        <v>-2.9772747876000002E-3</v>
      </c>
      <c r="BQ480" s="171">
        <v>11</v>
      </c>
      <c r="BR480" s="171">
        <v>1</v>
      </c>
      <c r="BS480" s="171">
        <v>7</v>
      </c>
      <c r="BT480" s="171">
        <v>5</v>
      </c>
      <c r="BU480" s="172">
        <v>7.1486753646999995E-2</v>
      </c>
      <c r="BV480" s="172">
        <v>-9.7210775021000003E-3</v>
      </c>
      <c r="BW480" s="163">
        <v>3.2360580994999998E-3</v>
      </c>
      <c r="BX480" s="163">
        <v>2.3905424329999998E-3</v>
      </c>
      <c r="BY480" s="161">
        <v>-7.5964373106000002E-2</v>
      </c>
      <c r="BZ480" s="163">
        <v>-1.2327909958E-2</v>
      </c>
      <c r="CA480" s="163">
        <v>-1.2327909958E-2</v>
      </c>
      <c r="CB480" s="154">
        <v>45189</v>
      </c>
      <c r="CC480" s="154">
        <v>45218</v>
      </c>
      <c r="CD480" s="173">
        <v>37</v>
      </c>
      <c r="CE480" s="174">
        <v>45244</v>
      </c>
      <c r="CF480" s="115"/>
    </row>
    <row r="481" spans="2:84" ht="15.6" x14ac:dyDescent="0.3">
      <c r="B481" s="98" t="s">
        <v>600</v>
      </c>
      <c r="C481" s="175" t="s">
        <v>1015</v>
      </c>
      <c r="D481" s="176" t="s">
        <v>990</v>
      </c>
      <c r="E481" s="176" t="s">
        <v>226</v>
      </c>
      <c r="F481" s="177">
        <v>4739720000124</v>
      </c>
      <c r="G481" s="177" t="s">
        <v>1043</v>
      </c>
      <c r="H481" s="177" t="s">
        <v>388</v>
      </c>
      <c r="I481" s="178">
        <v>1</v>
      </c>
      <c r="J481" s="179">
        <v>2</v>
      </c>
      <c r="K481" s="179" t="s">
        <v>130</v>
      </c>
      <c r="L481" s="179" t="s">
        <v>118</v>
      </c>
      <c r="M481" s="179" t="s">
        <v>106</v>
      </c>
      <c r="N481" s="179" t="s">
        <v>109</v>
      </c>
      <c r="O481" s="180">
        <v>238000</v>
      </c>
      <c r="P481" s="181">
        <v>238000000</v>
      </c>
      <c r="Q481" s="181">
        <v>1000</v>
      </c>
      <c r="R481" s="182">
        <v>44084</v>
      </c>
      <c r="S481" s="182">
        <v>49963</v>
      </c>
      <c r="T481" s="183" t="s">
        <v>1059</v>
      </c>
      <c r="U481" s="183" t="s">
        <v>1076</v>
      </c>
      <c r="V481" s="182" t="s">
        <v>194</v>
      </c>
      <c r="W481" s="182" t="s">
        <v>102</v>
      </c>
      <c r="X481" s="182" t="s">
        <v>1381</v>
      </c>
      <c r="Y481" s="182">
        <v>48441</v>
      </c>
      <c r="Z481" s="184">
        <f>IFERROR(INDEX(Base!G:G,MATCH('Debêntures IPCA-Spread'!Y481,Base!F:F,0)),"")</f>
        <v>6.3467000000000002</v>
      </c>
      <c r="AA481" s="115"/>
      <c r="AB481" s="185">
        <v>45552</v>
      </c>
      <c r="AC481" s="186">
        <v>6.6927000000000003</v>
      </c>
      <c r="AD481" s="187">
        <f t="shared" si="19"/>
        <v>0.34600000000000009</v>
      </c>
      <c r="AE481" s="188">
        <v>0.33</v>
      </c>
      <c r="AF481" s="189">
        <v>6.9851999999999999</v>
      </c>
      <c r="AG481" s="189">
        <v>6.5072999999999999</v>
      </c>
      <c r="AH481" s="190">
        <v>1404.3708180000001</v>
      </c>
      <c r="AI481" s="190">
        <v>1409.977034</v>
      </c>
      <c r="AJ481" s="191">
        <f t="shared" si="20"/>
        <v>0.9960238955211238</v>
      </c>
      <c r="AK481" s="192">
        <v>45544</v>
      </c>
      <c r="AL481" s="193">
        <v>104.84</v>
      </c>
      <c r="AM481" s="194">
        <v>1590</v>
      </c>
      <c r="AN481" s="115"/>
      <c r="AO481" s="195">
        <v>9.6723783463000001E-4</v>
      </c>
      <c r="AP481" s="196">
        <f>IF(AO481="","",AO481-AO$6)</f>
        <v>4.8709294970000002E-4</v>
      </c>
      <c r="AQ481" s="196">
        <v>1.1938186026999999E-2</v>
      </c>
      <c r="AR481" s="196">
        <f>IF(AQ481="","",AQ481-AQ$6)</f>
        <v>1.2155692779959999E-2</v>
      </c>
      <c r="AS481" s="196">
        <v>0.11228234583</v>
      </c>
      <c r="AT481" s="196">
        <f>IF(AS481="","",AS481-AS$6)</f>
        <v>9.7556510775000008E-2</v>
      </c>
      <c r="AU481" s="196">
        <v>5.0721140777999999E-3</v>
      </c>
      <c r="AV481" s="196">
        <f>IF(AU481="","",AU481-AU$6)</f>
        <v>1.81406966738E-2</v>
      </c>
      <c r="AW481" s="196">
        <v>5.8150448985999997E-2</v>
      </c>
      <c r="AX481" s="196">
        <f>IF(AW481="","",AW481-AW$6)</f>
        <v>3.4155381197999997E-2</v>
      </c>
      <c r="AY481" s="196">
        <v>4.7292625340999997E-2</v>
      </c>
      <c r="AZ481" s="196">
        <f>IF(AY481="","",AY481-AY$6)</f>
        <v>3.3050370550999998E-2</v>
      </c>
      <c r="BA481" s="196">
        <v>0.13968990709000001</v>
      </c>
      <c r="BB481" s="196">
        <f>IF(BA481="","",BA481-BA$6)</f>
        <v>8.6202942532000004E-2</v>
      </c>
      <c r="BC481" s="196">
        <v>0.27986412182999998</v>
      </c>
      <c r="BD481" s="196">
        <f>IF(BC481="","",BC481-BC$6)</f>
        <v>8.5555555339999978E-2</v>
      </c>
      <c r="BE481" s="196">
        <v>0.41439722589</v>
      </c>
      <c r="BF481" s="196">
        <f>IF(BE481="","",BE481-BE$6)</f>
        <v>0.15267788635000001</v>
      </c>
      <c r="BG481" s="196"/>
      <c r="BH481" s="196" t="str">
        <f>IF(BG481="","",BG481-BG$6)</f>
        <v/>
      </c>
      <c r="BI481" s="196"/>
      <c r="BJ481" s="196" t="str">
        <f>IF(BI481="","",BI481-BI$6)</f>
        <v/>
      </c>
      <c r="BK481" s="197">
        <v>6.1795735436000001</v>
      </c>
      <c r="BL481" s="115"/>
      <c r="BM481" s="198">
        <v>1.8977539562999999E-2</v>
      </c>
      <c r="BN481" s="191">
        <v>-1.0767653518000001E-2</v>
      </c>
      <c r="BO481" s="191">
        <v>3.8189419433999998E-2</v>
      </c>
      <c r="BP481" s="191">
        <v>-1.5223613952E-2</v>
      </c>
      <c r="BQ481" s="199">
        <v>9</v>
      </c>
      <c r="BR481" s="199">
        <v>3</v>
      </c>
      <c r="BS481" s="199">
        <v>8</v>
      </c>
      <c r="BT481" s="199">
        <v>4</v>
      </c>
      <c r="BU481" s="200">
        <v>0.43762852542000003</v>
      </c>
      <c r="BV481" s="200">
        <v>0.10438176624000001</v>
      </c>
      <c r="BW481" s="191">
        <v>6.3908119296E-3</v>
      </c>
      <c r="BX481" s="191">
        <v>5.3562494281000003E-3</v>
      </c>
      <c r="BY481" s="189">
        <v>2.2852480906000001</v>
      </c>
      <c r="BZ481" s="191">
        <v>-2.9163980884000001E-2</v>
      </c>
      <c r="CA481" s="191">
        <v>-2.9163980884000001E-2</v>
      </c>
      <c r="CB481" s="182">
        <v>45189</v>
      </c>
      <c r="CC481" s="182">
        <v>45202</v>
      </c>
      <c r="CD481" s="201">
        <v>47</v>
      </c>
      <c r="CE481" s="202">
        <v>45259</v>
      </c>
      <c r="CF481" s="115"/>
    </row>
    <row r="482" spans="2:84" ht="15.6" x14ac:dyDescent="0.3">
      <c r="B482" s="110" t="s">
        <v>601</v>
      </c>
      <c r="C482" s="147" t="s">
        <v>1016</v>
      </c>
      <c r="D482" s="148" t="s">
        <v>990</v>
      </c>
      <c r="E482" s="148" t="s">
        <v>226</v>
      </c>
      <c r="F482" s="149">
        <v>4739720000124</v>
      </c>
      <c r="G482" s="149" t="s">
        <v>1044</v>
      </c>
      <c r="H482" s="149" t="s">
        <v>388</v>
      </c>
      <c r="I482" s="150">
        <v>2</v>
      </c>
      <c r="J482" s="151">
        <v>1</v>
      </c>
      <c r="K482" s="151" t="s">
        <v>130</v>
      </c>
      <c r="L482" s="151" t="s">
        <v>118</v>
      </c>
      <c r="M482" s="151" t="s">
        <v>106</v>
      </c>
      <c r="N482" s="151" t="s">
        <v>109</v>
      </c>
      <c r="O482" s="152">
        <v>150000</v>
      </c>
      <c r="P482" s="153">
        <v>150000000</v>
      </c>
      <c r="Q482" s="153">
        <v>1000</v>
      </c>
      <c r="R482" s="154">
        <v>44119</v>
      </c>
      <c r="S482" s="154">
        <v>46858</v>
      </c>
      <c r="T482" s="155" t="s">
        <v>1060</v>
      </c>
      <c r="U482" s="155" t="s">
        <v>1060</v>
      </c>
      <c r="V482" s="154" t="s">
        <v>194</v>
      </c>
      <c r="W482" s="154" t="s">
        <v>102</v>
      </c>
      <c r="X482" s="154" t="s">
        <v>1301</v>
      </c>
      <c r="Y482" s="154">
        <v>46249</v>
      </c>
      <c r="Z482" s="156">
        <f>IFERROR(INDEX(Base!G:G,MATCH('Debêntures IPCA-Spread'!Y482,Base!F:F,0)),"")</f>
        <v>6.5365000000000002</v>
      </c>
      <c r="AA482" s="115"/>
      <c r="AB482" s="157">
        <v>45552</v>
      </c>
      <c r="AC482" s="158">
        <v>6.6121999999999996</v>
      </c>
      <c r="AD482" s="159">
        <f t="shared" si="19"/>
        <v>7.5699999999999434E-2</v>
      </c>
      <c r="AE482" s="160">
        <v>0.37</v>
      </c>
      <c r="AF482" s="161">
        <v>6.6531000000000002</v>
      </c>
      <c r="AG482" s="161">
        <v>6.4009999999999998</v>
      </c>
      <c r="AH482" s="162">
        <v>957.13953200000003</v>
      </c>
      <c r="AI482" s="162">
        <v>957.95733900000005</v>
      </c>
      <c r="AJ482" s="163">
        <f t="shared" si="20"/>
        <v>0.99914630123210524</v>
      </c>
      <c r="AK482" s="164">
        <v>45551</v>
      </c>
      <c r="AL482" s="165">
        <v>96.14</v>
      </c>
      <c r="AM482" s="166">
        <v>492</v>
      </c>
      <c r="AN482" s="115"/>
      <c r="AO482" s="167">
        <v>-8.5369876797000005E-4</v>
      </c>
      <c r="AP482" s="168">
        <f>IF(AO482="","",AO482-AO$6)</f>
        <v>-1.3338436529E-3</v>
      </c>
      <c r="AQ482" s="168">
        <v>7.0078549834000003E-3</v>
      </c>
      <c r="AR482" s="168">
        <f>IF(AQ482="","",AQ482-AQ$6)</f>
        <v>7.2253617363600003E-3</v>
      </c>
      <c r="AS482" s="168">
        <v>8.3423772017000006E-2</v>
      </c>
      <c r="AT482" s="168">
        <f>IF(AS482="","",AS482-AS$6)</f>
        <v>6.8697936962000009E-2</v>
      </c>
      <c r="AU482" s="168">
        <v>8.0394614451999996E-3</v>
      </c>
      <c r="AV482" s="168">
        <f>IF(AU482="","",AU482-AU$6)</f>
        <v>2.1108044041200001E-2</v>
      </c>
      <c r="AW482" s="168">
        <v>3.3106742837999997E-2</v>
      </c>
      <c r="AX482" s="168">
        <f>IF(AW482="","",AW482-AW$6)</f>
        <v>9.1116750499999968E-3</v>
      </c>
      <c r="AY482" s="168">
        <v>5.1249711787000003E-2</v>
      </c>
      <c r="AZ482" s="168">
        <f>IF(AY482="","",AY482-AY$6)</f>
        <v>3.7007456997000004E-2</v>
      </c>
      <c r="BA482" s="168">
        <v>0.11208935690000001</v>
      </c>
      <c r="BB482" s="168">
        <f>IF(BA482="","",BA482-BA$6)</f>
        <v>5.8602392342000008E-2</v>
      </c>
      <c r="BC482" s="168">
        <v>0.23885022611000001</v>
      </c>
      <c r="BD482" s="168">
        <f>IF(BC482="","",BC482-BC$6)</f>
        <v>4.4541659620000007E-2</v>
      </c>
      <c r="BE482" s="168">
        <v>0.39115386391000001</v>
      </c>
      <c r="BF482" s="168">
        <f>IF(BE482="","",BE482-BE$6)</f>
        <v>0.12943452437000003</v>
      </c>
      <c r="BG482" s="168"/>
      <c r="BH482" s="168" t="str">
        <f>IF(BG482="","",BG482-BG$6)</f>
        <v/>
      </c>
      <c r="BI482" s="168"/>
      <c r="BJ482" s="168" t="str">
        <f>IF(BI482="","",BI482-BI$6)</f>
        <v/>
      </c>
      <c r="BK482" s="169">
        <v>3.2203172171999999</v>
      </c>
      <c r="BL482" s="115"/>
      <c r="BM482" s="170">
        <v>6.4714375567000004E-3</v>
      </c>
      <c r="BN482" s="163">
        <v>-4.9243760113000003E-3</v>
      </c>
      <c r="BO482" s="163">
        <v>2.1869601236E-2</v>
      </c>
      <c r="BP482" s="163">
        <v>-5.9234890641000001E-3</v>
      </c>
      <c r="BQ482" s="171">
        <v>11</v>
      </c>
      <c r="BR482" s="171">
        <v>1</v>
      </c>
      <c r="BS482" s="171">
        <v>7</v>
      </c>
      <c r="BT482" s="171">
        <v>5</v>
      </c>
      <c r="BU482" s="172">
        <v>2.4833229121E-2</v>
      </c>
      <c r="BV482" s="172">
        <v>-8.9739295376999994E-3</v>
      </c>
      <c r="BW482" s="163">
        <v>3.3279597844999998E-3</v>
      </c>
      <c r="BX482" s="163">
        <v>2.7603008313999999E-3</v>
      </c>
      <c r="BY482" s="161">
        <v>-0.25742644325000003</v>
      </c>
      <c r="BZ482" s="163">
        <v>-1.3679430717E-2</v>
      </c>
      <c r="CA482" s="163">
        <v>-1.3679430717E-2</v>
      </c>
      <c r="CB482" s="154">
        <v>45189</v>
      </c>
      <c r="CC482" s="154">
        <v>45218</v>
      </c>
      <c r="CD482" s="173">
        <v>37</v>
      </c>
      <c r="CE482" s="174">
        <v>45244</v>
      </c>
      <c r="CF482" s="115"/>
    </row>
    <row r="483" spans="2:84" ht="15.6" x14ac:dyDescent="0.3">
      <c r="B483" s="98" t="s">
        <v>602</v>
      </c>
      <c r="C483" s="175" t="s">
        <v>1017</v>
      </c>
      <c r="D483" s="176" t="s">
        <v>990</v>
      </c>
      <c r="E483" s="176" t="s">
        <v>226</v>
      </c>
      <c r="F483" s="177">
        <v>4739720000124</v>
      </c>
      <c r="G483" s="177" t="s">
        <v>1045</v>
      </c>
      <c r="H483" s="177" t="s">
        <v>388</v>
      </c>
      <c r="I483" s="178">
        <v>2</v>
      </c>
      <c r="J483" s="179">
        <v>2</v>
      </c>
      <c r="K483" s="179" t="s">
        <v>130</v>
      </c>
      <c r="L483" s="179" t="s">
        <v>118</v>
      </c>
      <c r="M483" s="179" t="s">
        <v>106</v>
      </c>
      <c r="N483" s="179" t="s">
        <v>109</v>
      </c>
      <c r="O483" s="180">
        <v>432000</v>
      </c>
      <c r="P483" s="181">
        <v>432000000</v>
      </c>
      <c r="Q483" s="181">
        <v>1000</v>
      </c>
      <c r="R483" s="182">
        <v>44119</v>
      </c>
      <c r="S483" s="182">
        <v>49963</v>
      </c>
      <c r="T483" s="183" t="s">
        <v>1061</v>
      </c>
      <c r="U483" s="183" t="s">
        <v>1077</v>
      </c>
      <c r="V483" s="182" t="s">
        <v>194</v>
      </c>
      <c r="W483" s="182" t="s">
        <v>102</v>
      </c>
      <c r="X483" s="182" t="s">
        <v>1382</v>
      </c>
      <c r="Y483" s="182">
        <v>48714</v>
      </c>
      <c r="Z483" s="184">
        <f>IFERROR(INDEX(Base!G:G,MATCH('Debêntures IPCA-Spread'!Y483,Base!F:F,0)),"")</f>
        <v>6.3373999999999997</v>
      </c>
      <c r="AA483" s="115"/>
      <c r="AB483" s="185">
        <v>45552</v>
      </c>
      <c r="AC483" s="186">
        <v>6.7108999999999996</v>
      </c>
      <c r="AD483" s="187">
        <f t="shared" si="19"/>
        <v>0.37349999999999994</v>
      </c>
      <c r="AE483" s="188">
        <v>0.18</v>
      </c>
      <c r="AF483" s="189">
        <v>6.9179000000000004</v>
      </c>
      <c r="AG483" s="189">
        <v>6.5304000000000002</v>
      </c>
      <c r="AH483" s="190">
        <v>1236.3757089999999</v>
      </c>
      <c r="AI483" s="190">
        <v>1246.0468639999999</v>
      </c>
      <c r="AJ483" s="191">
        <f t="shared" si="20"/>
        <v>0.99223853028372133</v>
      </c>
      <c r="AK483" s="192">
        <v>45544</v>
      </c>
      <c r="AL483" s="193">
        <v>94.18</v>
      </c>
      <c r="AM483" s="194">
        <v>1657</v>
      </c>
      <c r="AN483" s="115"/>
      <c r="AO483" s="195">
        <v>-1.6776650373E-3</v>
      </c>
      <c r="AP483" s="196">
        <f>IF(AO483="","",AO483-AO$6)</f>
        <v>-2.1578099222299999E-3</v>
      </c>
      <c r="AQ483" s="196">
        <v>1.0547770152000001E-2</v>
      </c>
      <c r="AR483" s="196">
        <f>IF(AQ483="","",AQ483-AQ$6)</f>
        <v>1.076527690496E-2</v>
      </c>
      <c r="AS483" s="196">
        <v>0.10783933445</v>
      </c>
      <c r="AT483" s="196">
        <f>IF(AS483="","",AS483-AS$6)</f>
        <v>9.3113499395000007E-2</v>
      </c>
      <c r="AU483" s="196">
        <v>3.2775206636999998E-3</v>
      </c>
      <c r="AV483" s="196">
        <f>IF(AU483="","",AU483-AU$6)</f>
        <v>1.6346103259699998E-2</v>
      </c>
      <c r="AW483" s="196">
        <v>5.6557642822000001E-2</v>
      </c>
      <c r="AX483" s="196">
        <f>IF(AW483="","",AW483-AW$6)</f>
        <v>3.2562575034000001E-2</v>
      </c>
      <c r="AY483" s="196">
        <v>4.9490492756000003E-2</v>
      </c>
      <c r="AZ483" s="196">
        <f>IF(AY483="","",AY483-AY$6)</f>
        <v>3.5248237966000004E-2</v>
      </c>
      <c r="BA483" s="196">
        <v>0.14086175961</v>
      </c>
      <c r="BB483" s="196">
        <f>IF(BA483="","",BA483-BA$6)</f>
        <v>8.7374795051999993E-2</v>
      </c>
      <c r="BC483" s="196">
        <v>0.27036411158000001</v>
      </c>
      <c r="BD483" s="196">
        <f>IF(BC483="","",BC483-BC$6)</f>
        <v>7.605554509000001E-2</v>
      </c>
      <c r="BE483" s="196">
        <v>0.41101436140000003</v>
      </c>
      <c r="BF483" s="196">
        <f>IF(BE483="","",BE483-BE$6)</f>
        <v>0.14929502186000004</v>
      </c>
      <c r="BG483" s="196"/>
      <c r="BH483" s="196" t="str">
        <f>IF(BG483="","",BG483-BG$6)</f>
        <v/>
      </c>
      <c r="BI483" s="196"/>
      <c r="BJ483" s="196" t="str">
        <f>IF(BI483="","",BI483-BI$6)</f>
        <v/>
      </c>
      <c r="BK483" s="197">
        <v>6.0566332173999999</v>
      </c>
      <c r="BL483" s="115"/>
      <c r="BM483" s="198">
        <v>1.4670449550999999E-2</v>
      </c>
      <c r="BN483" s="191">
        <v>-1.0530163241E-2</v>
      </c>
      <c r="BO483" s="191">
        <v>3.8128224746999999E-2</v>
      </c>
      <c r="BP483" s="191">
        <v>-1.4214262474000001E-2</v>
      </c>
      <c r="BQ483" s="199">
        <v>9</v>
      </c>
      <c r="BR483" s="199">
        <v>3</v>
      </c>
      <c r="BS483" s="199">
        <v>8</v>
      </c>
      <c r="BT483" s="199">
        <v>4</v>
      </c>
      <c r="BU483" s="200">
        <v>0.46278688614000002</v>
      </c>
      <c r="BV483" s="200">
        <v>9.0420620029000004E-2</v>
      </c>
      <c r="BW483" s="191">
        <v>6.2618906767999997E-3</v>
      </c>
      <c r="BX483" s="191">
        <v>6.0687740848000002E-3</v>
      </c>
      <c r="BY483" s="189">
        <v>2.4967559668999999</v>
      </c>
      <c r="BZ483" s="191">
        <v>-3.2695942250999997E-2</v>
      </c>
      <c r="CA483" s="191">
        <v>-3.2695942250999997E-2</v>
      </c>
      <c r="CB483" s="182">
        <v>45187</v>
      </c>
      <c r="CC483" s="182">
        <v>45202</v>
      </c>
      <c r="CD483" s="201">
        <v>49</v>
      </c>
      <c r="CE483" s="202">
        <v>45259</v>
      </c>
      <c r="CF483" s="115"/>
    </row>
    <row r="484" spans="2:84" ht="15.6" x14ac:dyDescent="0.3">
      <c r="B484" s="110" t="s">
        <v>1125</v>
      </c>
      <c r="C484" s="147" t="s">
        <v>1289</v>
      </c>
      <c r="D484" s="148" t="s">
        <v>1146</v>
      </c>
      <c r="E484" s="148" t="s">
        <v>226</v>
      </c>
      <c r="F484" s="149">
        <v>23449511000190</v>
      </c>
      <c r="G484" s="149" t="s">
        <v>1186</v>
      </c>
      <c r="H484" s="149" t="s">
        <v>388</v>
      </c>
      <c r="I484" s="150">
        <v>1</v>
      </c>
      <c r="J484" s="151" t="s">
        <v>107</v>
      </c>
      <c r="K484" s="151" t="s">
        <v>128</v>
      </c>
      <c r="L484" s="151" t="s">
        <v>118</v>
      </c>
      <c r="M484" s="151" t="s">
        <v>128</v>
      </c>
      <c r="N484" s="151" t="s">
        <v>109</v>
      </c>
      <c r="O484" s="152">
        <v>1800000</v>
      </c>
      <c r="P484" s="153">
        <v>1800000000</v>
      </c>
      <c r="Q484" s="153">
        <v>1000</v>
      </c>
      <c r="R484" s="154">
        <v>44392</v>
      </c>
      <c r="S484" s="154">
        <v>50966</v>
      </c>
      <c r="T484" s="155" t="s">
        <v>1224</v>
      </c>
      <c r="U484" s="155" t="s">
        <v>1224</v>
      </c>
      <c r="V484" s="154" t="s">
        <v>194</v>
      </c>
      <c r="W484" s="154" t="s">
        <v>102</v>
      </c>
      <c r="X484" s="154" t="s">
        <v>1383</v>
      </c>
      <c r="Y484" s="154">
        <v>49444</v>
      </c>
      <c r="Z484" s="156">
        <f>IFERROR(INDEX(Base!G:G,MATCH('Debêntures IPCA-Spread'!Y484,Base!F:F,0)),"")</f>
        <v>6.3137999999999996</v>
      </c>
      <c r="AA484" s="115"/>
      <c r="AB484" s="157">
        <v>45552</v>
      </c>
      <c r="AC484" s="158">
        <v>7.9421999999999997</v>
      </c>
      <c r="AD484" s="159">
        <f t="shared" si="19"/>
        <v>1.6284000000000001</v>
      </c>
      <c r="AE484" s="160">
        <v>0.11</v>
      </c>
      <c r="AF484" s="161">
        <v>8.1166999999999998</v>
      </c>
      <c r="AG484" s="161">
        <v>7.6839000000000004</v>
      </c>
      <c r="AH484" s="162">
        <v>1106.9951390000001</v>
      </c>
      <c r="AI484" s="162">
        <v>1128.6792230000001</v>
      </c>
      <c r="AJ484" s="163">
        <f t="shared" si="20"/>
        <v>0.98078808969091835</v>
      </c>
      <c r="AK484" s="164">
        <v>45517</v>
      </c>
      <c r="AL484" s="165">
        <v>86.56</v>
      </c>
      <c r="AM484" s="166">
        <v>1880</v>
      </c>
      <c r="AN484" s="115"/>
      <c r="AO484" s="167">
        <v>9.4293578694999995E-4</v>
      </c>
      <c r="AP484" s="168">
        <f>IF(AO484="","",AO484-AO$6)</f>
        <v>4.6279090201999996E-4</v>
      </c>
      <c r="AQ484" s="168">
        <v>1.6604236716000001E-3</v>
      </c>
      <c r="AR484" s="168">
        <f>IF(AQ484="","",AQ484-AQ$6)</f>
        <v>1.8779304245600001E-3</v>
      </c>
      <c r="AS484" s="168">
        <v>3.2548234795999997E-2</v>
      </c>
      <c r="AT484" s="168">
        <f>IF(AS484="","",AS484-AS$6)</f>
        <v>1.7822399740999997E-2</v>
      </c>
      <c r="AU484" s="168">
        <v>-1.6243020558000001E-2</v>
      </c>
      <c r="AV484" s="168">
        <f>IF(AU484="","",AU484-AU$6)</f>
        <v>-3.1744379620000009E-3</v>
      </c>
      <c r="AW484" s="168">
        <v>4.0973129015999997E-2</v>
      </c>
      <c r="AX484" s="168">
        <f>IF(AW484="","",AW484-AW$6)</f>
        <v>1.6978061227999997E-2</v>
      </c>
      <c r="AY484" s="168">
        <v>-3.715697334E-3</v>
      </c>
      <c r="AZ484" s="168">
        <f>IF(AY484="","",AY484-AY$6)</f>
        <v>-1.7957952124E-2</v>
      </c>
      <c r="BA484" s="168">
        <v>6.1867902563000003E-2</v>
      </c>
      <c r="BB484" s="168">
        <f>IF(BA484="","",BA484-BA$6)</f>
        <v>8.3809380050000049E-3</v>
      </c>
      <c r="BC484" s="168">
        <v>0.20392469742</v>
      </c>
      <c r="BD484" s="168">
        <f>IF(BC484="","",BC484-BC$6)</f>
        <v>9.6161309299999942E-3</v>
      </c>
      <c r="BE484" s="168"/>
      <c r="BF484" s="168" t="str">
        <f>IF(BE484="","",BE484-BE$6)</f>
        <v/>
      </c>
      <c r="BG484" s="168"/>
      <c r="BH484" s="168" t="str">
        <f>IF(BG484="","",BG484-BG$6)</f>
        <v/>
      </c>
      <c r="BI484" s="168"/>
      <c r="BJ484" s="168" t="str">
        <f>IF(BI484="","",BI484-BI$6)</f>
        <v/>
      </c>
      <c r="BK484" s="169">
        <v>7.3100119894000004</v>
      </c>
      <c r="BL484" s="115"/>
      <c r="BM484" s="170">
        <v>1.7487612672999999E-2</v>
      </c>
      <c r="BN484" s="163">
        <v>-1.9717898155999999E-2</v>
      </c>
      <c r="BO484" s="163">
        <v>4.9358554595999998E-2</v>
      </c>
      <c r="BP484" s="163">
        <v>-2.9971331707000001E-2</v>
      </c>
      <c r="BQ484" s="171">
        <v>8</v>
      </c>
      <c r="BR484" s="171">
        <v>4</v>
      </c>
      <c r="BS484" s="171">
        <v>4</v>
      </c>
      <c r="BT484" s="171">
        <v>8</v>
      </c>
      <c r="BU484" s="172">
        <v>-0.57929528102000005</v>
      </c>
      <c r="BV484" s="172"/>
      <c r="BW484" s="163">
        <v>7.5530857763000002E-3</v>
      </c>
      <c r="BX484" s="163">
        <v>5.8814439703000002E-3</v>
      </c>
      <c r="BY484" s="161">
        <v>-5.4841650786000002</v>
      </c>
      <c r="BZ484" s="163">
        <v>-5.9640475881999999E-2</v>
      </c>
      <c r="CA484" s="163">
        <v>-5.9640475881999999E-2</v>
      </c>
      <c r="CB484" s="154">
        <v>45363</v>
      </c>
      <c r="CC484" s="154">
        <v>45455</v>
      </c>
      <c r="CD484" s="173">
        <v>106</v>
      </c>
      <c r="CE484" s="174">
        <v>45516</v>
      </c>
      <c r="CF484" s="115"/>
    </row>
    <row r="485" spans="2:84" ht="15.6" x14ac:dyDescent="0.3">
      <c r="B485" s="98" t="s">
        <v>64</v>
      </c>
      <c r="C485" s="175" t="s">
        <v>328</v>
      </c>
      <c r="D485" s="176" t="s">
        <v>24</v>
      </c>
      <c r="E485" s="176" t="s">
        <v>234</v>
      </c>
      <c r="F485" s="177">
        <v>33592510000154</v>
      </c>
      <c r="G485" s="177" t="s">
        <v>384</v>
      </c>
      <c r="H485" s="177" t="s">
        <v>388</v>
      </c>
      <c r="I485" s="178">
        <v>8</v>
      </c>
      <c r="J485" s="179">
        <v>3</v>
      </c>
      <c r="K485" s="179" t="s">
        <v>126</v>
      </c>
      <c r="L485" s="179" t="s">
        <v>119</v>
      </c>
      <c r="M485" s="179" t="s">
        <v>115</v>
      </c>
      <c r="N485" s="179" t="s">
        <v>109</v>
      </c>
      <c r="O485" s="180">
        <v>100000</v>
      </c>
      <c r="P485" s="181">
        <v>100000000</v>
      </c>
      <c r="Q485" s="181">
        <v>1000</v>
      </c>
      <c r="R485" s="182">
        <v>41654</v>
      </c>
      <c r="S485" s="182">
        <v>46037</v>
      </c>
      <c r="T485" s="183" t="s">
        <v>163</v>
      </c>
      <c r="U485" s="183" t="s">
        <v>190</v>
      </c>
      <c r="V485" s="182" t="s">
        <v>105</v>
      </c>
      <c r="W485" s="182" t="s">
        <v>102</v>
      </c>
      <c r="X485" s="182" t="s">
        <v>1384</v>
      </c>
      <c r="Y485" s="182">
        <v>45792</v>
      </c>
      <c r="Z485" s="184">
        <f>IFERROR(INDEX(Base!G:G,MATCH('Debêntures IPCA-Spread'!Y485,Base!F:F,0)),"")</f>
        <v>5.73</v>
      </c>
      <c r="AA485" s="115"/>
      <c r="AB485" s="185">
        <v>45552</v>
      </c>
      <c r="AC485" s="186">
        <v>5.6685999999999996</v>
      </c>
      <c r="AD485" s="187">
        <f t="shared" si="19"/>
        <v>-6.1400000000000787E-2</v>
      </c>
      <c r="AE485" s="188">
        <v>0.11</v>
      </c>
      <c r="AF485" s="189">
        <v>5.9722999999999997</v>
      </c>
      <c r="AG485" s="189">
        <v>5.5114999999999998</v>
      </c>
      <c r="AH485" s="190">
        <v>1276.0612229999999</v>
      </c>
      <c r="AI485" s="190">
        <v>1276.0612229999999</v>
      </c>
      <c r="AJ485" s="191">
        <f t="shared" si="20"/>
        <v>1</v>
      </c>
      <c r="AK485" s="192">
        <v>45552</v>
      </c>
      <c r="AL485" s="193">
        <v>100.78</v>
      </c>
      <c r="AM485" s="194">
        <v>201</v>
      </c>
      <c r="AN485" s="115"/>
      <c r="AO485" s="195">
        <v>7.2653495590000003E-4</v>
      </c>
      <c r="AP485" s="196">
        <f>IF(AO485="","",AO485-AO$6)</f>
        <v>2.4639007097000004E-4</v>
      </c>
      <c r="AQ485" s="196">
        <v>5.8148196766999996E-3</v>
      </c>
      <c r="AR485" s="196">
        <f>IF(AQ485="","",AQ485-AQ$6)</f>
        <v>6.0323264296599996E-3</v>
      </c>
      <c r="AS485" s="196">
        <v>8.9938079239999996E-2</v>
      </c>
      <c r="AT485" s="196">
        <f>IF(AS485="","",AS485-AS$6)</f>
        <v>7.5212244184999999E-2</v>
      </c>
      <c r="AU485" s="196">
        <v>9.4444757942E-3</v>
      </c>
      <c r="AV485" s="196">
        <f>IF(AU485="","",AU485-AU$6)</f>
        <v>2.25130583902E-2</v>
      </c>
      <c r="AW485" s="196">
        <v>2.5956528151999999E-2</v>
      </c>
      <c r="AX485" s="196">
        <f>IF(AW485="","",AW485-AW$6)</f>
        <v>1.9614603639999985E-3</v>
      </c>
      <c r="AY485" s="196">
        <v>4.7542026132000002E-2</v>
      </c>
      <c r="AZ485" s="196">
        <f>IF(AY485="","",AY485-AY$6)</f>
        <v>3.3299771342000004E-2</v>
      </c>
      <c r="BA485" s="196">
        <v>0.10646626126</v>
      </c>
      <c r="BB485" s="196">
        <f>IF(BA485="","",BA485-BA$6)</f>
        <v>5.2979296702000002E-2</v>
      </c>
      <c r="BC485" s="196">
        <v>0.24336691732999999</v>
      </c>
      <c r="BD485" s="196">
        <f>IF(BC485="","",BC485-BC$6)</f>
        <v>4.9058350839999987E-2</v>
      </c>
      <c r="BE485" s="196">
        <v>0.35639493060999999</v>
      </c>
      <c r="BF485" s="196">
        <f>IF(BE485="","",BE485-BE$6)</f>
        <v>9.4675591070000009E-2</v>
      </c>
      <c r="BG485" s="196">
        <v>0.43988379788999998</v>
      </c>
      <c r="BH485" s="196">
        <f>IF(BG485="","",BG485-BG$6)</f>
        <v>0.13096714907999996</v>
      </c>
      <c r="BI485" s="196">
        <v>0.55732857416000003</v>
      </c>
      <c r="BJ485" s="196">
        <f>IF(BI485="","",BI485-BI$6)</f>
        <v>0.18438556408000001</v>
      </c>
      <c r="BK485" s="197">
        <v>1.9949486559</v>
      </c>
      <c r="BL485" s="115"/>
      <c r="BM485" s="198">
        <v>1.4203471237E-2</v>
      </c>
      <c r="BN485" s="191">
        <v>-6.4922528290000002E-3</v>
      </c>
      <c r="BO485" s="191">
        <v>2.5505027494999999E-2</v>
      </c>
      <c r="BP485" s="191">
        <v>1.6972652338000001E-3</v>
      </c>
      <c r="BQ485" s="199">
        <v>12</v>
      </c>
      <c r="BR485" s="199">
        <v>0</v>
      </c>
      <c r="BS485" s="199">
        <v>6</v>
      </c>
      <c r="BT485" s="199">
        <v>6</v>
      </c>
      <c r="BU485" s="200">
        <v>-0.22866514596000001</v>
      </c>
      <c r="BV485" s="200">
        <v>-0.32373627012</v>
      </c>
      <c r="BW485" s="191">
        <v>2.0675327366000001E-3</v>
      </c>
      <c r="BX485" s="191">
        <v>8.5587228681000005E-4</v>
      </c>
      <c r="BY485" s="189">
        <v>-0.65055750577000004</v>
      </c>
      <c r="BZ485" s="191">
        <v>-6.4922528291999999E-3</v>
      </c>
      <c r="CA485" s="191">
        <v>-6.4922528291999999E-3</v>
      </c>
      <c r="CB485" s="182">
        <v>45244</v>
      </c>
      <c r="CC485" s="182">
        <v>45246</v>
      </c>
      <c r="CD485" s="201">
        <v>7</v>
      </c>
      <c r="CE485" s="202">
        <v>45254</v>
      </c>
      <c r="CF485" s="115"/>
    </row>
    <row r="486" spans="2:84" ht="15.6" x14ac:dyDescent="0.3">
      <c r="B486" s="110" t="s">
        <v>65</v>
      </c>
      <c r="C486" s="147" t="s">
        <v>329</v>
      </c>
      <c r="D486" s="148" t="s">
        <v>24</v>
      </c>
      <c r="E486" s="148" t="s">
        <v>234</v>
      </c>
      <c r="F486" s="149">
        <v>33592510000154</v>
      </c>
      <c r="G486" s="149" t="s">
        <v>385</v>
      </c>
      <c r="H486" s="149" t="s">
        <v>388</v>
      </c>
      <c r="I486" s="150">
        <v>8</v>
      </c>
      <c r="J486" s="151">
        <v>4</v>
      </c>
      <c r="K486" s="151" t="s">
        <v>126</v>
      </c>
      <c r="L486" s="151" t="s">
        <v>119</v>
      </c>
      <c r="M486" s="151" t="s">
        <v>115</v>
      </c>
      <c r="N486" s="151" t="s">
        <v>109</v>
      </c>
      <c r="O486" s="152">
        <v>150000</v>
      </c>
      <c r="P486" s="153">
        <v>150000000</v>
      </c>
      <c r="Q486" s="153">
        <v>1000</v>
      </c>
      <c r="R486" s="154">
        <v>41654</v>
      </c>
      <c r="S486" s="154">
        <v>47133</v>
      </c>
      <c r="T486" s="155" t="s">
        <v>163</v>
      </c>
      <c r="U486" s="155" t="s">
        <v>191</v>
      </c>
      <c r="V486" s="154" t="s">
        <v>105</v>
      </c>
      <c r="W486" s="154" t="s">
        <v>102</v>
      </c>
      <c r="X486" s="154" t="s">
        <v>1385</v>
      </c>
      <c r="Y486" s="154">
        <v>46249</v>
      </c>
      <c r="Z486" s="156">
        <f>IFERROR(INDEX(Base!G:G,MATCH('Debêntures IPCA-Spread'!Y486,Base!F:F,0)),"")</f>
        <v>6.5365000000000002</v>
      </c>
      <c r="AA486" s="115"/>
      <c r="AB486" s="157">
        <v>45552</v>
      </c>
      <c r="AC486" s="158">
        <v>6.4291</v>
      </c>
      <c r="AD486" s="159">
        <f t="shared" si="19"/>
        <v>-0.10740000000000016</v>
      </c>
      <c r="AE486" s="160">
        <v>0.1</v>
      </c>
      <c r="AF486" s="161">
        <v>6.5978000000000003</v>
      </c>
      <c r="AG486" s="161"/>
      <c r="AH486" s="162">
        <v>1593.925448</v>
      </c>
      <c r="AI486" s="162">
        <v>1593.925448</v>
      </c>
      <c r="AJ486" s="163">
        <f t="shared" si="20"/>
        <v>1</v>
      </c>
      <c r="AK486" s="164">
        <v>45552</v>
      </c>
      <c r="AL486" s="165">
        <v>100.69</v>
      </c>
      <c r="AM486" s="166">
        <v>524</v>
      </c>
      <c r="AN486" s="115"/>
      <c r="AO486" s="167">
        <v>9.2687149298999996E-4</v>
      </c>
      <c r="AP486" s="168">
        <f>IF(AO486="","",AO486-AO$6)</f>
        <v>4.4672660805999997E-4</v>
      </c>
      <c r="AQ486" s="168">
        <v>5.5117972332999997E-3</v>
      </c>
      <c r="AR486" s="168">
        <f>IF(AQ486="","",AQ486-AQ$6)</f>
        <v>5.7293039862599997E-3</v>
      </c>
      <c r="AS486" s="168">
        <v>5.1303264055999998E-2</v>
      </c>
      <c r="AT486" s="168">
        <f>IF(AS486="","",AS486-AS$6)</f>
        <v>3.6577429001E-2</v>
      </c>
      <c r="AU486" s="168">
        <v>5.6862392866999997E-3</v>
      </c>
      <c r="AV486" s="168">
        <f>IF(AU486="","",AU486-AU$6)</f>
        <v>1.8754821882700001E-2</v>
      </c>
      <c r="AW486" s="168">
        <v>2.4764723153999999E-2</v>
      </c>
      <c r="AX486" s="168">
        <f>IF(AW486="","",AW486-AW$6)</f>
        <v>7.696553659999987E-4</v>
      </c>
      <c r="AY486" s="168">
        <v>2.9181434175999998E-2</v>
      </c>
      <c r="AZ486" s="168">
        <f>IF(AY486="","",AY486-AY$6)</f>
        <v>1.4939179385999998E-2</v>
      </c>
      <c r="BA486" s="168">
        <v>7.7621169273999993E-2</v>
      </c>
      <c r="BB486" s="168">
        <f>IF(BA486="","",BA486-BA$6)</f>
        <v>2.4134204715999995E-2</v>
      </c>
      <c r="BC486" s="168">
        <v>0.20609341417999999</v>
      </c>
      <c r="BD486" s="168">
        <f>IF(BC486="","",BC486-BC$6)</f>
        <v>1.1784847689999989E-2</v>
      </c>
      <c r="BE486" s="168">
        <v>0.32093037569999999</v>
      </c>
      <c r="BF486" s="168">
        <f>IF(BE486="","",BE486-BE$6)</f>
        <v>5.9211036160000008E-2</v>
      </c>
      <c r="BG486" s="168">
        <v>0.42724025115999997</v>
      </c>
      <c r="BH486" s="168">
        <f>IF(BG486="","",BG486-BG$6)</f>
        <v>0.11832360234999995</v>
      </c>
      <c r="BI486" s="168">
        <v>0.50604233109999996</v>
      </c>
      <c r="BJ486" s="168">
        <f>IF(BI486="","",BI486-BI$6)</f>
        <v>0.13309932101999994</v>
      </c>
      <c r="BK486" s="169">
        <v>2.7813788139</v>
      </c>
      <c r="BL486" s="115"/>
      <c r="BM486" s="170">
        <v>9.0334580800000008E-3</v>
      </c>
      <c r="BN486" s="163">
        <v>-5.3228950309999997E-3</v>
      </c>
      <c r="BO486" s="163">
        <v>2.0451046035E-2</v>
      </c>
      <c r="BP486" s="163">
        <v>-1.0839085341000001E-2</v>
      </c>
      <c r="BQ486" s="171">
        <v>10</v>
      </c>
      <c r="BR486" s="171">
        <v>2</v>
      </c>
      <c r="BS486" s="171">
        <v>6</v>
      </c>
      <c r="BT486" s="171">
        <v>6</v>
      </c>
      <c r="BU486" s="172">
        <v>-1.0907365322</v>
      </c>
      <c r="BV486" s="172">
        <v>-0.49276235717</v>
      </c>
      <c r="BW486" s="163">
        <v>2.8749429325000001E-3</v>
      </c>
      <c r="BX486" s="163">
        <v>2.2101055831000001E-3</v>
      </c>
      <c r="BY486" s="161">
        <v>-3.7574175115999999</v>
      </c>
      <c r="BZ486" s="163">
        <v>-1.3244750253000001E-2</v>
      </c>
      <c r="CA486" s="163">
        <v>-1.3244750253000001E-2</v>
      </c>
      <c r="CB486" s="154">
        <v>45189</v>
      </c>
      <c r="CC486" s="154">
        <v>45218</v>
      </c>
      <c r="CD486" s="173">
        <v>37</v>
      </c>
      <c r="CE486" s="174">
        <v>45244</v>
      </c>
      <c r="CF486" s="115"/>
    </row>
    <row r="487" spans="2:84" ht="15.6" x14ac:dyDescent="0.3">
      <c r="B487" s="98" t="s">
        <v>1126</v>
      </c>
      <c r="C487" s="175" t="s">
        <v>1290</v>
      </c>
      <c r="D487" s="176" t="s">
        <v>1192</v>
      </c>
      <c r="E487" s="176" t="s">
        <v>1250</v>
      </c>
      <c r="F487" s="177">
        <v>23373000000132</v>
      </c>
      <c r="G487" s="177" t="s">
        <v>1187</v>
      </c>
      <c r="H487" s="177" t="s">
        <v>388</v>
      </c>
      <c r="I487" s="178">
        <v>3</v>
      </c>
      <c r="J487" s="179">
        <v>3</v>
      </c>
      <c r="K487" s="179" t="s">
        <v>126</v>
      </c>
      <c r="L487" s="179" t="s">
        <v>118</v>
      </c>
      <c r="M487" s="179" t="s">
        <v>106</v>
      </c>
      <c r="N487" s="179" t="s">
        <v>117</v>
      </c>
      <c r="O487" s="180">
        <v>464460</v>
      </c>
      <c r="P487" s="181">
        <v>464460000</v>
      </c>
      <c r="Q487" s="181">
        <v>1000</v>
      </c>
      <c r="R487" s="182">
        <v>44362</v>
      </c>
      <c r="S487" s="182">
        <v>48014</v>
      </c>
      <c r="T487" s="183" t="s">
        <v>1246</v>
      </c>
      <c r="U487" s="183" t="s">
        <v>1211</v>
      </c>
      <c r="V487" s="182" t="s">
        <v>105</v>
      </c>
      <c r="W487" s="182" t="s">
        <v>102</v>
      </c>
      <c r="X487" s="182" t="s">
        <v>1386</v>
      </c>
      <c r="Y487" s="182">
        <v>47710</v>
      </c>
      <c r="Z487" s="184">
        <f>IFERROR(INDEX(Base!G:G,MATCH('Debêntures IPCA-Spread'!Y487,Base!F:F,0)),"")</f>
        <v>6.3273999999999999</v>
      </c>
      <c r="AA487" s="115"/>
      <c r="AB487" s="185">
        <v>45552</v>
      </c>
      <c r="AC487" s="186">
        <v>9.4855</v>
      </c>
      <c r="AD487" s="187">
        <f t="shared" si="19"/>
        <v>3.1581000000000001</v>
      </c>
      <c r="AE487" s="188">
        <v>0.08</v>
      </c>
      <c r="AF487" s="189">
        <v>9.6689000000000007</v>
      </c>
      <c r="AG487" s="189">
        <v>9.2737999999999996</v>
      </c>
      <c r="AH487" s="190">
        <v>1071.1838760000001</v>
      </c>
      <c r="AI487" s="190">
        <v>1083.659234</v>
      </c>
      <c r="AJ487" s="191">
        <f t="shared" si="20"/>
        <v>0.98848774816973517</v>
      </c>
      <c r="AK487" s="192">
        <v>45527</v>
      </c>
      <c r="AL487" s="193">
        <v>87.17</v>
      </c>
      <c r="AM487" s="194">
        <v>1183</v>
      </c>
      <c r="AN487" s="115"/>
      <c r="AO487" s="195">
        <v>2.0927023616000001E-4</v>
      </c>
      <c r="AP487" s="196">
        <f>IF(AO487="","",AO487-AO$6)</f>
        <v>-2.7087464877000001E-4</v>
      </c>
      <c r="AQ487" s="196">
        <v>-4.6889408394999998E-3</v>
      </c>
      <c r="AR487" s="196">
        <f>IF(AQ487="","",AQ487-AQ$6)</f>
        <v>-4.4714340865399998E-3</v>
      </c>
      <c r="AS487" s="196">
        <v>5.1115574647999998E-2</v>
      </c>
      <c r="AT487" s="196">
        <f>IF(AS487="","",AS487-AS$6)</f>
        <v>3.6389739593000001E-2</v>
      </c>
      <c r="AU487" s="196">
        <v>-4.0016833773000001E-3</v>
      </c>
      <c r="AV487" s="196">
        <f>IF(AU487="","",AU487-AU$6)</f>
        <v>9.0668992186999989E-3</v>
      </c>
      <c r="AW487" s="196">
        <v>2.4560923794E-2</v>
      </c>
      <c r="AX487" s="196">
        <f>IF(AW487="","",AW487-AW$6)</f>
        <v>5.6585600599999911E-4</v>
      </c>
      <c r="AY487" s="196">
        <v>2.5089805682000001E-2</v>
      </c>
      <c r="AZ487" s="196">
        <f>IF(AY487="","",AY487-AY$6)</f>
        <v>1.0847550892000001E-2</v>
      </c>
      <c r="BA487" s="196">
        <v>8.2719950277000007E-2</v>
      </c>
      <c r="BB487" s="196">
        <f>IF(BA487="","",BA487-BA$6)</f>
        <v>2.9232985719000008E-2</v>
      </c>
      <c r="BC487" s="196">
        <v>0.23808873145000001</v>
      </c>
      <c r="BD487" s="196">
        <f>IF(BC487="","",BC487-BC$6)</f>
        <v>4.3780164960000006E-2</v>
      </c>
      <c r="BE487" s="196"/>
      <c r="BF487" s="196" t="str">
        <f>IF(BE487="","",BE487-BE$6)</f>
        <v/>
      </c>
      <c r="BG487" s="196"/>
      <c r="BH487" s="196" t="str">
        <f>IF(BG487="","",BG487-BG$6)</f>
        <v/>
      </c>
      <c r="BI487" s="196"/>
      <c r="BJ487" s="196" t="str">
        <f>IF(BI487="","",BI487-BI$6)</f>
        <v/>
      </c>
      <c r="BK487" s="197">
        <v>5.2243827763999997</v>
      </c>
      <c r="BL487" s="115"/>
      <c r="BM487" s="198">
        <v>1.6182816076000001E-2</v>
      </c>
      <c r="BN487" s="191">
        <v>-1.2492438009E-2</v>
      </c>
      <c r="BO487" s="191">
        <v>2.5598875029E-2</v>
      </c>
      <c r="BP487" s="191">
        <v>-2.5561489717999999E-2</v>
      </c>
      <c r="BQ487" s="199">
        <v>7</v>
      </c>
      <c r="BR487" s="199">
        <v>5</v>
      </c>
      <c r="BS487" s="199">
        <v>7</v>
      </c>
      <c r="BT487" s="199">
        <v>5</v>
      </c>
      <c r="BU487" s="200">
        <v>-0.47445977853999999</v>
      </c>
      <c r="BV487" s="200">
        <v>-0.22076294584</v>
      </c>
      <c r="BW487" s="191">
        <v>5.4025098982000003E-3</v>
      </c>
      <c r="BX487" s="191">
        <v>3.3958950169999998E-3</v>
      </c>
      <c r="BY487" s="189">
        <v>-3.3193148281</v>
      </c>
      <c r="BZ487" s="191">
        <v>-2.9852360405999999E-2</v>
      </c>
      <c r="CA487" s="191">
        <v>-2.9852360405999999E-2</v>
      </c>
      <c r="CB487" s="182">
        <v>45378</v>
      </c>
      <c r="CC487" s="182">
        <v>45474</v>
      </c>
      <c r="CD487" s="201">
        <v>89</v>
      </c>
      <c r="CE487" s="202">
        <v>45506</v>
      </c>
      <c r="CF487" s="115"/>
    </row>
    <row r="488" spans="2:84" ht="15.6" x14ac:dyDescent="0.3">
      <c r="B488" s="110" t="s">
        <v>1523</v>
      </c>
      <c r="C488" s="147" t="s">
        <v>2169</v>
      </c>
      <c r="D488" s="148" t="s">
        <v>1192</v>
      </c>
      <c r="E488" s="148" t="s">
        <v>1250</v>
      </c>
      <c r="F488" s="149">
        <v>23373000000132</v>
      </c>
      <c r="G488" s="149" t="s">
        <v>1880</v>
      </c>
      <c r="H488" s="149" t="s">
        <v>388</v>
      </c>
      <c r="I488" s="150">
        <v>4</v>
      </c>
      <c r="J488" s="151">
        <v>3</v>
      </c>
      <c r="K488" s="151" t="s">
        <v>126</v>
      </c>
      <c r="L488" s="151" t="s">
        <v>118</v>
      </c>
      <c r="M488" s="151" t="s">
        <v>106</v>
      </c>
      <c r="N488" s="151" t="s">
        <v>117</v>
      </c>
      <c r="O488" s="152">
        <v>567039</v>
      </c>
      <c r="P488" s="153">
        <v>567039000</v>
      </c>
      <c r="Q488" s="153">
        <v>1000</v>
      </c>
      <c r="R488" s="154">
        <v>44484</v>
      </c>
      <c r="S488" s="154">
        <v>48136</v>
      </c>
      <c r="T488" s="155" t="s">
        <v>1199</v>
      </c>
      <c r="U488" s="155" t="s">
        <v>1672</v>
      </c>
      <c r="V488" s="154" t="s">
        <v>1888</v>
      </c>
      <c r="W488" s="154" t="s">
        <v>102</v>
      </c>
      <c r="X488" s="154" t="s">
        <v>1640</v>
      </c>
      <c r="Y488" s="154">
        <v>47710</v>
      </c>
      <c r="Z488" s="156">
        <f>IFERROR(INDEX(Base!G:G,MATCH('Debêntures IPCA-Spread'!Y488,Base!F:F,0)),"")</f>
        <v>6.3273999999999999</v>
      </c>
      <c r="AA488" s="115"/>
      <c r="AB488" s="157">
        <v>45552</v>
      </c>
      <c r="AC488" s="158">
        <v>9.7302999999999997</v>
      </c>
      <c r="AD488" s="159">
        <f t="shared" si="19"/>
        <v>3.4028999999999998</v>
      </c>
      <c r="AE488" s="160">
        <v>0.08</v>
      </c>
      <c r="AF488" s="161">
        <v>9.9164999999999992</v>
      </c>
      <c r="AG488" s="161">
        <v>9.5257000000000005</v>
      </c>
      <c r="AH488" s="162">
        <v>1094.2810300000001</v>
      </c>
      <c r="AI488" s="162">
        <v>1102.1494769999999</v>
      </c>
      <c r="AJ488" s="163">
        <f t="shared" si="20"/>
        <v>0.99286081682729876</v>
      </c>
      <c r="AK488" s="164">
        <v>45530</v>
      </c>
      <c r="AL488" s="165">
        <v>91.47</v>
      </c>
      <c r="AM488" s="166">
        <v>1186</v>
      </c>
      <c r="AN488" s="115"/>
      <c r="AO488" s="167">
        <v>6.0881559510999998E-4</v>
      </c>
      <c r="AP488" s="168">
        <f>IF(AO488="","",AO488-AO$6)</f>
        <v>1.2867071017999999E-4</v>
      </c>
      <c r="AQ488" s="168">
        <v>9.3938001010000001E-4</v>
      </c>
      <c r="AR488" s="168">
        <f>IF(AQ488="","",AQ488-AQ$6)</f>
        <v>1.1568867630599999E-3</v>
      </c>
      <c r="AS488" s="168">
        <v>2.9642901366999999E-2</v>
      </c>
      <c r="AT488" s="168">
        <f>IF(AS488="","",AS488-AS$6)</f>
        <v>1.4917066311999998E-2</v>
      </c>
      <c r="AU488" s="168">
        <v>-2.5206611343999998E-3</v>
      </c>
      <c r="AV488" s="168">
        <f>IF(AU488="","",AU488-AU$6)</f>
        <v>1.05479214616E-2</v>
      </c>
      <c r="AW488" s="168">
        <v>2.7746286291999999E-2</v>
      </c>
      <c r="AX488" s="168">
        <f>IF(AW488="","",AW488-AW$6)</f>
        <v>3.7512185039999986E-3</v>
      </c>
      <c r="AY488" s="168">
        <v>2.1802958010000002E-2</v>
      </c>
      <c r="AZ488" s="168">
        <f>IF(AY488="","",AY488-AY$6)</f>
        <v>7.5607032200000011E-3</v>
      </c>
      <c r="BA488" s="168">
        <v>6.5686329336999999E-2</v>
      </c>
      <c r="BB488" s="168">
        <f>IF(BA488="","",BA488-BA$6)</f>
        <v>1.2199364779000001E-2</v>
      </c>
      <c r="BC488" s="168">
        <v>0.21923479019</v>
      </c>
      <c r="BD488" s="168">
        <f>IF(BC488="","",BC488-BC$6)</f>
        <v>2.49262237E-2</v>
      </c>
      <c r="BE488" s="168"/>
      <c r="BF488" s="168" t="str">
        <f>IF(BE488="","",BE488-BE$6)</f>
        <v/>
      </c>
      <c r="BG488" s="168"/>
      <c r="BH488" s="168" t="str">
        <f>IF(BG488="","",BG488-BG$6)</f>
        <v/>
      </c>
      <c r="BI488" s="168"/>
      <c r="BJ488" s="168" t="str">
        <f>IF(BI488="","",BI488-BI$6)</f>
        <v/>
      </c>
      <c r="BK488" s="169">
        <v>5.6039737798000004</v>
      </c>
      <c r="BL488" s="115"/>
      <c r="BM488" s="170">
        <v>1.8473910142000002E-2</v>
      </c>
      <c r="BN488" s="163">
        <v>-1.0543944552000001E-2</v>
      </c>
      <c r="BO488" s="163">
        <v>2.9458026788999999E-2</v>
      </c>
      <c r="BP488" s="163">
        <v>-9.7642956625000003E-3</v>
      </c>
      <c r="BQ488" s="171">
        <v>7</v>
      </c>
      <c r="BR488" s="171">
        <v>5</v>
      </c>
      <c r="BS488" s="171">
        <v>6</v>
      </c>
      <c r="BT488" s="171">
        <v>6</v>
      </c>
      <c r="BU488" s="172">
        <v>-0.71174067095000004</v>
      </c>
      <c r="BV488" s="172"/>
      <c r="BW488" s="163">
        <v>5.8002737500000004E-3</v>
      </c>
      <c r="BX488" s="163">
        <v>2.5558948317000001E-3</v>
      </c>
      <c r="BY488" s="161">
        <v>-5.0799473941000004</v>
      </c>
      <c r="BZ488" s="163">
        <v>-2.7410927764E-2</v>
      </c>
      <c r="CA488" s="163">
        <v>-2.7410927764E-2</v>
      </c>
      <c r="CB488" s="154">
        <v>45364</v>
      </c>
      <c r="CC488" s="154">
        <v>45412</v>
      </c>
      <c r="CD488" s="173">
        <v>56</v>
      </c>
      <c r="CE488" s="174">
        <v>45447</v>
      </c>
      <c r="CF488" s="115"/>
    </row>
    <row r="489" spans="2:84" ht="15.6" x14ac:dyDescent="0.3">
      <c r="B489" s="98" t="s">
        <v>603</v>
      </c>
      <c r="C489" s="175" t="s">
        <v>1018</v>
      </c>
      <c r="D489" s="176" t="s">
        <v>991</v>
      </c>
      <c r="E489" s="176" t="s">
        <v>226</v>
      </c>
      <c r="F489" s="177">
        <v>19788923000188</v>
      </c>
      <c r="G489" s="177" t="s">
        <v>1046</v>
      </c>
      <c r="H489" s="177" t="s">
        <v>388</v>
      </c>
      <c r="I489" s="178">
        <v>2</v>
      </c>
      <c r="J489" s="179" t="s">
        <v>107</v>
      </c>
      <c r="K489" s="179" t="s">
        <v>126</v>
      </c>
      <c r="L489" s="179" t="s">
        <v>118</v>
      </c>
      <c r="M489" s="179" t="s">
        <v>116</v>
      </c>
      <c r="N489" s="179" t="s">
        <v>109</v>
      </c>
      <c r="O489" s="180">
        <v>106000</v>
      </c>
      <c r="P489" s="181">
        <v>106000000</v>
      </c>
      <c r="Q489" s="181">
        <v>1000</v>
      </c>
      <c r="R489" s="182">
        <v>43631</v>
      </c>
      <c r="S489" s="182">
        <v>48684</v>
      </c>
      <c r="T489" s="183" t="s">
        <v>1062</v>
      </c>
      <c r="U489" s="183" t="s">
        <v>1054</v>
      </c>
      <c r="V489" s="182" t="s">
        <v>194</v>
      </c>
      <c r="W489" s="182" t="s">
        <v>102</v>
      </c>
      <c r="X489" s="182" t="s">
        <v>1084</v>
      </c>
      <c r="Y489" s="182">
        <v>47710</v>
      </c>
      <c r="Z489" s="184">
        <f>IFERROR(INDEX(Base!G:G,MATCH('Debêntures IPCA-Spread'!Y489,Base!F:F,0)),"")</f>
        <v>6.3273999999999999</v>
      </c>
      <c r="AA489" s="115"/>
      <c r="AB489" s="185">
        <v>45552</v>
      </c>
      <c r="AC489" s="186">
        <v>6.6463999999999999</v>
      </c>
      <c r="AD489" s="187">
        <f t="shared" ref="AD489:AD552" si="21">IF(AND(Z489&lt;&gt;"",AC489&lt;&gt;""),AC489-Z489,"")</f>
        <v>0.31899999999999995</v>
      </c>
      <c r="AE489" s="188">
        <v>0.4</v>
      </c>
      <c r="AF489" s="189">
        <v>6.8118999999999996</v>
      </c>
      <c r="AG489" s="189">
        <v>6.6417999999999999</v>
      </c>
      <c r="AH489" s="190">
        <v>1101.992334</v>
      </c>
      <c r="AI489" s="190">
        <v>1111.9286460000001</v>
      </c>
      <c r="AJ489" s="191">
        <f t="shared" si="20"/>
        <v>0.99106389422042096</v>
      </c>
      <c r="AK489" s="192">
        <v>45519</v>
      </c>
      <c r="AL489" s="193">
        <v>88.47</v>
      </c>
      <c r="AM489" s="194">
        <v>1149</v>
      </c>
      <c r="AN489" s="115"/>
      <c r="AO489" s="195">
        <v>1.5308529510000001E-4</v>
      </c>
      <c r="AP489" s="196">
        <f>IF(AO489="","",AO489-AO$6)</f>
        <v>-3.2705958982999999E-4</v>
      </c>
      <c r="AQ489" s="196">
        <v>5.8052929779999997E-3</v>
      </c>
      <c r="AR489" s="196">
        <f>IF(AQ489="","",AQ489-AQ$6)</f>
        <v>6.0227997309599997E-3</v>
      </c>
      <c r="AS489" s="196">
        <v>8.9739813451000003E-2</v>
      </c>
      <c r="AT489" s="196">
        <f>IF(AS489="","",AS489-AS$6)</f>
        <v>7.5013978396000006E-2</v>
      </c>
      <c r="AU489" s="196">
        <v>-4.6415567103E-3</v>
      </c>
      <c r="AV489" s="196">
        <f>IF(AU489="","",AU489-AU$6)</f>
        <v>8.4270258857000006E-3</v>
      </c>
      <c r="AW489" s="196">
        <v>4.2415667359999999E-2</v>
      </c>
      <c r="AX489" s="196">
        <f>IF(AW489="","",AW489-AW$6)</f>
        <v>1.8420599571999999E-2</v>
      </c>
      <c r="AY489" s="196">
        <v>3.7741947741000002E-2</v>
      </c>
      <c r="AZ489" s="196">
        <f>IF(AY489="","",AY489-AY$6)</f>
        <v>2.3499692951000004E-2</v>
      </c>
      <c r="BA489" s="196">
        <v>0.14691716532999999</v>
      </c>
      <c r="BB489" s="196">
        <f>IF(BA489="","",BA489-BA$6)</f>
        <v>9.3430200771999983E-2</v>
      </c>
      <c r="BC489" s="196">
        <v>0.24078016877</v>
      </c>
      <c r="BD489" s="196">
        <f>IF(BC489="","",BC489-BC$6)</f>
        <v>4.6471602279999996E-2</v>
      </c>
      <c r="BE489" s="196">
        <v>0.32823662554999999</v>
      </c>
      <c r="BF489" s="196">
        <f>IF(BE489="","",BE489-BE$6)</f>
        <v>6.651728601000001E-2</v>
      </c>
      <c r="BG489" s="196">
        <v>0.49091980922</v>
      </c>
      <c r="BH489" s="196">
        <f>IF(BG489="","",BG489-BG$6)</f>
        <v>0.18200316040999998</v>
      </c>
      <c r="BI489" s="196"/>
      <c r="BJ489" s="196" t="str">
        <f>IF(BI489="","",BI489-BI$6)</f>
        <v/>
      </c>
      <c r="BK489" s="197">
        <v>6.5147391459000001</v>
      </c>
      <c r="BL489" s="115"/>
      <c r="BM489" s="198">
        <v>2.0214290233000001E-2</v>
      </c>
      <c r="BN489" s="191">
        <v>-1.4245825942999999E-2</v>
      </c>
      <c r="BO489" s="191">
        <v>3.8327891059000002E-2</v>
      </c>
      <c r="BP489" s="191">
        <v>-1.6385234902000001E-2</v>
      </c>
      <c r="BQ489" s="199">
        <v>9</v>
      </c>
      <c r="BR489" s="199">
        <v>3</v>
      </c>
      <c r="BS489" s="199">
        <v>8</v>
      </c>
      <c r="BT489" s="199">
        <v>4</v>
      </c>
      <c r="BU489" s="200">
        <v>0.51854218303999999</v>
      </c>
      <c r="BV489" s="200">
        <v>-0.23331748765999999</v>
      </c>
      <c r="BW489" s="191">
        <v>6.7371137464000003E-3</v>
      </c>
      <c r="BX489" s="191">
        <v>4.7059036415999997E-3</v>
      </c>
      <c r="BY489" s="189">
        <v>3.1405704887999999</v>
      </c>
      <c r="BZ489" s="191">
        <v>-2.1817431468000002E-2</v>
      </c>
      <c r="CA489" s="191">
        <v>-2.1817431468000002E-2</v>
      </c>
      <c r="CB489" s="182">
        <v>45208</v>
      </c>
      <c r="CC489" s="182">
        <v>45229</v>
      </c>
      <c r="CD489" s="201">
        <v>34</v>
      </c>
      <c r="CE489" s="202">
        <v>45259</v>
      </c>
      <c r="CF489" s="115"/>
    </row>
    <row r="490" spans="2:84" ht="15.6" x14ac:dyDescent="0.3">
      <c r="B490" s="110" t="s">
        <v>1524</v>
      </c>
      <c r="C490" s="147" t="s">
        <v>2170</v>
      </c>
      <c r="D490" s="148" t="s">
        <v>1947</v>
      </c>
      <c r="E490" s="148" t="s">
        <v>226</v>
      </c>
      <c r="F490" s="149">
        <v>17875396000113</v>
      </c>
      <c r="G490" s="149" t="s">
        <v>2463</v>
      </c>
      <c r="H490" s="149" t="s">
        <v>388</v>
      </c>
      <c r="I490" s="150">
        <v>1</v>
      </c>
      <c r="J490" s="151" t="s">
        <v>108</v>
      </c>
      <c r="K490" s="151" t="s">
        <v>126</v>
      </c>
      <c r="L490" s="151" t="s">
        <v>124</v>
      </c>
      <c r="M490" s="151" t="s">
        <v>116</v>
      </c>
      <c r="N490" s="151" t="s">
        <v>109</v>
      </c>
      <c r="O490" s="152">
        <v>45000</v>
      </c>
      <c r="P490" s="153">
        <v>45000000</v>
      </c>
      <c r="Q490" s="153">
        <v>1000</v>
      </c>
      <c r="R490" s="154">
        <v>42860</v>
      </c>
      <c r="S490" s="154">
        <v>46949</v>
      </c>
      <c r="T490" s="155" t="s">
        <v>2031</v>
      </c>
      <c r="U490" s="155" t="s">
        <v>1736</v>
      </c>
      <c r="V490" s="154" t="s">
        <v>105</v>
      </c>
      <c r="W490" s="154" t="s">
        <v>102</v>
      </c>
      <c r="X490" s="154" t="s">
        <v>1641</v>
      </c>
      <c r="Y490" s="154">
        <v>46249</v>
      </c>
      <c r="Z490" s="156">
        <f>IFERROR(INDEX(Base!G:G,MATCH('Debêntures IPCA-Spread'!Y490,Base!F:F,0)),"")</f>
        <v>6.5365000000000002</v>
      </c>
      <c r="AA490" s="115"/>
      <c r="AB490" s="157">
        <v>45015</v>
      </c>
      <c r="AC490" s="158"/>
      <c r="AD490" s="159" t="str">
        <f t="shared" si="21"/>
        <v/>
      </c>
      <c r="AE490" s="160"/>
      <c r="AF490" s="161"/>
      <c r="AG490" s="161"/>
      <c r="AH490" s="162"/>
      <c r="AI490" s="162"/>
      <c r="AJ490" s="163" t="str">
        <f t="shared" si="20"/>
        <v/>
      </c>
      <c r="AK490" s="164"/>
      <c r="AL490" s="165"/>
      <c r="AM490" s="166"/>
      <c r="AN490" s="115"/>
      <c r="AO490" s="167"/>
      <c r="AP490" s="168" t="str">
        <f>IF(AO490="","",AO490-AO$6)</f>
        <v/>
      </c>
      <c r="AQ490" s="168"/>
      <c r="AR490" s="168" t="str">
        <f>IF(AQ490="","",AQ490-AQ$6)</f>
        <v/>
      </c>
      <c r="AS490" s="168"/>
      <c r="AT490" s="168" t="str">
        <f>IF(AS490="","",AS490-AS$6)</f>
        <v/>
      </c>
      <c r="AU490" s="168"/>
      <c r="AV490" s="168" t="str">
        <f>IF(AU490="","",AU490-AU$6)</f>
        <v/>
      </c>
      <c r="AW490" s="168"/>
      <c r="AX490" s="168" t="str">
        <f>IF(AW490="","",AW490-AW$6)</f>
        <v/>
      </c>
      <c r="AY490" s="168"/>
      <c r="AZ490" s="168" t="str">
        <f>IF(AY490="","",AY490-AY$6)</f>
        <v/>
      </c>
      <c r="BA490" s="168"/>
      <c r="BB490" s="168" t="str">
        <f>IF(BA490="","",BA490-BA$6)</f>
        <v/>
      </c>
      <c r="BC490" s="168"/>
      <c r="BD490" s="168" t="str">
        <f>IF(BC490="","",BC490-BC$6)</f>
        <v/>
      </c>
      <c r="BE490" s="168"/>
      <c r="BF490" s="168" t="str">
        <f>IF(BE490="","",BE490-BE$6)</f>
        <v/>
      </c>
      <c r="BG490" s="168"/>
      <c r="BH490" s="168" t="str">
        <f>IF(BG490="","",BG490-BG$6)</f>
        <v/>
      </c>
      <c r="BI490" s="168"/>
      <c r="BJ490" s="168" t="str">
        <f>IF(BI490="","",BI490-BI$6)</f>
        <v/>
      </c>
      <c r="BK490" s="169"/>
      <c r="BL490" s="115"/>
      <c r="BM490" s="170"/>
      <c r="BN490" s="163"/>
      <c r="BO490" s="163"/>
      <c r="BP490" s="163"/>
      <c r="BQ490" s="171"/>
      <c r="BR490" s="171"/>
      <c r="BS490" s="171"/>
      <c r="BT490" s="171"/>
      <c r="BU490" s="172"/>
      <c r="BV490" s="172"/>
      <c r="BW490" s="163"/>
      <c r="BX490" s="163"/>
      <c r="BY490" s="161"/>
      <c r="BZ490" s="163"/>
      <c r="CA490" s="163"/>
      <c r="CB490" s="154"/>
      <c r="CC490" s="154"/>
      <c r="CD490" s="173"/>
      <c r="CE490" s="174"/>
      <c r="CF490" s="115"/>
    </row>
    <row r="491" spans="2:84" ht="15.6" x14ac:dyDescent="0.3">
      <c r="B491" s="98" t="s">
        <v>66</v>
      </c>
      <c r="C491" s="175" t="s">
        <v>330</v>
      </c>
      <c r="D491" s="176" t="s">
        <v>100</v>
      </c>
      <c r="E491" s="176" t="s">
        <v>226</v>
      </c>
      <c r="F491" s="177">
        <v>17875156000119</v>
      </c>
      <c r="G491" s="177" t="s">
        <v>386</v>
      </c>
      <c r="H491" s="177" t="s">
        <v>388</v>
      </c>
      <c r="I491" s="178">
        <v>1</v>
      </c>
      <c r="J491" s="179" t="s">
        <v>107</v>
      </c>
      <c r="K491" s="179" t="s">
        <v>111</v>
      </c>
      <c r="L491" s="179" t="s">
        <v>112</v>
      </c>
      <c r="M491" s="179" t="s">
        <v>116</v>
      </c>
      <c r="N491" s="179" t="s">
        <v>109</v>
      </c>
      <c r="O491" s="180">
        <v>111000</v>
      </c>
      <c r="P491" s="181">
        <v>111000000</v>
      </c>
      <c r="Q491" s="181">
        <v>1000</v>
      </c>
      <c r="R491" s="182">
        <v>42262</v>
      </c>
      <c r="S491" s="182">
        <v>46919</v>
      </c>
      <c r="T491" s="183" t="s">
        <v>110</v>
      </c>
      <c r="U491" s="183" t="s">
        <v>192</v>
      </c>
      <c r="V491" s="182" t="s">
        <v>194</v>
      </c>
      <c r="W491" s="182" t="s">
        <v>102</v>
      </c>
      <c r="X491" s="182" t="s">
        <v>213</v>
      </c>
      <c r="Y491" s="182">
        <v>46249</v>
      </c>
      <c r="Z491" s="184">
        <f>IFERROR(INDEX(Base!G:G,MATCH('Debêntures IPCA-Spread'!Y491,Base!F:F,0)),"")</f>
        <v>6.5365000000000002</v>
      </c>
      <c r="AA491" s="115"/>
      <c r="AB491" s="185">
        <v>45449</v>
      </c>
      <c r="AC491" s="186"/>
      <c r="AD491" s="187" t="str">
        <f t="shared" si="21"/>
        <v/>
      </c>
      <c r="AE491" s="188"/>
      <c r="AF491" s="189"/>
      <c r="AG491" s="189"/>
      <c r="AH491" s="190"/>
      <c r="AI491" s="190">
        <v>832.90282089000004</v>
      </c>
      <c r="AJ491" s="191">
        <f t="shared" si="20"/>
        <v>0</v>
      </c>
      <c r="AK491" s="192">
        <v>45422</v>
      </c>
      <c r="AL491" s="193"/>
      <c r="AM491" s="194"/>
      <c r="AN491" s="115"/>
      <c r="AO491" s="195"/>
      <c r="AP491" s="196" t="str">
        <f>IF(AO491="","",AO491-AO$6)</f>
        <v/>
      </c>
      <c r="AQ491" s="196"/>
      <c r="AR491" s="196" t="str">
        <f>IF(AQ491="","",AQ491-AQ$6)</f>
        <v/>
      </c>
      <c r="AS491" s="196"/>
      <c r="AT491" s="196" t="str">
        <f>IF(AS491="","",AS491-AS$6)</f>
        <v/>
      </c>
      <c r="AU491" s="196"/>
      <c r="AV491" s="196" t="str">
        <f>IF(AU491="","",AU491-AU$6)</f>
        <v/>
      </c>
      <c r="AW491" s="196"/>
      <c r="AX491" s="196" t="str">
        <f>IF(AW491="","",AW491-AW$6)</f>
        <v/>
      </c>
      <c r="AY491" s="196"/>
      <c r="AZ491" s="196" t="str">
        <f>IF(AY491="","",AY491-AY$6)</f>
        <v/>
      </c>
      <c r="BA491" s="196"/>
      <c r="BB491" s="196" t="str">
        <f>IF(BA491="","",BA491-BA$6)</f>
        <v/>
      </c>
      <c r="BC491" s="196"/>
      <c r="BD491" s="196" t="str">
        <f>IF(BC491="","",BC491-BC$6)</f>
        <v/>
      </c>
      <c r="BE491" s="196"/>
      <c r="BF491" s="196" t="str">
        <f>IF(BE491="","",BE491-BE$6)</f>
        <v/>
      </c>
      <c r="BG491" s="196"/>
      <c r="BH491" s="196" t="str">
        <f>IF(BG491="","",BG491-BG$6)</f>
        <v/>
      </c>
      <c r="BI491" s="196"/>
      <c r="BJ491" s="196" t="str">
        <f>IF(BI491="","",BI491-BI$6)</f>
        <v/>
      </c>
      <c r="BK491" s="197"/>
      <c r="BL491" s="115"/>
      <c r="BM491" s="198">
        <v>1.0345264294E-2</v>
      </c>
      <c r="BN491" s="191">
        <v>-7.3893758235000001E-3</v>
      </c>
      <c r="BO491" s="191">
        <v>1.7407353670999999E-2</v>
      </c>
      <c r="BP491" s="191">
        <v>-3.0445651372999999E-4</v>
      </c>
      <c r="BQ491" s="199"/>
      <c r="BR491" s="199"/>
      <c r="BS491" s="199"/>
      <c r="BT491" s="199"/>
      <c r="BU491" s="200"/>
      <c r="BV491" s="200"/>
      <c r="BW491" s="191"/>
      <c r="BX491" s="191"/>
      <c r="BY491" s="189"/>
      <c r="BZ491" s="191">
        <v>-1.8545984261000001E-2</v>
      </c>
      <c r="CA491" s="191">
        <v>-1.8545984261000001E-2</v>
      </c>
      <c r="CB491" s="182">
        <v>45215</v>
      </c>
      <c r="CC491" s="182">
        <v>45218</v>
      </c>
      <c r="CD491" s="201">
        <v>16</v>
      </c>
      <c r="CE491" s="202">
        <v>45238</v>
      </c>
      <c r="CF491" s="115"/>
    </row>
    <row r="492" spans="2:84" ht="15.6" x14ac:dyDescent="0.3">
      <c r="B492" s="110" t="s">
        <v>67</v>
      </c>
      <c r="C492" s="147" t="s">
        <v>331</v>
      </c>
      <c r="D492" s="148" t="s">
        <v>101</v>
      </c>
      <c r="E492" s="148" t="s">
        <v>103</v>
      </c>
      <c r="F492" s="149">
        <v>15675033000109</v>
      </c>
      <c r="G492" s="149" t="s">
        <v>387</v>
      </c>
      <c r="H492" s="149" t="s">
        <v>388</v>
      </c>
      <c r="I492" s="150">
        <v>2</v>
      </c>
      <c r="J492" s="151" t="s">
        <v>108</v>
      </c>
      <c r="K492" s="151" t="s">
        <v>126</v>
      </c>
      <c r="L492" s="151" t="s">
        <v>122</v>
      </c>
      <c r="M492" s="151" t="s">
        <v>106</v>
      </c>
      <c r="N492" s="151" t="s">
        <v>109</v>
      </c>
      <c r="O492" s="152">
        <v>89000</v>
      </c>
      <c r="P492" s="153">
        <v>89000000</v>
      </c>
      <c r="Q492" s="153">
        <v>1000</v>
      </c>
      <c r="R492" s="154">
        <v>42200</v>
      </c>
      <c r="S492" s="154">
        <v>46736</v>
      </c>
      <c r="T492" s="155" t="s">
        <v>164</v>
      </c>
      <c r="U492" s="155" t="s">
        <v>193</v>
      </c>
      <c r="V492" s="154" t="s">
        <v>194</v>
      </c>
      <c r="W492" s="154" t="s">
        <v>102</v>
      </c>
      <c r="X492" s="154" t="s">
        <v>214</v>
      </c>
      <c r="Y492" s="154">
        <v>46249</v>
      </c>
      <c r="Z492" s="156">
        <f>IFERROR(INDEX(Base!G:G,MATCH('Debêntures IPCA-Spread'!Y492,Base!F:F,0)),"")</f>
        <v>6.5365000000000002</v>
      </c>
      <c r="AA492" s="115"/>
      <c r="AB492" s="157">
        <v>45552</v>
      </c>
      <c r="AC492" s="158">
        <v>8.8626000000000005</v>
      </c>
      <c r="AD492" s="159">
        <f t="shared" si="21"/>
        <v>2.3261000000000003</v>
      </c>
      <c r="AE492" s="160">
        <v>0.41</v>
      </c>
      <c r="AF492" s="161"/>
      <c r="AG492" s="161"/>
      <c r="AH492" s="162">
        <v>1056.4472699999999</v>
      </c>
      <c r="AI492" s="162">
        <v>1056.4472699999999</v>
      </c>
      <c r="AJ492" s="163">
        <f t="shared" si="20"/>
        <v>1</v>
      </c>
      <c r="AK492" s="164">
        <v>45552</v>
      </c>
      <c r="AL492" s="165">
        <v>99.99</v>
      </c>
      <c r="AM492" s="166">
        <v>436</v>
      </c>
      <c r="AN492" s="115"/>
      <c r="AO492" s="167">
        <v>3.2185103063999999E-3</v>
      </c>
      <c r="AP492" s="168">
        <f>IF(AO492="","",AO492-AO$6)</f>
        <v>2.7383654214699999E-3</v>
      </c>
      <c r="AQ492" s="168">
        <v>1.0666208118E-2</v>
      </c>
      <c r="AR492" s="168">
        <f>IF(AQ492="","",AQ492-AQ$6)</f>
        <v>1.0883714870959999E-2</v>
      </c>
      <c r="AS492" s="168">
        <v>5.6972103197000003E-2</v>
      </c>
      <c r="AT492" s="168">
        <f>IF(AS492="","",AS492-AS$6)</f>
        <v>4.2246268141999999E-2</v>
      </c>
      <c r="AU492" s="168">
        <v>7.3040924544000001E-3</v>
      </c>
      <c r="AV492" s="168">
        <f>IF(AU492="","",AU492-AU$6)</f>
        <v>2.03726750504E-2</v>
      </c>
      <c r="AW492" s="168">
        <v>3.3164527175999998E-2</v>
      </c>
      <c r="AX492" s="168">
        <f>IF(AW492="","",AW492-AW$6)</f>
        <v>9.169459387999998E-3</v>
      </c>
      <c r="AY492" s="168">
        <v>5.0497438109000002E-2</v>
      </c>
      <c r="AZ492" s="168">
        <f>IF(AY492="","",AY492-AY$6)</f>
        <v>3.6255183319000003E-2</v>
      </c>
      <c r="BA492" s="168">
        <v>8.6548593778999997E-2</v>
      </c>
      <c r="BB492" s="168">
        <f>IF(BA492="","",BA492-BA$6)</f>
        <v>3.3061629220999998E-2</v>
      </c>
      <c r="BC492" s="168">
        <v>0.2058186256</v>
      </c>
      <c r="BD492" s="168">
        <f>IF(BC492="","",BC492-BC$6)</f>
        <v>1.1510059109999998E-2</v>
      </c>
      <c r="BE492" s="168">
        <v>0.35478398277000001</v>
      </c>
      <c r="BF492" s="168">
        <f>IF(BE492="","",BE492-BE$6)</f>
        <v>9.3064643230000021E-2</v>
      </c>
      <c r="BG492" s="168">
        <v>0.6112861664</v>
      </c>
      <c r="BH492" s="168">
        <f>IF(BG492="","",BG492-BG$6)</f>
        <v>0.30236951758999997</v>
      </c>
      <c r="BI492" s="168"/>
      <c r="BJ492" s="168" t="str">
        <f>IF(BI492="","",BI492-BI$6)</f>
        <v/>
      </c>
      <c r="BK492" s="169">
        <v>4.4675761006999997</v>
      </c>
      <c r="BL492" s="115"/>
      <c r="BM492" s="170">
        <v>1.0392923425999999E-2</v>
      </c>
      <c r="BN492" s="163">
        <v>-1.0387707941E-2</v>
      </c>
      <c r="BO492" s="163">
        <v>2.0925329693999999E-2</v>
      </c>
      <c r="BP492" s="163">
        <v>-8.6678626038999996E-3</v>
      </c>
      <c r="BQ492" s="171">
        <v>10</v>
      </c>
      <c r="BR492" s="171">
        <v>2</v>
      </c>
      <c r="BS492" s="171">
        <v>6</v>
      </c>
      <c r="BT492" s="171">
        <v>6</v>
      </c>
      <c r="BU492" s="172">
        <v>-0.45449040148999997</v>
      </c>
      <c r="BV492" s="172">
        <v>-0.21077102820999999</v>
      </c>
      <c r="BW492" s="163">
        <v>4.6156344427000003E-3</v>
      </c>
      <c r="BX492" s="163">
        <v>4.0386581284000004E-3</v>
      </c>
      <c r="BY492" s="161">
        <v>-1.9152236446999999</v>
      </c>
      <c r="BZ492" s="163">
        <v>-1.5793899343E-2</v>
      </c>
      <c r="CA492" s="163">
        <v>-1.5793899343E-2</v>
      </c>
      <c r="CB492" s="154">
        <v>45383</v>
      </c>
      <c r="CC492" s="154">
        <v>45399</v>
      </c>
      <c r="CD492" s="173">
        <v>26</v>
      </c>
      <c r="CE492" s="174">
        <v>45420</v>
      </c>
      <c r="CF492" s="115"/>
    </row>
    <row r="493" spans="2:84" ht="15.6" x14ac:dyDescent="0.3">
      <c r="B493" s="98" t="s">
        <v>1525</v>
      </c>
      <c r="C493" s="175" t="s">
        <v>2171</v>
      </c>
      <c r="D493" s="176" t="s">
        <v>1948</v>
      </c>
      <c r="E493" s="176" t="s">
        <v>226</v>
      </c>
      <c r="F493" s="177">
        <v>19729992000110</v>
      </c>
      <c r="G493" s="177" t="s">
        <v>1881</v>
      </c>
      <c r="H493" s="177" t="s">
        <v>388</v>
      </c>
      <c r="I493" s="178">
        <v>2</v>
      </c>
      <c r="J493" s="179" t="s">
        <v>107</v>
      </c>
      <c r="K493" s="179" t="s">
        <v>126</v>
      </c>
      <c r="L493" s="179" t="s">
        <v>120</v>
      </c>
      <c r="M493" s="179" t="s">
        <v>114</v>
      </c>
      <c r="N493" s="179" t="s">
        <v>109</v>
      </c>
      <c r="O493" s="180">
        <v>140000</v>
      </c>
      <c r="P493" s="181">
        <v>140000000</v>
      </c>
      <c r="Q493" s="181">
        <v>1000</v>
      </c>
      <c r="R493" s="182">
        <v>43296</v>
      </c>
      <c r="S493" s="182">
        <v>45853</v>
      </c>
      <c r="T493" s="183" t="s">
        <v>2032</v>
      </c>
      <c r="U493" s="183" t="s">
        <v>161</v>
      </c>
      <c r="V493" s="182" t="s">
        <v>105</v>
      </c>
      <c r="W493" s="182" t="s">
        <v>102</v>
      </c>
      <c r="X493" s="182" t="s">
        <v>1642</v>
      </c>
      <c r="Y493" s="182">
        <v>45792</v>
      </c>
      <c r="Z493" s="184">
        <f>IFERROR(INDEX(Base!G:G,MATCH('Debêntures IPCA-Spread'!Y493,Base!F:F,0)),"")</f>
        <v>5.73</v>
      </c>
      <c r="AA493" s="115"/>
      <c r="AB493" s="185">
        <v>45552</v>
      </c>
      <c r="AC493" s="186">
        <v>5.7249999999999996</v>
      </c>
      <c r="AD493" s="187">
        <f t="shared" si="21"/>
        <v>-5.0000000000007816E-3</v>
      </c>
      <c r="AE493" s="188">
        <v>0.3</v>
      </c>
      <c r="AF493" s="189">
        <v>6.0519999999999996</v>
      </c>
      <c r="AG493" s="189">
        <v>5.6317000000000004</v>
      </c>
      <c r="AH493" s="190">
        <v>1397.8604969999999</v>
      </c>
      <c r="AI493" s="190">
        <v>1397.8604969999999</v>
      </c>
      <c r="AJ493" s="191">
        <f t="shared" si="20"/>
        <v>1</v>
      </c>
      <c r="AK493" s="192">
        <v>45552</v>
      </c>
      <c r="AL493" s="193">
        <v>100.17</v>
      </c>
      <c r="AM493" s="194">
        <v>201</v>
      </c>
      <c r="AN493" s="115"/>
      <c r="AO493" s="195">
        <v>7.0740035881000001E-4</v>
      </c>
      <c r="AP493" s="196">
        <f>IF(AO493="","",AO493-AO$6)</f>
        <v>2.2725547388000001E-4</v>
      </c>
      <c r="AQ493" s="196">
        <v>6.6408408092999997E-3</v>
      </c>
      <c r="AR493" s="196">
        <f>IF(AQ493="","",AQ493-AQ$6)</f>
        <v>6.8583475622599997E-3</v>
      </c>
      <c r="AS493" s="196">
        <v>7.8184937368999993E-2</v>
      </c>
      <c r="AT493" s="196">
        <f>IF(AS493="","",AS493-AS$6)</f>
        <v>6.3459102313999996E-2</v>
      </c>
      <c r="AU493" s="196">
        <v>9.7243938289000003E-3</v>
      </c>
      <c r="AV493" s="196">
        <f>IF(AU493="","",AU493-AU$6)</f>
        <v>2.27929764249E-2</v>
      </c>
      <c r="AW493" s="196">
        <v>2.8135427287000001E-2</v>
      </c>
      <c r="AX493" s="196">
        <f>IF(AW493="","",AW493-AW$6)</f>
        <v>4.1403594990000007E-3</v>
      </c>
      <c r="AY493" s="196">
        <v>4.9420462605E-2</v>
      </c>
      <c r="AZ493" s="196">
        <f>IF(AY493="","",AY493-AY$6)</f>
        <v>3.5178207815000001E-2</v>
      </c>
      <c r="BA493" s="196">
        <v>0.11284473373999999</v>
      </c>
      <c r="BB493" s="196">
        <f>IF(BA493="","",BA493-BA$6)</f>
        <v>5.9357769181999996E-2</v>
      </c>
      <c r="BC493" s="196">
        <v>0.24081864016000001</v>
      </c>
      <c r="BD493" s="196">
        <f>IF(BC493="","",BC493-BC$6)</f>
        <v>4.6510073670000013E-2</v>
      </c>
      <c r="BE493" s="196"/>
      <c r="BF493" s="196" t="str">
        <f>IF(BE493="","",BE493-BE$6)</f>
        <v/>
      </c>
      <c r="BG493" s="196"/>
      <c r="BH493" s="196" t="str">
        <f>IF(BG493="","",BG493-BG$6)</f>
        <v/>
      </c>
      <c r="BI493" s="196"/>
      <c r="BJ493" s="196" t="str">
        <f>IF(BI493="","",BI493-BI$6)</f>
        <v/>
      </c>
      <c r="BK493" s="197">
        <v>2.1815731940999998</v>
      </c>
      <c r="BL493" s="115"/>
      <c r="BM493" s="198">
        <v>4.9185934858999997E-3</v>
      </c>
      <c r="BN493" s="191">
        <v>-5.4248217521000001E-3</v>
      </c>
      <c r="BO493" s="191">
        <v>1.429594428E-2</v>
      </c>
      <c r="BP493" s="191">
        <v>2.4064103744999999E-3</v>
      </c>
      <c r="BQ493" s="199">
        <v>12</v>
      </c>
      <c r="BR493" s="199">
        <v>0</v>
      </c>
      <c r="BS493" s="199">
        <v>8</v>
      </c>
      <c r="BT493" s="199">
        <v>4</v>
      </c>
      <c r="BU493" s="200">
        <v>5.4953829870999997E-2</v>
      </c>
      <c r="BV493" s="200"/>
      <c r="BW493" s="191">
        <v>2.2540994807999999E-3</v>
      </c>
      <c r="BX493" s="191">
        <v>1.3695556734E-3</v>
      </c>
      <c r="BY493" s="189">
        <v>-2.0175447058999998E-2</v>
      </c>
      <c r="BZ493" s="191">
        <v>-7.6096468048000004E-3</v>
      </c>
      <c r="CA493" s="191">
        <v>-7.6096468048000004E-3</v>
      </c>
      <c r="CB493" s="182">
        <v>45209</v>
      </c>
      <c r="CC493" s="182">
        <v>45218</v>
      </c>
      <c r="CD493" s="201">
        <v>11</v>
      </c>
      <c r="CE493" s="202">
        <v>45225</v>
      </c>
      <c r="CF493" s="115"/>
    </row>
    <row r="494" spans="2:84" ht="15.6" x14ac:dyDescent="0.3">
      <c r="B494" s="110" t="s">
        <v>1526</v>
      </c>
      <c r="C494" s="147" t="s">
        <v>2172</v>
      </c>
      <c r="D494" s="148" t="s">
        <v>1949</v>
      </c>
      <c r="E494" s="148" t="s">
        <v>227</v>
      </c>
      <c r="F494" s="149">
        <v>31748174000160</v>
      </c>
      <c r="G494" s="149" t="s">
        <v>1882</v>
      </c>
      <c r="H494" s="149" t="s">
        <v>388</v>
      </c>
      <c r="I494" s="150">
        <v>2</v>
      </c>
      <c r="J494" s="151" t="s">
        <v>107</v>
      </c>
      <c r="K494" s="151" t="s">
        <v>128</v>
      </c>
      <c r="L494" s="151" t="s">
        <v>118</v>
      </c>
      <c r="M494" s="151" t="s">
        <v>114</v>
      </c>
      <c r="N494" s="151" t="s">
        <v>109</v>
      </c>
      <c r="O494" s="152">
        <v>375000</v>
      </c>
      <c r="P494" s="153">
        <v>375000000</v>
      </c>
      <c r="Q494" s="153">
        <v>1000</v>
      </c>
      <c r="R494" s="154">
        <v>45002</v>
      </c>
      <c r="S494" s="154">
        <v>47559</v>
      </c>
      <c r="T494" s="155" t="s">
        <v>1994</v>
      </c>
      <c r="U494" s="155" t="s">
        <v>1737</v>
      </c>
      <c r="V494" s="154" t="s">
        <v>105</v>
      </c>
      <c r="W494" s="154" t="s">
        <v>102</v>
      </c>
      <c r="X494" s="154" t="s">
        <v>1643</v>
      </c>
      <c r="Y494" s="154">
        <v>46980</v>
      </c>
      <c r="Z494" s="156">
        <f>IFERROR(INDEX(Base!G:G,MATCH('Debêntures IPCA-Spread'!Y494,Base!F:F,0)),"")</f>
        <v>6.4702000000000002</v>
      </c>
      <c r="AA494" s="115"/>
      <c r="AB494" s="157">
        <v>45552</v>
      </c>
      <c r="AC494" s="158">
        <v>8.4065999999999992</v>
      </c>
      <c r="AD494" s="159">
        <f t="shared" si="21"/>
        <v>1.936399999999999</v>
      </c>
      <c r="AE494" s="160">
        <v>0.19</v>
      </c>
      <c r="AF494" s="161">
        <v>8.5791000000000004</v>
      </c>
      <c r="AG494" s="161">
        <v>8.2697000000000003</v>
      </c>
      <c r="AH494" s="162">
        <v>1086.7208290000001</v>
      </c>
      <c r="AI494" s="162">
        <v>1086.7208290000001</v>
      </c>
      <c r="AJ494" s="163">
        <f t="shared" si="20"/>
        <v>1</v>
      </c>
      <c r="AK494" s="164">
        <v>45552</v>
      </c>
      <c r="AL494" s="165">
        <v>102.94</v>
      </c>
      <c r="AM494" s="166">
        <v>854</v>
      </c>
      <c r="AN494" s="115"/>
      <c r="AO494" s="167">
        <v>2.114350671E-3</v>
      </c>
      <c r="AP494" s="168">
        <f>IF(AO494="","",AO494-AO$6)</f>
        <v>1.63420578607E-3</v>
      </c>
      <c r="AQ494" s="168">
        <v>7.6303110291000001E-3</v>
      </c>
      <c r="AR494" s="168">
        <f>IF(AQ494="","",AQ494-AQ$6)</f>
        <v>7.8478177820600001E-3</v>
      </c>
      <c r="AS494" s="168">
        <v>0.10027400755</v>
      </c>
      <c r="AT494" s="168">
        <f>IF(AS494="","",AS494-AS$6)</f>
        <v>8.5548172495000005E-2</v>
      </c>
      <c r="AU494" s="168">
        <v>1.4888936308999999E-2</v>
      </c>
      <c r="AV494" s="168">
        <f>IF(AU494="","",AU494-AU$6)</f>
        <v>2.7957518904999999E-2</v>
      </c>
      <c r="AW494" s="168">
        <v>4.8482606746000002E-2</v>
      </c>
      <c r="AX494" s="168">
        <f>IF(AW494="","",AW494-AW$6)</f>
        <v>2.4487538958000002E-2</v>
      </c>
      <c r="AY494" s="168">
        <v>5.0539906899000002E-2</v>
      </c>
      <c r="AZ494" s="168">
        <f>IF(AY494="","",AY494-AY$6)</f>
        <v>3.6297652109000003E-2</v>
      </c>
      <c r="BA494" s="168">
        <v>0.14234059238999999</v>
      </c>
      <c r="BB494" s="168">
        <f>IF(BA494="","",BA494-BA$6)</f>
        <v>8.8853627831999987E-2</v>
      </c>
      <c r="BC494" s="168"/>
      <c r="BD494" s="168" t="str">
        <f>IF(BC494="","",BC494-BC$6)</f>
        <v/>
      </c>
      <c r="BE494" s="168"/>
      <c r="BF494" s="168" t="str">
        <f>IF(BE494="","",BE494-BE$6)</f>
        <v/>
      </c>
      <c r="BG494" s="168"/>
      <c r="BH494" s="168" t="str">
        <f>IF(BG494="","",BG494-BG$6)</f>
        <v/>
      </c>
      <c r="BI494" s="168"/>
      <c r="BJ494" s="168" t="str">
        <f>IF(BI494="","",BI494-BI$6)</f>
        <v/>
      </c>
      <c r="BK494" s="169">
        <v>4.3401214392999998</v>
      </c>
      <c r="BL494" s="115"/>
      <c r="BM494" s="170">
        <v>1.0688266538000001E-2</v>
      </c>
      <c r="BN494" s="163">
        <v>-8.2654648630999996E-3</v>
      </c>
      <c r="BO494" s="163">
        <v>2.2928589235000001E-2</v>
      </c>
      <c r="BP494" s="163">
        <v>-1.1131371276E-2</v>
      </c>
      <c r="BQ494" s="171">
        <v>11</v>
      </c>
      <c r="BR494" s="171">
        <v>1</v>
      </c>
      <c r="BS494" s="171">
        <v>8</v>
      </c>
      <c r="BT494" s="171">
        <v>4</v>
      </c>
      <c r="BU494" s="172">
        <v>0.65562776734999995</v>
      </c>
      <c r="BV494" s="172"/>
      <c r="BW494" s="163">
        <v>4.4870035874999999E-3</v>
      </c>
      <c r="BX494" s="163">
        <v>4.1081349771000001E-3</v>
      </c>
      <c r="BY494" s="161">
        <v>2.5900047694000001</v>
      </c>
      <c r="BZ494" s="163">
        <v>-1.4259811781E-2</v>
      </c>
      <c r="CA494" s="163">
        <v>-1.4259811781E-2</v>
      </c>
      <c r="CB494" s="154">
        <v>45191</v>
      </c>
      <c r="CC494" s="154">
        <v>45202</v>
      </c>
      <c r="CD494" s="173">
        <v>11</v>
      </c>
      <c r="CE494" s="174">
        <v>45208</v>
      </c>
      <c r="CF494" s="115"/>
    </row>
    <row r="495" spans="2:84" ht="15.6" x14ac:dyDescent="0.3">
      <c r="B495" s="98" t="s">
        <v>2325</v>
      </c>
      <c r="C495" s="175" t="s">
        <v>2710</v>
      </c>
      <c r="D495" s="176" t="s">
        <v>1949</v>
      </c>
      <c r="E495" s="176" t="s">
        <v>227</v>
      </c>
      <c r="F495" s="177">
        <v>31748174000160</v>
      </c>
      <c r="G495" s="177" t="s">
        <v>2464</v>
      </c>
      <c r="H495" s="177" t="s">
        <v>388</v>
      </c>
      <c r="I495" s="178">
        <v>3</v>
      </c>
      <c r="J495" s="179">
        <v>1</v>
      </c>
      <c r="K495" s="179" t="s">
        <v>128</v>
      </c>
      <c r="L495" s="179" t="s">
        <v>2466</v>
      </c>
      <c r="M495" s="179" t="s">
        <v>114</v>
      </c>
      <c r="N495" s="179" t="s">
        <v>109</v>
      </c>
      <c r="O495" s="180">
        <v>507365</v>
      </c>
      <c r="P495" s="181">
        <v>507365000</v>
      </c>
      <c r="Q495" s="181">
        <v>1000</v>
      </c>
      <c r="R495" s="182">
        <v>45366</v>
      </c>
      <c r="S495" s="182">
        <v>47922</v>
      </c>
      <c r="T495" s="183" t="s">
        <v>2818</v>
      </c>
      <c r="U495" s="183" t="s">
        <v>2779</v>
      </c>
      <c r="V495" s="182" t="s">
        <v>105</v>
      </c>
      <c r="W495" s="182" t="s">
        <v>102</v>
      </c>
      <c r="X495" s="182" t="s">
        <v>2581</v>
      </c>
      <c r="Y495" s="182">
        <v>47253</v>
      </c>
      <c r="Z495" s="184">
        <f>IFERROR(INDEX(Base!G:G,MATCH('Debêntures IPCA-Spread'!Y495,Base!F:F,0)),"")</f>
        <v>6.41</v>
      </c>
      <c r="AA495" s="115"/>
      <c r="AB495" s="185">
        <v>45552</v>
      </c>
      <c r="AC495" s="186">
        <v>8.7711000000000006</v>
      </c>
      <c r="AD495" s="187">
        <f t="shared" si="21"/>
        <v>2.3611000000000004</v>
      </c>
      <c r="AE495" s="188">
        <v>0.15</v>
      </c>
      <c r="AF495" s="189">
        <v>9.0434000000000001</v>
      </c>
      <c r="AG495" s="189">
        <v>8.6148000000000007</v>
      </c>
      <c r="AH495" s="190">
        <v>1000.859249</v>
      </c>
      <c r="AI495" s="190"/>
      <c r="AJ495" s="191" t="str">
        <f t="shared" si="20"/>
        <v/>
      </c>
      <c r="AK495" s="192"/>
      <c r="AL495" s="193">
        <v>98.5</v>
      </c>
      <c r="AM495" s="194">
        <v>1126</v>
      </c>
      <c r="AN495" s="115"/>
      <c r="AO495" s="195">
        <v>1.8880477601E-3</v>
      </c>
      <c r="AP495" s="196">
        <f>IF(AO495="","",AO495-AO$6)</f>
        <v>1.40790287517E-3</v>
      </c>
      <c r="AQ495" s="196">
        <v>4.8446795863E-3</v>
      </c>
      <c r="AR495" s="196">
        <f>IF(AQ495="","",AQ495-AQ$6)</f>
        <v>5.0621863392600001E-3</v>
      </c>
      <c r="AS495" s="196"/>
      <c r="AT495" s="196" t="str">
        <f>IF(AS495="","",AS495-AS$6)</f>
        <v/>
      </c>
      <c r="AU495" s="196">
        <v>-1.7314627548000001E-3</v>
      </c>
      <c r="AV495" s="196">
        <f>IF(AU495="","",AU495-AU$6)</f>
        <v>1.13371198412E-2</v>
      </c>
      <c r="AW495" s="196">
        <v>3.4255795796000001E-2</v>
      </c>
      <c r="AX495" s="196">
        <f>IF(AW495="","",AW495-AW$6)</f>
        <v>1.0260728008E-2</v>
      </c>
      <c r="AY495" s="196"/>
      <c r="AZ495" s="196" t="str">
        <f>IF(AY495="","",AY495-AY$6)</f>
        <v/>
      </c>
      <c r="BA495" s="196"/>
      <c r="BB495" s="196" t="str">
        <f>IF(BA495="","",BA495-BA$6)</f>
        <v/>
      </c>
      <c r="BC495" s="196"/>
      <c r="BD495" s="196" t="str">
        <f>IF(BC495="","",BC495-BC$6)</f>
        <v/>
      </c>
      <c r="BE495" s="196"/>
      <c r="BF495" s="196" t="str">
        <f>IF(BE495="","",BE495-BE$6)</f>
        <v/>
      </c>
      <c r="BG495" s="196"/>
      <c r="BH495" s="196" t="str">
        <f>IF(BG495="","",BG495-BG$6)</f>
        <v/>
      </c>
      <c r="BI495" s="196"/>
      <c r="BJ495" s="196" t="str">
        <f>IF(BI495="","",BI495-BI$6)</f>
        <v/>
      </c>
      <c r="BK495" s="197"/>
      <c r="BL495" s="115"/>
      <c r="BM495" s="198">
        <v>7.1865707031999997E-3</v>
      </c>
      <c r="BN495" s="191">
        <v>-7.9533087765000007E-3</v>
      </c>
      <c r="BO495" s="191">
        <v>1.9581297766999999E-2</v>
      </c>
      <c r="BP495" s="191">
        <v>-7.1739677086999996E-3</v>
      </c>
      <c r="BQ495" s="199"/>
      <c r="BR495" s="199"/>
      <c r="BS495" s="199"/>
      <c r="BT495" s="199"/>
      <c r="BU495" s="200"/>
      <c r="BV495" s="200"/>
      <c r="BW495" s="191"/>
      <c r="BX495" s="191">
        <v>3.7004026271000002E-3</v>
      </c>
      <c r="BY495" s="189"/>
      <c r="BZ495" s="191">
        <v>-1.38219361E-2</v>
      </c>
      <c r="CA495" s="191">
        <v>-1.38219361E-2</v>
      </c>
      <c r="CB495" s="182">
        <v>45447</v>
      </c>
      <c r="CC495" s="182">
        <v>45475</v>
      </c>
      <c r="CD495" s="201">
        <v>23</v>
      </c>
      <c r="CE495" s="202">
        <v>45478</v>
      </c>
    </row>
    <row r="496" spans="2:84" ht="15.6" x14ac:dyDescent="0.3">
      <c r="B496" s="110" t="s">
        <v>1527</v>
      </c>
      <c r="C496" s="147" t="s">
        <v>2173</v>
      </c>
      <c r="D496" s="148" t="s">
        <v>1950</v>
      </c>
      <c r="E496" s="148" t="s">
        <v>228</v>
      </c>
      <c r="F496" s="149">
        <v>44067725000172</v>
      </c>
      <c r="G496" s="149" t="s">
        <v>1883</v>
      </c>
      <c r="H496" s="149" t="s">
        <v>388</v>
      </c>
      <c r="I496" s="150">
        <v>1</v>
      </c>
      <c r="J496" s="151" t="s">
        <v>107</v>
      </c>
      <c r="K496" s="151" t="s">
        <v>128</v>
      </c>
      <c r="L496" s="151" t="s">
        <v>118</v>
      </c>
      <c r="M496" s="151" t="s">
        <v>128</v>
      </c>
      <c r="N496" s="151" t="s">
        <v>109</v>
      </c>
      <c r="O496" s="152">
        <v>850000</v>
      </c>
      <c r="P496" s="153">
        <v>850000000</v>
      </c>
      <c r="Q496" s="153">
        <v>1000</v>
      </c>
      <c r="R496" s="154">
        <v>44727</v>
      </c>
      <c r="S496" s="154">
        <v>47832</v>
      </c>
      <c r="T496" s="155" t="s">
        <v>1969</v>
      </c>
      <c r="U496" s="155" t="s">
        <v>1738</v>
      </c>
      <c r="V496" s="154" t="s">
        <v>194</v>
      </c>
      <c r="W496" s="154" t="s">
        <v>102</v>
      </c>
      <c r="X496" s="154" t="s">
        <v>1644</v>
      </c>
      <c r="Y496" s="154">
        <v>47253</v>
      </c>
      <c r="Z496" s="156">
        <f>IFERROR(INDEX(Base!G:G,MATCH('Debêntures IPCA-Spread'!Y496,Base!F:F,0)),"")</f>
        <v>6.41</v>
      </c>
      <c r="AA496" s="115"/>
      <c r="AB496" s="157">
        <v>45552</v>
      </c>
      <c r="AC496" s="158">
        <v>8.4921000000000006</v>
      </c>
      <c r="AD496" s="159">
        <f t="shared" si="21"/>
        <v>2.0821000000000005</v>
      </c>
      <c r="AE496" s="160">
        <v>0.13</v>
      </c>
      <c r="AF496" s="161">
        <v>8.6646999999999998</v>
      </c>
      <c r="AG496" s="161">
        <v>8.2569999999999997</v>
      </c>
      <c r="AH496" s="162">
        <v>1145.473833</v>
      </c>
      <c r="AI496" s="162">
        <v>1151.4919520000001</v>
      </c>
      <c r="AJ496" s="163">
        <f t="shared" si="20"/>
        <v>0.99477363346782643</v>
      </c>
      <c r="AK496" s="164">
        <v>45517</v>
      </c>
      <c r="AL496" s="165">
        <v>100.35</v>
      </c>
      <c r="AM496" s="166">
        <v>975</v>
      </c>
      <c r="AN496" s="115"/>
      <c r="AO496" s="167">
        <v>-4.8226545276999999E-4</v>
      </c>
      <c r="AP496" s="168">
        <f>IF(AO496="","",AO496-AO$6)</f>
        <v>-9.6241033770000004E-4</v>
      </c>
      <c r="AQ496" s="168">
        <v>1.9556293954999999E-3</v>
      </c>
      <c r="AR496" s="168">
        <f>IF(AQ496="","",AQ496-AQ$6)</f>
        <v>2.1731361484599999E-3</v>
      </c>
      <c r="AS496" s="168">
        <v>9.6432874562999996E-2</v>
      </c>
      <c r="AT496" s="168">
        <f>IF(AS496="","",AS496-AS$6)</f>
        <v>8.1707039507999998E-2</v>
      </c>
      <c r="AU496" s="168">
        <v>-1.2874879757000001E-3</v>
      </c>
      <c r="AV496" s="168">
        <f>IF(AU496="","",AU496-AU$6)</f>
        <v>1.17810946203E-2</v>
      </c>
      <c r="AW496" s="168">
        <v>3.2966385082999997E-2</v>
      </c>
      <c r="AX496" s="168">
        <f>IF(AW496="","",AW496-AW$6)</f>
        <v>8.9713172949999961E-3</v>
      </c>
      <c r="AY496" s="168">
        <v>4.2139655385000002E-2</v>
      </c>
      <c r="AZ496" s="168">
        <f>IF(AY496="","",AY496-AY$6)</f>
        <v>2.7897400595000003E-2</v>
      </c>
      <c r="BA496" s="168">
        <v>0.18480936622999999</v>
      </c>
      <c r="BB496" s="168">
        <f>IF(BA496="","",BA496-BA$6)</f>
        <v>0.13132240167199999</v>
      </c>
      <c r="BC496" s="168"/>
      <c r="BD496" s="168" t="str">
        <f>IF(BC496="","",BC496-BC$6)</f>
        <v/>
      </c>
      <c r="BE496" s="168"/>
      <c r="BF496" s="168" t="str">
        <f>IF(BE496="","",BE496-BE$6)</f>
        <v/>
      </c>
      <c r="BG496" s="168"/>
      <c r="BH496" s="168" t="str">
        <f>IF(BG496="","",BG496-BG$6)</f>
        <v/>
      </c>
      <c r="BI496" s="168"/>
      <c r="BJ496" s="168" t="str">
        <f>IF(BI496="","",BI496-BI$6)</f>
        <v/>
      </c>
      <c r="BK496" s="169">
        <v>4.7106406065000002</v>
      </c>
      <c r="BL496" s="115"/>
      <c r="BM496" s="170">
        <v>1.1182362859000001E-2</v>
      </c>
      <c r="BN496" s="163">
        <v>-9.0768948020999995E-3</v>
      </c>
      <c r="BO496" s="163">
        <v>3.7758102499000003E-2</v>
      </c>
      <c r="BP496" s="163">
        <v>-4.8514232940000002E-3</v>
      </c>
      <c r="BQ496" s="171">
        <v>10</v>
      </c>
      <c r="BR496" s="171">
        <v>2</v>
      </c>
      <c r="BS496" s="171">
        <v>7</v>
      </c>
      <c r="BT496" s="171">
        <v>5</v>
      </c>
      <c r="BU496" s="172">
        <v>1.4199860277</v>
      </c>
      <c r="BV496" s="172"/>
      <c r="BW496" s="163">
        <v>4.8716250782000004E-3</v>
      </c>
      <c r="BX496" s="163">
        <v>2.8487455361000001E-3</v>
      </c>
      <c r="BY496" s="161">
        <v>7.1018274998999997</v>
      </c>
      <c r="BZ496" s="163">
        <v>-1.3112142958000001E-2</v>
      </c>
      <c r="CA496" s="163">
        <v>-1.3112142958000001E-2</v>
      </c>
      <c r="CB496" s="154">
        <v>45391</v>
      </c>
      <c r="CC496" s="154">
        <v>45398</v>
      </c>
      <c r="CD496" s="173">
        <v>21</v>
      </c>
      <c r="CE496" s="174">
        <v>45421</v>
      </c>
    </row>
    <row r="497" spans="2:83" ht="15.6" x14ac:dyDescent="0.3">
      <c r="B497" s="98" t="s">
        <v>1528</v>
      </c>
      <c r="C497" s="175" t="s">
        <v>2174</v>
      </c>
      <c r="D497" s="176" t="s">
        <v>1951</v>
      </c>
      <c r="E497" s="176" t="s">
        <v>228</v>
      </c>
      <c r="F497" s="177">
        <v>32321304000147</v>
      </c>
      <c r="G497" s="177" t="s">
        <v>1884</v>
      </c>
      <c r="H497" s="177" t="s">
        <v>388</v>
      </c>
      <c r="I497" s="178">
        <v>3</v>
      </c>
      <c r="J497" s="179" t="s">
        <v>107</v>
      </c>
      <c r="K497" s="179" t="s">
        <v>128</v>
      </c>
      <c r="L497" s="179" t="s">
        <v>124</v>
      </c>
      <c r="M497" s="179" t="s">
        <v>128</v>
      </c>
      <c r="N497" s="179" t="s">
        <v>109</v>
      </c>
      <c r="O497" s="180">
        <v>135000</v>
      </c>
      <c r="P497" s="181">
        <v>135000000</v>
      </c>
      <c r="Q497" s="181">
        <v>1000</v>
      </c>
      <c r="R497" s="182">
        <v>44357</v>
      </c>
      <c r="S497" s="182">
        <v>50024</v>
      </c>
      <c r="T497" s="183" t="s">
        <v>2033</v>
      </c>
      <c r="U497" s="183" t="s">
        <v>1739</v>
      </c>
      <c r="V497" s="182" t="s">
        <v>194</v>
      </c>
      <c r="W497" s="182" t="s">
        <v>102</v>
      </c>
      <c r="X497" s="182" t="s">
        <v>1645</v>
      </c>
      <c r="Y497" s="182">
        <v>47710</v>
      </c>
      <c r="Z497" s="184">
        <f>IFERROR(INDEX(Base!G:G,MATCH('Debêntures IPCA-Spread'!Y497,Base!F:F,0)),"")</f>
        <v>6.3273999999999999</v>
      </c>
      <c r="AA497" s="115"/>
      <c r="AB497" s="185">
        <v>45457</v>
      </c>
      <c r="AC497" s="186"/>
      <c r="AD497" s="187" t="str">
        <f t="shared" si="21"/>
        <v/>
      </c>
      <c r="AE497" s="188"/>
      <c r="AF497" s="189"/>
      <c r="AG497" s="189"/>
      <c r="AH497" s="190"/>
      <c r="AI497" s="190">
        <v>999.81610499999999</v>
      </c>
      <c r="AJ497" s="191">
        <f t="shared" si="20"/>
        <v>0</v>
      </c>
      <c r="AK497" s="192">
        <v>45457</v>
      </c>
      <c r="AL497" s="193"/>
      <c r="AM497" s="194"/>
      <c r="AN497" s="115"/>
      <c r="AO497" s="195"/>
      <c r="AP497" s="196" t="str">
        <f>IF(AO497="","",AO497-AO$6)</f>
        <v/>
      </c>
      <c r="AQ497" s="196"/>
      <c r="AR497" s="196" t="str">
        <f>IF(AQ497="","",AQ497-AQ$6)</f>
        <v/>
      </c>
      <c r="AS497" s="196"/>
      <c r="AT497" s="196" t="str">
        <f>IF(AS497="","",AS497-AS$6)</f>
        <v/>
      </c>
      <c r="AU497" s="196"/>
      <c r="AV497" s="196" t="str">
        <f>IF(AU497="","",AU497-AU$6)</f>
        <v/>
      </c>
      <c r="AW497" s="196"/>
      <c r="AX497" s="196" t="str">
        <f>IF(AW497="","",AW497-AW$6)</f>
        <v/>
      </c>
      <c r="AY497" s="196"/>
      <c r="AZ497" s="196" t="str">
        <f>IF(AY497="","",AY497-AY$6)</f>
        <v/>
      </c>
      <c r="BA497" s="196"/>
      <c r="BB497" s="196" t="str">
        <f>IF(BA497="","",BA497-BA$6)</f>
        <v/>
      </c>
      <c r="BC497" s="196"/>
      <c r="BD497" s="196" t="str">
        <f>IF(BC497="","",BC497-BC$6)</f>
        <v/>
      </c>
      <c r="BE497" s="196"/>
      <c r="BF497" s="196" t="str">
        <f>IF(BE497="","",BE497-BE$6)</f>
        <v/>
      </c>
      <c r="BG497" s="196"/>
      <c r="BH497" s="196" t="str">
        <f>IF(BG497="","",BG497-BG$6)</f>
        <v/>
      </c>
      <c r="BI497" s="196"/>
      <c r="BJ497" s="196" t="str">
        <f>IF(BI497="","",BI497-BI$6)</f>
        <v/>
      </c>
      <c r="BK497" s="197"/>
      <c r="BL497" s="115"/>
      <c r="BM497" s="198">
        <v>3.1490166859000003E-2</v>
      </c>
      <c r="BN497" s="191">
        <v>-2.2515636012E-2</v>
      </c>
      <c r="BO497" s="191">
        <v>4.9893224633999998E-2</v>
      </c>
      <c r="BP497" s="191">
        <v>-1.9310709241E-2</v>
      </c>
      <c r="BQ497" s="199"/>
      <c r="BR497" s="199"/>
      <c r="BS497" s="199"/>
      <c r="BT497" s="199"/>
      <c r="BU497" s="200"/>
      <c r="BV497" s="200"/>
      <c r="BW497" s="191"/>
      <c r="BX497" s="191"/>
      <c r="BY497" s="189"/>
      <c r="BZ497" s="191">
        <v>-4.0697542711999997E-2</v>
      </c>
      <c r="CA497" s="191">
        <v>-4.0697542711999997E-2</v>
      </c>
      <c r="CB497" s="182">
        <v>45289</v>
      </c>
      <c r="CC497" s="182">
        <v>45301</v>
      </c>
      <c r="CD497" s="201">
        <v>41</v>
      </c>
      <c r="CE497" s="202">
        <v>45351</v>
      </c>
    </row>
    <row r="498" spans="2:83" ht="15.6" x14ac:dyDescent="0.3">
      <c r="B498" s="110" t="s">
        <v>604</v>
      </c>
      <c r="C498" s="147" t="s">
        <v>1019</v>
      </c>
      <c r="D498" s="148" t="s">
        <v>992</v>
      </c>
      <c r="E498" s="148" t="s">
        <v>228</v>
      </c>
      <c r="F498" s="149">
        <v>28019100000189</v>
      </c>
      <c r="G498" s="149" t="s">
        <v>1047</v>
      </c>
      <c r="H498" s="149" t="s">
        <v>388</v>
      </c>
      <c r="I498" s="150">
        <v>2</v>
      </c>
      <c r="J498" s="151" t="s">
        <v>107</v>
      </c>
      <c r="K498" s="151" t="s">
        <v>126</v>
      </c>
      <c r="L498" s="151" t="s">
        <v>122</v>
      </c>
      <c r="M498" s="151" t="s">
        <v>106</v>
      </c>
      <c r="N498" s="151" t="s">
        <v>109</v>
      </c>
      <c r="O498" s="152">
        <v>400000</v>
      </c>
      <c r="P498" s="153">
        <v>400000000</v>
      </c>
      <c r="Q498" s="153">
        <v>1000</v>
      </c>
      <c r="R498" s="154">
        <v>43631</v>
      </c>
      <c r="S498" s="154">
        <v>46553</v>
      </c>
      <c r="T498" s="155" t="s">
        <v>756</v>
      </c>
      <c r="U498" s="155" t="s">
        <v>756</v>
      </c>
      <c r="V498" s="154" t="s">
        <v>105</v>
      </c>
      <c r="W498" s="154" t="s">
        <v>102</v>
      </c>
      <c r="X498" s="154" t="s">
        <v>1085</v>
      </c>
      <c r="Y498" s="154">
        <v>46249</v>
      </c>
      <c r="Z498" s="156">
        <f>IFERROR(INDEX(Base!G:G,MATCH('Debêntures IPCA-Spread'!Y498,Base!F:F,0)),"")</f>
        <v>6.5365000000000002</v>
      </c>
      <c r="AA498" s="115"/>
      <c r="AB498" s="157">
        <v>45552</v>
      </c>
      <c r="AC498" s="158">
        <v>6.4546000000000001</v>
      </c>
      <c r="AD498" s="159">
        <f t="shared" si="21"/>
        <v>-8.1900000000000084E-2</v>
      </c>
      <c r="AE498" s="160">
        <v>0.39</v>
      </c>
      <c r="AF498" s="161">
        <v>6.7228000000000003</v>
      </c>
      <c r="AG498" s="161">
        <v>6.3464</v>
      </c>
      <c r="AH498" s="162">
        <v>574.58796900000004</v>
      </c>
      <c r="AI498" s="162">
        <v>574.64860399999998</v>
      </c>
      <c r="AJ498" s="163">
        <f t="shared" si="20"/>
        <v>0.99989448334238029</v>
      </c>
      <c r="AK498" s="164">
        <v>45551</v>
      </c>
      <c r="AL498" s="165">
        <v>96.72</v>
      </c>
      <c r="AM498" s="166">
        <v>349</v>
      </c>
      <c r="AN498" s="115"/>
      <c r="AO498" s="167">
        <v>-1.0551665673E-4</v>
      </c>
      <c r="AP498" s="168">
        <f>IF(AO498="","",AO498-AO$6)</f>
        <v>-5.8566154165999996E-4</v>
      </c>
      <c r="AQ498" s="168">
        <v>6.3081553125999999E-3</v>
      </c>
      <c r="AR498" s="168">
        <f>IF(AQ498="","",AQ498-AQ$6)</f>
        <v>6.5256620655599999E-3</v>
      </c>
      <c r="AS498" s="168">
        <v>8.0617270192000004E-2</v>
      </c>
      <c r="AT498" s="168">
        <f>IF(AS498="","",AS498-AS$6)</f>
        <v>6.5891435137000007E-2</v>
      </c>
      <c r="AU498" s="168">
        <v>9.6261097186999996E-3</v>
      </c>
      <c r="AV498" s="168">
        <f>IF(AU498="","",AU498-AU$6)</f>
        <v>2.2694692314699998E-2</v>
      </c>
      <c r="AW498" s="168">
        <v>3.0037805904000001E-2</v>
      </c>
      <c r="AX498" s="168">
        <f>IF(AW498="","",AW498-AW$6)</f>
        <v>6.0427381160000002E-3</v>
      </c>
      <c r="AY498" s="168">
        <v>4.9778600300000003E-2</v>
      </c>
      <c r="AZ498" s="168">
        <f>IF(AY498="","",AY498-AY$6)</f>
        <v>3.5536345510000004E-2</v>
      </c>
      <c r="BA498" s="168">
        <v>0.11108744438</v>
      </c>
      <c r="BB498" s="168">
        <f>IF(BA498="","",BA498-BA$6)</f>
        <v>5.7600479821999999E-2</v>
      </c>
      <c r="BC498" s="168">
        <v>0.25006456447999997</v>
      </c>
      <c r="BD498" s="168">
        <f>IF(BC498="","",BC498-BC$6)</f>
        <v>5.5755997989999972E-2</v>
      </c>
      <c r="BE498" s="168">
        <v>0.37958347320000002</v>
      </c>
      <c r="BF498" s="168">
        <f>IF(BE498="","",BE498-BE$6)</f>
        <v>0.11786413366000004</v>
      </c>
      <c r="BG498" s="168"/>
      <c r="BH498" s="168" t="str">
        <f>IF(BG498="","",BG498-BG$6)</f>
        <v/>
      </c>
      <c r="BI498" s="168"/>
      <c r="BJ498" s="168" t="str">
        <f>IF(BI498="","",BI498-BI$6)</f>
        <v/>
      </c>
      <c r="BK498" s="169">
        <v>1.8150462297000001</v>
      </c>
      <c r="BL498" s="115"/>
      <c r="BM498" s="170">
        <v>4.0031180743000001E-3</v>
      </c>
      <c r="BN498" s="163">
        <v>-3.5353144067E-3</v>
      </c>
      <c r="BO498" s="163">
        <v>1.4880442575E-2</v>
      </c>
      <c r="BP498" s="163">
        <v>-1.8324661231999999E-4</v>
      </c>
      <c r="BQ498" s="171">
        <v>11</v>
      </c>
      <c r="BR498" s="171">
        <v>1</v>
      </c>
      <c r="BS498" s="171">
        <v>9</v>
      </c>
      <c r="BT498" s="171">
        <v>3</v>
      </c>
      <c r="BU498" s="172">
        <v>-2.5073225644E-2</v>
      </c>
      <c r="BV498" s="172">
        <v>-0.12568391522</v>
      </c>
      <c r="BW498" s="163">
        <v>1.8755347590000001E-3</v>
      </c>
      <c r="BX498" s="163">
        <v>1.9430140907000001E-3</v>
      </c>
      <c r="BY498" s="161">
        <v>-0.28558691708</v>
      </c>
      <c r="BZ498" s="163">
        <v>-5.0114037917999999E-3</v>
      </c>
      <c r="CA498" s="163">
        <v>-5.0114037917999999E-3</v>
      </c>
      <c r="CB498" s="154">
        <v>45189</v>
      </c>
      <c r="CC498" s="154">
        <v>45218</v>
      </c>
      <c r="CD498" s="173">
        <v>25</v>
      </c>
      <c r="CE498" s="174">
        <v>45225</v>
      </c>
    </row>
    <row r="499" spans="2:83" ht="15.6" x14ac:dyDescent="0.3">
      <c r="B499" s="98" t="s">
        <v>605</v>
      </c>
      <c r="C499" s="175" t="s">
        <v>1020</v>
      </c>
      <c r="D499" s="176" t="s">
        <v>993</v>
      </c>
      <c r="E499" s="176" t="s">
        <v>228</v>
      </c>
      <c r="F499" s="177">
        <v>10635691000153</v>
      </c>
      <c r="G499" s="177" t="s">
        <v>1048</v>
      </c>
      <c r="H499" s="177" t="s">
        <v>388</v>
      </c>
      <c r="I499" s="178">
        <v>2</v>
      </c>
      <c r="J499" s="179" t="s">
        <v>107</v>
      </c>
      <c r="K499" s="179" t="s">
        <v>126</v>
      </c>
      <c r="L499" s="179" t="s">
        <v>122</v>
      </c>
      <c r="M499" s="179" t="s">
        <v>114</v>
      </c>
      <c r="N499" s="179" t="s">
        <v>109</v>
      </c>
      <c r="O499" s="180">
        <v>700000</v>
      </c>
      <c r="P499" s="181">
        <v>700000000</v>
      </c>
      <c r="Q499" s="181">
        <v>1000</v>
      </c>
      <c r="R499" s="182">
        <v>43876</v>
      </c>
      <c r="S499" s="182">
        <v>49293</v>
      </c>
      <c r="T499" s="183" t="s">
        <v>2847</v>
      </c>
      <c r="U499" s="183" t="s">
        <v>427</v>
      </c>
      <c r="V499" s="182" t="s">
        <v>105</v>
      </c>
      <c r="W499" s="182" t="s">
        <v>102</v>
      </c>
      <c r="X499" s="182" t="s">
        <v>1086</v>
      </c>
      <c r="Y499" s="182">
        <v>47710</v>
      </c>
      <c r="Z499" s="184">
        <f>IFERROR(INDEX(Base!G:G,MATCH('Debêntures IPCA-Spread'!Y499,Base!F:F,0)),"")</f>
        <v>6.3273999999999999</v>
      </c>
      <c r="AA499" s="115"/>
      <c r="AB499" s="185">
        <v>45552</v>
      </c>
      <c r="AC499" s="186">
        <v>7.5198999999999998</v>
      </c>
      <c r="AD499" s="187">
        <f t="shared" si="21"/>
        <v>1.1924999999999999</v>
      </c>
      <c r="AE499" s="188">
        <v>0.17</v>
      </c>
      <c r="AF499" s="189">
        <v>7.7478999999999996</v>
      </c>
      <c r="AG499" s="189">
        <v>7.2397</v>
      </c>
      <c r="AH499" s="190">
        <v>1172.2270960000001</v>
      </c>
      <c r="AI499" s="190">
        <v>1179.7978880000001</v>
      </c>
      <c r="AJ499" s="191">
        <f t="shared" si="20"/>
        <v>0.99358297545960683</v>
      </c>
      <c r="AK499" s="192">
        <v>45523</v>
      </c>
      <c r="AL499" s="193">
        <v>91.12</v>
      </c>
      <c r="AM499" s="194">
        <v>1248</v>
      </c>
      <c r="AN499" s="115"/>
      <c r="AO499" s="195">
        <v>3.2445738907E-3</v>
      </c>
      <c r="AP499" s="196">
        <f t="shared" ref="AP499:AP562" si="22">IF(AO499="","",AO499-AO$6)</f>
        <v>2.76442900577E-3</v>
      </c>
      <c r="AQ499" s="196">
        <v>6.9172603215999998E-3</v>
      </c>
      <c r="AR499" s="196">
        <f t="shared" ref="AR499:AR562" si="23">IF(AQ499="","",AQ499-AQ$6)</f>
        <v>7.1347670745599999E-3</v>
      </c>
      <c r="AS499" s="196">
        <v>0.12171872944000001</v>
      </c>
      <c r="AT499" s="196">
        <f t="shared" ref="AT499:AT562" si="24">IF(AS499="","",AS499-AS$6)</f>
        <v>0.10699289438500001</v>
      </c>
      <c r="AU499" s="196">
        <v>-4.5180891902000002E-3</v>
      </c>
      <c r="AV499" s="196">
        <f t="shared" ref="AV499:AV562" si="25">IF(AU499="","",AU499-AU$6)</f>
        <v>8.5504934058000005E-3</v>
      </c>
      <c r="AW499" s="196">
        <v>3.4855542635E-2</v>
      </c>
      <c r="AX499" s="196">
        <f t="shared" ref="AX499:AX562" si="26">IF(AW499="","",AW499-AW$6)</f>
        <v>1.0860474847E-2</v>
      </c>
      <c r="AY499" s="196">
        <v>4.7067722768000003E-2</v>
      </c>
      <c r="AZ499" s="196">
        <f t="shared" ref="AZ499:AZ562" si="27">IF(AY499="","",AY499-AY$6)</f>
        <v>3.2825467978000004E-2</v>
      </c>
      <c r="BA499" s="196">
        <v>0.16837875402999999</v>
      </c>
      <c r="BB499" s="196">
        <f t="shared" ref="BB499:BB562" si="28">IF(BA499="","",BA499-BA$6)</f>
        <v>0.11489178947199999</v>
      </c>
      <c r="BC499" s="196">
        <v>0.24420453318999999</v>
      </c>
      <c r="BD499" s="196">
        <f t="shared" ref="BD499:BD562" si="29">IF(BC499="","",BC499-BC$6)</f>
        <v>4.9895966699999988E-2</v>
      </c>
      <c r="BE499" s="196">
        <v>0.35369272644999999</v>
      </c>
      <c r="BF499" s="196">
        <f t="shared" ref="BF499:BF562" si="30">IF(BE499="","",BE499-BE$6)</f>
        <v>9.197338691000001E-2</v>
      </c>
      <c r="BG499" s="196">
        <v>0.52719202120999997</v>
      </c>
      <c r="BH499" s="196">
        <f t="shared" ref="BH499:BH562" si="31">IF(BG499="","",BG499-BG$6)</f>
        <v>0.21827537239999995</v>
      </c>
      <c r="BI499" s="196"/>
      <c r="BJ499" s="196" t="str">
        <f t="shared" ref="BJ499:BJ562" si="32">IF(BI499="","",BI499-BI$6)</f>
        <v/>
      </c>
      <c r="BK499" s="197">
        <v>5.3472805605999998</v>
      </c>
      <c r="BL499" s="115"/>
      <c r="BM499" s="198">
        <v>2.2260453419000001E-2</v>
      </c>
      <c r="BN499" s="191">
        <v>-1.0038389821000001E-2</v>
      </c>
      <c r="BO499" s="191">
        <v>4.7517535134999997E-2</v>
      </c>
      <c r="BP499" s="191">
        <v>-5.4105304407000001E-3</v>
      </c>
      <c r="BQ499" s="199">
        <v>10</v>
      </c>
      <c r="BR499" s="199">
        <v>2</v>
      </c>
      <c r="BS499" s="199">
        <v>8</v>
      </c>
      <c r="BT499" s="199">
        <v>4</v>
      </c>
      <c r="BU499" s="200">
        <v>0.97905648624999997</v>
      </c>
      <c r="BV499" s="200">
        <v>-0.15303694335000001</v>
      </c>
      <c r="BW499" s="191">
        <v>5.5332316496000001E-3</v>
      </c>
      <c r="BX499" s="191">
        <v>5.3444019155E-3</v>
      </c>
      <c r="BY499" s="189">
        <v>5.3418983354999998</v>
      </c>
      <c r="BZ499" s="191">
        <v>-1.4826704276E-2</v>
      </c>
      <c r="CA499" s="191">
        <v>-1.4826704276E-2</v>
      </c>
      <c r="CB499" s="182">
        <v>45394</v>
      </c>
      <c r="CC499" s="182">
        <v>45407</v>
      </c>
      <c r="CD499" s="201">
        <v>21</v>
      </c>
      <c r="CE499" s="202">
        <v>45426</v>
      </c>
    </row>
    <row r="500" spans="2:83" ht="15.6" x14ac:dyDescent="0.3">
      <c r="B500" s="110" t="s">
        <v>1529</v>
      </c>
      <c r="C500" s="147" t="s">
        <v>2175</v>
      </c>
      <c r="D500" s="148" t="s">
        <v>1952</v>
      </c>
      <c r="E500" s="148" t="s">
        <v>1967</v>
      </c>
      <c r="F500" s="149">
        <v>42276907000128</v>
      </c>
      <c r="G500" s="149" t="s">
        <v>1885</v>
      </c>
      <c r="H500" s="149" t="s">
        <v>388</v>
      </c>
      <c r="I500" s="150">
        <v>3</v>
      </c>
      <c r="J500" s="151" t="s">
        <v>107</v>
      </c>
      <c r="K500" s="151" t="s">
        <v>126</v>
      </c>
      <c r="L500" s="151" t="s">
        <v>112</v>
      </c>
      <c r="M500" s="151" t="s">
        <v>114</v>
      </c>
      <c r="N500" s="151" t="s">
        <v>109</v>
      </c>
      <c r="O500" s="152">
        <v>1000000</v>
      </c>
      <c r="P500" s="153">
        <v>1000000000</v>
      </c>
      <c r="Q500" s="153">
        <v>1000</v>
      </c>
      <c r="R500" s="154">
        <v>44545</v>
      </c>
      <c r="S500" s="154">
        <v>47102</v>
      </c>
      <c r="T500" s="155" t="s">
        <v>1739</v>
      </c>
      <c r="U500" s="155" t="s">
        <v>166</v>
      </c>
      <c r="V500" s="154" t="s">
        <v>105</v>
      </c>
      <c r="W500" s="154" t="s">
        <v>102</v>
      </c>
      <c r="X500" s="154" t="s">
        <v>1382</v>
      </c>
      <c r="Y500" s="154">
        <v>46980</v>
      </c>
      <c r="Z500" s="156">
        <f>IFERROR(INDEX(Base!G:G,MATCH('Debêntures IPCA-Spread'!Y500,Base!F:F,0)),"")</f>
        <v>6.4702000000000002</v>
      </c>
      <c r="AA500" s="115"/>
      <c r="AB500" s="157">
        <v>45552</v>
      </c>
      <c r="AC500" s="158">
        <v>6.4450000000000003</v>
      </c>
      <c r="AD500" s="159">
        <f t="shared" si="21"/>
        <v>-2.5199999999999889E-2</v>
      </c>
      <c r="AE500" s="160">
        <v>0.12</v>
      </c>
      <c r="AF500" s="161">
        <v>6.5918000000000001</v>
      </c>
      <c r="AG500" s="161">
        <v>6.3524000000000003</v>
      </c>
      <c r="AH500" s="162">
        <v>1133.7834130000001</v>
      </c>
      <c r="AI500" s="162">
        <v>1138.237815</v>
      </c>
      <c r="AJ500" s="163">
        <f t="shared" si="20"/>
        <v>0.99608658055346733</v>
      </c>
      <c r="AK500" s="164">
        <v>45546</v>
      </c>
      <c r="AL500" s="165">
        <v>97.57</v>
      </c>
      <c r="AM500" s="166">
        <v>945</v>
      </c>
      <c r="AN500" s="115"/>
      <c r="AO500" s="167">
        <v>2.5990993344999998E-4</v>
      </c>
      <c r="AP500" s="168">
        <f t="shared" si="22"/>
        <v>-2.2023495148000002E-4</v>
      </c>
      <c r="AQ500" s="168">
        <v>5.9991334455999999E-4</v>
      </c>
      <c r="AR500" s="168">
        <f t="shared" si="23"/>
        <v>8.1742009752000001E-4</v>
      </c>
      <c r="AS500" s="168">
        <v>5.6135904844000002E-2</v>
      </c>
      <c r="AT500" s="168">
        <f t="shared" si="24"/>
        <v>4.1410069788999998E-2</v>
      </c>
      <c r="AU500" s="168">
        <v>1.6052686333000001E-3</v>
      </c>
      <c r="AV500" s="168">
        <f t="shared" si="25"/>
        <v>1.4673851229300001E-2</v>
      </c>
      <c r="AW500" s="168">
        <v>2.9066003298999998E-2</v>
      </c>
      <c r="AX500" s="168">
        <f t="shared" si="26"/>
        <v>5.0709355109999979E-3</v>
      </c>
      <c r="AY500" s="168">
        <v>2.4024181132E-2</v>
      </c>
      <c r="AZ500" s="168">
        <f t="shared" si="27"/>
        <v>9.7819263419999993E-3</v>
      </c>
      <c r="BA500" s="168">
        <v>8.8107779708000003E-2</v>
      </c>
      <c r="BB500" s="168">
        <f t="shared" si="28"/>
        <v>3.4620815150000005E-2</v>
      </c>
      <c r="BC500" s="168">
        <v>0.22570433576000001</v>
      </c>
      <c r="BD500" s="168">
        <f t="shared" si="29"/>
        <v>3.1395769270000012E-2</v>
      </c>
      <c r="BE500" s="168"/>
      <c r="BF500" s="168" t="str">
        <f t="shared" si="30"/>
        <v/>
      </c>
      <c r="BG500" s="168"/>
      <c r="BH500" s="168" t="str">
        <f t="shared" si="31"/>
        <v/>
      </c>
      <c r="BI500" s="168"/>
      <c r="BJ500" s="168" t="str">
        <f t="shared" si="32"/>
        <v/>
      </c>
      <c r="BK500" s="169">
        <v>3.7139313935999998</v>
      </c>
      <c r="BL500" s="115"/>
      <c r="BM500" s="170">
        <v>7.3692520236000002E-3</v>
      </c>
      <c r="BN500" s="163">
        <v>-7.8280163206999997E-3</v>
      </c>
      <c r="BO500" s="163">
        <v>2.4727815396999999E-2</v>
      </c>
      <c r="BP500" s="163">
        <v>-1.0582720146000001E-2</v>
      </c>
      <c r="BQ500" s="171">
        <v>8</v>
      </c>
      <c r="BR500" s="171">
        <v>4</v>
      </c>
      <c r="BS500" s="171">
        <v>7</v>
      </c>
      <c r="BT500" s="171">
        <v>5</v>
      </c>
      <c r="BU500" s="172">
        <v>-0.55507095853999999</v>
      </c>
      <c r="BV500" s="172"/>
      <c r="BW500" s="163">
        <v>3.8372080713000001E-3</v>
      </c>
      <c r="BX500" s="163">
        <v>3.3755941435000001E-3</v>
      </c>
      <c r="BY500" s="161">
        <v>-2.8157222608999999</v>
      </c>
      <c r="BZ500" s="163">
        <v>-1.8650996148000001E-2</v>
      </c>
      <c r="CA500" s="163">
        <v>-1.8650996148000001E-2</v>
      </c>
      <c r="CB500" s="154">
        <v>45187</v>
      </c>
      <c r="CC500" s="154">
        <v>45202</v>
      </c>
      <c r="CD500" s="173">
        <v>41</v>
      </c>
      <c r="CE500" s="174">
        <v>45247</v>
      </c>
    </row>
    <row r="501" spans="2:83" ht="15.6" x14ac:dyDescent="0.3">
      <c r="B501" s="98" t="s">
        <v>2326</v>
      </c>
      <c r="C501" s="175" t="s">
        <v>2864</v>
      </c>
      <c r="D501" s="176" t="s">
        <v>1952</v>
      </c>
      <c r="E501" s="176" t="s">
        <v>1967</v>
      </c>
      <c r="F501" s="177">
        <v>42276907000128</v>
      </c>
      <c r="G501" s="177" t="s">
        <v>2868</v>
      </c>
      <c r="H501" s="177" t="s">
        <v>388</v>
      </c>
      <c r="I501" s="178">
        <v>4</v>
      </c>
      <c r="J501" s="179" t="s">
        <v>107</v>
      </c>
      <c r="K501" s="179" t="s">
        <v>126</v>
      </c>
      <c r="L501" s="179" t="s">
        <v>112</v>
      </c>
      <c r="M501" s="179" t="s">
        <v>114</v>
      </c>
      <c r="N501" s="179" t="s">
        <v>109</v>
      </c>
      <c r="O501" s="180">
        <v>1000000</v>
      </c>
      <c r="P501" s="181">
        <v>1000000000</v>
      </c>
      <c r="Q501" s="181">
        <v>1000</v>
      </c>
      <c r="R501" s="182">
        <v>45184</v>
      </c>
      <c r="S501" s="182">
        <v>47741</v>
      </c>
      <c r="T501" s="183" t="s">
        <v>2828</v>
      </c>
      <c r="U501" s="183" t="s">
        <v>2870</v>
      </c>
      <c r="V501" s="182" t="s">
        <v>105</v>
      </c>
      <c r="W501" s="182" t="s">
        <v>102</v>
      </c>
      <c r="X501" s="182" t="s">
        <v>2866</v>
      </c>
      <c r="Y501" s="182">
        <v>47253</v>
      </c>
      <c r="Z501" s="184">
        <f>IFERROR(INDEX(Base!G:G,MATCH('Debêntures IPCA-Spread'!Y501,Base!F:F,0)),"")</f>
        <v>6.41</v>
      </c>
      <c r="AA501" s="115"/>
      <c r="AB501" s="185">
        <v>45552</v>
      </c>
      <c r="AC501" s="186">
        <v>6.5434000000000001</v>
      </c>
      <c r="AD501" s="187">
        <f t="shared" si="21"/>
        <v>0.13339999999999996</v>
      </c>
      <c r="AE501" s="188">
        <v>0.02</v>
      </c>
      <c r="AF501" s="189">
        <v>6.6897000000000002</v>
      </c>
      <c r="AG501" s="189">
        <v>6.4302999999999999</v>
      </c>
      <c r="AH501" s="190">
        <v>1036.596534</v>
      </c>
      <c r="AI501" s="190"/>
      <c r="AJ501" s="191" t="str">
        <f t="shared" si="20"/>
        <v/>
      </c>
      <c r="AK501" s="192"/>
      <c r="AL501" s="193">
        <v>99.63</v>
      </c>
      <c r="AM501" s="194">
        <v>1088</v>
      </c>
      <c r="AN501" s="115"/>
      <c r="AO501" s="195">
        <v>-2.0038207913E-4</v>
      </c>
      <c r="AP501" s="196">
        <f t="shared" si="22"/>
        <v>-6.8052696406E-4</v>
      </c>
      <c r="AQ501" s="196">
        <v>3.8045816617999998E-3</v>
      </c>
      <c r="AR501" s="196">
        <f t="shared" si="23"/>
        <v>4.0220884147599998E-3</v>
      </c>
      <c r="AS501" s="196">
        <v>4.8149090449000002E-2</v>
      </c>
      <c r="AT501" s="196">
        <f t="shared" si="24"/>
        <v>3.3423255393999998E-2</v>
      </c>
      <c r="AU501" s="196">
        <v>-7.7030953362000002E-3</v>
      </c>
      <c r="AV501" s="196">
        <f t="shared" si="25"/>
        <v>5.3654872597999996E-3</v>
      </c>
      <c r="AW501" s="196">
        <v>2.9097105580000001E-2</v>
      </c>
      <c r="AX501" s="196">
        <f t="shared" si="26"/>
        <v>5.1020377920000005E-3</v>
      </c>
      <c r="AY501" s="196">
        <v>1.8521344875000002E-2</v>
      </c>
      <c r="AZ501" s="196">
        <f t="shared" si="27"/>
        <v>4.2790900850000011E-3</v>
      </c>
      <c r="BA501" s="196"/>
      <c r="BB501" s="196" t="str">
        <f t="shared" si="28"/>
        <v/>
      </c>
      <c r="BC501" s="196"/>
      <c r="BD501" s="196" t="str">
        <f t="shared" si="29"/>
        <v/>
      </c>
      <c r="BE501" s="196"/>
      <c r="BF501" s="196" t="str">
        <f t="shared" si="30"/>
        <v/>
      </c>
      <c r="BG501" s="196"/>
      <c r="BH501" s="196" t="str">
        <f t="shared" si="31"/>
        <v/>
      </c>
      <c r="BI501" s="196"/>
      <c r="BJ501" s="196" t="str">
        <f t="shared" si="32"/>
        <v/>
      </c>
      <c r="BK501" s="197"/>
      <c r="BL501" s="115"/>
      <c r="BM501" s="198">
        <v>8.6939771681999994E-3</v>
      </c>
      <c r="BN501" s="191">
        <v>-8.0554556371000008E-3</v>
      </c>
      <c r="BO501" s="191">
        <v>2.9676449088999999E-2</v>
      </c>
      <c r="BP501" s="191">
        <v>-9.2130655047999999E-3</v>
      </c>
      <c r="BQ501" s="199"/>
      <c r="BR501" s="199"/>
      <c r="BS501" s="199"/>
      <c r="BT501" s="199"/>
      <c r="BU501" s="200"/>
      <c r="BV501" s="200"/>
      <c r="BW501" s="191"/>
      <c r="BX501" s="191">
        <v>5.1017524820999999E-3</v>
      </c>
      <c r="BY501" s="189"/>
      <c r="BZ501" s="191">
        <v>-1.8369612646999999E-2</v>
      </c>
      <c r="CA501" s="191">
        <v>-1.8369612646999999E-2</v>
      </c>
      <c r="CB501" s="182">
        <v>45364</v>
      </c>
      <c r="CC501" s="182">
        <v>45412</v>
      </c>
      <c r="CD501" s="201">
        <v>82</v>
      </c>
      <c r="CE501" s="202">
        <v>45483</v>
      </c>
    </row>
    <row r="502" spans="2:83" ht="15.6" x14ac:dyDescent="0.3">
      <c r="B502" s="110" t="s">
        <v>2327</v>
      </c>
      <c r="C502" s="147" t="s">
        <v>2865</v>
      </c>
      <c r="D502" s="148" t="s">
        <v>1952</v>
      </c>
      <c r="E502" s="148" t="s">
        <v>1967</v>
      </c>
      <c r="F502" s="149">
        <v>42276907000128</v>
      </c>
      <c r="G502" s="149" t="s">
        <v>2869</v>
      </c>
      <c r="H502" s="149" t="s">
        <v>388</v>
      </c>
      <c r="I502" s="150">
        <v>5</v>
      </c>
      <c r="J502" s="151">
        <v>1</v>
      </c>
      <c r="K502" s="151" t="s">
        <v>126</v>
      </c>
      <c r="L502" s="151" t="s">
        <v>119</v>
      </c>
      <c r="M502" s="151" t="s">
        <v>106</v>
      </c>
      <c r="N502" s="151" t="s">
        <v>109</v>
      </c>
      <c r="O502" s="152">
        <v>967050</v>
      </c>
      <c r="P502" s="153">
        <v>967050000</v>
      </c>
      <c r="Q502" s="153">
        <v>1000</v>
      </c>
      <c r="R502" s="154">
        <v>45397</v>
      </c>
      <c r="S502" s="154">
        <v>47953</v>
      </c>
      <c r="T502" s="155" t="s">
        <v>2816</v>
      </c>
      <c r="U502" s="155" t="s">
        <v>113</v>
      </c>
      <c r="V502" s="154" t="s">
        <v>105</v>
      </c>
      <c r="W502" s="154" t="s">
        <v>102</v>
      </c>
      <c r="X502" s="154" t="s">
        <v>2867</v>
      </c>
      <c r="Y502" s="154">
        <v>47710</v>
      </c>
      <c r="Z502" s="156">
        <f>IFERROR(INDEX(Base!G:G,MATCH('Debêntures IPCA-Spread'!Y502,Base!F:F,0)),"")</f>
        <v>6.3273999999999999</v>
      </c>
      <c r="AA502" s="115"/>
      <c r="AB502" s="157">
        <v>45552</v>
      </c>
      <c r="AC502" s="158">
        <v>6.4516999999999998</v>
      </c>
      <c r="AD502" s="159">
        <f t="shared" si="21"/>
        <v>0.12429999999999986</v>
      </c>
      <c r="AE502" s="160">
        <v>0.13</v>
      </c>
      <c r="AF502" s="161">
        <v>6.6234000000000002</v>
      </c>
      <c r="AG502" s="161">
        <v>6.3475999999999999</v>
      </c>
      <c r="AH502" s="162">
        <v>1021.138534</v>
      </c>
      <c r="AI502" s="162"/>
      <c r="AJ502" s="163" t="str">
        <f t="shared" si="20"/>
        <v/>
      </c>
      <c r="AK502" s="164"/>
      <c r="AL502" s="165">
        <v>98.28</v>
      </c>
      <c r="AM502" s="166">
        <v>1347</v>
      </c>
      <c r="AN502" s="115"/>
      <c r="AO502" s="167">
        <v>9.4651796643999999E-4</v>
      </c>
      <c r="AP502" s="168">
        <f t="shared" si="22"/>
        <v>4.6637308150999999E-4</v>
      </c>
      <c r="AQ502" s="168">
        <v>4.0246921561999998E-3</v>
      </c>
      <c r="AR502" s="168">
        <f t="shared" si="23"/>
        <v>4.2421989091599999E-3</v>
      </c>
      <c r="AS502" s="168"/>
      <c r="AT502" s="168" t="str">
        <f t="shared" si="24"/>
        <v/>
      </c>
      <c r="AU502" s="168">
        <v>-1.2520726962E-2</v>
      </c>
      <c r="AV502" s="168">
        <f t="shared" si="25"/>
        <v>5.4785563399999994E-4</v>
      </c>
      <c r="AW502" s="168">
        <v>3.2363496630000002E-2</v>
      </c>
      <c r="AX502" s="168">
        <f t="shared" si="26"/>
        <v>8.3684288420000016E-3</v>
      </c>
      <c r="AY502" s="168"/>
      <c r="AZ502" s="168" t="str">
        <f t="shared" si="27"/>
        <v/>
      </c>
      <c r="BA502" s="168"/>
      <c r="BB502" s="168" t="str">
        <f t="shared" si="28"/>
        <v/>
      </c>
      <c r="BC502" s="168"/>
      <c r="BD502" s="168" t="str">
        <f t="shared" si="29"/>
        <v/>
      </c>
      <c r="BE502" s="168"/>
      <c r="BF502" s="168" t="str">
        <f t="shared" si="30"/>
        <v/>
      </c>
      <c r="BG502" s="168"/>
      <c r="BH502" s="168" t="str">
        <f t="shared" si="31"/>
        <v/>
      </c>
      <c r="BI502" s="168"/>
      <c r="BJ502" s="168" t="str">
        <f t="shared" si="32"/>
        <v/>
      </c>
      <c r="BK502" s="169"/>
      <c r="BL502" s="115"/>
      <c r="BM502" s="170">
        <v>8.9265053283999994E-3</v>
      </c>
      <c r="BN502" s="163">
        <v>-7.8219031338000004E-3</v>
      </c>
      <c r="BO502" s="163">
        <v>1.6206064751000001E-2</v>
      </c>
      <c r="BP502" s="163">
        <v>-3.3022702601000001E-3</v>
      </c>
      <c r="BQ502" s="171"/>
      <c r="BR502" s="171"/>
      <c r="BS502" s="171"/>
      <c r="BT502" s="171"/>
      <c r="BU502" s="172"/>
      <c r="BV502" s="172"/>
      <c r="BW502" s="163"/>
      <c r="BX502" s="163">
        <v>3.9780984987999998E-3</v>
      </c>
      <c r="BY502" s="161"/>
      <c r="BZ502" s="163">
        <v>-1.4906444467999999E-2</v>
      </c>
      <c r="CA502" s="163">
        <v>-1.9307767726E-2</v>
      </c>
      <c r="CB502" s="154">
        <v>45519</v>
      </c>
      <c r="CC502" s="154">
        <v>45534</v>
      </c>
      <c r="CD502" s="173"/>
      <c r="CE502" s="174"/>
    </row>
    <row r="503" spans="2:83" ht="15.6" x14ac:dyDescent="0.3">
      <c r="B503" s="98" t="s">
        <v>1530</v>
      </c>
      <c r="C503" s="175" t="s">
        <v>2176</v>
      </c>
      <c r="D503" s="176" t="s">
        <v>1953</v>
      </c>
      <c r="E503" s="176" t="s">
        <v>104</v>
      </c>
      <c r="F503" s="177">
        <v>23733733000130</v>
      </c>
      <c r="G503" s="177" t="s">
        <v>1886</v>
      </c>
      <c r="H503" s="177" t="s">
        <v>388</v>
      </c>
      <c r="I503" s="178">
        <v>1</v>
      </c>
      <c r="J503" s="179" t="s">
        <v>107</v>
      </c>
      <c r="K503" s="179" t="s">
        <v>126</v>
      </c>
      <c r="L503" s="179" t="s">
        <v>118</v>
      </c>
      <c r="M503" s="179" t="s">
        <v>114</v>
      </c>
      <c r="N503" s="179" t="s">
        <v>109</v>
      </c>
      <c r="O503" s="180">
        <v>67500</v>
      </c>
      <c r="P503" s="181">
        <v>67500000</v>
      </c>
      <c r="Q503" s="181">
        <v>1000</v>
      </c>
      <c r="R503" s="182">
        <v>42719</v>
      </c>
      <c r="S503" s="182">
        <v>47102</v>
      </c>
      <c r="T503" s="183" t="s">
        <v>1740</v>
      </c>
      <c r="U503" s="183" t="s">
        <v>1740</v>
      </c>
      <c r="V503" s="182" t="s">
        <v>194</v>
      </c>
      <c r="W503" s="182" t="s">
        <v>102</v>
      </c>
      <c r="X503" s="182" t="s">
        <v>1646</v>
      </c>
      <c r="Y503" s="182">
        <v>46522</v>
      </c>
      <c r="Z503" s="184">
        <f>IFERROR(INDEX(Base!G:G,MATCH('Debêntures IPCA-Spread'!Y503,Base!F:F,0)),"")</f>
        <v>6.391</v>
      </c>
      <c r="AA503" s="115"/>
      <c r="AB503" s="185">
        <v>45552</v>
      </c>
      <c r="AC503" s="186">
        <v>6.5454999999999997</v>
      </c>
      <c r="AD503" s="187">
        <f t="shared" si="21"/>
        <v>0.15449999999999964</v>
      </c>
      <c r="AE503" s="188">
        <v>0.24</v>
      </c>
      <c r="AF503" s="189"/>
      <c r="AG503" s="189"/>
      <c r="AH503" s="190">
        <v>1056.4296589999999</v>
      </c>
      <c r="AI503" s="190">
        <v>1060.152276</v>
      </c>
      <c r="AJ503" s="191">
        <f t="shared" si="20"/>
        <v>0.99648860160537911</v>
      </c>
      <c r="AK503" s="192">
        <v>45551</v>
      </c>
      <c r="AL503" s="193">
        <v>102.25</v>
      </c>
      <c r="AM503" s="194">
        <v>557</v>
      </c>
      <c r="AN503" s="115"/>
      <c r="AO503" s="195">
        <v>-3.5113983949000001E-3</v>
      </c>
      <c r="AP503" s="196">
        <f t="shared" si="22"/>
        <v>-3.9915432798299996E-3</v>
      </c>
      <c r="AQ503" s="196">
        <v>8.5868004898999994E-3</v>
      </c>
      <c r="AR503" s="196">
        <f t="shared" si="23"/>
        <v>8.8043072428599985E-3</v>
      </c>
      <c r="AS503" s="196">
        <v>7.1620574620999994E-2</v>
      </c>
      <c r="AT503" s="196">
        <f t="shared" si="24"/>
        <v>5.6894739565999997E-2</v>
      </c>
      <c r="AU503" s="196">
        <v>5.5581848500999998E-3</v>
      </c>
      <c r="AV503" s="196">
        <f t="shared" si="25"/>
        <v>1.86267674461E-2</v>
      </c>
      <c r="AW503" s="196">
        <v>2.9642320672999999E-2</v>
      </c>
      <c r="AX503" s="196">
        <f t="shared" si="26"/>
        <v>5.6472528849999988E-3</v>
      </c>
      <c r="AY503" s="196">
        <v>4.7921043390000001E-2</v>
      </c>
      <c r="AZ503" s="196">
        <f t="shared" si="27"/>
        <v>3.3678788600000002E-2</v>
      </c>
      <c r="BA503" s="196">
        <v>9.6165930886999998E-2</v>
      </c>
      <c r="BB503" s="196">
        <f t="shared" si="28"/>
        <v>4.2678966329E-2</v>
      </c>
      <c r="BC503" s="196">
        <v>0.24518592003</v>
      </c>
      <c r="BD503" s="196">
        <f t="shared" si="29"/>
        <v>5.0877353540000003E-2</v>
      </c>
      <c r="BE503" s="196"/>
      <c r="BF503" s="196" t="str">
        <f t="shared" si="30"/>
        <v/>
      </c>
      <c r="BG503" s="196"/>
      <c r="BH503" s="196" t="str">
        <f t="shared" si="31"/>
        <v/>
      </c>
      <c r="BI503" s="196"/>
      <c r="BJ503" s="196" t="str">
        <f t="shared" si="32"/>
        <v/>
      </c>
      <c r="BK503" s="197">
        <v>3.6972068091999999</v>
      </c>
      <c r="BL503" s="115"/>
      <c r="BM503" s="198">
        <v>7.1357160559000002E-3</v>
      </c>
      <c r="BN503" s="191">
        <v>-8.9860796543000006E-3</v>
      </c>
      <c r="BO503" s="191">
        <v>2.4841455796999999E-2</v>
      </c>
      <c r="BP503" s="191">
        <v>-6.2414036674000003E-3</v>
      </c>
      <c r="BQ503" s="199">
        <v>10</v>
      </c>
      <c r="BR503" s="199">
        <v>2</v>
      </c>
      <c r="BS503" s="199">
        <v>7</v>
      </c>
      <c r="BT503" s="199">
        <v>5</v>
      </c>
      <c r="BU503" s="200">
        <v>-0.36164131825000001</v>
      </c>
      <c r="BV503" s="200"/>
      <c r="BW503" s="191">
        <v>3.8189280117999999E-3</v>
      </c>
      <c r="BX503" s="191">
        <v>2.8961420661E-3</v>
      </c>
      <c r="BY503" s="189">
        <v>-1.8649339571000001</v>
      </c>
      <c r="BZ503" s="191">
        <v>-1.8068290192999999E-2</v>
      </c>
      <c r="CA503" s="191">
        <v>-1.8068290192999999E-2</v>
      </c>
      <c r="CB503" s="182">
        <v>45187</v>
      </c>
      <c r="CC503" s="182">
        <v>45217</v>
      </c>
      <c r="CD503" s="201">
        <v>39</v>
      </c>
      <c r="CE503" s="202">
        <v>45244</v>
      </c>
    </row>
    <row r="504" spans="2:83" ht="15.6" x14ac:dyDescent="0.3">
      <c r="B504" s="110" t="s">
        <v>1531</v>
      </c>
      <c r="C504" s="147" t="s">
        <v>2177</v>
      </c>
      <c r="D504" s="148" t="s">
        <v>1954</v>
      </c>
      <c r="E504" s="148" t="s">
        <v>226</v>
      </c>
      <c r="F504" s="149">
        <v>23093056000133</v>
      </c>
      <c r="G504" s="149" t="s">
        <v>1887</v>
      </c>
      <c r="H504" s="149" t="s">
        <v>388</v>
      </c>
      <c r="I504" s="150">
        <v>7</v>
      </c>
      <c r="J504" s="151" t="s">
        <v>107</v>
      </c>
      <c r="K504" s="151" t="s">
        <v>128</v>
      </c>
      <c r="L504" s="151" t="s">
        <v>118</v>
      </c>
      <c r="M504" s="151" t="s">
        <v>114</v>
      </c>
      <c r="N504" s="151" t="s">
        <v>109</v>
      </c>
      <c r="O504" s="152">
        <v>1100000</v>
      </c>
      <c r="P504" s="153">
        <v>1100000000</v>
      </c>
      <c r="Q504" s="153">
        <v>1000</v>
      </c>
      <c r="R504" s="154">
        <v>44362</v>
      </c>
      <c r="S504" s="154">
        <v>49293</v>
      </c>
      <c r="T504" s="155" t="s">
        <v>1663</v>
      </c>
      <c r="U504" s="155" t="s">
        <v>1663</v>
      </c>
      <c r="V504" s="154" t="s">
        <v>194</v>
      </c>
      <c r="W504" s="154" t="s">
        <v>102</v>
      </c>
      <c r="X504" s="154" t="s">
        <v>1647</v>
      </c>
      <c r="Y504" s="154">
        <v>47710</v>
      </c>
      <c r="Z504" s="156">
        <f>IFERROR(INDEX(Base!G:G,MATCH('Debêntures IPCA-Spread'!Y504,Base!F:F,0)),"")</f>
        <v>6.3273999999999999</v>
      </c>
      <c r="AA504" s="115"/>
      <c r="AB504" s="157">
        <v>45552</v>
      </c>
      <c r="AC504" s="158">
        <v>6.8365</v>
      </c>
      <c r="AD504" s="159">
        <f t="shared" si="21"/>
        <v>0.50910000000000011</v>
      </c>
      <c r="AE504" s="160">
        <v>0.1</v>
      </c>
      <c r="AF504" s="161">
        <v>6.9127000000000001</v>
      </c>
      <c r="AG504" s="161"/>
      <c r="AH504" s="162">
        <v>1061.1565949999999</v>
      </c>
      <c r="AI504" s="162">
        <v>1086.3950050000001</v>
      </c>
      <c r="AJ504" s="163">
        <f t="shared" si="20"/>
        <v>0.97676866159744524</v>
      </c>
      <c r="AK504" s="164">
        <v>45518</v>
      </c>
      <c r="AL504" s="165">
        <v>90.68</v>
      </c>
      <c r="AM504" s="166">
        <v>1280</v>
      </c>
      <c r="AN504" s="115"/>
      <c r="AO504" s="167">
        <v>1.5328477511000001E-3</v>
      </c>
      <c r="AP504" s="168">
        <f t="shared" si="22"/>
        <v>1.0527028661700001E-3</v>
      </c>
      <c r="AQ504" s="168">
        <v>1.1549490973E-3</v>
      </c>
      <c r="AR504" s="168">
        <f t="shared" si="23"/>
        <v>1.3724558502600001E-3</v>
      </c>
      <c r="AS504" s="168">
        <v>6.9201010677999997E-2</v>
      </c>
      <c r="AT504" s="168">
        <f t="shared" si="24"/>
        <v>5.4475175622999999E-2</v>
      </c>
      <c r="AU504" s="168">
        <v>-1.6233507309999999E-2</v>
      </c>
      <c r="AV504" s="168">
        <f t="shared" si="25"/>
        <v>-3.1649247139999993E-3</v>
      </c>
      <c r="AW504" s="168">
        <v>2.8600842434E-2</v>
      </c>
      <c r="AX504" s="168">
        <f t="shared" si="26"/>
        <v>4.605774646E-3</v>
      </c>
      <c r="AY504" s="168">
        <v>1.2230031537000001E-2</v>
      </c>
      <c r="AZ504" s="168">
        <f t="shared" si="27"/>
        <v>-2.0122232529999999E-3</v>
      </c>
      <c r="BA504" s="168">
        <v>0.10441924959</v>
      </c>
      <c r="BB504" s="168">
        <f t="shared" si="28"/>
        <v>5.0932285032000001E-2</v>
      </c>
      <c r="BC504" s="168">
        <v>0.21771656912000001</v>
      </c>
      <c r="BD504" s="168">
        <f t="shared" si="29"/>
        <v>2.3408002630000008E-2</v>
      </c>
      <c r="BE504" s="168"/>
      <c r="BF504" s="168" t="str">
        <f t="shared" si="30"/>
        <v/>
      </c>
      <c r="BG504" s="168"/>
      <c r="BH504" s="168" t="str">
        <f t="shared" si="31"/>
        <v/>
      </c>
      <c r="BI504" s="168"/>
      <c r="BJ504" s="168" t="str">
        <f t="shared" si="32"/>
        <v/>
      </c>
      <c r="BK504" s="169">
        <v>7.1591921020999996</v>
      </c>
      <c r="BL504" s="115"/>
      <c r="BM504" s="170">
        <v>1.3822768849E-2</v>
      </c>
      <c r="BN504" s="163">
        <v>-1.2919810629E-2</v>
      </c>
      <c r="BO504" s="163">
        <v>4.2949607251999998E-2</v>
      </c>
      <c r="BP504" s="163">
        <v>-1.8059344743999999E-2</v>
      </c>
      <c r="BQ504" s="171">
        <v>9</v>
      </c>
      <c r="BR504" s="171">
        <v>3</v>
      </c>
      <c r="BS504" s="171">
        <v>6</v>
      </c>
      <c r="BT504" s="171">
        <v>6</v>
      </c>
      <c r="BU504" s="172">
        <v>-5.6844668850000002E-2</v>
      </c>
      <c r="BV504" s="172"/>
      <c r="BW504" s="163">
        <v>7.3984700338E-3</v>
      </c>
      <c r="BX504" s="163">
        <v>8.1682489536000005E-3</v>
      </c>
      <c r="BY504" s="161">
        <v>-1.0156683520000001</v>
      </c>
      <c r="BZ504" s="163">
        <v>-3.0607844132999999E-2</v>
      </c>
      <c r="CA504" s="163">
        <v>-3.0607844132999999E-2</v>
      </c>
      <c r="CB504" s="154">
        <v>45187</v>
      </c>
      <c r="CC504" s="154">
        <v>45218</v>
      </c>
      <c r="CD504" s="173">
        <v>44</v>
      </c>
      <c r="CE504" s="174">
        <v>45252</v>
      </c>
    </row>
    <row r="505" spans="2:83" ht="15.6" x14ac:dyDescent="0.3">
      <c r="B505" s="98"/>
      <c r="C505" s="175"/>
      <c r="D505" s="176"/>
      <c r="E505" s="176"/>
      <c r="F505" s="177"/>
      <c r="G505" s="177"/>
      <c r="H505" s="177"/>
      <c r="I505" s="178"/>
      <c r="J505" s="179"/>
      <c r="K505" s="179"/>
      <c r="L505" s="179"/>
      <c r="M505" s="179"/>
      <c r="N505" s="179"/>
      <c r="O505" s="180"/>
      <c r="P505" s="181"/>
      <c r="Q505" s="181"/>
      <c r="R505" s="182"/>
      <c r="S505" s="182"/>
      <c r="T505" s="183"/>
      <c r="U505" s="183"/>
      <c r="V505" s="182"/>
      <c r="W505" s="182"/>
      <c r="X505" s="182"/>
      <c r="Y505" s="182"/>
      <c r="Z505" s="184" t="str">
        <f>IFERROR(INDEX(Base!G:G,MATCH('Debêntures IPCA-Spread'!Y505,Base!F:F,0)),"")</f>
        <v/>
      </c>
      <c r="AA505" s="115"/>
      <c r="AB505" s="185"/>
      <c r="AC505" s="186"/>
      <c r="AD505" s="187" t="str">
        <f t="shared" si="21"/>
        <v/>
      </c>
      <c r="AE505" s="188"/>
      <c r="AF505" s="189"/>
      <c r="AG505" s="189"/>
      <c r="AH505" s="190"/>
      <c r="AI505" s="190"/>
      <c r="AJ505" s="191" t="str">
        <f t="shared" si="20"/>
        <v/>
      </c>
      <c r="AK505" s="192"/>
      <c r="AL505" s="193"/>
      <c r="AM505" s="194"/>
      <c r="AN505" s="115"/>
      <c r="AO505" s="195"/>
      <c r="AP505" s="196" t="str">
        <f t="shared" si="22"/>
        <v/>
      </c>
      <c r="AQ505" s="196"/>
      <c r="AR505" s="196" t="str">
        <f t="shared" si="23"/>
        <v/>
      </c>
      <c r="AS505" s="196"/>
      <c r="AT505" s="196" t="str">
        <f t="shared" si="24"/>
        <v/>
      </c>
      <c r="AU505" s="196"/>
      <c r="AV505" s="196" t="str">
        <f t="shared" si="25"/>
        <v/>
      </c>
      <c r="AW505" s="196"/>
      <c r="AX505" s="196" t="str">
        <f t="shared" si="26"/>
        <v/>
      </c>
      <c r="AY505" s="196"/>
      <c r="AZ505" s="196" t="str">
        <f t="shared" si="27"/>
        <v/>
      </c>
      <c r="BA505" s="196"/>
      <c r="BB505" s="196" t="str">
        <f t="shared" si="28"/>
        <v/>
      </c>
      <c r="BC505" s="196"/>
      <c r="BD505" s="196" t="str">
        <f t="shared" si="29"/>
        <v/>
      </c>
      <c r="BE505" s="196"/>
      <c r="BF505" s="196" t="str">
        <f t="shared" si="30"/>
        <v/>
      </c>
      <c r="BG505" s="196"/>
      <c r="BH505" s="196" t="str">
        <f t="shared" si="31"/>
        <v/>
      </c>
      <c r="BI505" s="196"/>
      <c r="BJ505" s="196" t="str">
        <f t="shared" si="32"/>
        <v/>
      </c>
      <c r="BK505" s="197"/>
      <c r="BL505" s="115"/>
      <c r="BM505" s="198"/>
      <c r="BN505" s="191"/>
      <c r="BO505" s="191"/>
      <c r="BP505" s="191"/>
      <c r="BQ505" s="199"/>
      <c r="BR505" s="199"/>
      <c r="BS505" s="199"/>
      <c r="BT505" s="199"/>
      <c r="BU505" s="200"/>
      <c r="BV505" s="200"/>
      <c r="BW505" s="191"/>
      <c r="BX505" s="191"/>
      <c r="BY505" s="189"/>
      <c r="BZ505" s="191"/>
      <c r="CA505" s="191"/>
      <c r="CB505" s="182"/>
      <c r="CC505" s="182"/>
      <c r="CD505" s="201"/>
      <c r="CE505" s="202"/>
    </row>
    <row r="506" spans="2:83" ht="15.6" x14ac:dyDescent="0.3">
      <c r="B506" s="110"/>
      <c r="C506" s="147"/>
      <c r="D506" s="148"/>
      <c r="E506" s="148"/>
      <c r="F506" s="149"/>
      <c r="G506" s="149"/>
      <c r="H506" s="149"/>
      <c r="I506" s="150"/>
      <c r="J506" s="151"/>
      <c r="K506" s="151"/>
      <c r="L506" s="151"/>
      <c r="M506" s="151"/>
      <c r="N506" s="151"/>
      <c r="O506" s="152"/>
      <c r="P506" s="153"/>
      <c r="Q506" s="153"/>
      <c r="R506" s="154"/>
      <c r="S506" s="154"/>
      <c r="T506" s="155"/>
      <c r="U506" s="155"/>
      <c r="V506" s="154"/>
      <c r="W506" s="154"/>
      <c r="X506" s="154"/>
      <c r="Y506" s="154"/>
      <c r="Z506" s="156" t="str">
        <f>IFERROR(INDEX(Base!G:G,MATCH('Debêntures IPCA-Spread'!Y506,Base!F:F,0)),"")</f>
        <v/>
      </c>
      <c r="AA506" s="115"/>
      <c r="AB506" s="157"/>
      <c r="AC506" s="158"/>
      <c r="AD506" s="159" t="str">
        <f t="shared" si="21"/>
        <v/>
      </c>
      <c r="AE506" s="160"/>
      <c r="AF506" s="161"/>
      <c r="AG506" s="161"/>
      <c r="AH506" s="162"/>
      <c r="AI506" s="162"/>
      <c r="AJ506" s="163" t="str">
        <f t="shared" si="20"/>
        <v/>
      </c>
      <c r="AK506" s="164"/>
      <c r="AL506" s="165"/>
      <c r="AM506" s="166"/>
      <c r="AN506" s="115"/>
      <c r="AO506" s="167"/>
      <c r="AP506" s="168" t="str">
        <f t="shared" si="22"/>
        <v/>
      </c>
      <c r="AQ506" s="168"/>
      <c r="AR506" s="168" t="str">
        <f t="shared" si="23"/>
        <v/>
      </c>
      <c r="AS506" s="168"/>
      <c r="AT506" s="168" t="str">
        <f t="shared" si="24"/>
        <v/>
      </c>
      <c r="AU506" s="168"/>
      <c r="AV506" s="168" t="str">
        <f t="shared" si="25"/>
        <v/>
      </c>
      <c r="AW506" s="168"/>
      <c r="AX506" s="168" t="str">
        <f t="shared" si="26"/>
        <v/>
      </c>
      <c r="AY506" s="168"/>
      <c r="AZ506" s="168" t="str">
        <f t="shared" si="27"/>
        <v/>
      </c>
      <c r="BA506" s="168"/>
      <c r="BB506" s="168" t="str">
        <f t="shared" si="28"/>
        <v/>
      </c>
      <c r="BC506" s="168"/>
      <c r="BD506" s="168" t="str">
        <f t="shared" si="29"/>
        <v/>
      </c>
      <c r="BE506" s="168"/>
      <c r="BF506" s="168" t="str">
        <f t="shared" si="30"/>
        <v/>
      </c>
      <c r="BG506" s="168"/>
      <c r="BH506" s="168" t="str">
        <f t="shared" si="31"/>
        <v/>
      </c>
      <c r="BI506" s="168"/>
      <c r="BJ506" s="168" t="str">
        <f t="shared" si="32"/>
        <v/>
      </c>
      <c r="BK506" s="169"/>
      <c r="BL506" s="115"/>
      <c r="BM506" s="170"/>
      <c r="BN506" s="163"/>
      <c r="BO506" s="163"/>
      <c r="BP506" s="163"/>
      <c r="BQ506" s="171"/>
      <c r="BR506" s="171"/>
      <c r="BS506" s="171"/>
      <c r="BT506" s="171"/>
      <c r="BU506" s="172"/>
      <c r="BV506" s="172"/>
      <c r="BW506" s="163"/>
      <c r="BX506" s="163"/>
      <c r="BY506" s="161"/>
      <c r="BZ506" s="163"/>
      <c r="CA506" s="163"/>
      <c r="CB506" s="154"/>
      <c r="CC506" s="154"/>
      <c r="CD506" s="173"/>
      <c r="CE506" s="174"/>
    </row>
    <row r="507" spans="2:83" ht="15.6" x14ac:dyDescent="0.3">
      <c r="B507" s="98"/>
      <c r="C507" s="175"/>
      <c r="D507" s="176"/>
      <c r="E507" s="176"/>
      <c r="F507" s="177"/>
      <c r="G507" s="177"/>
      <c r="H507" s="177"/>
      <c r="I507" s="178"/>
      <c r="J507" s="179"/>
      <c r="K507" s="179"/>
      <c r="L507" s="179"/>
      <c r="M507" s="179"/>
      <c r="N507" s="179"/>
      <c r="O507" s="180"/>
      <c r="P507" s="181"/>
      <c r="Q507" s="181"/>
      <c r="R507" s="182"/>
      <c r="S507" s="182"/>
      <c r="T507" s="183"/>
      <c r="U507" s="183"/>
      <c r="V507" s="182"/>
      <c r="W507" s="182"/>
      <c r="X507" s="182"/>
      <c r="Y507" s="182"/>
      <c r="Z507" s="184" t="str">
        <f>IFERROR(INDEX(Base!G:G,MATCH('Debêntures IPCA-Spread'!Y507,Base!F:F,0)),"")</f>
        <v/>
      </c>
      <c r="AA507" s="115"/>
      <c r="AB507" s="185"/>
      <c r="AC507" s="186"/>
      <c r="AD507" s="187" t="str">
        <f t="shared" si="21"/>
        <v/>
      </c>
      <c r="AE507" s="188"/>
      <c r="AF507" s="189"/>
      <c r="AG507" s="189"/>
      <c r="AH507" s="190"/>
      <c r="AI507" s="190"/>
      <c r="AJ507" s="191" t="str">
        <f t="shared" si="20"/>
        <v/>
      </c>
      <c r="AK507" s="192"/>
      <c r="AL507" s="193"/>
      <c r="AM507" s="194"/>
      <c r="AN507" s="115"/>
      <c r="AO507" s="195"/>
      <c r="AP507" s="196" t="str">
        <f t="shared" si="22"/>
        <v/>
      </c>
      <c r="AQ507" s="196"/>
      <c r="AR507" s="196" t="str">
        <f t="shared" si="23"/>
        <v/>
      </c>
      <c r="AS507" s="196"/>
      <c r="AT507" s="196" t="str">
        <f t="shared" si="24"/>
        <v/>
      </c>
      <c r="AU507" s="196"/>
      <c r="AV507" s="196" t="str">
        <f t="shared" si="25"/>
        <v/>
      </c>
      <c r="AW507" s="196"/>
      <c r="AX507" s="196" t="str">
        <f t="shared" si="26"/>
        <v/>
      </c>
      <c r="AY507" s="196"/>
      <c r="AZ507" s="196" t="str">
        <f t="shared" si="27"/>
        <v/>
      </c>
      <c r="BA507" s="196"/>
      <c r="BB507" s="196" t="str">
        <f t="shared" si="28"/>
        <v/>
      </c>
      <c r="BC507" s="196"/>
      <c r="BD507" s="196" t="str">
        <f t="shared" si="29"/>
        <v/>
      </c>
      <c r="BE507" s="196"/>
      <c r="BF507" s="196" t="str">
        <f t="shared" si="30"/>
        <v/>
      </c>
      <c r="BG507" s="196"/>
      <c r="BH507" s="196" t="str">
        <f t="shared" si="31"/>
        <v/>
      </c>
      <c r="BI507" s="196"/>
      <c r="BJ507" s="196" t="str">
        <f t="shared" si="32"/>
        <v/>
      </c>
      <c r="BK507" s="197"/>
      <c r="BL507" s="115"/>
      <c r="BM507" s="198"/>
      <c r="BN507" s="191"/>
      <c r="BO507" s="191"/>
      <c r="BP507" s="191"/>
      <c r="BQ507" s="199"/>
      <c r="BR507" s="199"/>
      <c r="BS507" s="199"/>
      <c r="BT507" s="199"/>
      <c r="BU507" s="200"/>
      <c r="BV507" s="200"/>
      <c r="BW507" s="191"/>
      <c r="BX507" s="191"/>
      <c r="BY507" s="189"/>
      <c r="BZ507" s="191"/>
      <c r="CA507" s="191"/>
      <c r="CB507" s="182"/>
      <c r="CC507" s="182"/>
      <c r="CD507" s="201"/>
      <c r="CE507" s="202"/>
    </row>
    <row r="508" spans="2:83" ht="15.6" x14ac:dyDescent="0.3">
      <c r="B508" s="110"/>
      <c r="C508" s="147"/>
      <c r="D508" s="148"/>
      <c r="E508" s="148"/>
      <c r="F508" s="149"/>
      <c r="G508" s="149"/>
      <c r="H508" s="149"/>
      <c r="I508" s="150"/>
      <c r="J508" s="151"/>
      <c r="K508" s="151"/>
      <c r="L508" s="151"/>
      <c r="M508" s="151"/>
      <c r="N508" s="151"/>
      <c r="O508" s="152"/>
      <c r="P508" s="153"/>
      <c r="Q508" s="153"/>
      <c r="R508" s="154"/>
      <c r="S508" s="154"/>
      <c r="T508" s="155"/>
      <c r="U508" s="155"/>
      <c r="V508" s="154"/>
      <c r="W508" s="154"/>
      <c r="X508" s="154"/>
      <c r="Y508" s="154"/>
      <c r="Z508" s="156" t="str">
        <f>IFERROR(INDEX(Base!G:G,MATCH('Debêntures IPCA-Spread'!Y508,Base!F:F,0)),"")</f>
        <v/>
      </c>
      <c r="AA508" s="115"/>
      <c r="AB508" s="157"/>
      <c r="AC508" s="158"/>
      <c r="AD508" s="159" t="str">
        <f t="shared" si="21"/>
        <v/>
      </c>
      <c r="AE508" s="160"/>
      <c r="AF508" s="161"/>
      <c r="AG508" s="161"/>
      <c r="AH508" s="162"/>
      <c r="AI508" s="162"/>
      <c r="AJ508" s="163" t="str">
        <f t="shared" si="20"/>
        <v/>
      </c>
      <c r="AK508" s="164"/>
      <c r="AL508" s="165"/>
      <c r="AM508" s="166"/>
      <c r="AN508" s="115"/>
      <c r="AO508" s="167"/>
      <c r="AP508" s="168" t="str">
        <f t="shared" si="22"/>
        <v/>
      </c>
      <c r="AQ508" s="168"/>
      <c r="AR508" s="168" t="str">
        <f t="shared" si="23"/>
        <v/>
      </c>
      <c r="AS508" s="168"/>
      <c r="AT508" s="168" t="str">
        <f t="shared" si="24"/>
        <v/>
      </c>
      <c r="AU508" s="168"/>
      <c r="AV508" s="168" t="str">
        <f t="shared" si="25"/>
        <v/>
      </c>
      <c r="AW508" s="168"/>
      <c r="AX508" s="168" t="str">
        <f t="shared" si="26"/>
        <v/>
      </c>
      <c r="AY508" s="168"/>
      <c r="AZ508" s="168" t="str">
        <f t="shared" si="27"/>
        <v/>
      </c>
      <c r="BA508" s="168"/>
      <c r="BB508" s="168" t="str">
        <f t="shared" si="28"/>
        <v/>
      </c>
      <c r="BC508" s="168"/>
      <c r="BD508" s="168" t="str">
        <f t="shared" si="29"/>
        <v/>
      </c>
      <c r="BE508" s="168"/>
      <c r="BF508" s="168" t="str">
        <f t="shared" si="30"/>
        <v/>
      </c>
      <c r="BG508" s="168"/>
      <c r="BH508" s="168" t="str">
        <f t="shared" si="31"/>
        <v/>
      </c>
      <c r="BI508" s="168"/>
      <c r="BJ508" s="168" t="str">
        <f t="shared" si="32"/>
        <v/>
      </c>
      <c r="BK508" s="169"/>
      <c r="BL508" s="115"/>
      <c r="BM508" s="170"/>
      <c r="BN508" s="163"/>
      <c r="BO508" s="163"/>
      <c r="BP508" s="163"/>
      <c r="BQ508" s="171"/>
      <c r="BR508" s="171"/>
      <c r="BS508" s="171"/>
      <c r="BT508" s="171"/>
      <c r="BU508" s="172"/>
      <c r="BV508" s="172"/>
      <c r="BW508" s="163"/>
      <c r="BX508" s="163"/>
      <c r="BY508" s="161"/>
      <c r="BZ508" s="163"/>
      <c r="CA508" s="163"/>
      <c r="CB508" s="154"/>
      <c r="CC508" s="154"/>
      <c r="CD508" s="173"/>
      <c r="CE508" s="174"/>
    </row>
    <row r="509" spans="2:83" ht="15.6" x14ac:dyDescent="0.3">
      <c r="B509" s="98"/>
      <c r="C509" s="175"/>
      <c r="D509" s="176"/>
      <c r="E509" s="176"/>
      <c r="F509" s="177"/>
      <c r="G509" s="177"/>
      <c r="H509" s="177"/>
      <c r="I509" s="178"/>
      <c r="J509" s="179"/>
      <c r="K509" s="179"/>
      <c r="L509" s="179"/>
      <c r="M509" s="179"/>
      <c r="N509" s="179"/>
      <c r="O509" s="180"/>
      <c r="P509" s="181"/>
      <c r="Q509" s="181"/>
      <c r="R509" s="182"/>
      <c r="S509" s="182"/>
      <c r="T509" s="183"/>
      <c r="U509" s="183"/>
      <c r="V509" s="182"/>
      <c r="W509" s="182"/>
      <c r="X509" s="182"/>
      <c r="Y509" s="182"/>
      <c r="Z509" s="184" t="str">
        <f>IFERROR(INDEX(Base!G:G,MATCH('Debêntures IPCA-Spread'!Y509,Base!F:F,0)),"")</f>
        <v/>
      </c>
      <c r="AA509" s="115"/>
      <c r="AB509" s="185"/>
      <c r="AC509" s="186"/>
      <c r="AD509" s="187" t="str">
        <f t="shared" si="21"/>
        <v/>
      </c>
      <c r="AE509" s="188"/>
      <c r="AF509" s="189"/>
      <c r="AG509" s="189"/>
      <c r="AH509" s="190"/>
      <c r="AI509" s="190"/>
      <c r="AJ509" s="191" t="str">
        <f t="shared" si="20"/>
        <v/>
      </c>
      <c r="AK509" s="192"/>
      <c r="AL509" s="193"/>
      <c r="AM509" s="194"/>
      <c r="AN509" s="115"/>
      <c r="AO509" s="195"/>
      <c r="AP509" s="196" t="str">
        <f t="shared" si="22"/>
        <v/>
      </c>
      <c r="AQ509" s="196"/>
      <c r="AR509" s="196" t="str">
        <f t="shared" si="23"/>
        <v/>
      </c>
      <c r="AS509" s="196"/>
      <c r="AT509" s="196" t="str">
        <f t="shared" si="24"/>
        <v/>
      </c>
      <c r="AU509" s="196"/>
      <c r="AV509" s="196" t="str">
        <f t="shared" si="25"/>
        <v/>
      </c>
      <c r="AW509" s="196"/>
      <c r="AX509" s="196" t="str">
        <f t="shared" si="26"/>
        <v/>
      </c>
      <c r="AY509" s="196"/>
      <c r="AZ509" s="196" t="str">
        <f t="shared" si="27"/>
        <v/>
      </c>
      <c r="BA509" s="196"/>
      <c r="BB509" s="196" t="str">
        <f t="shared" si="28"/>
        <v/>
      </c>
      <c r="BC509" s="196"/>
      <c r="BD509" s="196" t="str">
        <f t="shared" si="29"/>
        <v/>
      </c>
      <c r="BE509" s="196"/>
      <c r="BF509" s="196" t="str">
        <f t="shared" si="30"/>
        <v/>
      </c>
      <c r="BG509" s="196"/>
      <c r="BH509" s="196" t="str">
        <f t="shared" si="31"/>
        <v/>
      </c>
      <c r="BI509" s="196"/>
      <c r="BJ509" s="196" t="str">
        <f t="shared" si="32"/>
        <v/>
      </c>
      <c r="BK509" s="197"/>
      <c r="BL509" s="115"/>
      <c r="BM509" s="198"/>
      <c r="BN509" s="191"/>
      <c r="BO509" s="191"/>
      <c r="BP509" s="191"/>
      <c r="BQ509" s="199"/>
      <c r="BR509" s="199"/>
      <c r="BS509" s="199"/>
      <c r="BT509" s="199"/>
      <c r="BU509" s="200"/>
      <c r="BV509" s="200"/>
      <c r="BW509" s="191"/>
      <c r="BX509" s="191"/>
      <c r="BY509" s="189"/>
      <c r="BZ509" s="191"/>
      <c r="CA509" s="191"/>
      <c r="CB509" s="182"/>
      <c r="CC509" s="182"/>
      <c r="CD509" s="201"/>
      <c r="CE509" s="202"/>
    </row>
    <row r="510" spans="2:83" ht="15.6" x14ac:dyDescent="0.3">
      <c r="B510" s="110"/>
      <c r="C510" s="147"/>
      <c r="D510" s="148"/>
      <c r="E510" s="148"/>
      <c r="F510" s="149"/>
      <c r="G510" s="149"/>
      <c r="H510" s="149"/>
      <c r="I510" s="150"/>
      <c r="J510" s="151"/>
      <c r="K510" s="151"/>
      <c r="L510" s="151"/>
      <c r="M510" s="151"/>
      <c r="N510" s="151"/>
      <c r="O510" s="152"/>
      <c r="P510" s="153"/>
      <c r="Q510" s="153"/>
      <c r="R510" s="154"/>
      <c r="S510" s="154"/>
      <c r="T510" s="155"/>
      <c r="U510" s="155"/>
      <c r="V510" s="154"/>
      <c r="W510" s="154"/>
      <c r="X510" s="154"/>
      <c r="Y510" s="154"/>
      <c r="Z510" s="156" t="str">
        <f>IFERROR(INDEX(Base!G:G,MATCH('Debêntures IPCA-Spread'!Y510,Base!F:F,0)),"")</f>
        <v/>
      </c>
      <c r="AA510" s="115"/>
      <c r="AB510" s="157"/>
      <c r="AC510" s="158"/>
      <c r="AD510" s="159" t="str">
        <f t="shared" si="21"/>
        <v/>
      </c>
      <c r="AE510" s="160"/>
      <c r="AF510" s="161"/>
      <c r="AG510" s="161"/>
      <c r="AH510" s="162"/>
      <c r="AI510" s="162"/>
      <c r="AJ510" s="163" t="str">
        <f t="shared" si="20"/>
        <v/>
      </c>
      <c r="AK510" s="164"/>
      <c r="AL510" s="165"/>
      <c r="AM510" s="166"/>
      <c r="AN510" s="115"/>
      <c r="AO510" s="167"/>
      <c r="AP510" s="168" t="str">
        <f t="shared" si="22"/>
        <v/>
      </c>
      <c r="AQ510" s="168"/>
      <c r="AR510" s="168" t="str">
        <f t="shared" si="23"/>
        <v/>
      </c>
      <c r="AS510" s="168"/>
      <c r="AT510" s="168" t="str">
        <f t="shared" si="24"/>
        <v/>
      </c>
      <c r="AU510" s="168"/>
      <c r="AV510" s="168" t="str">
        <f t="shared" si="25"/>
        <v/>
      </c>
      <c r="AW510" s="168"/>
      <c r="AX510" s="168" t="str">
        <f t="shared" si="26"/>
        <v/>
      </c>
      <c r="AY510" s="168"/>
      <c r="AZ510" s="168" t="str">
        <f t="shared" si="27"/>
        <v/>
      </c>
      <c r="BA510" s="168"/>
      <c r="BB510" s="168" t="str">
        <f t="shared" si="28"/>
        <v/>
      </c>
      <c r="BC510" s="168"/>
      <c r="BD510" s="168" t="str">
        <f t="shared" si="29"/>
        <v/>
      </c>
      <c r="BE510" s="168"/>
      <c r="BF510" s="168" t="str">
        <f t="shared" si="30"/>
        <v/>
      </c>
      <c r="BG510" s="168"/>
      <c r="BH510" s="168" t="str">
        <f t="shared" si="31"/>
        <v/>
      </c>
      <c r="BI510" s="168"/>
      <c r="BJ510" s="168" t="str">
        <f t="shared" si="32"/>
        <v/>
      </c>
      <c r="BK510" s="169"/>
      <c r="BL510" s="115"/>
      <c r="BM510" s="170"/>
      <c r="BN510" s="163"/>
      <c r="BO510" s="163"/>
      <c r="BP510" s="163"/>
      <c r="BQ510" s="171"/>
      <c r="BR510" s="171"/>
      <c r="BS510" s="171"/>
      <c r="BT510" s="171"/>
      <c r="BU510" s="172"/>
      <c r="BV510" s="172"/>
      <c r="BW510" s="163"/>
      <c r="BX510" s="163"/>
      <c r="BY510" s="161"/>
      <c r="BZ510" s="163"/>
      <c r="CA510" s="163"/>
      <c r="CB510" s="154"/>
      <c r="CC510" s="154"/>
      <c r="CD510" s="173"/>
      <c r="CE510" s="174"/>
    </row>
    <row r="511" spans="2:83" ht="15.6" x14ac:dyDescent="0.3">
      <c r="B511" s="98"/>
      <c r="C511" s="175"/>
      <c r="D511" s="176"/>
      <c r="E511" s="176"/>
      <c r="F511" s="177"/>
      <c r="G511" s="177"/>
      <c r="H511" s="177"/>
      <c r="I511" s="178"/>
      <c r="J511" s="179"/>
      <c r="K511" s="179"/>
      <c r="L511" s="179"/>
      <c r="M511" s="179"/>
      <c r="N511" s="179"/>
      <c r="O511" s="180"/>
      <c r="P511" s="181"/>
      <c r="Q511" s="181"/>
      <c r="R511" s="182"/>
      <c r="S511" s="182"/>
      <c r="T511" s="183"/>
      <c r="U511" s="183"/>
      <c r="V511" s="182"/>
      <c r="W511" s="182"/>
      <c r="X511" s="182"/>
      <c r="Y511" s="182"/>
      <c r="Z511" s="184" t="str">
        <f>IFERROR(INDEX(Base!G:G,MATCH('Debêntures IPCA-Spread'!Y511,Base!F:F,0)),"")</f>
        <v/>
      </c>
      <c r="AA511" s="115"/>
      <c r="AB511" s="185"/>
      <c r="AC511" s="186"/>
      <c r="AD511" s="187" t="str">
        <f t="shared" si="21"/>
        <v/>
      </c>
      <c r="AE511" s="188"/>
      <c r="AF511" s="189"/>
      <c r="AG511" s="189"/>
      <c r="AH511" s="190"/>
      <c r="AI511" s="190"/>
      <c r="AJ511" s="191" t="str">
        <f t="shared" ref="AJ511:AJ569" si="33">IFERROR(AH511/AI511,"")</f>
        <v/>
      </c>
      <c r="AK511" s="192"/>
      <c r="AL511" s="193"/>
      <c r="AM511" s="194"/>
      <c r="AN511" s="115"/>
      <c r="AO511" s="195"/>
      <c r="AP511" s="196" t="str">
        <f t="shared" si="22"/>
        <v/>
      </c>
      <c r="AQ511" s="196"/>
      <c r="AR511" s="196" t="str">
        <f t="shared" si="23"/>
        <v/>
      </c>
      <c r="AS511" s="196"/>
      <c r="AT511" s="196" t="str">
        <f t="shared" si="24"/>
        <v/>
      </c>
      <c r="AU511" s="196"/>
      <c r="AV511" s="196" t="str">
        <f t="shared" si="25"/>
        <v/>
      </c>
      <c r="AW511" s="196"/>
      <c r="AX511" s="196" t="str">
        <f t="shared" si="26"/>
        <v/>
      </c>
      <c r="AY511" s="196"/>
      <c r="AZ511" s="196" t="str">
        <f t="shared" si="27"/>
        <v/>
      </c>
      <c r="BA511" s="196"/>
      <c r="BB511" s="196" t="str">
        <f t="shared" si="28"/>
        <v/>
      </c>
      <c r="BC511" s="196"/>
      <c r="BD511" s="196" t="str">
        <f t="shared" si="29"/>
        <v/>
      </c>
      <c r="BE511" s="196"/>
      <c r="BF511" s="196" t="str">
        <f t="shared" si="30"/>
        <v/>
      </c>
      <c r="BG511" s="196"/>
      <c r="BH511" s="196" t="str">
        <f t="shared" si="31"/>
        <v/>
      </c>
      <c r="BI511" s="196"/>
      <c r="BJ511" s="196" t="str">
        <f t="shared" si="32"/>
        <v/>
      </c>
      <c r="BK511" s="197"/>
      <c r="BL511" s="115"/>
      <c r="BM511" s="198"/>
      <c r="BN511" s="191"/>
      <c r="BO511" s="191"/>
      <c r="BP511" s="191"/>
      <c r="BQ511" s="199"/>
      <c r="BR511" s="199"/>
      <c r="BS511" s="199"/>
      <c r="BT511" s="199"/>
      <c r="BU511" s="200"/>
      <c r="BV511" s="200"/>
      <c r="BW511" s="191"/>
      <c r="BX511" s="191"/>
      <c r="BY511" s="189"/>
      <c r="BZ511" s="191"/>
      <c r="CA511" s="191"/>
      <c r="CB511" s="182"/>
      <c r="CC511" s="182"/>
      <c r="CD511" s="201"/>
      <c r="CE511" s="202"/>
    </row>
    <row r="512" spans="2:83" ht="15.6" x14ac:dyDescent="0.3">
      <c r="B512" s="110"/>
      <c r="C512" s="147"/>
      <c r="D512" s="148"/>
      <c r="E512" s="148"/>
      <c r="F512" s="149"/>
      <c r="G512" s="149"/>
      <c r="H512" s="149"/>
      <c r="I512" s="150"/>
      <c r="J512" s="151"/>
      <c r="K512" s="151"/>
      <c r="L512" s="151"/>
      <c r="M512" s="151"/>
      <c r="N512" s="151"/>
      <c r="O512" s="152"/>
      <c r="P512" s="153"/>
      <c r="Q512" s="153"/>
      <c r="R512" s="154"/>
      <c r="S512" s="154"/>
      <c r="T512" s="155"/>
      <c r="U512" s="155"/>
      <c r="V512" s="154"/>
      <c r="W512" s="154"/>
      <c r="X512" s="154"/>
      <c r="Y512" s="154"/>
      <c r="Z512" s="156" t="str">
        <f>IFERROR(INDEX(Base!G:G,MATCH('Debêntures IPCA-Spread'!Y512,Base!F:F,0)),"")</f>
        <v/>
      </c>
      <c r="AA512" s="115"/>
      <c r="AB512" s="157"/>
      <c r="AC512" s="158"/>
      <c r="AD512" s="159" t="str">
        <f t="shared" si="21"/>
        <v/>
      </c>
      <c r="AE512" s="160"/>
      <c r="AF512" s="161"/>
      <c r="AG512" s="161"/>
      <c r="AH512" s="162"/>
      <c r="AI512" s="162"/>
      <c r="AJ512" s="163" t="str">
        <f t="shared" si="33"/>
        <v/>
      </c>
      <c r="AK512" s="164"/>
      <c r="AL512" s="165"/>
      <c r="AM512" s="166"/>
      <c r="AN512" s="115"/>
      <c r="AO512" s="167"/>
      <c r="AP512" s="168" t="str">
        <f t="shared" si="22"/>
        <v/>
      </c>
      <c r="AQ512" s="168"/>
      <c r="AR512" s="168" t="str">
        <f t="shared" si="23"/>
        <v/>
      </c>
      <c r="AS512" s="168"/>
      <c r="AT512" s="168" t="str">
        <f t="shared" si="24"/>
        <v/>
      </c>
      <c r="AU512" s="168"/>
      <c r="AV512" s="168" t="str">
        <f t="shared" si="25"/>
        <v/>
      </c>
      <c r="AW512" s="168"/>
      <c r="AX512" s="168" t="str">
        <f t="shared" si="26"/>
        <v/>
      </c>
      <c r="AY512" s="168"/>
      <c r="AZ512" s="168" t="str">
        <f t="shared" si="27"/>
        <v/>
      </c>
      <c r="BA512" s="168"/>
      <c r="BB512" s="168" t="str">
        <f t="shared" si="28"/>
        <v/>
      </c>
      <c r="BC512" s="168"/>
      <c r="BD512" s="168" t="str">
        <f t="shared" si="29"/>
        <v/>
      </c>
      <c r="BE512" s="168"/>
      <c r="BF512" s="168" t="str">
        <f t="shared" si="30"/>
        <v/>
      </c>
      <c r="BG512" s="168"/>
      <c r="BH512" s="168" t="str">
        <f t="shared" si="31"/>
        <v/>
      </c>
      <c r="BI512" s="168"/>
      <c r="BJ512" s="168" t="str">
        <f t="shared" si="32"/>
        <v/>
      </c>
      <c r="BK512" s="169"/>
      <c r="BL512" s="115"/>
      <c r="BM512" s="170"/>
      <c r="BN512" s="163"/>
      <c r="BO512" s="163"/>
      <c r="BP512" s="163"/>
      <c r="BQ512" s="171"/>
      <c r="BR512" s="171"/>
      <c r="BS512" s="171"/>
      <c r="BT512" s="171"/>
      <c r="BU512" s="172"/>
      <c r="BV512" s="172"/>
      <c r="BW512" s="163"/>
      <c r="BX512" s="163"/>
      <c r="BY512" s="161"/>
      <c r="BZ512" s="163"/>
      <c r="CA512" s="163"/>
      <c r="CB512" s="154"/>
      <c r="CC512" s="154"/>
      <c r="CD512" s="173"/>
      <c r="CE512" s="174"/>
    </row>
    <row r="513" spans="2:83" ht="15.6" x14ac:dyDescent="0.3">
      <c r="B513" s="98"/>
      <c r="C513" s="175"/>
      <c r="D513" s="176"/>
      <c r="E513" s="176"/>
      <c r="F513" s="177"/>
      <c r="G513" s="177"/>
      <c r="H513" s="177"/>
      <c r="I513" s="178"/>
      <c r="J513" s="179"/>
      <c r="K513" s="179"/>
      <c r="L513" s="179"/>
      <c r="M513" s="179"/>
      <c r="N513" s="179"/>
      <c r="O513" s="180"/>
      <c r="P513" s="181"/>
      <c r="Q513" s="181"/>
      <c r="R513" s="182"/>
      <c r="S513" s="182"/>
      <c r="T513" s="183"/>
      <c r="U513" s="183"/>
      <c r="V513" s="182"/>
      <c r="W513" s="182"/>
      <c r="X513" s="182"/>
      <c r="Y513" s="182"/>
      <c r="Z513" s="184" t="str">
        <f>IFERROR(INDEX(Base!G:G,MATCH('Debêntures IPCA-Spread'!Y513,Base!F:F,0)),"")</f>
        <v/>
      </c>
      <c r="AA513" s="115"/>
      <c r="AB513" s="185"/>
      <c r="AC513" s="186"/>
      <c r="AD513" s="187" t="str">
        <f t="shared" si="21"/>
        <v/>
      </c>
      <c r="AE513" s="188"/>
      <c r="AF513" s="189"/>
      <c r="AG513" s="189"/>
      <c r="AH513" s="190"/>
      <c r="AI513" s="190"/>
      <c r="AJ513" s="191" t="str">
        <f t="shared" si="33"/>
        <v/>
      </c>
      <c r="AK513" s="192"/>
      <c r="AL513" s="193"/>
      <c r="AM513" s="194"/>
      <c r="AN513" s="115"/>
      <c r="AO513" s="195"/>
      <c r="AP513" s="196" t="str">
        <f t="shared" si="22"/>
        <v/>
      </c>
      <c r="AQ513" s="196"/>
      <c r="AR513" s="196" t="str">
        <f t="shared" si="23"/>
        <v/>
      </c>
      <c r="AS513" s="196"/>
      <c r="AT513" s="196" t="str">
        <f t="shared" si="24"/>
        <v/>
      </c>
      <c r="AU513" s="196"/>
      <c r="AV513" s="196" t="str">
        <f t="shared" si="25"/>
        <v/>
      </c>
      <c r="AW513" s="196"/>
      <c r="AX513" s="196" t="str">
        <f t="shared" si="26"/>
        <v/>
      </c>
      <c r="AY513" s="196"/>
      <c r="AZ513" s="196" t="str">
        <f t="shared" si="27"/>
        <v/>
      </c>
      <c r="BA513" s="196"/>
      <c r="BB513" s="196" t="str">
        <f t="shared" si="28"/>
        <v/>
      </c>
      <c r="BC513" s="196"/>
      <c r="BD513" s="196" t="str">
        <f t="shared" si="29"/>
        <v/>
      </c>
      <c r="BE513" s="196"/>
      <c r="BF513" s="196" t="str">
        <f t="shared" si="30"/>
        <v/>
      </c>
      <c r="BG513" s="196"/>
      <c r="BH513" s="196" t="str">
        <f t="shared" si="31"/>
        <v/>
      </c>
      <c r="BI513" s="196"/>
      <c r="BJ513" s="196" t="str">
        <f t="shared" si="32"/>
        <v/>
      </c>
      <c r="BK513" s="197"/>
      <c r="BL513" s="115"/>
      <c r="BM513" s="198"/>
      <c r="BN513" s="191"/>
      <c r="BO513" s="191"/>
      <c r="BP513" s="191"/>
      <c r="BQ513" s="199"/>
      <c r="BR513" s="199"/>
      <c r="BS513" s="199"/>
      <c r="BT513" s="199"/>
      <c r="BU513" s="200"/>
      <c r="BV513" s="200"/>
      <c r="BW513" s="191"/>
      <c r="BX513" s="191"/>
      <c r="BY513" s="189"/>
      <c r="BZ513" s="191"/>
      <c r="CA513" s="191"/>
      <c r="CB513" s="182"/>
      <c r="CC513" s="182"/>
      <c r="CD513" s="201"/>
      <c r="CE513" s="202"/>
    </row>
    <row r="514" spans="2:83" ht="15.6" x14ac:dyDescent="0.3">
      <c r="B514" s="110"/>
      <c r="C514" s="147"/>
      <c r="D514" s="148"/>
      <c r="E514" s="148"/>
      <c r="F514" s="149"/>
      <c r="G514" s="149"/>
      <c r="H514" s="149"/>
      <c r="I514" s="150"/>
      <c r="J514" s="151"/>
      <c r="K514" s="151"/>
      <c r="L514" s="151"/>
      <c r="M514" s="151"/>
      <c r="N514" s="151"/>
      <c r="O514" s="152"/>
      <c r="P514" s="153"/>
      <c r="Q514" s="153"/>
      <c r="R514" s="154"/>
      <c r="S514" s="154"/>
      <c r="T514" s="155"/>
      <c r="U514" s="155"/>
      <c r="V514" s="154"/>
      <c r="W514" s="154"/>
      <c r="X514" s="154"/>
      <c r="Y514" s="154"/>
      <c r="Z514" s="156" t="str">
        <f>IFERROR(INDEX(Base!G:G,MATCH('Debêntures IPCA-Spread'!Y514,Base!F:F,0)),"")</f>
        <v/>
      </c>
      <c r="AA514" s="115"/>
      <c r="AB514" s="157"/>
      <c r="AC514" s="158"/>
      <c r="AD514" s="159" t="str">
        <f t="shared" si="21"/>
        <v/>
      </c>
      <c r="AE514" s="160"/>
      <c r="AF514" s="161"/>
      <c r="AG514" s="161"/>
      <c r="AH514" s="162"/>
      <c r="AI514" s="162"/>
      <c r="AJ514" s="163" t="str">
        <f t="shared" si="33"/>
        <v/>
      </c>
      <c r="AK514" s="164"/>
      <c r="AL514" s="165"/>
      <c r="AM514" s="166"/>
      <c r="AN514" s="115"/>
      <c r="AO514" s="167"/>
      <c r="AP514" s="168" t="str">
        <f t="shared" si="22"/>
        <v/>
      </c>
      <c r="AQ514" s="168"/>
      <c r="AR514" s="168" t="str">
        <f t="shared" si="23"/>
        <v/>
      </c>
      <c r="AS514" s="168"/>
      <c r="AT514" s="168" t="str">
        <f t="shared" si="24"/>
        <v/>
      </c>
      <c r="AU514" s="168"/>
      <c r="AV514" s="168" t="str">
        <f t="shared" si="25"/>
        <v/>
      </c>
      <c r="AW514" s="168"/>
      <c r="AX514" s="168" t="str">
        <f t="shared" si="26"/>
        <v/>
      </c>
      <c r="AY514" s="168"/>
      <c r="AZ514" s="168" t="str">
        <f t="shared" si="27"/>
        <v/>
      </c>
      <c r="BA514" s="168"/>
      <c r="BB514" s="168" t="str">
        <f t="shared" si="28"/>
        <v/>
      </c>
      <c r="BC514" s="168"/>
      <c r="BD514" s="168" t="str">
        <f t="shared" si="29"/>
        <v/>
      </c>
      <c r="BE514" s="168"/>
      <c r="BF514" s="168" t="str">
        <f t="shared" si="30"/>
        <v/>
      </c>
      <c r="BG514" s="168"/>
      <c r="BH514" s="168" t="str">
        <f t="shared" si="31"/>
        <v/>
      </c>
      <c r="BI514" s="168"/>
      <c r="BJ514" s="168" t="str">
        <f t="shared" si="32"/>
        <v/>
      </c>
      <c r="BK514" s="169"/>
      <c r="BL514" s="115"/>
      <c r="BM514" s="170"/>
      <c r="BN514" s="163"/>
      <c r="BO514" s="163"/>
      <c r="BP514" s="163"/>
      <c r="BQ514" s="171"/>
      <c r="BR514" s="171"/>
      <c r="BS514" s="171"/>
      <c r="BT514" s="171"/>
      <c r="BU514" s="172"/>
      <c r="BV514" s="172"/>
      <c r="BW514" s="163"/>
      <c r="BX514" s="163"/>
      <c r="BY514" s="161"/>
      <c r="BZ514" s="163"/>
      <c r="CA514" s="163"/>
      <c r="CB514" s="154"/>
      <c r="CC514" s="154"/>
      <c r="CD514" s="173"/>
      <c r="CE514" s="174"/>
    </row>
    <row r="515" spans="2:83" ht="15.6" x14ac:dyDescent="0.3">
      <c r="B515" s="98"/>
      <c r="C515" s="175"/>
      <c r="D515" s="176"/>
      <c r="E515" s="176"/>
      <c r="F515" s="177"/>
      <c r="G515" s="177"/>
      <c r="H515" s="177"/>
      <c r="I515" s="178"/>
      <c r="J515" s="179"/>
      <c r="K515" s="179"/>
      <c r="L515" s="179"/>
      <c r="M515" s="179"/>
      <c r="N515" s="179"/>
      <c r="O515" s="180"/>
      <c r="P515" s="181"/>
      <c r="Q515" s="181"/>
      <c r="R515" s="182"/>
      <c r="S515" s="182"/>
      <c r="T515" s="183"/>
      <c r="U515" s="183"/>
      <c r="V515" s="182"/>
      <c r="W515" s="182"/>
      <c r="X515" s="182"/>
      <c r="Y515" s="182"/>
      <c r="Z515" s="184" t="str">
        <f>IFERROR(INDEX(Base!G:G,MATCH('Debêntures IPCA-Spread'!Y515,Base!F:F,0)),"")</f>
        <v/>
      </c>
      <c r="AA515" s="115"/>
      <c r="AB515" s="185"/>
      <c r="AC515" s="186"/>
      <c r="AD515" s="187" t="str">
        <f t="shared" si="21"/>
        <v/>
      </c>
      <c r="AE515" s="188"/>
      <c r="AF515" s="189"/>
      <c r="AG515" s="189"/>
      <c r="AH515" s="190"/>
      <c r="AI515" s="190"/>
      <c r="AJ515" s="191" t="str">
        <f t="shared" si="33"/>
        <v/>
      </c>
      <c r="AK515" s="192"/>
      <c r="AL515" s="193"/>
      <c r="AM515" s="194"/>
      <c r="AN515" s="115"/>
      <c r="AO515" s="195"/>
      <c r="AP515" s="196" t="str">
        <f t="shared" si="22"/>
        <v/>
      </c>
      <c r="AQ515" s="196"/>
      <c r="AR515" s="196" t="str">
        <f t="shared" si="23"/>
        <v/>
      </c>
      <c r="AS515" s="196"/>
      <c r="AT515" s="196" t="str">
        <f t="shared" si="24"/>
        <v/>
      </c>
      <c r="AU515" s="196"/>
      <c r="AV515" s="196" t="str">
        <f t="shared" si="25"/>
        <v/>
      </c>
      <c r="AW515" s="196"/>
      <c r="AX515" s="196" t="str">
        <f t="shared" si="26"/>
        <v/>
      </c>
      <c r="AY515" s="196"/>
      <c r="AZ515" s="196" t="str">
        <f t="shared" si="27"/>
        <v/>
      </c>
      <c r="BA515" s="196"/>
      <c r="BB515" s="196" t="str">
        <f t="shared" si="28"/>
        <v/>
      </c>
      <c r="BC515" s="196"/>
      <c r="BD515" s="196" t="str">
        <f t="shared" si="29"/>
        <v/>
      </c>
      <c r="BE515" s="196"/>
      <c r="BF515" s="196" t="str">
        <f t="shared" si="30"/>
        <v/>
      </c>
      <c r="BG515" s="196"/>
      <c r="BH515" s="196" t="str">
        <f t="shared" si="31"/>
        <v/>
      </c>
      <c r="BI515" s="196"/>
      <c r="BJ515" s="196" t="str">
        <f t="shared" si="32"/>
        <v/>
      </c>
      <c r="BK515" s="197"/>
      <c r="BL515" s="115"/>
      <c r="BM515" s="198"/>
      <c r="BN515" s="191"/>
      <c r="BO515" s="191"/>
      <c r="BP515" s="191"/>
      <c r="BQ515" s="199"/>
      <c r="BR515" s="199"/>
      <c r="BS515" s="199"/>
      <c r="BT515" s="199"/>
      <c r="BU515" s="200"/>
      <c r="BV515" s="200"/>
      <c r="BW515" s="191"/>
      <c r="BX515" s="191"/>
      <c r="BY515" s="189"/>
      <c r="BZ515" s="191"/>
      <c r="CA515" s="191"/>
      <c r="CB515" s="182"/>
      <c r="CC515" s="182"/>
      <c r="CD515" s="201"/>
      <c r="CE515" s="202"/>
    </row>
    <row r="516" spans="2:83" ht="15.6" x14ac:dyDescent="0.3">
      <c r="B516" s="110"/>
      <c r="C516" s="147"/>
      <c r="D516" s="148"/>
      <c r="E516" s="148"/>
      <c r="F516" s="149"/>
      <c r="G516" s="149"/>
      <c r="H516" s="149"/>
      <c r="I516" s="150"/>
      <c r="J516" s="151"/>
      <c r="K516" s="151"/>
      <c r="L516" s="151"/>
      <c r="M516" s="151"/>
      <c r="N516" s="151"/>
      <c r="O516" s="152"/>
      <c r="P516" s="153"/>
      <c r="Q516" s="153"/>
      <c r="R516" s="154"/>
      <c r="S516" s="154"/>
      <c r="T516" s="155"/>
      <c r="U516" s="155"/>
      <c r="V516" s="154"/>
      <c r="W516" s="154"/>
      <c r="X516" s="154"/>
      <c r="Y516" s="154"/>
      <c r="Z516" s="156" t="str">
        <f>IFERROR(INDEX(Base!G:G,MATCH('Debêntures IPCA-Spread'!Y516,Base!F:F,0)),"")</f>
        <v/>
      </c>
      <c r="AA516" s="115"/>
      <c r="AB516" s="157"/>
      <c r="AC516" s="158"/>
      <c r="AD516" s="159" t="str">
        <f t="shared" si="21"/>
        <v/>
      </c>
      <c r="AE516" s="160"/>
      <c r="AF516" s="161"/>
      <c r="AG516" s="161"/>
      <c r="AH516" s="162"/>
      <c r="AI516" s="162"/>
      <c r="AJ516" s="163" t="str">
        <f t="shared" si="33"/>
        <v/>
      </c>
      <c r="AK516" s="164"/>
      <c r="AL516" s="165"/>
      <c r="AM516" s="166"/>
      <c r="AN516" s="115"/>
      <c r="AO516" s="167"/>
      <c r="AP516" s="168" t="str">
        <f t="shared" si="22"/>
        <v/>
      </c>
      <c r="AQ516" s="168"/>
      <c r="AR516" s="168" t="str">
        <f t="shared" si="23"/>
        <v/>
      </c>
      <c r="AS516" s="168"/>
      <c r="AT516" s="168" t="str">
        <f t="shared" si="24"/>
        <v/>
      </c>
      <c r="AU516" s="168"/>
      <c r="AV516" s="168" t="str">
        <f t="shared" si="25"/>
        <v/>
      </c>
      <c r="AW516" s="168"/>
      <c r="AX516" s="168" t="str">
        <f t="shared" si="26"/>
        <v/>
      </c>
      <c r="AY516" s="168"/>
      <c r="AZ516" s="168" t="str">
        <f t="shared" si="27"/>
        <v/>
      </c>
      <c r="BA516" s="168"/>
      <c r="BB516" s="168" t="str">
        <f t="shared" si="28"/>
        <v/>
      </c>
      <c r="BC516" s="168"/>
      <c r="BD516" s="168" t="str">
        <f t="shared" si="29"/>
        <v/>
      </c>
      <c r="BE516" s="168"/>
      <c r="BF516" s="168" t="str">
        <f t="shared" si="30"/>
        <v/>
      </c>
      <c r="BG516" s="168"/>
      <c r="BH516" s="168" t="str">
        <f t="shared" si="31"/>
        <v/>
      </c>
      <c r="BI516" s="168"/>
      <c r="BJ516" s="168" t="str">
        <f t="shared" si="32"/>
        <v/>
      </c>
      <c r="BK516" s="169"/>
      <c r="BL516" s="115"/>
      <c r="BM516" s="170"/>
      <c r="BN516" s="163"/>
      <c r="BO516" s="163"/>
      <c r="BP516" s="163"/>
      <c r="BQ516" s="171"/>
      <c r="BR516" s="171"/>
      <c r="BS516" s="171"/>
      <c r="BT516" s="171"/>
      <c r="BU516" s="172"/>
      <c r="BV516" s="172"/>
      <c r="BW516" s="163"/>
      <c r="BX516" s="163"/>
      <c r="BY516" s="161"/>
      <c r="BZ516" s="163"/>
      <c r="CA516" s="163"/>
      <c r="CB516" s="154"/>
      <c r="CC516" s="154"/>
      <c r="CD516" s="173"/>
      <c r="CE516" s="174"/>
    </row>
    <row r="517" spans="2:83" ht="15.6" x14ac:dyDescent="0.3">
      <c r="B517" s="98"/>
      <c r="C517" s="175"/>
      <c r="D517" s="176"/>
      <c r="E517" s="176"/>
      <c r="F517" s="177"/>
      <c r="G517" s="177"/>
      <c r="H517" s="177"/>
      <c r="I517" s="178"/>
      <c r="J517" s="179"/>
      <c r="K517" s="179"/>
      <c r="L517" s="179"/>
      <c r="M517" s="179"/>
      <c r="N517" s="179"/>
      <c r="O517" s="180"/>
      <c r="P517" s="181"/>
      <c r="Q517" s="181"/>
      <c r="R517" s="182"/>
      <c r="S517" s="182"/>
      <c r="T517" s="183"/>
      <c r="U517" s="183"/>
      <c r="V517" s="182"/>
      <c r="W517" s="182"/>
      <c r="X517" s="182"/>
      <c r="Y517" s="182"/>
      <c r="Z517" s="184" t="str">
        <f>IFERROR(INDEX(Base!G:G,MATCH('Debêntures IPCA-Spread'!Y517,Base!F:F,0)),"")</f>
        <v/>
      </c>
      <c r="AA517" s="115"/>
      <c r="AB517" s="185"/>
      <c r="AC517" s="186"/>
      <c r="AD517" s="187" t="str">
        <f t="shared" si="21"/>
        <v/>
      </c>
      <c r="AE517" s="188"/>
      <c r="AF517" s="189"/>
      <c r="AG517" s="189"/>
      <c r="AH517" s="190"/>
      <c r="AI517" s="190"/>
      <c r="AJ517" s="191" t="str">
        <f t="shared" si="33"/>
        <v/>
      </c>
      <c r="AK517" s="192"/>
      <c r="AL517" s="193"/>
      <c r="AM517" s="194"/>
      <c r="AN517" s="115"/>
      <c r="AO517" s="195"/>
      <c r="AP517" s="196" t="str">
        <f t="shared" si="22"/>
        <v/>
      </c>
      <c r="AQ517" s="196"/>
      <c r="AR517" s="196" t="str">
        <f t="shared" si="23"/>
        <v/>
      </c>
      <c r="AS517" s="196"/>
      <c r="AT517" s="196" t="str">
        <f t="shared" si="24"/>
        <v/>
      </c>
      <c r="AU517" s="196"/>
      <c r="AV517" s="196" t="str">
        <f t="shared" si="25"/>
        <v/>
      </c>
      <c r="AW517" s="196"/>
      <c r="AX517" s="196" t="str">
        <f t="shared" si="26"/>
        <v/>
      </c>
      <c r="AY517" s="196"/>
      <c r="AZ517" s="196" t="str">
        <f t="shared" si="27"/>
        <v/>
      </c>
      <c r="BA517" s="196"/>
      <c r="BB517" s="196" t="str">
        <f t="shared" si="28"/>
        <v/>
      </c>
      <c r="BC517" s="196"/>
      <c r="BD517" s="196" t="str">
        <f t="shared" si="29"/>
        <v/>
      </c>
      <c r="BE517" s="196"/>
      <c r="BF517" s="196" t="str">
        <f t="shared" si="30"/>
        <v/>
      </c>
      <c r="BG517" s="196"/>
      <c r="BH517" s="196" t="str">
        <f t="shared" si="31"/>
        <v/>
      </c>
      <c r="BI517" s="196"/>
      <c r="BJ517" s="196" t="str">
        <f t="shared" si="32"/>
        <v/>
      </c>
      <c r="BK517" s="197"/>
      <c r="BL517" s="115"/>
      <c r="BM517" s="198"/>
      <c r="BN517" s="191"/>
      <c r="BO517" s="191"/>
      <c r="BP517" s="191"/>
      <c r="BQ517" s="199"/>
      <c r="BR517" s="199"/>
      <c r="BS517" s="199"/>
      <c r="BT517" s="199"/>
      <c r="BU517" s="200"/>
      <c r="BV517" s="200"/>
      <c r="BW517" s="191"/>
      <c r="BX517" s="191"/>
      <c r="BY517" s="189"/>
      <c r="BZ517" s="191"/>
      <c r="CA517" s="191"/>
      <c r="CB517" s="182"/>
      <c r="CC517" s="182"/>
      <c r="CD517" s="201"/>
      <c r="CE517" s="202"/>
    </row>
    <row r="518" spans="2:83" ht="15.6" x14ac:dyDescent="0.3">
      <c r="B518" s="110"/>
      <c r="C518" s="147"/>
      <c r="D518" s="148"/>
      <c r="E518" s="148"/>
      <c r="F518" s="149"/>
      <c r="G518" s="149"/>
      <c r="H518" s="149"/>
      <c r="I518" s="150"/>
      <c r="J518" s="151"/>
      <c r="K518" s="151"/>
      <c r="L518" s="151"/>
      <c r="M518" s="151"/>
      <c r="N518" s="151"/>
      <c r="O518" s="152"/>
      <c r="P518" s="153"/>
      <c r="Q518" s="153"/>
      <c r="R518" s="154"/>
      <c r="S518" s="154"/>
      <c r="T518" s="155"/>
      <c r="U518" s="155"/>
      <c r="V518" s="154"/>
      <c r="W518" s="154"/>
      <c r="X518" s="154"/>
      <c r="Y518" s="154"/>
      <c r="Z518" s="156" t="str">
        <f>IFERROR(INDEX(Base!G:G,MATCH('Debêntures IPCA-Spread'!Y518,Base!F:F,0)),"")</f>
        <v/>
      </c>
      <c r="AA518" s="115"/>
      <c r="AB518" s="157"/>
      <c r="AC518" s="158"/>
      <c r="AD518" s="159" t="str">
        <f t="shared" si="21"/>
        <v/>
      </c>
      <c r="AE518" s="160"/>
      <c r="AF518" s="161"/>
      <c r="AG518" s="161"/>
      <c r="AH518" s="162"/>
      <c r="AI518" s="162"/>
      <c r="AJ518" s="163" t="str">
        <f t="shared" si="33"/>
        <v/>
      </c>
      <c r="AK518" s="164"/>
      <c r="AL518" s="165"/>
      <c r="AM518" s="166"/>
      <c r="AN518" s="115"/>
      <c r="AO518" s="167"/>
      <c r="AP518" s="168" t="str">
        <f t="shared" si="22"/>
        <v/>
      </c>
      <c r="AQ518" s="168"/>
      <c r="AR518" s="168" t="str">
        <f t="shared" si="23"/>
        <v/>
      </c>
      <c r="AS518" s="168"/>
      <c r="AT518" s="168" t="str">
        <f t="shared" si="24"/>
        <v/>
      </c>
      <c r="AU518" s="168"/>
      <c r="AV518" s="168" t="str">
        <f t="shared" si="25"/>
        <v/>
      </c>
      <c r="AW518" s="168"/>
      <c r="AX518" s="168" t="str">
        <f t="shared" si="26"/>
        <v/>
      </c>
      <c r="AY518" s="168"/>
      <c r="AZ518" s="168" t="str">
        <f t="shared" si="27"/>
        <v/>
      </c>
      <c r="BA518" s="168"/>
      <c r="BB518" s="168" t="str">
        <f t="shared" si="28"/>
        <v/>
      </c>
      <c r="BC518" s="168"/>
      <c r="BD518" s="168" t="str">
        <f t="shared" si="29"/>
        <v/>
      </c>
      <c r="BE518" s="168"/>
      <c r="BF518" s="168" t="str">
        <f t="shared" si="30"/>
        <v/>
      </c>
      <c r="BG518" s="168"/>
      <c r="BH518" s="168" t="str">
        <f t="shared" si="31"/>
        <v/>
      </c>
      <c r="BI518" s="168"/>
      <c r="BJ518" s="168" t="str">
        <f t="shared" si="32"/>
        <v/>
      </c>
      <c r="BK518" s="169"/>
      <c r="BL518" s="115"/>
      <c r="BM518" s="170"/>
      <c r="BN518" s="163"/>
      <c r="BO518" s="163"/>
      <c r="BP518" s="163"/>
      <c r="BQ518" s="171"/>
      <c r="BR518" s="171"/>
      <c r="BS518" s="171"/>
      <c r="BT518" s="171"/>
      <c r="BU518" s="172"/>
      <c r="BV518" s="172"/>
      <c r="BW518" s="163"/>
      <c r="BX518" s="163"/>
      <c r="BY518" s="161"/>
      <c r="BZ518" s="163"/>
      <c r="CA518" s="163"/>
      <c r="CB518" s="154"/>
      <c r="CC518" s="154"/>
      <c r="CD518" s="173"/>
      <c r="CE518" s="174"/>
    </row>
    <row r="519" spans="2:83" ht="15.6" x14ac:dyDescent="0.3">
      <c r="B519" s="98"/>
      <c r="C519" s="175"/>
      <c r="D519" s="176"/>
      <c r="E519" s="176"/>
      <c r="F519" s="177"/>
      <c r="G519" s="177"/>
      <c r="H519" s="177"/>
      <c r="I519" s="178"/>
      <c r="J519" s="179"/>
      <c r="K519" s="179"/>
      <c r="L519" s="179"/>
      <c r="M519" s="179"/>
      <c r="N519" s="179"/>
      <c r="O519" s="180"/>
      <c r="P519" s="181"/>
      <c r="Q519" s="181"/>
      <c r="R519" s="182"/>
      <c r="S519" s="182"/>
      <c r="T519" s="183"/>
      <c r="U519" s="183"/>
      <c r="V519" s="182"/>
      <c r="W519" s="182"/>
      <c r="X519" s="182"/>
      <c r="Y519" s="182"/>
      <c r="Z519" s="184" t="str">
        <f>IFERROR(INDEX(Base!G:G,MATCH('Debêntures IPCA-Spread'!Y519,Base!F:F,0)),"")</f>
        <v/>
      </c>
      <c r="AA519" s="115"/>
      <c r="AB519" s="185"/>
      <c r="AC519" s="186"/>
      <c r="AD519" s="187" t="str">
        <f t="shared" si="21"/>
        <v/>
      </c>
      <c r="AE519" s="188"/>
      <c r="AF519" s="189"/>
      <c r="AG519" s="189"/>
      <c r="AH519" s="190"/>
      <c r="AI519" s="190"/>
      <c r="AJ519" s="191" t="str">
        <f t="shared" si="33"/>
        <v/>
      </c>
      <c r="AK519" s="192"/>
      <c r="AL519" s="193"/>
      <c r="AM519" s="194"/>
      <c r="AN519" s="115"/>
      <c r="AO519" s="195"/>
      <c r="AP519" s="196" t="str">
        <f t="shared" si="22"/>
        <v/>
      </c>
      <c r="AQ519" s="196"/>
      <c r="AR519" s="196" t="str">
        <f t="shared" si="23"/>
        <v/>
      </c>
      <c r="AS519" s="196"/>
      <c r="AT519" s="196" t="str">
        <f t="shared" si="24"/>
        <v/>
      </c>
      <c r="AU519" s="196"/>
      <c r="AV519" s="196" t="str">
        <f t="shared" si="25"/>
        <v/>
      </c>
      <c r="AW519" s="196"/>
      <c r="AX519" s="196" t="str">
        <f t="shared" si="26"/>
        <v/>
      </c>
      <c r="AY519" s="196"/>
      <c r="AZ519" s="196" t="str">
        <f t="shared" si="27"/>
        <v/>
      </c>
      <c r="BA519" s="196"/>
      <c r="BB519" s="196" t="str">
        <f t="shared" si="28"/>
        <v/>
      </c>
      <c r="BC519" s="196"/>
      <c r="BD519" s="196" t="str">
        <f t="shared" si="29"/>
        <v/>
      </c>
      <c r="BE519" s="196"/>
      <c r="BF519" s="196" t="str">
        <f t="shared" si="30"/>
        <v/>
      </c>
      <c r="BG519" s="196"/>
      <c r="BH519" s="196" t="str">
        <f t="shared" si="31"/>
        <v/>
      </c>
      <c r="BI519" s="196"/>
      <c r="BJ519" s="196" t="str">
        <f t="shared" si="32"/>
        <v/>
      </c>
      <c r="BK519" s="197"/>
      <c r="BL519" s="115"/>
      <c r="BM519" s="198"/>
      <c r="BN519" s="191"/>
      <c r="BO519" s="191"/>
      <c r="BP519" s="191"/>
      <c r="BQ519" s="199"/>
      <c r="BR519" s="199"/>
      <c r="BS519" s="199"/>
      <c r="BT519" s="199"/>
      <c r="BU519" s="200"/>
      <c r="BV519" s="200"/>
      <c r="BW519" s="191"/>
      <c r="BX519" s="191"/>
      <c r="BY519" s="189"/>
      <c r="BZ519" s="191"/>
      <c r="CA519" s="191"/>
      <c r="CB519" s="182"/>
      <c r="CC519" s="182"/>
      <c r="CD519" s="201"/>
      <c r="CE519" s="202"/>
    </row>
    <row r="520" spans="2:83" ht="15.6" x14ac:dyDescent="0.3">
      <c r="B520" s="110"/>
      <c r="C520" s="147"/>
      <c r="D520" s="148"/>
      <c r="E520" s="148"/>
      <c r="F520" s="149"/>
      <c r="G520" s="149"/>
      <c r="H520" s="149"/>
      <c r="I520" s="150"/>
      <c r="J520" s="151"/>
      <c r="K520" s="151"/>
      <c r="L520" s="151"/>
      <c r="M520" s="151"/>
      <c r="N520" s="151"/>
      <c r="O520" s="152"/>
      <c r="P520" s="153"/>
      <c r="Q520" s="153"/>
      <c r="R520" s="154"/>
      <c r="S520" s="154"/>
      <c r="T520" s="155"/>
      <c r="U520" s="155"/>
      <c r="V520" s="154"/>
      <c r="W520" s="154"/>
      <c r="X520" s="154"/>
      <c r="Y520" s="154"/>
      <c r="Z520" s="156" t="str">
        <f>IFERROR(INDEX(Base!G:G,MATCH('Debêntures IPCA-Spread'!Y520,Base!F:F,0)),"")</f>
        <v/>
      </c>
      <c r="AA520" s="115"/>
      <c r="AB520" s="157"/>
      <c r="AC520" s="158"/>
      <c r="AD520" s="159" t="str">
        <f t="shared" si="21"/>
        <v/>
      </c>
      <c r="AE520" s="160"/>
      <c r="AF520" s="161"/>
      <c r="AG520" s="161"/>
      <c r="AH520" s="162"/>
      <c r="AI520" s="162"/>
      <c r="AJ520" s="163" t="str">
        <f t="shared" si="33"/>
        <v/>
      </c>
      <c r="AK520" s="164"/>
      <c r="AL520" s="165"/>
      <c r="AM520" s="166"/>
      <c r="AN520" s="115"/>
      <c r="AO520" s="167"/>
      <c r="AP520" s="168" t="str">
        <f t="shared" si="22"/>
        <v/>
      </c>
      <c r="AQ520" s="168"/>
      <c r="AR520" s="168" t="str">
        <f t="shared" si="23"/>
        <v/>
      </c>
      <c r="AS520" s="168"/>
      <c r="AT520" s="168" t="str">
        <f t="shared" si="24"/>
        <v/>
      </c>
      <c r="AU520" s="168"/>
      <c r="AV520" s="168" t="str">
        <f t="shared" si="25"/>
        <v/>
      </c>
      <c r="AW520" s="168"/>
      <c r="AX520" s="168" t="str">
        <f t="shared" si="26"/>
        <v/>
      </c>
      <c r="AY520" s="168"/>
      <c r="AZ520" s="168" t="str">
        <f t="shared" si="27"/>
        <v/>
      </c>
      <c r="BA520" s="168"/>
      <c r="BB520" s="168" t="str">
        <f t="shared" si="28"/>
        <v/>
      </c>
      <c r="BC520" s="168"/>
      <c r="BD520" s="168" t="str">
        <f t="shared" si="29"/>
        <v/>
      </c>
      <c r="BE520" s="168"/>
      <c r="BF520" s="168" t="str">
        <f t="shared" si="30"/>
        <v/>
      </c>
      <c r="BG520" s="168"/>
      <c r="BH520" s="168" t="str">
        <f t="shared" si="31"/>
        <v/>
      </c>
      <c r="BI520" s="168"/>
      <c r="BJ520" s="168" t="str">
        <f t="shared" si="32"/>
        <v/>
      </c>
      <c r="BK520" s="169"/>
      <c r="BL520" s="115"/>
      <c r="BM520" s="170"/>
      <c r="BN520" s="163"/>
      <c r="BO520" s="163"/>
      <c r="BP520" s="163"/>
      <c r="BQ520" s="171"/>
      <c r="BR520" s="171"/>
      <c r="BS520" s="171"/>
      <c r="BT520" s="171"/>
      <c r="BU520" s="172"/>
      <c r="BV520" s="172"/>
      <c r="BW520" s="163"/>
      <c r="BX520" s="163"/>
      <c r="BY520" s="161"/>
      <c r="BZ520" s="163"/>
      <c r="CA520" s="163"/>
      <c r="CB520" s="154"/>
      <c r="CC520" s="154"/>
      <c r="CD520" s="173"/>
      <c r="CE520" s="174"/>
    </row>
    <row r="521" spans="2:83" ht="15.6" x14ac:dyDescent="0.3">
      <c r="B521" s="98"/>
      <c r="C521" s="175"/>
      <c r="D521" s="176"/>
      <c r="E521" s="176"/>
      <c r="F521" s="177"/>
      <c r="G521" s="177"/>
      <c r="H521" s="177"/>
      <c r="I521" s="178"/>
      <c r="J521" s="179"/>
      <c r="K521" s="179"/>
      <c r="L521" s="179"/>
      <c r="M521" s="179"/>
      <c r="N521" s="179"/>
      <c r="O521" s="180"/>
      <c r="P521" s="181"/>
      <c r="Q521" s="181"/>
      <c r="R521" s="182"/>
      <c r="S521" s="182"/>
      <c r="T521" s="183"/>
      <c r="U521" s="183"/>
      <c r="V521" s="182"/>
      <c r="W521" s="182"/>
      <c r="X521" s="182"/>
      <c r="Y521" s="182"/>
      <c r="Z521" s="184" t="str">
        <f>IFERROR(INDEX(Base!G:G,MATCH('Debêntures IPCA-Spread'!Y521,Base!F:F,0)),"")</f>
        <v/>
      </c>
      <c r="AA521" s="115"/>
      <c r="AB521" s="185"/>
      <c r="AC521" s="186"/>
      <c r="AD521" s="187" t="str">
        <f t="shared" si="21"/>
        <v/>
      </c>
      <c r="AE521" s="188"/>
      <c r="AF521" s="189"/>
      <c r="AG521" s="189"/>
      <c r="AH521" s="190"/>
      <c r="AI521" s="190"/>
      <c r="AJ521" s="191" t="str">
        <f t="shared" si="33"/>
        <v/>
      </c>
      <c r="AK521" s="192"/>
      <c r="AL521" s="193"/>
      <c r="AM521" s="194"/>
      <c r="AN521" s="115"/>
      <c r="AO521" s="195"/>
      <c r="AP521" s="196" t="str">
        <f t="shared" si="22"/>
        <v/>
      </c>
      <c r="AQ521" s="196"/>
      <c r="AR521" s="196" t="str">
        <f t="shared" si="23"/>
        <v/>
      </c>
      <c r="AS521" s="196"/>
      <c r="AT521" s="196" t="str">
        <f t="shared" si="24"/>
        <v/>
      </c>
      <c r="AU521" s="196"/>
      <c r="AV521" s="196" t="str">
        <f t="shared" si="25"/>
        <v/>
      </c>
      <c r="AW521" s="196"/>
      <c r="AX521" s="196" t="str">
        <f t="shared" si="26"/>
        <v/>
      </c>
      <c r="AY521" s="196"/>
      <c r="AZ521" s="196" t="str">
        <f t="shared" si="27"/>
        <v/>
      </c>
      <c r="BA521" s="196"/>
      <c r="BB521" s="196" t="str">
        <f t="shared" si="28"/>
        <v/>
      </c>
      <c r="BC521" s="196"/>
      <c r="BD521" s="196" t="str">
        <f t="shared" si="29"/>
        <v/>
      </c>
      <c r="BE521" s="196"/>
      <c r="BF521" s="196" t="str">
        <f t="shared" si="30"/>
        <v/>
      </c>
      <c r="BG521" s="196"/>
      <c r="BH521" s="196" t="str">
        <f t="shared" si="31"/>
        <v/>
      </c>
      <c r="BI521" s="196"/>
      <c r="BJ521" s="196" t="str">
        <f t="shared" si="32"/>
        <v/>
      </c>
      <c r="BK521" s="197"/>
      <c r="BL521" s="115"/>
      <c r="BM521" s="198"/>
      <c r="BN521" s="191"/>
      <c r="BO521" s="191"/>
      <c r="BP521" s="191"/>
      <c r="BQ521" s="199"/>
      <c r="BR521" s="199"/>
      <c r="BS521" s="199"/>
      <c r="BT521" s="199"/>
      <c r="BU521" s="200"/>
      <c r="BV521" s="200"/>
      <c r="BW521" s="191"/>
      <c r="BX521" s="191"/>
      <c r="BY521" s="189"/>
      <c r="BZ521" s="191"/>
      <c r="CA521" s="191"/>
      <c r="CB521" s="182"/>
      <c r="CC521" s="182"/>
      <c r="CD521" s="201"/>
      <c r="CE521" s="202"/>
    </row>
    <row r="522" spans="2:83" ht="15.6" x14ac:dyDescent="0.3">
      <c r="B522" s="110"/>
      <c r="C522" s="147"/>
      <c r="D522" s="148"/>
      <c r="E522" s="148"/>
      <c r="F522" s="149"/>
      <c r="G522" s="149"/>
      <c r="H522" s="149"/>
      <c r="I522" s="150"/>
      <c r="J522" s="151"/>
      <c r="K522" s="151"/>
      <c r="L522" s="151"/>
      <c r="M522" s="151"/>
      <c r="N522" s="151"/>
      <c r="O522" s="152"/>
      <c r="P522" s="153"/>
      <c r="Q522" s="153"/>
      <c r="R522" s="154"/>
      <c r="S522" s="154"/>
      <c r="T522" s="155"/>
      <c r="U522" s="155"/>
      <c r="V522" s="154"/>
      <c r="W522" s="154"/>
      <c r="X522" s="154"/>
      <c r="Y522" s="154"/>
      <c r="Z522" s="156" t="str">
        <f>IFERROR(INDEX(Base!G:G,MATCH('Debêntures IPCA-Spread'!Y522,Base!F:F,0)),"")</f>
        <v/>
      </c>
      <c r="AA522" s="115"/>
      <c r="AB522" s="157"/>
      <c r="AC522" s="158"/>
      <c r="AD522" s="159" t="str">
        <f t="shared" si="21"/>
        <v/>
      </c>
      <c r="AE522" s="160"/>
      <c r="AF522" s="161"/>
      <c r="AG522" s="161"/>
      <c r="AH522" s="162"/>
      <c r="AI522" s="162"/>
      <c r="AJ522" s="163" t="str">
        <f t="shared" si="33"/>
        <v/>
      </c>
      <c r="AK522" s="164"/>
      <c r="AL522" s="165"/>
      <c r="AM522" s="166"/>
      <c r="AN522" s="115"/>
      <c r="AO522" s="167"/>
      <c r="AP522" s="168" t="str">
        <f t="shared" si="22"/>
        <v/>
      </c>
      <c r="AQ522" s="168"/>
      <c r="AR522" s="168" t="str">
        <f t="shared" si="23"/>
        <v/>
      </c>
      <c r="AS522" s="168"/>
      <c r="AT522" s="168" t="str">
        <f t="shared" si="24"/>
        <v/>
      </c>
      <c r="AU522" s="168"/>
      <c r="AV522" s="168" t="str">
        <f t="shared" si="25"/>
        <v/>
      </c>
      <c r="AW522" s="168"/>
      <c r="AX522" s="168" t="str">
        <f t="shared" si="26"/>
        <v/>
      </c>
      <c r="AY522" s="168"/>
      <c r="AZ522" s="168" t="str">
        <f t="shared" si="27"/>
        <v/>
      </c>
      <c r="BA522" s="168"/>
      <c r="BB522" s="168" t="str">
        <f t="shared" si="28"/>
        <v/>
      </c>
      <c r="BC522" s="168"/>
      <c r="BD522" s="168" t="str">
        <f t="shared" si="29"/>
        <v/>
      </c>
      <c r="BE522" s="168"/>
      <c r="BF522" s="168" t="str">
        <f t="shared" si="30"/>
        <v/>
      </c>
      <c r="BG522" s="168"/>
      <c r="BH522" s="168" t="str">
        <f t="shared" si="31"/>
        <v/>
      </c>
      <c r="BI522" s="168"/>
      <c r="BJ522" s="168" t="str">
        <f t="shared" si="32"/>
        <v/>
      </c>
      <c r="BK522" s="169"/>
      <c r="BL522" s="115"/>
      <c r="BM522" s="170"/>
      <c r="BN522" s="163"/>
      <c r="BO522" s="163"/>
      <c r="BP522" s="163"/>
      <c r="BQ522" s="171"/>
      <c r="BR522" s="171"/>
      <c r="BS522" s="171"/>
      <c r="BT522" s="171"/>
      <c r="BU522" s="172"/>
      <c r="BV522" s="172"/>
      <c r="BW522" s="163"/>
      <c r="BX522" s="163"/>
      <c r="BY522" s="161"/>
      <c r="BZ522" s="163"/>
      <c r="CA522" s="163"/>
      <c r="CB522" s="154"/>
      <c r="CC522" s="154"/>
      <c r="CD522" s="173"/>
      <c r="CE522" s="174"/>
    </row>
    <row r="523" spans="2:83" ht="15.6" x14ac:dyDescent="0.3">
      <c r="B523" s="98"/>
      <c r="C523" s="175"/>
      <c r="D523" s="176"/>
      <c r="E523" s="176"/>
      <c r="F523" s="177"/>
      <c r="G523" s="177"/>
      <c r="H523" s="177"/>
      <c r="I523" s="178"/>
      <c r="J523" s="179"/>
      <c r="K523" s="179"/>
      <c r="L523" s="179"/>
      <c r="M523" s="179"/>
      <c r="N523" s="179"/>
      <c r="O523" s="180"/>
      <c r="P523" s="181"/>
      <c r="Q523" s="181"/>
      <c r="R523" s="182"/>
      <c r="S523" s="182"/>
      <c r="T523" s="183"/>
      <c r="U523" s="183"/>
      <c r="V523" s="182"/>
      <c r="W523" s="182"/>
      <c r="X523" s="182"/>
      <c r="Y523" s="182"/>
      <c r="Z523" s="184" t="str">
        <f>IFERROR(INDEX(Base!G:G,MATCH('Debêntures IPCA-Spread'!Y523,Base!F:F,0)),"")</f>
        <v/>
      </c>
      <c r="AA523" s="115"/>
      <c r="AB523" s="185"/>
      <c r="AC523" s="186"/>
      <c r="AD523" s="187" t="str">
        <f t="shared" si="21"/>
        <v/>
      </c>
      <c r="AE523" s="188"/>
      <c r="AF523" s="189"/>
      <c r="AG523" s="189"/>
      <c r="AH523" s="190"/>
      <c r="AI523" s="190"/>
      <c r="AJ523" s="191" t="str">
        <f t="shared" si="33"/>
        <v/>
      </c>
      <c r="AK523" s="192"/>
      <c r="AL523" s="193"/>
      <c r="AM523" s="194"/>
      <c r="AN523" s="115"/>
      <c r="AO523" s="195"/>
      <c r="AP523" s="196" t="str">
        <f t="shared" si="22"/>
        <v/>
      </c>
      <c r="AQ523" s="196"/>
      <c r="AR523" s="196" t="str">
        <f t="shared" si="23"/>
        <v/>
      </c>
      <c r="AS523" s="196"/>
      <c r="AT523" s="196" t="str">
        <f t="shared" si="24"/>
        <v/>
      </c>
      <c r="AU523" s="196"/>
      <c r="AV523" s="196" t="str">
        <f t="shared" si="25"/>
        <v/>
      </c>
      <c r="AW523" s="196"/>
      <c r="AX523" s="196" t="str">
        <f t="shared" si="26"/>
        <v/>
      </c>
      <c r="AY523" s="196"/>
      <c r="AZ523" s="196" t="str">
        <f t="shared" si="27"/>
        <v/>
      </c>
      <c r="BA523" s="196"/>
      <c r="BB523" s="196" t="str">
        <f t="shared" si="28"/>
        <v/>
      </c>
      <c r="BC523" s="196"/>
      <c r="BD523" s="196" t="str">
        <f t="shared" si="29"/>
        <v/>
      </c>
      <c r="BE523" s="196"/>
      <c r="BF523" s="196" t="str">
        <f t="shared" si="30"/>
        <v/>
      </c>
      <c r="BG523" s="196"/>
      <c r="BH523" s="196" t="str">
        <f t="shared" si="31"/>
        <v/>
      </c>
      <c r="BI523" s="196"/>
      <c r="BJ523" s="196" t="str">
        <f t="shared" si="32"/>
        <v/>
      </c>
      <c r="BK523" s="197"/>
      <c r="BL523" s="115"/>
      <c r="BM523" s="198"/>
      <c r="BN523" s="191"/>
      <c r="BO523" s="191"/>
      <c r="BP523" s="191"/>
      <c r="BQ523" s="199"/>
      <c r="BR523" s="199"/>
      <c r="BS523" s="199"/>
      <c r="BT523" s="199"/>
      <c r="BU523" s="200"/>
      <c r="BV523" s="200"/>
      <c r="BW523" s="191"/>
      <c r="BX523" s="191"/>
      <c r="BY523" s="189"/>
      <c r="BZ523" s="191"/>
      <c r="CA523" s="191"/>
      <c r="CB523" s="182"/>
      <c r="CC523" s="182"/>
      <c r="CD523" s="201"/>
      <c r="CE523" s="202"/>
    </row>
    <row r="524" spans="2:83" ht="15.6" x14ac:dyDescent="0.3">
      <c r="B524" s="110"/>
      <c r="C524" s="147"/>
      <c r="D524" s="148"/>
      <c r="E524" s="148"/>
      <c r="F524" s="149"/>
      <c r="G524" s="149"/>
      <c r="H524" s="149"/>
      <c r="I524" s="150"/>
      <c r="J524" s="151"/>
      <c r="K524" s="151"/>
      <c r="L524" s="151"/>
      <c r="M524" s="151"/>
      <c r="N524" s="151"/>
      <c r="O524" s="152"/>
      <c r="P524" s="153"/>
      <c r="Q524" s="153"/>
      <c r="R524" s="154"/>
      <c r="S524" s="154"/>
      <c r="T524" s="155"/>
      <c r="U524" s="155"/>
      <c r="V524" s="154"/>
      <c r="W524" s="154"/>
      <c r="X524" s="154"/>
      <c r="Y524" s="154"/>
      <c r="Z524" s="156" t="str">
        <f>IFERROR(INDEX(Base!G:G,MATCH('Debêntures IPCA-Spread'!Y524,Base!F:F,0)),"")</f>
        <v/>
      </c>
      <c r="AA524" s="115"/>
      <c r="AB524" s="157"/>
      <c r="AC524" s="158"/>
      <c r="AD524" s="159" t="str">
        <f t="shared" si="21"/>
        <v/>
      </c>
      <c r="AE524" s="160"/>
      <c r="AF524" s="161"/>
      <c r="AG524" s="161"/>
      <c r="AH524" s="162"/>
      <c r="AI524" s="162"/>
      <c r="AJ524" s="163" t="str">
        <f t="shared" si="33"/>
        <v/>
      </c>
      <c r="AK524" s="164"/>
      <c r="AL524" s="165"/>
      <c r="AM524" s="166"/>
      <c r="AN524" s="115"/>
      <c r="AO524" s="167"/>
      <c r="AP524" s="168" t="str">
        <f t="shared" si="22"/>
        <v/>
      </c>
      <c r="AQ524" s="168"/>
      <c r="AR524" s="168" t="str">
        <f t="shared" si="23"/>
        <v/>
      </c>
      <c r="AS524" s="168"/>
      <c r="AT524" s="168" t="str">
        <f t="shared" si="24"/>
        <v/>
      </c>
      <c r="AU524" s="168"/>
      <c r="AV524" s="168" t="str">
        <f t="shared" si="25"/>
        <v/>
      </c>
      <c r="AW524" s="168"/>
      <c r="AX524" s="168" t="str">
        <f t="shared" si="26"/>
        <v/>
      </c>
      <c r="AY524" s="168"/>
      <c r="AZ524" s="168" t="str">
        <f t="shared" si="27"/>
        <v/>
      </c>
      <c r="BA524" s="168"/>
      <c r="BB524" s="168" t="str">
        <f t="shared" si="28"/>
        <v/>
      </c>
      <c r="BC524" s="168"/>
      <c r="BD524" s="168" t="str">
        <f t="shared" si="29"/>
        <v/>
      </c>
      <c r="BE524" s="168"/>
      <c r="BF524" s="168" t="str">
        <f t="shared" si="30"/>
        <v/>
      </c>
      <c r="BG524" s="168"/>
      <c r="BH524" s="168" t="str">
        <f t="shared" si="31"/>
        <v/>
      </c>
      <c r="BI524" s="168"/>
      <c r="BJ524" s="168" t="str">
        <f t="shared" si="32"/>
        <v/>
      </c>
      <c r="BK524" s="169"/>
      <c r="BL524" s="115"/>
      <c r="BM524" s="170"/>
      <c r="BN524" s="163"/>
      <c r="BO524" s="163"/>
      <c r="BP524" s="163"/>
      <c r="BQ524" s="171"/>
      <c r="BR524" s="171"/>
      <c r="BS524" s="171"/>
      <c r="BT524" s="171"/>
      <c r="BU524" s="172"/>
      <c r="BV524" s="172"/>
      <c r="BW524" s="163"/>
      <c r="BX524" s="163"/>
      <c r="BY524" s="161"/>
      <c r="BZ524" s="163"/>
      <c r="CA524" s="163"/>
      <c r="CB524" s="154"/>
      <c r="CC524" s="154"/>
      <c r="CD524" s="173"/>
      <c r="CE524" s="174"/>
    </row>
    <row r="525" spans="2:83" ht="15.6" x14ac:dyDescent="0.3">
      <c r="B525" s="98"/>
      <c r="C525" s="175"/>
      <c r="D525" s="176"/>
      <c r="E525" s="176"/>
      <c r="F525" s="177"/>
      <c r="G525" s="177"/>
      <c r="H525" s="177"/>
      <c r="I525" s="178"/>
      <c r="J525" s="179"/>
      <c r="K525" s="179"/>
      <c r="L525" s="179"/>
      <c r="M525" s="179"/>
      <c r="N525" s="179"/>
      <c r="O525" s="180"/>
      <c r="P525" s="181"/>
      <c r="Q525" s="181"/>
      <c r="R525" s="182"/>
      <c r="S525" s="182"/>
      <c r="T525" s="183"/>
      <c r="U525" s="183"/>
      <c r="V525" s="182"/>
      <c r="W525" s="182"/>
      <c r="X525" s="182"/>
      <c r="Y525" s="182"/>
      <c r="Z525" s="184" t="str">
        <f>IFERROR(INDEX(Base!G:G,MATCH('Debêntures IPCA-Spread'!Y525,Base!F:F,0)),"")</f>
        <v/>
      </c>
      <c r="AA525" s="115"/>
      <c r="AB525" s="185"/>
      <c r="AC525" s="186"/>
      <c r="AD525" s="187" t="str">
        <f t="shared" si="21"/>
        <v/>
      </c>
      <c r="AE525" s="188"/>
      <c r="AF525" s="189"/>
      <c r="AG525" s="189"/>
      <c r="AH525" s="190"/>
      <c r="AI525" s="190"/>
      <c r="AJ525" s="191" t="str">
        <f t="shared" si="33"/>
        <v/>
      </c>
      <c r="AK525" s="192"/>
      <c r="AL525" s="193"/>
      <c r="AM525" s="194"/>
      <c r="AN525" s="115"/>
      <c r="AO525" s="195"/>
      <c r="AP525" s="196" t="str">
        <f t="shared" si="22"/>
        <v/>
      </c>
      <c r="AQ525" s="196"/>
      <c r="AR525" s="196" t="str">
        <f t="shared" si="23"/>
        <v/>
      </c>
      <c r="AS525" s="196"/>
      <c r="AT525" s="196" t="str">
        <f t="shared" si="24"/>
        <v/>
      </c>
      <c r="AU525" s="196"/>
      <c r="AV525" s="196" t="str">
        <f t="shared" si="25"/>
        <v/>
      </c>
      <c r="AW525" s="196"/>
      <c r="AX525" s="196" t="str">
        <f t="shared" si="26"/>
        <v/>
      </c>
      <c r="AY525" s="196"/>
      <c r="AZ525" s="196" t="str">
        <f t="shared" si="27"/>
        <v/>
      </c>
      <c r="BA525" s="196"/>
      <c r="BB525" s="196" t="str">
        <f t="shared" si="28"/>
        <v/>
      </c>
      <c r="BC525" s="196"/>
      <c r="BD525" s="196" t="str">
        <f t="shared" si="29"/>
        <v/>
      </c>
      <c r="BE525" s="196"/>
      <c r="BF525" s="196" t="str">
        <f t="shared" si="30"/>
        <v/>
      </c>
      <c r="BG525" s="196"/>
      <c r="BH525" s="196" t="str">
        <f t="shared" si="31"/>
        <v/>
      </c>
      <c r="BI525" s="196"/>
      <c r="BJ525" s="196" t="str">
        <f t="shared" si="32"/>
        <v/>
      </c>
      <c r="BK525" s="197"/>
      <c r="BL525" s="115"/>
      <c r="BM525" s="198"/>
      <c r="BN525" s="191"/>
      <c r="BO525" s="191"/>
      <c r="BP525" s="191"/>
      <c r="BQ525" s="199"/>
      <c r="BR525" s="199"/>
      <c r="BS525" s="199"/>
      <c r="BT525" s="199"/>
      <c r="BU525" s="200"/>
      <c r="BV525" s="200"/>
      <c r="BW525" s="191"/>
      <c r="BX525" s="191"/>
      <c r="BY525" s="189"/>
      <c r="BZ525" s="191"/>
      <c r="CA525" s="191"/>
      <c r="CB525" s="182"/>
      <c r="CC525" s="182"/>
      <c r="CD525" s="201"/>
      <c r="CE525" s="202"/>
    </row>
    <row r="526" spans="2:83" ht="15.6" x14ac:dyDescent="0.3">
      <c r="B526" s="110"/>
      <c r="C526" s="147"/>
      <c r="D526" s="148"/>
      <c r="E526" s="148"/>
      <c r="F526" s="149"/>
      <c r="G526" s="149"/>
      <c r="H526" s="149"/>
      <c r="I526" s="150"/>
      <c r="J526" s="151"/>
      <c r="K526" s="151"/>
      <c r="L526" s="151"/>
      <c r="M526" s="151"/>
      <c r="N526" s="151"/>
      <c r="O526" s="152"/>
      <c r="P526" s="153"/>
      <c r="Q526" s="153"/>
      <c r="R526" s="154"/>
      <c r="S526" s="154"/>
      <c r="T526" s="155"/>
      <c r="U526" s="155"/>
      <c r="V526" s="154"/>
      <c r="W526" s="154"/>
      <c r="X526" s="154"/>
      <c r="Y526" s="154"/>
      <c r="Z526" s="156" t="str">
        <f>IFERROR(INDEX(Base!G:G,MATCH('Debêntures IPCA-Spread'!Y526,Base!F:F,0)),"")</f>
        <v/>
      </c>
      <c r="AA526" s="115"/>
      <c r="AB526" s="157"/>
      <c r="AC526" s="158"/>
      <c r="AD526" s="159" t="str">
        <f t="shared" si="21"/>
        <v/>
      </c>
      <c r="AE526" s="160"/>
      <c r="AF526" s="161"/>
      <c r="AG526" s="161"/>
      <c r="AH526" s="162"/>
      <c r="AI526" s="162"/>
      <c r="AJ526" s="163" t="str">
        <f t="shared" si="33"/>
        <v/>
      </c>
      <c r="AK526" s="164"/>
      <c r="AL526" s="165"/>
      <c r="AM526" s="166"/>
      <c r="AN526" s="115"/>
      <c r="AO526" s="167"/>
      <c r="AP526" s="168" t="str">
        <f t="shared" si="22"/>
        <v/>
      </c>
      <c r="AQ526" s="168"/>
      <c r="AR526" s="168" t="str">
        <f t="shared" si="23"/>
        <v/>
      </c>
      <c r="AS526" s="168"/>
      <c r="AT526" s="168" t="str">
        <f t="shared" si="24"/>
        <v/>
      </c>
      <c r="AU526" s="168"/>
      <c r="AV526" s="168" t="str">
        <f t="shared" si="25"/>
        <v/>
      </c>
      <c r="AW526" s="168"/>
      <c r="AX526" s="168" t="str">
        <f t="shared" si="26"/>
        <v/>
      </c>
      <c r="AY526" s="168"/>
      <c r="AZ526" s="168" t="str">
        <f t="shared" si="27"/>
        <v/>
      </c>
      <c r="BA526" s="168"/>
      <c r="BB526" s="168" t="str">
        <f t="shared" si="28"/>
        <v/>
      </c>
      <c r="BC526" s="168"/>
      <c r="BD526" s="168" t="str">
        <f t="shared" si="29"/>
        <v/>
      </c>
      <c r="BE526" s="168"/>
      <c r="BF526" s="168" t="str">
        <f t="shared" si="30"/>
        <v/>
      </c>
      <c r="BG526" s="168"/>
      <c r="BH526" s="168" t="str">
        <f t="shared" si="31"/>
        <v/>
      </c>
      <c r="BI526" s="168"/>
      <c r="BJ526" s="168" t="str">
        <f t="shared" si="32"/>
        <v/>
      </c>
      <c r="BK526" s="169"/>
      <c r="BL526" s="115"/>
      <c r="BM526" s="170"/>
      <c r="BN526" s="163"/>
      <c r="BO526" s="163"/>
      <c r="BP526" s="163"/>
      <c r="BQ526" s="171"/>
      <c r="BR526" s="171"/>
      <c r="BS526" s="171"/>
      <c r="BT526" s="171"/>
      <c r="BU526" s="172"/>
      <c r="BV526" s="172"/>
      <c r="BW526" s="163"/>
      <c r="BX526" s="163"/>
      <c r="BY526" s="161"/>
      <c r="BZ526" s="163"/>
      <c r="CA526" s="163"/>
      <c r="CB526" s="154"/>
      <c r="CC526" s="154"/>
      <c r="CD526" s="173"/>
      <c r="CE526" s="174"/>
    </row>
    <row r="527" spans="2:83" ht="15.6" x14ac:dyDescent="0.3">
      <c r="B527" s="98"/>
      <c r="C527" s="175"/>
      <c r="D527" s="176"/>
      <c r="E527" s="176"/>
      <c r="F527" s="177"/>
      <c r="G527" s="177"/>
      <c r="H527" s="177"/>
      <c r="I527" s="178"/>
      <c r="J527" s="179"/>
      <c r="K527" s="179"/>
      <c r="L527" s="179"/>
      <c r="M527" s="179"/>
      <c r="N527" s="179"/>
      <c r="O527" s="180"/>
      <c r="P527" s="181"/>
      <c r="Q527" s="181"/>
      <c r="R527" s="182"/>
      <c r="S527" s="182"/>
      <c r="T527" s="183"/>
      <c r="U527" s="183"/>
      <c r="V527" s="182"/>
      <c r="W527" s="182"/>
      <c r="X527" s="182"/>
      <c r="Y527" s="182"/>
      <c r="Z527" s="184" t="str">
        <f>IFERROR(INDEX(Base!G:G,MATCH('Debêntures IPCA-Spread'!Y527,Base!F:F,0)),"")</f>
        <v/>
      </c>
      <c r="AA527" s="115"/>
      <c r="AB527" s="185"/>
      <c r="AC527" s="186"/>
      <c r="AD527" s="187" t="str">
        <f t="shared" si="21"/>
        <v/>
      </c>
      <c r="AE527" s="188"/>
      <c r="AF527" s="189"/>
      <c r="AG527" s="189"/>
      <c r="AH527" s="190"/>
      <c r="AI527" s="190"/>
      <c r="AJ527" s="191" t="str">
        <f t="shared" si="33"/>
        <v/>
      </c>
      <c r="AK527" s="192"/>
      <c r="AL527" s="193"/>
      <c r="AM527" s="194"/>
      <c r="AN527" s="115"/>
      <c r="AO527" s="195"/>
      <c r="AP527" s="196" t="str">
        <f t="shared" si="22"/>
        <v/>
      </c>
      <c r="AQ527" s="196"/>
      <c r="AR527" s="196" t="str">
        <f t="shared" si="23"/>
        <v/>
      </c>
      <c r="AS527" s="196"/>
      <c r="AT527" s="196" t="str">
        <f t="shared" si="24"/>
        <v/>
      </c>
      <c r="AU527" s="196"/>
      <c r="AV527" s="196" t="str">
        <f t="shared" si="25"/>
        <v/>
      </c>
      <c r="AW527" s="196"/>
      <c r="AX527" s="196" t="str">
        <f t="shared" si="26"/>
        <v/>
      </c>
      <c r="AY527" s="196"/>
      <c r="AZ527" s="196" t="str">
        <f t="shared" si="27"/>
        <v/>
      </c>
      <c r="BA527" s="196"/>
      <c r="BB527" s="196" t="str">
        <f t="shared" si="28"/>
        <v/>
      </c>
      <c r="BC527" s="196"/>
      <c r="BD527" s="196" t="str">
        <f t="shared" si="29"/>
        <v/>
      </c>
      <c r="BE527" s="196"/>
      <c r="BF527" s="196" t="str">
        <f t="shared" si="30"/>
        <v/>
      </c>
      <c r="BG527" s="196"/>
      <c r="BH527" s="196" t="str">
        <f t="shared" si="31"/>
        <v/>
      </c>
      <c r="BI527" s="196"/>
      <c r="BJ527" s="196" t="str">
        <f t="shared" si="32"/>
        <v/>
      </c>
      <c r="BK527" s="197"/>
      <c r="BL527" s="115"/>
      <c r="BM527" s="198"/>
      <c r="BN527" s="191"/>
      <c r="BO527" s="191"/>
      <c r="BP527" s="191"/>
      <c r="BQ527" s="199"/>
      <c r="BR527" s="199"/>
      <c r="BS527" s="199"/>
      <c r="BT527" s="199"/>
      <c r="BU527" s="200"/>
      <c r="BV527" s="200"/>
      <c r="BW527" s="191"/>
      <c r="BX527" s="191"/>
      <c r="BY527" s="189"/>
      <c r="BZ527" s="191"/>
      <c r="CA527" s="191"/>
      <c r="CB527" s="182"/>
      <c r="CC527" s="182"/>
      <c r="CD527" s="201"/>
      <c r="CE527" s="202"/>
    </row>
    <row r="528" spans="2:83" ht="15.6" x14ac:dyDescent="0.3">
      <c r="B528" s="110"/>
      <c r="C528" s="147"/>
      <c r="D528" s="148"/>
      <c r="E528" s="148"/>
      <c r="F528" s="149"/>
      <c r="G528" s="149"/>
      <c r="H528" s="149"/>
      <c r="I528" s="150"/>
      <c r="J528" s="151"/>
      <c r="K528" s="151"/>
      <c r="L528" s="151"/>
      <c r="M528" s="151"/>
      <c r="N528" s="151"/>
      <c r="O528" s="152"/>
      <c r="P528" s="153"/>
      <c r="Q528" s="153"/>
      <c r="R528" s="154"/>
      <c r="S528" s="154"/>
      <c r="T528" s="155"/>
      <c r="U528" s="155"/>
      <c r="V528" s="154"/>
      <c r="W528" s="154"/>
      <c r="X528" s="154"/>
      <c r="Y528" s="154"/>
      <c r="Z528" s="156" t="str">
        <f>IFERROR(INDEX(Base!G:G,MATCH('Debêntures IPCA-Spread'!Y528,Base!F:F,0)),"")</f>
        <v/>
      </c>
      <c r="AA528" s="115"/>
      <c r="AB528" s="157"/>
      <c r="AC528" s="158"/>
      <c r="AD528" s="159" t="str">
        <f t="shared" si="21"/>
        <v/>
      </c>
      <c r="AE528" s="160"/>
      <c r="AF528" s="161"/>
      <c r="AG528" s="161"/>
      <c r="AH528" s="162"/>
      <c r="AI528" s="162"/>
      <c r="AJ528" s="163" t="str">
        <f t="shared" si="33"/>
        <v/>
      </c>
      <c r="AK528" s="164"/>
      <c r="AL528" s="165"/>
      <c r="AM528" s="166"/>
      <c r="AN528" s="115"/>
      <c r="AO528" s="167"/>
      <c r="AP528" s="168" t="str">
        <f t="shared" si="22"/>
        <v/>
      </c>
      <c r="AQ528" s="168"/>
      <c r="AR528" s="168" t="str">
        <f t="shared" si="23"/>
        <v/>
      </c>
      <c r="AS528" s="168"/>
      <c r="AT528" s="168" t="str">
        <f t="shared" si="24"/>
        <v/>
      </c>
      <c r="AU528" s="168"/>
      <c r="AV528" s="168" t="str">
        <f t="shared" si="25"/>
        <v/>
      </c>
      <c r="AW528" s="168"/>
      <c r="AX528" s="168" t="str">
        <f t="shared" si="26"/>
        <v/>
      </c>
      <c r="AY528" s="168"/>
      <c r="AZ528" s="168" t="str">
        <f t="shared" si="27"/>
        <v/>
      </c>
      <c r="BA528" s="168"/>
      <c r="BB528" s="168" t="str">
        <f t="shared" si="28"/>
        <v/>
      </c>
      <c r="BC528" s="168"/>
      <c r="BD528" s="168" t="str">
        <f t="shared" si="29"/>
        <v/>
      </c>
      <c r="BE528" s="168"/>
      <c r="BF528" s="168" t="str">
        <f t="shared" si="30"/>
        <v/>
      </c>
      <c r="BG528" s="168"/>
      <c r="BH528" s="168" t="str">
        <f t="shared" si="31"/>
        <v/>
      </c>
      <c r="BI528" s="168"/>
      <c r="BJ528" s="168" t="str">
        <f t="shared" si="32"/>
        <v/>
      </c>
      <c r="BK528" s="169"/>
      <c r="BL528" s="115"/>
      <c r="BM528" s="170"/>
      <c r="BN528" s="163"/>
      <c r="BO528" s="163"/>
      <c r="BP528" s="163"/>
      <c r="BQ528" s="171"/>
      <c r="BR528" s="171"/>
      <c r="BS528" s="171"/>
      <c r="BT528" s="171"/>
      <c r="BU528" s="172"/>
      <c r="BV528" s="172"/>
      <c r="BW528" s="163"/>
      <c r="BX528" s="163"/>
      <c r="BY528" s="161"/>
      <c r="BZ528" s="163"/>
      <c r="CA528" s="163"/>
      <c r="CB528" s="154"/>
      <c r="CC528" s="154"/>
      <c r="CD528" s="173"/>
      <c r="CE528" s="174"/>
    </row>
    <row r="529" spans="2:83" ht="15.6" x14ac:dyDescent="0.3">
      <c r="B529" s="98"/>
      <c r="C529" s="175"/>
      <c r="D529" s="176"/>
      <c r="E529" s="176"/>
      <c r="F529" s="177"/>
      <c r="G529" s="177"/>
      <c r="H529" s="177"/>
      <c r="I529" s="178"/>
      <c r="J529" s="179"/>
      <c r="K529" s="179"/>
      <c r="L529" s="179"/>
      <c r="M529" s="179"/>
      <c r="N529" s="179"/>
      <c r="O529" s="180"/>
      <c r="P529" s="181"/>
      <c r="Q529" s="181"/>
      <c r="R529" s="182"/>
      <c r="S529" s="182"/>
      <c r="T529" s="183"/>
      <c r="U529" s="183"/>
      <c r="V529" s="182"/>
      <c r="W529" s="182"/>
      <c r="X529" s="182"/>
      <c r="Y529" s="182"/>
      <c r="Z529" s="184" t="str">
        <f>IFERROR(INDEX(Base!G:G,MATCH('Debêntures IPCA-Spread'!Y529,Base!F:F,0)),"")</f>
        <v/>
      </c>
      <c r="AA529" s="115"/>
      <c r="AB529" s="185"/>
      <c r="AC529" s="186"/>
      <c r="AD529" s="187" t="str">
        <f t="shared" si="21"/>
        <v/>
      </c>
      <c r="AE529" s="188"/>
      <c r="AF529" s="189"/>
      <c r="AG529" s="189"/>
      <c r="AH529" s="190"/>
      <c r="AI529" s="190"/>
      <c r="AJ529" s="191" t="str">
        <f t="shared" si="33"/>
        <v/>
      </c>
      <c r="AK529" s="192"/>
      <c r="AL529" s="193"/>
      <c r="AM529" s="194"/>
      <c r="AN529" s="115"/>
      <c r="AO529" s="195"/>
      <c r="AP529" s="196" t="str">
        <f t="shared" si="22"/>
        <v/>
      </c>
      <c r="AQ529" s="196"/>
      <c r="AR529" s="196" t="str">
        <f t="shared" si="23"/>
        <v/>
      </c>
      <c r="AS529" s="196"/>
      <c r="AT529" s="196" t="str">
        <f t="shared" si="24"/>
        <v/>
      </c>
      <c r="AU529" s="196"/>
      <c r="AV529" s="196" t="str">
        <f t="shared" si="25"/>
        <v/>
      </c>
      <c r="AW529" s="196"/>
      <c r="AX529" s="196" t="str">
        <f t="shared" si="26"/>
        <v/>
      </c>
      <c r="AY529" s="196"/>
      <c r="AZ529" s="196" t="str">
        <f t="shared" si="27"/>
        <v/>
      </c>
      <c r="BA529" s="196"/>
      <c r="BB529" s="196" t="str">
        <f t="shared" si="28"/>
        <v/>
      </c>
      <c r="BC529" s="196"/>
      <c r="BD529" s="196" t="str">
        <f t="shared" si="29"/>
        <v/>
      </c>
      <c r="BE529" s="196"/>
      <c r="BF529" s="196" t="str">
        <f t="shared" si="30"/>
        <v/>
      </c>
      <c r="BG529" s="196"/>
      <c r="BH529" s="196" t="str">
        <f t="shared" si="31"/>
        <v/>
      </c>
      <c r="BI529" s="196"/>
      <c r="BJ529" s="196" t="str">
        <f t="shared" si="32"/>
        <v/>
      </c>
      <c r="BK529" s="197"/>
      <c r="BL529" s="115"/>
      <c r="BM529" s="198"/>
      <c r="BN529" s="191"/>
      <c r="BO529" s="191"/>
      <c r="BP529" s="191"/>
      <c r="BQ529" s="199"/>
      <c r="BR529" s="199"/>
      <c r="BS529" s="199"/>
      <c r="BT529" s="199"/>
      <c r="BU529" s="200"/>
      <c r="BV529" s="200"/>
      <c r="BW529" s="191"/>
      <c r="BX529" s="191"/>
      <c r="BY529" s="189"/>
      <c r="BZ529" s="191"/>
      <c r="CA529" s="191"/>
      <c r="CB529" s="182"/>
      <c r="CC529" s="182"/>
      <c r="CD529" s="201"/>
      <c r="CE529" s="202"/>
    </row>
    <row r="530" spans="2:83" ht="15.6" x14ac:dyDescent="0.3">
      <c r="B530" s="110"/>
      <c r="C530" s="147"/>
      <c r="D530" s="148"/>
      <c r="E530" s="148"/>
      <c r="F530" s="149"/>
      <c r="G530" s="149"/>
      <c r="H530" s="149"/>
      <c r="I530" s="150"/>
      <c r="J530" s="151"/>
      <c r="K530" s="151"/>
      <c r="L530" s="151"/>
      <c r="M530" s="151"/>
      <c r="N530" s="151"/>
      <c r="O530" s="152"/>
      <c r="P530" s="153"/>
      <c r="Q530" s="153"/>
      <c r="R530" s="154"/>
      <c r="S530" s="154"/>
      <c r="T530" s="155"/>
      <c r="U530" s="155"/>
      <c r="V530" s="154"/>
      <c r="W530" s="154"/>
      <c r="X530" s="154"/>
      <c r="Y530" s="154"/>
      <c r="Z530" s="156" t="str">
        <f>IFERROR(INDEX(Base!G:G,MATCH('Debêntures IPCA-Spread'!Y530,Base!F:F,0)),"")</f>
        <v/>
      </c>
      <c r="AA530" s="115"/>
      <c r="AB530" s="157"/>
      <c r="AC530" s="158"/>
      <c r="AD530" s="159" t="str">
        <f t="shared" si="21"/>
        <v/>
      </c>
      <c r="AE530" s="160"/>
      <c r="AF530" s="161"/>
      <c r="AG530" s="161"/>
      <c r="AH530" s="162"/>
      <c r="AI530" s="162"/>
      <c r="AJ530" s="163" t="str">
        <f t="shared" si="33"/>
        <v/>
      </c>
      <c r="AK530" s="164"/>
      <c r="AL530" s="165"/>
      <c r="AM530" s="166"/>
      <c r="AN530" s="115"/>
      <c r="AO530" s="167"/>
      <c r="AP530" s="168" t="str">
        <f t="shared" si="22"/>
        <v/>
      </c>
      <c r="AQ530" s="168"/>
      <c r="AR530" s="168" t="str">
        <f t="shared" si="23"/>
        <v/>
      </c>
      <c r="AS530" s="168"/>
      <c r="AT530" s="168" t="str">
        <f t="shared" si="24"/>
        <v/>
      </c>
      <c r="AU530" s="168"/>
      <c r="AV530" s="168" t="str">
        <f t="shared" si="25"/>
        <v/>
      </c>
      <c r="AW530" s="168"/>
      <c r="AX530" s="168" t="str">
        <f t="shared" si="26"/>
        <v/>
      </c>
      <c r="AY530" s="168"/>
      <c r="AZ530" s="168" t="str">
        <f t="shared" si="27"/>
        <v/>
      </c>
      <c r="BA530" s="168"/>
      <c r="BB530" s="168" t="str">
        <f t="shared" si="28"/>
        <v/>
      </c>
      <c r="BC530" s="168"/>
      <c r="BD530" s="168" t="str">
        <f t="shared" si="29"/>
        <v/>
      </c>
      <c r="BE530" s="168"/>
      <c r="BF530" s="168" t="str">
        <f t="shared" si="30"/>
        <v/>
      </c>
      <c r="BG530" s="168"/>
      <c r="BH530" s="168" t="str">
        <f t="shared" si="31"/>
        <v/>
      </c>
      <c r="BI530" s="168"/>
      <c r="BJ530" s="168" t="str">
        <f t="shared" si="32"/>
        <v/>
      </c>
      <c r="BK530" s="169"/>
      <c r="BL530" s="115"/>
      <c r="BM530" s="170"/>
      <c r="BN530" s="163"/>
      <c r="BO530" s="163"/>
      <c r="BP530" s="163"/>
      <c r="BQ530" s="171"/>
      <c r="BR530" s="171"/>
      <c r="BS530" s="171"/>
      <c r="BT530" s="171"/>
      <c r="BU530" s="172"/>
      <c r="BV530" s="172"/>
      <c r="BW530" s="163"/>
      <c r="BX530" s="163"/>
      <c r="BY530" s="161"/>
      <c r="BZ530" s="163"/>
      <c r="CA530" s="163"/>
      <c r="CB530" s="154"/>
      <c r="CC530" s="154"/>
      <c r="CD530" s="173"/>
      <c r="CE530" s="174"/>
    </row>
    <row r="531" spans="2:83" ht="15.6" x14ac:dyDescent="0.3">
      <c r="B531" s="98"/>
      <c r="C531" s="175"/>
      <c r="D531" s="176"/>
      <c r="E531" s="176"/>
      <c r="F531" s="177"/>
      <c r="G531" s="177"/>
      <c r="H531" s="177"/>
      <c r="I531" s="178"/>
      <c r="J531" s="179"/>
      <c r="K531" s="179"/>
      <c r="L531" s="179"/>
      <c r="M531" s="179"/>
      <c r="N531" s="179"/>
      <c r="O531" s="180"/>
      <c r="P531" s="181"/>
      <c r="Q531" s="181"/>
      <c r="R531" s="182"/>
      <c r="S531" s="182"/>
      <c r="T531" s="183"/>
      <c r="U531" s="183"/>
      <c r="V531" s="182"/>
      <c r="W531" s="182"/>
      <c r="X531" s="182"/>
      <c r="Y531" s="182"/>
      <c r="Z531" s="184" t="str">
        <f>IFERROR(INDEX(Base!G:G,MATCH('Debêntures IPCA-Spread'!Y531,Base!F:F,0)),"")</f>
        <v/>
      </c>
      <c r="AA531" s="115"/>
      <c r="AB531" s="185"/>
      <c r="AC531" s="186"/>
      <c r="AD531" s="187" t="str">
        <f t="shared" si="21"/>
        <v/>
      </c>
      <c r="AE531" s="188"/>
      <c r="AF531" s="189"/>
      <c r="AG531" s="189"/>
      <c r="AH531" s="190"/>
      <c r="AI531" s="190"/>
      <c r="AJ531" s="191" t="str">
        <f t="shared" si="33"/>
        <v/>
      </c>
      <c r="AK531" s="192"/>
      <c r="AL531" s="193"/>
      <c r="AM531" s="194"/>
      <c r="AN531" s="115"/>
      <c r="AO531" s="195"/>
      <c r="AP531" s="196" t="str">
        <f t="shared" si="22"/>
        <v/>
      </c>
      <c r="AQ531" s="196"/>
      <c r="AR531" s="196" t="str">
        <f t="shared" si="23"/>
        <v/>
      </c>
      <c r="AS531" s="196"/>
      <c r="AT531" s="196" t="str">
        <f t="shared" si="24"/>
        <v/>
      </c>
      <c r="AU531" s="196"/>
      <c r="AV531" s="196" t="str">
        <f t="shared" si="25"/>
        <v/>
      </c>
      <c r="AW531" s="196"/>
      <c r="AX531" s="196" t="str">
        <f t="shared" si="26"/>
        <v/>
      </c>
      <c r="AY531" s="196"/>
      <c r="AZ531" s="196" t="str">
        <f t="shared" si="27"/>
        <v/>
      </c>
      <c r="BA531" s="196"/>
      <c r="BB531" s="196" t="str">
        <f t="shared" si="28"/>
        <v/>
      </c>
      <c r="BC531" s="196"/>
      <c r="BD531" s="196" t="str">
        <f t="shared" si="29"/>
        <v/>
      </c>
      <c r="BE531" s="196"/>
      <c r="BF531" s="196" t="str">
        <f t="shared" si="30"/>
        <v/>
      </c>
      <c r="BG531" s="196"/>
      <c r="BH531" s="196" t="str">
        <f t="shared" si="31"/>
        <v/>
      </c>
      <c r="BI531" s="196"/>
      <c r="BJ531" s="196" t="str">
        <f t="shared" si="32"/>
        <v/>
      </c>
      <c r="BK531" s="197"/>
      <c r="BL531" s="115"/>
      <c r="BM531" s="198"/>
      <c r="BN531" s="191"/>
      <c r="BO531" s="191"/>
      <c r="BP531" s="191"/>
      <c r="BQ531" s="199"/>
      <c r="BR531" s="199"/>
      <c r="BS531" s="199"/>
      <c r="BT531" s="199"/>
      <c r="BU531" s="200"/>
      <c r="BV531" s="200"/>
      <c r="BW531" s="191"/>
      <c r="BX531" s="191"/>
      <c r="BY531" s="189"/>
      <c r="BZ531" s="191"/>
      <c r="CA531" s="191"/>
      <c r="CB531" s="182"/>
      <c r="CC531" s="182"/>
      <c r="CD531" s="201"/>
      <c r="CE531" s="202"/>
    </row>
    <row r="532" spans="2:83" ht="15.6" x14ac:dyDescent="0.3">
      <c r="B532" s="110"/>
      <c r="C532" s="147"/>
      <c r="D532" s="148"/>
      <c r="E532" s="148"/>
      <c r="F532" s="149"/>
      <c r="G532" s="149"/>
      <c r="H532" s="149"/>
      <c r="I532" s="150"/>
      <c r="J532" s="151"/>
      <c r="K532" s="151"/>
      <c r="L532" s="151"/>
      <c r="M532" s="151"/>
      <c r="N532" s="151"/>
      <c r="O532" s="152"/>
      <c r="P532" s="153"/>
      <c r="Q532" s="153"/>
      <c r="R532" s="154"/>
      <c r="S532" s="154"/>
      <c r="T532" s="155"/>
      <c r="U532" s="155"/>
      <c r="V532" s="154"/>
      <c r="W532" s="154"/>
      <c r="X532" s="154"/>
      <c r="Y532" s="154"/>
      <c r="Z532" s="156" t="str">
        <f>IFERROR(INDEX(Base!G:G,MATCH('Debêntures IPCA-Spread'!Y532,Base!F:F,0)),"")</f>
        <v/>
      </c>
      <c r="AA532" s="115"/>
      <c r="AB532" s="157"/>
      <c r="AC532" s="158"/>
      <c r="AD532" s="159" t="str">
        <f t="shared" si="21"/>
        <v/>
      </c>
      <c r="AE532" s="160"/>
      <c r="AF532" s="161"/>
      <c r="AG532" s="161"/>
      <c r="AH532" s="162"/>
      <c r="AI532" s="162"/>
      <c r="AJ532" s="163" t="str">
        <f t="shared" si="33"/>
        <v/>
      </c>
      <c r="AK532" s="164"/>
      <c r="AL532" s="165"/>
      <c r="AM532" s="166"/>
      <c r="AN532" s="115"/>
      <c r="AO532" s="167"/>
      <c r="AP532" s="168" t="str">
        <f t="shared" si="22"/>
        <v/>
      </c>
      <c r="AQ532" s="168"/>
      <c r="AR532" s="168" t="str">
        <f t="shared" si="23"/>
        <v/>
      </c>
      <c r="AS532" s="168"/>
      <c r="AT532" s="168" t="str">
        <f t="shared" si="24"/>
        <v/>
      </c>
      <c r="AU532" s="168"/>
      <c r="AV532" s="168" t="str">
        <f t="shared" si="25"/>
        <v/>
      </c>
      <c r="AW532" s="168"/>
      <c r="AX532" s="168" t="str">
        <f t="shared" si="26"/>
        <v/>
      </c>
      <c r="AY532" s="168"/>
      <c r="AZ532" s="168" t="str">
        <f t="shared" si="27"/>
        <v/>
      </c>
      <c r="BA532" s="168"/>
      <c r="BB532" s="168" t="str">
        <f t="shared" si="28"/>
        <v/>
      </c>
      <c r="BC532" s="168"/>
      <c r="BD532" s="168" t="str">
        <f t="shared" si="29"/>
        <v/>
      </c>
      <c r="BE532" s="168"/>
      <c r="BF532" s="168" t="str">
        <f t="shared" si="30"/>
        <v/>
      </c>
      <c r="BG532" s="168"/>
      <c r="BH532" s="168" t="str">
        <f t="shared" si="31"/>
        <v/>
      </c>
      <c r="BI532" s="168"/>
      <c r="BJ532" s="168" t="str">
        <f t="shared" si="32"/>
        <v/>
      </c>
      <c r="BK532" s="169"/>
      <c r="BL532" s="115"/>
      <c r="BM532" s="170"/>
      <c r="BN532" s="163"/>
      <c r="BO532" s="163"/>
      <c r="BP532" s="163"/>
      <c r="BQ532" s="171"/>
      <c r="BR532" s="171"/>
      <c r="BS532" s="171"/>
      <c r="BT532" s="171"/>
      <c r="BU532" s="172"/>
      <c r="BV532" s="172"/>
      <c r="BW532" s="163"/>
      <c r="BX532" s="163"/>
      <c r="BY532" s="161"/>
      <c r="BZ532" s="163"/>
      <c r="CA532" s="163"/>
      <c r="CB532" s="154"/>
      <c r="CC532" s="154"/>
      <c r="CD532" s="173"/>
      <c r="CE532" s="174"/>
    </row>
    <row r="533" spans="2:83" ht="15.6" x14ac:dyDescent="0.3">
      <c r="B533" s="98"/>
      <c r="C533" s="175"/>
      <c r="D533" s="176"/>
      <c r="E533" s="176"/>
      <c r="F533" s="177"/>
      <c r="G533" s="177"/>
      <c r="H533" s="177"/>
      <c r="I533" s="178"/>
      <c r="J533" s="179"/>
      <c r="K533" s="179"/>
      <c r="L533" s="179"/>
      <c r="M533" s="179"/>
      <c r="N533" s="179"/>
      <c r="O533" s="180"/>
      <c r="P533" s="181"/>
      <c r="Q533" s="181"/>
      <c r="R533" s="182"/>
      <c r="S533" s="182"/>
      <c r="T533" s="183"/>
      <c r="U533" s="183"/>
      <c r="V533" s="182"/>
      <c r="W533" s="182"/>
      <c r="X533" s="182"/>
      <c r="Y533" s="182"/>
      <c r="Z533" s="184" t="str">
        <f>IFERROR(INDEX(Base!G:G,MATCH('Debêntures IPCA-Spread'!Y533,Base!F:F,0)),"")</f>
        <v/>
      </c>
      <c r="AA533" s="115"/>
      <c r="AB533" s="185"/>
      <c r="AC533" s="186"/>
      <c r="AD533" s="187" t="str">
        <f t="shared" si="21"/>
        <v/>
      </c>
      <c r="AE533" s="188"/>
      <c r="AF533" s="189"/>
      <c r="AG533" s="189"/>
      <c r="AH533" s="190"/>
      <c r="AI533" s="190"/>
      <c r="AJ533" s="191" t="str">
        <f t="shared" si="33"/>
        <v/>
      </c>
      <c r="AK533" s="192"/>
      <c r="AL533" s="193"/>
      <c r="AM533" s="194"/>
      <c r="AN533" s="115"/>
      <c r="AO533" s="195"/>
      <c r="AP533" s="196" t="str">
        <f t="shared" si="22"/>
        <v/>
      </c>
      <c r="AQ533" s="196"/>
      <c r="AR533" s="196" t="str">
        <f t="shared" si="23"/>
        <v/>
      </c>
      <c r="AS533" s="196"/>
      <c r="AT533" s="196" t="str">
        <f t="shared" si="24"/>
        <v/>
      </c>
      <c r="AU533" s="196"/>
      <c r="AV533" s="196" t="str">
        <f t="shared" si="25"/>
        <v/>
      </c>
      <c r="AW533" s="196"/>
      <c r="AX533" s="196" t="str">
        <f t="shared" si="26"/>
        <v/>
      </c>
      <c r="AY533" s="196"/>
      <c r="AZ533" s="196" t="str">
        <f t="shared" si="27"/>
        <v/>
      </c>
      <c r="BA533" s="196"/>
      <c r="BB533" s="196" t="str">
        <f t="shared" si="28"/>
        <v/>
      </c>
      <c r="BC533" s="196"/>
      <c r="BD533" s="196" t="str">
        <f t="shared" si="29"/>
        <v/>
      </c>
      <c r="BE533" s="196"/>
      <c r="BF533" s="196" t="str">
        <f t="shared" si="30"/>
        <v/>
      </c>
      <c r="BG533" s="196"/>
      <c r="BH533" s="196" t="str">
        <f t="shared" si="31"/>
        <v/>
      </c>
      <c r="BI533" s="196"/>
      <c r="BJ533" s="196" t="str">
        <f t="shared" si="32"/>
        <v/>
      </c>
      <c r="BK533" s="197"/>
      <c r="BL533" s="115"/>
      <c r="BM533" s="198"/>
      <c r="BN533" s="191"/>
      <c r="BO533" s="191"/>
      <c r="BP533" s="191"/>
      <c r="BQ533" s="199"/>
      <c r="BR533" s="199"/>
      <c r="BS533" s="199"/>
      <c r="BT533" s="199"/>
      <c r="BU533" s="200"/>
      <c r="BV533" s="200"/>
      <c r="BW533" s="191"/>
      <c r="BX533" s="191"/>
      <c r="BY533" s="189"/>
      <c r="BZ533" s="191"/>
      <c r="CA533" s="191"/>
      <c r="CB533" s="182"/>
      <c r="CC533" s="182"/>
      <c r="CD533" s="201"/>
      <c r="CE533" s="202"/>
    </row>
    <row r="534" spans="2:83" ht="15.6" x14ac:dyDescent="0.3">
      <c r="B534" s="110"/>
      <c r="C534" s="147"/>
      <c r="D534" s="148"/>
      <c r="E534" s="148"/>
      <c r="F534" s="149"/>
      <c r="G534" s="149"/>
      <c r="H534" s="149"/>
      <c r="I534" s="150"/>
      <c r="J534" s="151"/>
      <c r="K534" s="151"/>
      <c r="L534" s="151"/>
      <c r="M534" s="151"/>
      <c r="N534" s="151"/>
      <c r="O534" s="152"/>
      <c r="P534" s="153"/>
      <c r="Q534" s="153"/>
      <c r="R534" s="154"/>
      <c r="S534" s="154"/>
      <c r="T534" s="155"/>
      <c r="U534" s="155"/>
      <c r="V534" s="154"/>
      <c r="W534" s="154"/>
      <c r="X534" s="154"/>
      <c r="Y534" s="154"/>
      <c r="Z534" s="156" t="str">
        <f>IFERROR(INDEX(Base!G:G,MATCH('Debêntures IPCA-Spread'!Y534,Base!F:F,0)),"")</f>
        <v/>
      </c>
      <c r="AA534" s="115"/>
      <c r="AB534" s="157"/>
      <c r="AC534" s="158"/>
      <c r="AD534" s="159" t="str">
        <f t="shared" si="21"/>
        <v/>
      </c>
      <c r="AE534" s="160"/>
      <c r="AF534" s="161"/>
      <c r="AG534" s="161"/>
      <c r="AH534" s="162"/>
      <c r="AI534" s="162"/>
      <c r="AJ534" s="163" t="str">
        <f t="shared" si="33"/>
        <v/>
      </c>
      <c r="AK534" s="164"/>
      <c r="AL534" s="165"/>
      <c r="AM534" s="166"/>
      <c r="AN534" s="115"/>
      <c r="AO534" s="167"/>
      <c r="AP534" s="168" t="str">
        <f t="shared" si="22"/>
        <v/>
      </c>
      <c r="AQ534" s="168"/>
      <c r="AR534" s="168" t="str">
        <f t="shared" si="23"/>
        <v/>
      </c>
      <c r="AS534" s="168"/>
      <c r="AT534" s="168" t="str">
        <f t="shared" si="24"/>
        <v/>
      </c>
      <c r="AU534" s="168"/>
      <c r="AV534" s="168" t="str">
        <f t="shared" si="25"/>
        <v/>
      </c>
      <c r="AW534" s="168"/>
      <c r="AX534" s="168" t="str">
        <f t="shared" si="26"/>
        <v/>
      </c>
      <c r="AY534" s="168"/>
      <c r="AZ534" s="168" t="str">
        <f t="shared" si="27"/>
        <v/>
      </c>
      <c r="BA534" s="168"/>
      <c r="BB534" s="168" t="str">
        <f t="shared" si="28"/>
        <v/>
      </c>
      <c r="BC534" s="168"/>
      <c r="BD534" s="168" t="str">
        <f t="shared" si="29"/>
        <v/>
      </c>
      <c r="BE534" s="168"/>
      <c r="BF534" s="168" t="str">
        <f t="shared" si="30"/>
        <v/>
      </c>
      <c r="BG534" s="168"/>
      <c r="BH534" s="168" t="str">
        <f t="shared" si="31"/>
        <v/>
      </c>
      <c r="BI534" s="168"/>
      <c r="BJ534" s="168" t="str">
        <f t="shared" si="32"/>
        <v/>
      </c>
      <c r="BK534" s="169"/>
      <c r="BL534" s="115"/>
      <c r="BM534" s="170"/>
      <c r="BN534" s="163"/>
      <c r="BO534" s="163"/>
      <c r="BP534" s="163"/>
      <c r="BQ534" s="171"/>
      <c r="BR534" s="171"/>
      <c r="BS534" s="171"/>
      <c r="BT534" s="171"/>
      <c r="BU534" s="172"/>
      <c r="BV534" s="172"/>
      <c r="BW534" s="163"/>
      <c r="BX534" s="163"/>
      <c r="BY534" s="161"/>
      <c r="BZ534" s="163"/>
      <c r="CA534" s="163"/>
      <c r="CB534" s="154"/>
      <c r="CC534" s="154"/>
      <c r="CD534" s="173"/>
      <c r="CE534" s="174"/>
    </row>
    <row r="535" spans="2:83" ht="15.6" x14ac:dyDescent="0.3">
      <c r="B535" s="98"/>
      <c r="C535" s="175"/>
      <c r="D535" s="176"/>
      <c r="E535" s="176"/>
      <c r="F535" s="177"/>
      <c r="G535" s="177"/>
      <c r="H535" s="177"/>
      <c r="I535" s="178"/>
      <c r="J535" s="179"/>
      <c r="K535" s="179"/>
      <c r="L535" s="179"/>
      <c r="M535" s="179"/>
      <c r="N535" s="179"/>
      <c r="O535" s="180"/>
      <c r="P535" s="181"/>
      <c r="Q535" s="181"/>
      <c r="R535" s="182"/>
      <c r="S535" s="182"/>
      <c r="T535" s="183"/>
      <c r="U535" s="183"/>
      <c r="V535" s="182"/>
      <c r="W535" s="182"/>
      <c r="X535" s="182"/>
      <c r="Y535" s="182"/>
      <c r="Z535" s="184" t="str">
        <f>IFERROR(INDEX(Base!G:G,MATCH('Debêntures IPCA-Spread'!Y535,Base!F:F,0)),"")</f>
        <v/>
      </c>
      <c r="AA535" s="115"/>
      <c r="AB535" s="185"/>
      <c r="AC535" s="186"/>
      <c r="AD535" s="187" t="str">
        <f t="shared" si="21"/>
        <v/>
      </c>
      <c r="AE535" s="188"/>
      <c r="AF535" s="189"/>
      <c r="AG535" s="189"/>
      <c r="AH535" s="190"/>
      <c r="AI535" s="190"/>
      <c r="AJ535" s="191" t="str">
        <f t="shared" si="33"/>
        <v/>
      </c>
      <c r="AK535" s="192"/>
      <c r="AL535" s="193"/>
      <c r="AM535" s="194"/>
      <c r="AN535" s="115"/>
      <c r="AO535" s="195"/>
      <c r="AP535" s="196" t="str">
        <f t="shared" si="22"/>
        <v/>
      </c>
      <c r="AQ535" s="196"/>
      <c r="AR535" s="196" t="str">
        <f t="shared" si="23"/>
        <v/>
      </c>
      <c r="AS535" s="196"/>
      <c r="AT535" s="196" t="str">
        <f t="shared" si="24"/>
        <v/>
      </c>
      <c r="AU535" s="196"/>
      <c r="AV535" s="196" t="str">
        <f t="shared" si="25"/>
        <v/>
      </c>
      <c r="AW535" s="196"/>
      <c r="AX535" s="196" t="str">
        <f t="shared" si="26"/>
        <v/>
      </c>
      <c r="AY535" s="196"/>
      <c r="AZ535" s="196" t="str">
        <f t="shared" si="27"/>
        <v/>
      </c>
      <c r="BA535" s="196"/>
      <c r="BB535" s="196" t="str">
        <f t="shared" si="28"/>
        <v/>
      </c>
      <c r="BC535" s="196"/>
      <c r="BD535" s="196" t="str">
        <f t="shared" si="29"/>
        <v/>
      </c>
      <c r="BE535" s="196"/>
      <c r="BF535" s="196" t="str">
        <f t="shared" si="30"/>
        <v/>
      </c>
      <c r="BG535" s="196"/>
      <c r="BH535" s="196" t="str">
        <f t="shared" si="31"/>
        <v/>
      </c>
      <c r="BI535" s="196"/>
      <c r="BJ535" s="196" t="str">
        <f t="shared" si="32"/>
        <v/>
      </c>
      <c r="BK535" s="197"/>
      <c r="BL535" s="115"/>
      <c r="BM535" s="198"/>
      <c r="BN535" s="191"/>
      <c r="BO535" s="191"/>
      <c r="BP535" s="191"/>
      <c r="BQ535" s="199"/>
      <c r="BR535" s="199"/>
      <c r="BS535" s="199"/>
      <c r="BT535" s="199"/>
      <c r="BU535" s="200"/>
      <c r="BV535" s="200"/>
      <c r="BW535" s="191"/>
      <c r="BX535" s="191"/>
      <c r="BY535" s="189"/>
      <c r="BZ535" s="191"/>
      <c r="CA535" s="191"/>
      <c r="CB535" s="182"/>
      <c r="CC535" s="182"/>
      <c r="CD535" s="201"/>
      <c r="CE535" s="202"/>
    </row>
    <row r="536" spans="2:83" ht="15.6" x14ac:dyDescent="0.3">
      <c r="B536" s="110"/>
      <c r="C536" s="147"/>
      <c r="D536" s="148"/>
      <c r="E536" s="148"/>
      <c r="F536" s="149"/>
      <c r="G536" s="149"/>
      <c r="H536" s="149"/>
      <c r="I536" s="150"/>
      <c r="J536" s="151"/>
      <c r="K536" s="151"/>
      <c r="L536" s="151"/>
      <c r="M536" s="151"/>
      <c r="N536" s="151"/>
      <c r="O536" s="152"/>
      <c r="P536" s="153"/>
      <c r="Q536" s="153"/>
      <c r="R536" s="154"/>
      <c r="S536" s="154"/>
      <c r="T536" s="155"/>
      <c r="U536" s="155"/>
      <c r="V536" s="154"/>
      <c r="W536" s="154"/>
      <c r="X536" s="154"/>
      <c r="Y536" s="154"/>
      <c r="Z536" s="156" t="str">
        <f>IFERROR(INDEX(Base!G:G,MATCH('Debêntures IPCA-Spread'!Y536,Base!F:F,0)),"")</f>
        <v/>
      </c>
      <c r="AA536" s="115"/>
      <c r="AB536" s="157"/>
      <c r="AC536" s="158"/>
      <c r="AD536" s="159" t="str">
        <f t="shared" si="21"/>
        <v/>
      </c>
      <c r="AE536" s="160"/>
      <c r="AF536" s="161"/>
      <c r="AG536" s="161"/>
      <c r="AH536" s="162"/>
      <c r="AI536" s="162"/>
      <c r="AJ536" s="163" t="str">
        <f t="shared" si="33"/>
        <v/>
      </c>
      <c r="AK536" s="164"/>
      <c r="AL536" s="165"/>
      <c r="AM536" s="166"/>
      <c r="AN536" s="115"/>
      <c r="AO536" s="167"/>
      <c r="AP536" s="168" t="str">
        <f t="shared" si="22"/>
        <v/>
      </c>
      <c r="AQ536" s="168"/>
      <c r="AR536" s="168" t="str">
        <f t="shared" si="23"/>
        <v/>
      </c>
      <c r="AS536" s="168"/>
      <c r="AT536" s="168" t="str">
        <f t="shared" si="24"/>
        <v/>
      </c>
      <c r="AU536" s="168"/>
      <c r="AV536" s="168" t="str">
        <f t="shared" si="25"/>
        <v/>
      </c>
      <c r="AW536" s="168"/>
      <c r="AX536" s="168" t="str">
        <f t="shared" si="26"/>
        <v/>
      </c>
      <c r="AY536" s="168"/>
      <c r="AZ536" s="168" t="str">
        <f t="shared" si="27"/>
        <v/>
      </c>
      <c r="BA536" s="168"/>
      <c r="BB536" s="168" t="str">
        <f t="shared" si="28"/>
        <v/>
      </c>
      <c r="BC536" s="168"/>
      <c r="BD536" s="168" t="str">
        <f t="shared" si="29"/>
        <v/>
      </c>
      <c r="BE536" s="168"/>
      <c r="BF536" s="168" t="str">
        <f t="shared" si="30"/>
        <v/>
      </c>
      <c r="BG536" s="168"/>
      <c r="BH536" s="168" t="str">
        <f t="shared" si="31"/>
        <v/>
      </c>
      <c r="BI536" s="168"/>
      <c r="BJ536" s="168" t="str">
        <f t="shared" si="32"/>
        <v/>
      </c>
      <c r="BK536" s="169"/>
      <c r="BL536" s="115"/>
      <c r="BM536" s="170"/>
      <c r="BN536" s="163"/>
      <c r="BO536" s="163"/>
      <c r="BP536" s="163"/>
      <c r="BQ536" s="171"/>
      <c r="BR536" s="171"/>
      <c r="BS536" s="171"/>
      <c r="BT536" s="171"/>
      <c r="BU536" s="172"/>
      <c r="BV536" s="172"/>
      <c r="BW536" s="163"/>
      <c r="BX536" s="163"/>
      <c r="BY536" s="161"/>
      <c r="BZ536" s="163"/>
      <c r="CA536" s="163"/>
      <c r="CB536" s="154"/>
      <c r="CC536" s="154"/>
      <c r="CD536" s="173"/>
      <c r="CE536" s="174"/>
    </row>
    <row r="537" spans="2:83" ht="15.6" x14ac:dyDescent="0.3">
      <c r="B537" s="98"/>
      <c r="C537" s="175"/>
      <c r="D537" s="176"/>
      <c r="E537" s="176"/>
      <c r="F537" s="177"/>
      <c r="G537" s="177"/>
      <c r="H537" s="177"/>
      <c r="I537" s="178"/>
      <c r="J537" s="179"/>
      <c r="K537" s="179"/>
      <c r="L537" s="179"/>
      <c r="M537" s="179"/>
      <c r="N537" s="179"/>
      <c r="O537" s="180"/>
      <c r="P537" s="181"/>
      <c r="Q537" s="181"/>
      <c r="R537" s="182"/>
      <c r="S537" s="182"/>
      <c r="T537" s="183"/>
      <c r="U537" s="183"/>
      <c r="V537" s="182"/>
      <c r="W537" s="182"/>
      <c r="X537" s="182"/>
      <c r="Y537" s="182"/>
      <c r="Z537" s="184" t="str">
        <f>IFERROR(INDEX(Base!G:G,MATCH('Debêntures IPCA-Spread'!Y537,Base!F:F,0)),"")</f>
        <v/>
      </c>
      <c r="AA537" s="115"/>
      <c r="AB537" s="185"/>
      <c r="AC537" s="186"/>
      <c r="AD537" s="187" t="str">
        <f t="shared" si="21"/>
        <v/>
      </c>
      <c r="AE537" s="188"/>
      <c r="AF537" s="189"/>
      <c r="AG537" s="189"/>
      <c r="AH537" s="190"/>
      <c r="AI537" s="190"/>
      <c r="AJ537" s="191" t="str">
        <f t="shared" si="33"/>
        <v/>
      </c>
      <c r="AK537" s="192"/>
      <c r="AL537" s="193"/>
      <c r="AM537" s="194"/>
      <c r="AN537" s="115"/>
      <c r="AO537" s="195"/>
      <c r="AP537" s="196" t="str">
        <f t="shared" si="22"/>
        <v/>
      </c>
      <c r="AQ537" s="196"/>
      <c r="AR537" s="196" t="str">
        <f t="shared" si="23"/>
        <v/>
      </c>
      <c r="AS537" s="196"/>
      <c r="AT537" s="196" t="str">
        <f t="shared" si="24"/>
        <v/>
      </c>
      <c r="AU537" s="196"/>
      <c r="AV537" s="196" t="str">
        <f t="shared" si="25"/>
        <v/>
      </c>
      <c r="AW537" s="196"/>
      <c r="AX537" s="196" t="str">
        <f t="shared" si="26"/>
        <v/>
      </c>
      <c r="AY537" s="196"/>
      <c r="AZ537" s="196" t="str">
        <f t="shared" si="27"/>
        <v/>
      </c>
      <c r="BA537" s="196"/>
      <c r="BB537" s="196" t="str">
        <f t="shared" si="28"/>
        <v/>
      </c>
      <c r="BC537" s="196"/>
      <c r="BD537" s="196" t="str">
        <f t="shared" si="29"/>
        <v/>
      </c>
      <c r="BE537" s="196"/>
      <c r="BF537" s="196" t="str">
        <f t="shared" si="30"/>
        <v/>
      </c>
      <c r="BG537" s="196"/>
      <c r="BH537" s="196" t="str">
        <f t="shared" si="31"/>
        <v/>
      </c>
      <c r="BI537" s="196"/>
      <c r="BJ537" s="196" t="str">
        <f t="shared" si="32"/>
        <v/>
      </c>
      <c r="BK537" s="197"/>
      <c r="BL537" s="115"/>
      <c r="BM537" s="198"/>
      <c r="BN537" s="191"/>
      <c r="BO537" s="191"/>
      <c r="BP537" s="191"/>
      <c r="BQ537" s="199"/>
      <c r="BR537" s="199"/>
      <c r="BS537" s="199"/>
      <c r="BT537" s="199"/>
      <c r="BU537" s="200"/>
      <c r="BV537" s="200"/>
      <c r="BW537" s="191"/>
      <c r="BX537" s="191"/>
      <c r="BY537" s="189"/>
      <c r="BZ537" s="191"/>
      <c r="CA537" s="191"/>
      <c r="CB537" s="182"/>
      <c r="CC537" s="182"/>
      <c r="CD537" s="201"/>
      <c r="CE537" s="202"/>
    </row>
    <row r="538" spans="2:83" ht="15.6" x14ac:dyDescent="0.3">
      <c r="B538" s="110"/>
      <c r="C538" s="147"/>
      <c r="D538" s="148"/>
      <c r="E538" s="148"/>
      <c r="F538" s="149"/>
      <c r="G538" s="149"/>
      <c r="H538" s="149"/>
      <c r="I538" s="150"/>
      <c r="J538" s="151"/>
      <c r="K538" s="151"/>
      <c r="L538" s="151"/>
      <c r="M538" s="151"/>
      <c r="N538" s="151"/>
      <c r="O538" s="152"/>
      <c r="P538" s="153"/>
      <c r="Q538" s="153"/>
      <c r="R538" s="154"/>
      <c r="S538" s="154"/>
      <c r="T538" s="155"/>
      <c r="U538" s="155"/>
      <c r="V538" s="154"/>
      <c r="W538" s="154"/>
      <c r="X538" s="154"/>
      <c r="Y538" s="154"/>
      <c r="Z538" s="156" t="str">
        <f>IFERROR(INDEX(Base!G:G,MATCH('Debêntures IPCA-Spread'!Y538,Base!F:F,0)),"")</f>
        <v/>
      </c>
      <c r="AA538" s="115"/>
      <c r="AB538" s="157"/>
      <c r="AC538" s="158"/>
      <c r="AD538" s="159" t="str">
        <f t="shared" si="21"/>
        <v/>
      </c>
      <c r="AE538" s="160"/>
      <c r="AF538" s="161"/>
      <c r="AG538" s="161"/>
      <c r="AH538" s="162"/>
      <c r="AI538" s="162"/>
      <c r="AJ538" s="163" t="str">
        <f t="shared" si="33"/>
        <v/>
      </c>
      <c r="AK538" s="164"/>
      <c r="AL538" s="165"/>
      <c r="AM538" s="166"/>
      <c r="AN538" s="115"/>
      <c r="AO538" s="167"/>
      <c r="AP538" s="168" t="str">
        <f t="shared" si="22"/>
        <v/>
      </c>
      <c r="AQ538" s="168"/>
      <c r="AR538" s="168" t="str">
        <f t="shared" si="23"/>
        <v/>
      </c>
      <c r="AS538" s="168"/>
      <c r="AT538" s="168" t="str">
        <f t="shared" si="24"/>
        <v/>
      </c>
      <c r="AU538" s="168"/>
      <c r="AV538" s="168" t="str">
        <f t="shared" si="25"/>
        <v/>
      </c>
      <c r="AW538" s="168"/>
      <c r="AX538" s="168" t="str">
        <f t="shared" si="26"/>
        <v/>
      </c>
      <c r="AY538" s="168"/>
      <c r="AZ538" s="168" t="str">
        <f t="shared" si="27"/>
        <v/>
      </c>
      <c r="BA538" s="168"/>
      <c r="BB538" s="168" t="str">
        <f t="shared" si="28"/>
        <v/>
      </c>
      <c r="BC538" s="168"/>
      <c r="BD538" s="168" t="str">
        <f t="shared" si="29"/>
        <v/>
      </c>
      <c r="BE538" s="168"/>
      <c r="BF538" s="168" t="str">
        <f t="shared" si="30"/>
        <v/>
      </c>
      <c r="BG538" s="168"/>
      <c r="BH538" s="168" t="str">
        <f t="shared" si="31"/>
        <v/>
      </c>
      <c r="BI538" s="168"/>
      <c r="BJ538" s="168" t="str">
        <f t="shared" si="32"/>
        <v/>
      </c>
      <c r="BK538" s="169"/>
      <c r="BL538" s="115"/>
      <c r="BM538" s="170"/>
      <c r="BN538" s="163"/>
      <c r="BO538" s="163"/>
      <c r="BP538" s="163"/>
      <c r="BQ538" s="171"/>
      <c r="BR538" s="171"/>
      <c r="BS538" s="171"/>
      <c r="BT538" s="171"/>
      <c r="BU538" s="172"/>
      <c r="BV538" s="172"/>
      <c r="BW538" s="163"/>
      <c r="BX538" s="163"/>
      <c r="BY538" s="161"/>
      <c r="BZ538" s="163"/>
      <c r="CA538" s="163"/>
      <c r="CB538" s="154"/>
      <c r="CC538" s="154"/>
      <c r="CD538" s="173"/>
      <c r="CE538" s="174"/>
    </row>
    <row r="539" spans="2:83" ht="15.6" x14ac:dyDescent="0.3">
      <c r="B539" s="98"/>
      <c r="C539" s="175"/>
      <c r="D539" s="176"/>
      <c r="E539" s="176"/>
      <c r="F539" s="177"/>
      <c r="G539" s="177"/>
      <c r="H539" s="177"/>
      <c r="I539" s="178"/>
      <c r="J539" s="179"/>
      <c r="K539" s="179"/>
      <c r="L539" s="179"/>
      <c r="M539" s="179"/>
      <c r="N539" s="179"/>
      <c r="O539" s="180"/>
      <c r="P539" s="181"/>
      <c r="Q539" s="181"/>
      <c r="R539" s="182"/>
      <c r="S539" s="182"/>
      <c r="T539" s="183"/>
      <c r="U539" s="183"/>
      <c r="V539" s="182"/>
      <c r="W539" s="182"/>
      <c r="X539" s="182"/>
      <c r="Y539" s="182"/>
      <c r="Z539" s="184" t="str">
        <f>IFERROR(INDEX(Base!G:G,MATCH('Debêntures IPCA-Spread'!Y539,Base!F:F,0)),"")</f>
        <v/>
      </c>
      <c r="AA539" s="115"/>
      <c r="AB539" s="185"/>
      <c r="AC539" s="186"/>
      <c r="AD539" s="187" t="str">
        <f t="shared" si="21"/>
        <v/>
      </c>
      <c r="AE539" s="188"/>
      <c r="AF539" s="189"/>
      <c r="AG539" s="189"/>
      <c r="AH539" s="190"/>
      <c r="AI539" s="190"/>
      <c r="AJ539" s="191" t="str">
        <f t="shared" si="33"/>
        <v/>
      </c>
      <c r="AK539" s="192"/>
      <c r="AL539" s="193"/>
      <c r="AM539" s="194"/>
      <c r="AN539" s="115"/>
      <c r="AO539" s="195"/>
      <c r="AP539" s="196" t="str">
        <f t="shared" si="22"/>
        <v/>
      </c>
      <c r="AQ539" s="196"/>
      <c r="AR539" s="196" t="str">
        <f t="shared" si="23"/>
        <v/>
      </c>
      <c r="AS539" s="196"/>
      <c r="AT539" s="196" t="str">
        <f t="shared" si="24"/>
        <v/>
      </c>
      <c r="AU539" s="196"/>
      <c r="AV539" s="196" t="str">
        <f t="shared" si="25"/>
        <v/>
      </c>
      <c r="AW539" s="196"/>
      <c r="AX539" s="196" t="str">
        <f t="shared" si="26"/>
        <v/>
      </c>
      <c r="AY539" s="196"/>
      <c r="AZ539" s="196" t="str">
        <f t="shared" si="27"/>
        <v/>
      </c>
      <c r="BA539" s="196"/>
      <c r="BB539" s="196" t="str">
        <f t="shared" si="28"/>
        <v/>
      </c>
      <c r="BC539" s="196"/>
      <c r="BD539" s="196" t="str">
        <f t="shared" si="29"/>
        <v/>
      </c>
      <c r="BE539" s="196"/>
      <c r="BF539" s="196" t="str">
        <f t="shared" si="30"/>
        <v/>
      </c>
      <c r="BG539" s="196"/>
      <c r="BH539" s="196" t="str">
        <f t="shared" si="31"/>
        <v/>
      </c>
      <c r="BI539" s="196"/>
      <c r="BJ539" s="196" t="str">
        <f t="shared" si="32"/>
        <v/>
      </c>
      <c r="BK539" s="197"/>
      <c r="BL539" s="115"/>
      <c r="BM539" s="198"/>
      <c r="BN539" s="191"/>
      <c r="BO539" s="191"/>
      <c r="BP539" s="191"/>
      <c r="BQ539" s="199"/>
      <c r="BR539" s="199"/>
      <c r="BS539" s="199"/>
      <c r="BT539" s="199"/>
      <c r="BU539" s="200"/>
      <c r="BV539" s="200"/>
      <c r="BW539" s="191"/>
      <c r="BX539" s="191"/>
      <c r="BY539" s="189"/>
      <c r="BZ539" s="191"/>
      <c r="CA539" s="191"/>
      <c r="CB539" s="182"/>
      <c r="CC539" s="182"/>
      <c r="CD539" s="201"/>
      <c r="CE539" s="202"/>
    </row>
    <row r="540" spans="2:83" ht="15.6" x14ac:dyDescent="0.3">
      <c r="B540" s="110"/>
      <c r="C540" s="147"/>
      <c r="D540" s="148"/>
      <c r="E540" s="148"/>
      <c r="F540" s="149"/>
      <c r="G540" s="149"/>
      <c r="H540" s="149"/>
      <c r="I540" s="150"/>
      <c r="J540" s="151"/>
      <c r="K540" s="151"/>
      <c r="L540" s="151"/>
      <c r="M540" s="151"/>
      <c r="N540" s="151"/>
      <c r="O540" s="152"/>
      <c r="P540" s="153"/>
      <c r="Q540" s="153"/>
      <c r="R540" s="154"/>
      <c r="S540" s="154"/>
      <c r="T540" s="155"/>
      <c r="U540" s="155"/>
      <c r="V540" s="154"/>
      <c r="W540" s="154"/>
      <c r="X540" s="154"/>
      <c r="Y540" s="154"/>
      <c r="Z540" s="156" t="str">
        <f>IFERROR(INDEX(Base!G:G,MATCH('Debêntures IPCA-Spread'!Y540,Base!F:F,0)),"")</f>
        <v/>
      </c>
      <c r="AA540" s="115"/>
      <c r="AB540" s="157"/>
      <c r="AC540" s="158"/>
      <c r="AD540" s="159" t="str">
        <f t="shared" si="21"/>
        <v/>
      </c>
      <c r="AE540" s="160"/>
      <c r="AF540" s="161"/>
      <c r="AG540" s="161"/>
      <c r="AH540" s="162"/>
      <c r="AI540" s="162"/>
      <c r="AJ540" s="163" t="str">
        <f t="shared" si="33"/>
        <v/>
      </c>
      <c r="AK540" s="164"/>
      <c r="AL540" s="165"/>
      <c r="AM540" s="166"/>
      <c r="AN540" s="115"/>
      <c r="AO540" s="167"/>
      <c r="AP540" s="168" t="str">
        <f t="shared" si="22"/>
        <v/>
      </c>
      <c r="AQ540" s="168"/>
      <c r="AR540" s="168" t="str">
        <f t="shared" si="23"/>
        <v/>
      </c>
      <c r="AS540" s="168"/>
      <c r="AT540" s="168" t="str">
        <f t="shared" si="24"/>
        <v/>
      </c>
      <c r="AU540" s="168"/>
      <c r="AV540" s="168" t="str">
        <f t="shared" si="25"/>
        <v/>
      </c>
      <c r="AW540" s="168"/>
      <c r="AX540" s="168" t="str">
        <f t="shared" si="26"/>
        <v/>
      </c>
      <c r="AY540" s="168"/>
      <c r="AZ540" s="168" t="str">
        <f t="shared" si="27"/>
        <v/>
      </c>
      <c r="BA540" s="168"/>
      <c r="BB540" s="168" t="str">
        <f t="shared" si="28"/>
        <v/>
      </c>
      <c r="BC540" s="168"/>
      <c r="BD540" s="168" t="str">
        <f t="shared" si="29"/>
        <v/>
      </c>
      <c r="BE540" s="168"/>
      <c r="BF540" s="168" t="str">
        <f t="shared" si="30"/>
        <v/>
      </c>
      <c r="BG540" s="168"/>
      <c r="BH540" s="168" t="str">
        <f t="shared" si="31"/>
        <v/>
      </c>
      <c r="BI540" s="168"/>
      <c r="BJ540" s="168" t="str">
        <f t="shared" si="32"/>
        <v/>
      </c>
      <c r="BK540" s="169"/>
      <c r="BL540" s="115"/>
      <c r="BM540" s="170"/>
      <c r="BN540" s="163"/>
      <c r="BO540" s="163"/>
      <c r="BP540" s="163"/>
      <c r="BQ540" s="171"/>
      <c r="BR540" s="171"/>
      <c r="BS540" s="171"/>
      <c r="BT540" s="171"/>
      <c r="BU540" s="172"/>
      <c r="BV540" s="172"/>
      <c r="BW540" s="163"/>
      <c r="BX540" s="163"/>
      <c r="BY540" s="161"/>
      <c r="BZ540" s="163"/>
      <c r="CA540" s="163"/>
      <c r="CB540" s="154"/>
      <c r="CC540" s="154"/>
      <c r="CD540" s="173"/>
      <c r="CE540" s="174"/>
    </row>
    <row r="541" spans="2:83" ht="15.6" x14ac:dyDescent="0.3">
      <c r="B541" s="98"/>
      <c r="C541" s="175"/>
      <c r="D541" s="176"/>
      <c r="E541" s="176"/>
      <c r="F541" s="177"/>
      <c r="G541" s="177"/>
      <c r="H541" s="177"/>
      <c r="I541" s="178"/>
      <c r="J541" s="179"/>
      <c r="K541" s="179"/>
      <c r="L541" s="179"/>
      <c r="M541" s="179"/>
      <c r="N541" s="179"/>
      <c r="O541" s="180"/>
      <c r="P541" s="181"/>
      <c r="Q541" s="181"/>
      <c r="R541" s="182"/>
      <c r="S541" s="182"/>
      <c r="T541" s="183"/>
      <c r="U541" s="183"/>
      <c r="V541" s="182"/>
      <c r="W541" s="182"/>
      <c r="X541" s="182"/>
      <c r="Y541" s="182"/>
      <c r="Z541" s="184" t="str">
        <f>IFERROR(INDEX(Base!G:G,MATCH('Debêntures IPCA-Spread'!Y541,Base!F:F,0)),"")</f>
        <v/>
      </c>
      <c r="AA541" s="115"/>
      <c r="AB541" s="185"/>
      <c r="AC541" s="186"/>
      <c r="AD541" s="187" t="str">
        <f t="shared" si="21"/>
        <v/>
      </c>
      <c r="AE541" s="188"/>
      <c r="AF541" s="189"/>
      <c r="AG541" s="189"/>
      <c r="AH541" s="190"/>
      <c r="AI541" s="190"/>
      <c r="AJ541" s="191" t="str">
        <f t="shared" si="33"/>
        <v/>
      </c>
      <c r="AK541" s="192"/>
      <c r="AL541" s="193"/>
      <c r="AM541" s="194"/>
      <c r="AN541" s="115"/>
      <c r="AO541" s="195"/>
      <c r="AP541" s="196" t="str">
        <f t="shared" si="22"/>
        <v/>
      </c>
      <c r="AQ541" s="196"/>
      <c r="AR541" s="196" t="str">
        <f t="shared" si="23"/>
        <v/>
      </c>
      <c r="AS541" s="196"/>
      <c r="AT541" s="196" t="str">
        <f t="shared" si="24"/>
        <v/>
      </c>
      <c r="AU541" s="196"/>
      <c r="AV541" s="196" t="str">
        <f t="shared" si="25"/>
        <v/>
      </c>
      <c r="AW541" s="196"/>
      <c r="AX541" s="196" t="str">
        <f t="shared" si="26"/>
        <v/>
      </c>
      <c r="AY541" s="196"/>
      <c r="AZ541" s="196" t="str">
        <f t="shared" si="27"/>
        <v/>
      </c>
      <c r="BA541" s="196"/>
      <c r="BB541" s="196" t="str">
        <f t="shared" si="28"/>
        <v/>
      </c>
      <c r="BC541" s="196"/>
      <c r="BD541" s="196" t="str">
        <f t="shared" si="29"/>
        <v/>
      </c>
      <c r="BE541" s="196"/>
      <c r="BF541" s="196" t="str">
        <f t="shared" si="30"/>
        <v/>
      </c>
      <c r="BG541" s="196"/>
      <c r="BH541" s="196" t="str">
        <f t="shared" si="31"/>
        <v/>
      </c>
      <c r="BI541" s="196"/>
      <c r="BJ541" s="196" t="str">
        <f t="shared" si="32"/>
        <v/>
      </c>
      <c r="BK541" s="197"/>
      <c r="BL541" s="115"/>
      <c r="BM541" s="198"/>
      <c r="BN541" s="191"/>
      <c r="BO541" s="191"/>
      <c r="BP541" s="191"/>
      <c r="BQ541" s="199"/>
      <c r="BR541" s="199"/>
      <c r="BS541" s="199"/>
      <c r="BT541" s="199"/>
      <c r="BU541" s="200"/>
      <c r="BV541" s="200"/>
      <c r="BW541" s="191"/>
      <c r="BX541" s="191"/>
      <c r="BY541" s="189"/>
      <c r="BZ541" s="191"/>
      <c r="CA541" s="191"/>
      <c r="CB541" s="182"/>
      <c r="CC541" s="182"/>
      <c r="CD541" s="201"/>
      <c r="CE541" s="202"/>
    </row>
    <row r="542" spans="2:83" ht="15.6" x14ac:dyDescent="0.3">
      <c r="B542" s="110"/>
      <c r="C542" s="147"/>
      <c r="D542" s="148"/>
      <c r="E542" s="148"/>
      <c r="F542" s="149"/>
      <c r="G542" s="149"/>
      <c r="H542" s="149"/>
      <c r="I542" s="150"/>
      <c r="J542" s="151"/>
      <c r="K542" s="151"/>
      <c r="L542" s="151"/>
      <c r="M542" s="151"/>
      <c r="N542" s="151"/>
      <c r="O542" s="152"/>
      <c r="P542" s="153"/>
      <c r="Q542" s="153"/>
      <c r="R542" s="154"/>
      <c r="S542" s="154"/>
      <c r="T542" s="155"/>
      <c r="U542" s="155"/>
      <c r="V542" s="154"/>
      <c r="W542" s="154"/>
      <c r="X542" s="154"/>
      <c r="Y542" s="154"/>
      <c r="Z542" s="156" t="str">
        <f>IFERROR(INDEX(Base!G:G,MATCH('Debêntures IPCA-Spread'!Y542,Base!F:F,0)),"")</f>
        <v/>
      </c>
      <c r="AA542" s="115"/>
      <c r="AB542" s="157"/>
      <c r="AC542" s="158"/>
      <c r="AD542" s="159" t="str">
        <f t="shared" si="21"/>
        <v/>
      </c>
      <c r="AE542" s="160"/>
      <c r="AF542" s="161"/>
      <c r="AG542" s="161"/>
      <c r="AH542" s="162"/>
      <c r="AI542" s="162"/>
      <c r="AJ542" s="163" t="str">
        <f t="shared" si="33"/>
        <v/>
      </c>
      <c r="AK542" s="164"/>
      <c r="AL542" s="165"/>
      <c r="AM542" s="166"/>
      <c r="AN542" s="115"/>
      <c r="AO542" s="167"/>
      <c r="AP542" s="168" t="str">
        <f t="shared" si="22"/>
        <v/>
      </c>
      <c r="AQ542" s="168"/>
      <c r="AR542" s="168" t="str">
        <f t="shared" si="23"/>
        <v/>
      </c>
      <c r="AS542" s="168"/>
      <c r="AT542" s="168" t="str">
        <f t="shared" si="24"/>
        <v/>
      </c>
      <c r="AU542" s="168"/>
      <c r="AV542" s="168" t="str">
        <f t="shared" si="25"/>
        <v/>
      </c>
      <c r="AW542" s="168"/>
      <c r="AX542" s="168" t="str">
        <f t="shared" si="26"/>
        <v/>
      </c>
      <c r="AY542" s="168"/>
      <c r="AZ542" s="168" t="str">
        <f t="shared" si="27"/>
        <v/>
      </c>
      <c r="BA542" s="168"/>
      <c r="BB542" s="168" t="str">
        <f t="shared" si="28"/>
        <v/>
      </c>
      <c r="BC542" s="168"/>
      <c r="BD542" s="168" t="str">
        <f t="shared" si="29"/>
        <v/>
      </c>
      <c r="BE542" s="168"/>
      <c r="BF542" s="168" t="str">
        <f t="shared" si="30"/>
        <v/>
      </c>
      <c r="BG542" s="168"/>
      <c r="BH542" s="168" t="str">
        <f t="shared" si="31"/>
        <v/>
      </c>
      <c r="BI542" s="168"/>
      <c r="BJ542" s="168" t="str">
        <f t="shared" si="32"/>
        <v/>
      </c>
      <c r="BK542" s="169"/>
      <c r="BL542" s="115"/>
      <c r="BM542" s="170"/>
      <c r="BN542" s="163"/>
      <c r="BO542" s="163"/>
      <c r="BP542" s="163"/>
      <c r="BQ542" s="171"/>
      <c r="BR542" s="171"/>
      <c r="BS542" s="171"/>
      <c r="BT542" s="171"/>
      <c r="BU542" s="172"/>
      <c r="BV542" s="172"/>
      <c r="BW542" s="163"/>
      <c r="BX542" s="163"/>
      <c r="BY542" s="161"/>
      <c r="BZ542" s="163"/>
      <c r="CA542" s="163"/>
      <c r="CB542" s="154"/>
      <c r="CC542" s="154"/>
      <c r="CD542" s="173"/>
      <c r="CE542" s="174"/>
    </row>
    <row r="543" spans="2:83" ht="15.6" x14ac:dyDescent="0.3">
      <c r="B543" s="98"/>
      <c r="C543" s="175"/>
      <c r="D543" s="176"/>
      <c r="E543" s="176"/>
      <c r="F543" s="177"/>
      <c r="G543" s="177"/>
      <c r="H543" s="177"/>
      <c r="I543" s="178"/>
      <c r="J543" s="179"/>
      <c r="K543" s="179"/>
      <c r="L543" s="179"/>
      <c r="M543" s="179"/>
      <c r="N543" s="179"/>
      <c r="O543" s="180"/>
      <c r="P543" s="181"/>
      <c r="Q543" s="181"/>
      <c r="R543" s="182"/>
      <c r="S543" s="182"/>
      <c r="T543" s="183"/>
      <c r="U543" s="183"/>
      <c r="V543" s="182"/>
      <c r="W543" s="182"/>
      <c r="X543" s="182"/>
      <c r="Y543" s="182"/>
      <c r="Z543" s="184" t="str">
        <f>IFERROR(INDEX(Base!G:G,MATCH('Debêntures IPCA-Spread'!Y543,Base!F:F,0)),"")</f>
        <v/>
      </c>
      <c r="AA543" s="115"/>
      <c r="AB543" s="185"/>
      <c r="AC543" s="186"/>
      <c r="AD543" s="187" t="str">
        <f t="shared" si="21"/>
        <v/>
      </c>
      <c r="AE543" s="188"/>
      <c r="AF543" s="189"/>
      <c r="AG543" s="189"/>
      <c r="AH543" s="190"/>
      <c r="AI543" s="190"/>
      <c r="AJ543" s="191" t="str">
        <f t="shared" si="33"/>
        <v/>
      </c>
      <c r="AK543" s="192"/>
      <c r="AL543" s="193"/>
      <c r="AM543" s="194"/>
      <c r="AN543" s="115"/>
      <c r="AO543" s="195"/>
      <c r="AP543" s="196" t="str">
        <f t="shared" si="22"/>
        <v/>
      </c>
      <c r="AQ543" s="196"/>
      <c r="AR543" s="196" t="str">
        <f t="shared" si="23"/>
        <v/>
      </c>
      <c r="AS543" s="196"/>
      <c r="AT543" s="196" t="str">
        <f t="shared" si="24"/>
        <v/>
      </c>
      <c r="AU543" s="196"/>
      <c r="AV543" s="196" t="str">
        <f t="shared" si="25"/>
        <v/>
      </c>
      <c r="AW543" s="196"/>
      <c r="AX543" s="196" t="str">
        <f t="shared" si="26"/>
        <v/>
      </c>
      <c r="AY543" s="196"/>
      <c r="AZ543" s="196" t="str">
        <f t="shared" si="27"/>
        <v/>
      </c>
      <c r="BA543" s="196"/>
      <c r="BB543" s="196" t="str">
        <f t="shared" si="28"/>
        <v/>
      </c>
      <c r="BC543" s="196"/>
      <c r="BD543" s="196" t="str">
        <f t="shared" si="29"/>
        <v/>
      </c>
      <c r="BE543" s="196"/>
      <c r="BF543" s="196" t="str">
        <f t="shared" si="30"/>
        <v/>
      </c>
      <c r="BG543" s="196"/>
      <c r="BH543" s="196" t="str">
        <f t="shared" si="31"/>
        <v/>
      </c>
      <c r="BI543" s="196"/>
      <c r="BJ543" s="196" t="str">
        <f t="shared" si="32"/>
        <v/>
      </c>
      <c r="BK543" s="197"/>
      <c r="BL543" s="115"/>
      <c r="BM543" s="198"/>
      <c r="BN543" s="191"/>
      <c r="BO543" s="191"/>
      <c r="BP543" s="191"/>
      <c r="BQ543" s="199"/>
      <c r="BR543" s="199"/>
      <c r="BS543" s="199"/>
      <c r="BT543" s="199"/>
      <c r="BU543" s="200"/>
      <c r="BV543" s="200"/>
      <c r="BW543" s="191"/>
      <c r="BX543" s="191"/>
      <c r="BY543" s="189"/>
      <c r="BZ543" s="191"/>
      <c r="CA543" s="191"/>
      <c r="CB543" s="182"/>
      <c r="CC543" s="182"/>
      <c r="CD543" s="201"/>
      <c r="CE543" s="202"/>
    </row>
    <row r="544" spans="2:83" ht="15.6" x14ac:dyDescent="0.3">
      <c r="B544" s="110"/>
      <c r="C544" s="147"/>
      <c r="D544" s="148"/>
      <c r="E544" s="148"/>
      <c r="F544" s="149"/>
      <c r="G544" s="149"/>
      <c r="H544" s="149"/>
      <c r="I544" s="150"/>
      <c r="J544" s="151"/>
      <c r="K544" s="151"/>
      <c r="L544" s="151"/>
      <c r="M544" s="151"/>
      <c r="N544" s="151"/>
      <c r="O544" s="152"/>
      <c r="P544" s="153"/>
      <c r="Q544" s="153"/>
      <c r="R544" s="154"/>
      <c r="S544" s="154"/>
      <c r="T544" s="155"/>
      <c r="U544" s="155"/>
      <c r="V544" s="154"/>
      <c r="W544" s="154"/>
      <c r="X544" s="154"/>
      <c r="Y544" s="154"/>
      <c r="Z544" s="156" t="str">
        <f>IFERROR(INDEX(Base!G:G,MATCH('Debêntures IPCA-Spread'!Y544,Base!F:F,0)),"")</f>
        <v/>
      </c>
      <c r="AA544" s="115"/>
      <c r="AB544" s="157"/>
      <c r="AC544" s="158"/>
      <c r="AD544" s="159" t="str">
        <f t="shared" si="21"/>
        <v/>
      </c>
      <c r="AE544" s="160"/>
      <c r="AF544" s="161"/>
      <c r="AG544" s="161"/>
      <c r="AH544" s="162"/>
      <c r="AI544" s="162"/>
      <c r="AJ544" s="163" t="str">
        <f t="shared" si="33"/>
        <v/>
      </c>
      <c r="AK544" s="164"/>
      <c r="AL544" s="165"/>
      <c r="AM544" s="166"/>
      <c r="AN544" s="115"/>
      <c r="AO544" s="167"/>
      <c r="AP544" s="168" t="str">
        <f t="shared" si="22"/>
        <v/>
      </c>
      <c r="AQ544" s="168"/>
      <c r="AR544" s="168" t="str">
        <f t="shared" si="23"/>
        <v/>
      </c>
      <c r="AS544" s="168"/>
      <c r="AT544" s="168" t="str">
        <f t="shared" si="24"/>
        <v/>
      </c>
      <c r="AU544" s="168"/>
      <c r="AV544" s="168" t="str">
        <f t="shared" si="25"/>
        <v/>
      </c>
      <c r="AW544" s="168"/>
      <c r="AX544" s="168" t="str">
        <f t="shared" si="26"/>
        <v/>
      </c>
      <c r="AY544" s="168"/>
      <c r="AZ544" s="168" t="str">
        <f t="shared" si="27"/>
        <v/>
      </c>
      <c r="BA544" s="168"/>
      <c r="BB544" s="168" t="str">
        <f t="shared" si="28"/>
        <v/>
      </c>
      <c r="BC544" s="168"/>
      <c r="BD544" s="168" t="str">
        <f t="shared" si="29"/>
        <v/>
      </c>
      <c r="BE544" s="168"/>
      <c r="BF544" s="168" t="str">
        <f t="shared" si="30"/>
        <v/>
      </c>
      <c r="BG544" s="168"/>
      <c r="BH544" s="168" t="str">
        <f t="shared" si="31"/>
        <v/>
      </c>
      <c r="BI544" s="168"/>
      <c r="BJ544" s="168" t="str">
        <f t="shared" si="32"/>
        <v/>
      </c>
      <c r="BK544" s="169"/>
      <c r="BL544" s="115"/>
      <c r="BM544" s="170"/>
      <c r="BN544" s="163"/>
      <c r="BO544" s="163"/>
      <c r="BP544" s="163"/>
      <c r="BQ544" s="171"/>
      <c r="BR544" s="171"/>
      <c r="BS544" s="171"/>
      <c r="BT544" s="171"/>
      <c r="BU544" s="172"/>
      <c r="BV544" s="172"/>
      <c r="BW544" s="163"/>
      <c r="BX544" s="163"/>
      <c r="BY544" s="161"/>
      <c r="BZ544" s="163"/>
      <c r="CA544" s="163"/>
      <c r="CB544" s="154"/>
      <c r="CC544" s="154"/>
      <c r="CD544" s="173"/>
      <c r="CE544" s="174"/>
    </row>
    <row r="545" spans="2:83" ht="15.6" x14ac:dyDescent="0.3">
      <c r="B545" s="98"/>
      <c r="C545" s="175"/>
      <c r="D545" s="176"/>
      <c r="E545" s="176"/>
      <c r="F545" s="177"/>
      <c r="G545" s="177"/>
      <c r="H545" s="177"/>
      <c r="I545" s="178"/>
      <c r="J545" s="179"/>
      <c r="K545" s="179"/>
      <c r="L545" s="179"/>
      <c r="M545" s="179"/>
      <c r="N545" s="179"/>
      <c r="O545" s="180"/>
      <c r="P545" s="181"/>
      <c r="Q545" s="181"/>
      <c r="R545" s="182"/>
      <c r="S545" s="182"/>
      <c r="T545" s="183"/>
      <c r="U545" s="183"/>
      <c r="V545" s="182"/>
      <c r="W545" s="182"/>
      <c r="X545" s="182"/>
      <c r="Y545" s="182"/>
      <c r="Z545" s="184" t="str">
        <f>IFERROR(INDEX(Base!G:G,MATCH('Debêntures IPCA-Spread'!Y545,Base!F:F,0)),"")</f>
        <v/>
      </c>
      <c r="AA545" s="115"/>
      <c r="AB545" s="185"/>
      <c r="AC545" s="186"/>
      <c r="AD545" s="187" t="str">
        <f t="shared" si="21"/>
        <v/>
      </c>
      <c r="AE545" s="188"/>
      <c r="AF545" s="189"/>
      <c r="AG545" s="189"/>
      <c r="AH545" s="190"/>
      <c r="AI545" s="190"/>
      <c r="AJ545" s="191" t="str">
        <f t="shared" si="33"/>
        <v/>
      </c>
      <c r="AK545" s="192"/>
      <c r="AL545" s="193"/>
      <c r="AM545" s="194"/>
      <c r="AN545" s="115"/>
      <c r="AO545" s="195"/>
      <c r="AP545" s="196" t="str">
        <f t="shared" si="22"/>
        <v/>
      </c>
      <c r="AQ545" s="196"/>
      <c r="AR545" s="196" t="str">
        <f t="shared" si="23"/>
        <v/>
      </c>
      <c r="AS545" s="196"/>
      <c r="AT545" s="196" t="str">
        <f t="shared" si="24"/>
        <v/>
      </c>
      <c r="AU545" s="196"/>
      <c r="AV545" s="196" t="str">
        <f t="shared" si="25"/>
        <v/>
      </c>
      <c r="AW545" s="196"/>
      <c r="AX545" s="196" t="str">
        <f t="shared" si="26"/>
        <v/>
      </c>
      <c r="AY545" s="196"/>
      <c r="AZ545" s="196" t="str">
        <f t="shared" si="27"/>
        <v/>
      </c>
      <c r="BA545" s="196"/>
      <c r="BB545" s="196" t="str">
        <f t="shared" si="28"/>
        <v/>
      </c>
      <c r="BC545" s="196"/>
      <c r="BD545" s="196" t="str">
        <f t="shared" si="29"/>
        <v/>
      </c>
      <c r="BE545" s="196"/>
      <c r="BF545" s="196" t="str">
        <f t="shared" si="30"/>
        <v/>
      </c>
      <c r="BG545" s="196"/>
      <c r="BH545" s="196" t="str">
        <f t="shared" si="31"/>
        <v/>
      </c>
      <c r="BI545" s="196"/>
      <c r="BJ545" s="196" t="str">
        <f t="shared" si="32"/>
        <v/>
      </c>
      <c r="BK545" s="197"/>
      <c r="BL545" s="115"/>
      <c r="BM545" s="198"/>
      <c r="BN545" s="191"/>
      <c r="BO545" s="191"/>
      <c r="BP545" s="191"/>
      <c r="BQ545" s="199"/>
      <c r="BR545" s="199"/>
      <c r="BS545" s="199"/>
      <c r="BT545" s="199"/>
      <c r="BU545" s="200"/>
      <c r="BV545" s="200"/>
      <c r="BW545" s="191"/>
      <c r="BX545" s="191"/>
      <c r="BY545" s="189"/>
      <c r="BZ545" s="191"/>
      <c r="CA545" s="191"/>
      <c r="CB545" s="182"/>
      <c r="CC545" s="182"/>
      <c r="CD545" s="201"/>
      <c r="CE545" s="202"/>
    </row>
    <row r="546" spans="2:83" ht="15.6" x14ac:dyDescent="0.3">
      <c r="B546" s="110"/>
      <c r="C546" s="147"/>
      <c r="D546" s="148"/>
      <c r="E546" s="148"/>
      <c r="F546" s="149"/>
      <c r="G546" s="149"/>
      <c r="H546" s="149"/>
      <c r="I546" s="150"/>
      <c r="J546" s="151"/>
      <c r="K546" s="151"/>
      <c r="L546" s="151"/>
      <c r="M546" s="151"/>
      <c r="N546" s="151"/>
      <c r="O546" s="152"/>
      <c r="P546" s="153"/>
      <c r="Q546" s="153"/>
      <c r="R546" s="154"/>
      <c r="S546" s="154"/>
      <c r="T546" s="155"/>
      <c r="U546" s="155"/>
      <c r="V546" s="154"/>
      <c r="W546" s="154"/>
      <c r="X546" s="154"/>
      <c r="Y546" s="154"/>
      <c r="Z546" s="156" t="str">
        <f>IFERROR(INDEX(Base!G:G,MATCH('Debêntures IPCA-Spread'!Y546,Base!F:F,0)),"")</f>
        <v/>
      </c>
      <c r="AA546" s="115"/>
      <c r="AB546" s="157"/>
      <c r="AC546" s="158"/>
      <c r="AD546" s="159" t="str">
        <f t="shared" si="21"/>
        <v/>
      </c>
      <c r="AE546" s="160"/>
      <c r="AF546" s="161"/>
      <c r="AG546" s="161"/>
      <c r="AH546" s="162"/>
      <c r="AI546" s="162"/>
      <c r="AJ546" s="163" t="str">
        <f t="shared" si="33"/>
        <v/>
      </c>
      <c r="AK546" s="164"/>
      <c r="AL546" s="165"/>
      <c r="AM546" s="166"/>
      <c r="AN546" s="115"/>
      <c r="AO546" s="167"/>
      <c r="AP546" s="168" t="str">
        <f t="shared" si="22"/>
        <v/>
      </c>
      <c r="AQ546" s="168"/>
      <c r="AR546" s="168" t="str">
        <f t="shared" si="23"/>
        <v/>
      </c>
      <c r="AS546" s="168"/>
      <c r="AT546" s="168" t="str">
        <f t="shared" si="24"/>
        <v/>
      </c>
      <c r="AU546" s="168"/>
      <c r="AV546" s="168" t="str">
        <f t="shared" si="25"/>
        <v/>
      </c>
      <c r="AW546" s="168"/>
      <c r="AX546" s="168" t="str">
        <f t="shared" si="26"/>
        <v/>
      </c>
      <c r="AY546" s="168"/>
      <c r="AZ546" s="168" t="str">
        <f t="shared" si="27"/>
        <v/>
      </c>
      <c r="BA546" s="168"/>
      <c r="BB546" s="168" t="str">
        <f t="shared" si="28"/>
        <v/>
      </c>
      <c r="BC546" s="168"/>
      <c r="BD546" s="168" t="str">
        <f t="shared" si="29"/>
        <v/>
      </c>
      <c r="BE546" s="168"/>
      <c r="BF546" s="168" t="str">
        <f t="shared" si="30"/>
        <v/>
      </c>
      <c r="BG546" s="168"/>
      <c r="BH546" s="168" t="str">
        <f t="shared" si="31"/>
        <v/>
      </c>
      <c r="BI546" s="168"/>
      <c r="BJ546" s="168" t="str">
        <f t="shared" si="32"/>
        <v/>
      </c>
      <c r="BK546" s="169"/>
      <c r="BL546" s="115"/>
      <c r="BM546" s="170"/>
      <c r="BN546" s="163"/>
      <c r="BO546" s="163"/>
      <c r="BP546" s="163"/>
      <c r="BQ546" s="171"/>
      <c r="BR546" s="171"/>
      <c r="BS546" s="171"/>
      <c r="BT546" s="171"/>
      <c r="BU546" s="172"/>
      <c r="BV546" s="172"/>
      <c r="BW546" s="163"/>
      <c r="BX546" s="163"/>
      <c r="BY546" s="161"/>
      <c r="BZ546" s="163"/>
      <c r="CA546" s="163"/>
      <c r="CB546" s="154"/>
      <c r="CC546" s="154"/>
      <c r="CD546" s="173"/>
      <c r="CE546" s="174"/>
    </row>
    <row r="547" spans="2:83" ht="15.6" x14ac:dyDescent="0.3">
      <c r="B547" s="98"/>
      <c r="C547" s="175"/>
      <c r="D547" s="176"/>
      <c r="E547" s="176"/>
      <c r="F547" s="177"/>
      <c r="G547" s="177"/>
      <c r="H547" s="177"/>
      <c r="I547" s="178"/>
      <c r="J547" s="179"/>
      <c r="K547" s="179"/>
      <c r="L547" s="179"/>
      <c r="M547" s="179"/>
      <c r="N547" s="179"/>
      <c r="O547" s="180"/>
      <c r="P547" s="181"/>
      <c r="Q547" s="181"/>
      <c r="R547" s="182"/>
      <c r="S547" s="182"/>
      <c r="T547" s="183"/>
      <c r="U547" s="183"/>
      <c r="V547" s="182"/>
      <c r="W547" s="182"/>
      <c r="X547" s="182"/>
      <c r="Y547" s="182"/>
      <c r="Z547" s="184" t="str">
        <f>IFERROR(INDEX(Base!G:G,MATCH('Debêntures IPCA-Spread'!Y547,Base!F:F,0)),"")</f>
        <v/>
      </c>
      <c r="AA547" s="115"/>
      <c r="AB547" s="185"/>
      <c r="AC547" s="186"/>
      <c r="AD547" s="187" t="str">
        <f t="shared" si="21"/>
        <v/>
      </c>
      <c r="AE547" s="188"/>
      <c r="AF547" s="189"/>
      <c r="AG547" s="189"/>
      <c r="AH547" s="190"/>
      <c r="AI547" s="190"/>
      <c r="AJ547" s="191" t="str">
        <f t="shared" si="33"/>
        <v/>
      </c>
      <c r="AK547" s="192"/>
      <c r="AL547" s="193"/>
      <c r="AM547" s="194"/>
      <c r="AN547" s="115"/>
      <c r="AO547" s="195"/>
      <c r="AP547" s="196" t="str">
        <f t="shared" si="22"/>
        <v/>
      </c>
      <c r="AQ547" s="196"/>
      <c r="AR547" s="196" t="str">
        <f t="shared" si="23"/>
        <v/>
      </c>
      <c r="AS547" s="196"/>
      <c r="AT547" s="196" t="str">
        <f t="shared" si="24"/>
        <v/>
      </c>
      <c r="AU547" s="196"/>
      <c r="AV547" s="196" t="str">
        <f t="shared" si="25"/>
        <v/>
      </c>
      <c r="AW547" s="196"/>
      <c r="AX547" s="196" t="str">
        <f t="shared" si="26"/>
        <v/>
      </c>
      <c r="AY547" s="196"/>
      <c r="AZ547" s="196" t="str">
        <f t="shared" si="27"/>
        <v/>
      </c>
      <c r="BA547" s="196"/>
      <c r="BB547" s="196" t="str">
        <f t="shared" si="28"/>
        <v/>
      </c>
      <c r="BC547" s="196"/>
      <c r="BD547" s="196" t="str">
        <f t="shared" si="29"/>
        <v/>
      </c>
      <c r="BE547" s="196"/>
      <c r="BF547" s="196" t="str">
        <f t="shared" si="30"/>
        <v/>
      </c>
      <c r="BG547" s="196"/>
      <c r="BH547" s="196" t="str">
        <f t="shared" si="31"/>
        <v/>
      </c>
      <c r="BI547" s="196"/>
      <c r="BJ547" s="196" t="str">
        <f t="shared" si="32"/>
        <v/>
      </c>
      <c r="BK547" s="197"/>
      <c r="BL547" s="115"/>
      <c r="BM547" s="198"/>
      <c r="BN547" s="191"/>
      <c r="BO547" s="191"/>
      <c r="BP547" s="191"/>
      <c r="BQ547" s="199"/>
      <c r="BR547" s="199"/>
      <c r="BS547" s="199"/>
      <c r="BT547" s="199"/>
      <c r="BU547" s="200"/>
      <c r="BV547" s="200"/>
      <c r="BW547" s="191"/>
      <c r="BX547" s="191"/>
      <c r="BY547" s="189"/>
      <c r="BZ547" s="191"/>
      <c r="CA547" s="191"/>
      <c r="CB547" s="182"/>
      <c r="CC547" s="182"/>
      <c r="CD547" s="201"/>
      <c r="CE547" s="202"/>
    </row>
    <row r="548" spans="2:83" ht="15.6" x14ac:dyDescent="0.3">
      <c r="B548" s="110"/>
      <c r="C548" s="147"/>
      <c r="D548" s="148"/>
      <c r="E548" s="148"/>
      <c r="F548" s="149"/>
      <c r="G548" s="149"/>
      <c r="H548" s="149"/>
      <c r="I548" s="150"/>
      <c r="J548" s="151"/>
      <c r="K548" s="151"/>
      <c r="L548" s="151"/>
      <c r="M548" s="151"/>
      <c r="N548" s="151"/>
      <c r="O548" s="152"/>
      <c r="P548" s="153"/>
      <c r="Q548" s="153"/>
      <c r="R548" s="154"/>
      <c r="S548" s="154"/>
      <c r="T548" s="155"/>
      <c r="U548" s="155"/>
      <c r="V548" s="154"/>
      <c r="W548" s="154"/>
      <c r="X548" s="154"/>
      <c r="Y548" s="154"/>
      <c r="Z548" s="156" t="str">
        <f>IFERROR(INDEX(Base!G:G,MATCH('Debêntures IPCA-Spread'!Y548,Base!F:F,0)),"")</f>
        <v/>
      </c>
      <c r="AA548" s="115"/>
      <c r="AB548" s="157"/>
      <c r="AC548" s="158"/>
      <c r="AD548" s="159" t="str">
        <f t="shared" si="21"/>
        <v/>
      </c>
      <c r="AE548" s="160"/>
      <c r="AF548" s="161"/>
      <c r="AG548" s="161"/>
      <c r="AH548" s="162"/>
      <c r="AI548" s="162"/>
      <c r="AJ548" s="163" t="str">
        <f t="shared" si="33"/>
        <v/>
      </c>
      <c r="AK548" s="164"/>
      <c r="AL548" s="165"/>
      <c r="AM548" s="166"/>
      <c r="AN548" s="115"/>
      <c r="AO548" s="167"/>
      <c r="AP548" s="168" t="str">
        <f t="shared" si="22"/>
        <v/>
      </c>
      <c r="AQ548" s="168"/>
      <c r="AR548" s="168" t="str">
        <f t="shared" si="23"/>
        <v/>
      </c>
      <c r="AS548" s="168"/>
      <c r="AT548" s="168" t="str">
        <f t="shared" si="24"/>
        <v/>
      </c>
      <c r="AU548" s="168"/>
      <c r="AV548" s="168" t="str">
        <f t="shared" si="25"/>
        <v/>
      </c>
      <c r="AW548" s="168"/>
      <c r="AX548" s="168" t="str">
        <f t="shared" si="26"/>
        <v/>
      </c>
      <c r="AY548" s="168"/>
      <c r="AZ548" s="168" t="str">
        <f t="shared" si="27"/>
        <v/>
      </c>
      <c r="BA548" s="168"/>
      <c r="BB548" s="168" t="str">
        <f t="shared" si="28"/>
        <v/>
      </c>
      <c r="BC548" s="168"/>
      <c r="BD548" s="168" t="str">
        <f t="shared" si="29"/>
        <v/>
      </c>
      <c r="BE548" s="168"/>
      <c r="BF548" s="168" t="str">
        <f t="shared" si="30"/>
        <v/>
      </c>
      <c r="BG548" s="168"/>
      <c r="BH548" s="168" t="str">
        <f t="shared" si="31"/>
        <v/>
      </c>
      <c r="BI548" s="168"/>
      <c r="BJ548" s="168" t="str">
        <f t="shared" si="32"/>
        <v/>
      </c>
      <c r="BK548" s="169"/>
      <c r="BL548" s="115"/>
      <c r="BM548" s="170"/>
      <c r="BN548" s="163"/>
      <c r="BO548" s="163"/>
      <c r="BP548" s="163"/>
      <c r="BQ548" s="171"/>
      <c r="BR548" s="171"/>
      <c r="BS548" s="171"/>
      <c r="BT548" s="171"/>
      <c r="BU548" s="172"/>
      <c r="BV548" s="172"/>
      <c r="BW548" s="163"/>
      <c r="BX548" s="163"/>
      <c r="BY548" s="161"/>
      <c r="BZ548" s="163"/>
      <c r="CA548" s="163"/>
      <c r="CB548" s="154"/>
      <c r="CC548" s="154"/>
      <c r="CD548" s="173"/>
      <c r="CE548" s="174"/>
    </row>
    <row r="549" spans="2:83" ht="15.6" x14ac:dyDescent="0.3">
      <c r="B549" s="98"/>
      <c r="C549" s="175"/>
      <c r="D549" s="176"/>
      <c r="E549" s="176"/>
      <c r="F549" s="177"/>
      <c r="G549" s="177"/>
      <c r="H549" s="177"/>
      <c r="I549" s="178"/>
      <c r="J549" s="179"/>
      <c r="K549" s="179"/>
      <c r="L549" s="179"/>
      <c r="M549" s="179"/>
      <c r="N549" s="179"/>
      <c r="O549" s="180"/>
      <c r="P549" s="181"/>
      <c r="Q549" s="181"/>
      <c r="R549" s="182"/>
      <c r="S549" s="182"/>
      <c r="T549" s="183"/>
      <c r="U549" s="183"/>
      <c r="V549" s="182"/>
      <c r="W549" s="182"/>
      <c r="X549" s="182"/>
      <c r="Y549" s="182"/>
      <c r="Z549" s="184" t="str">
        <f>IFERROR(INDEX(Base!G:G,MATCH('Debêntures IPCA-Spread'!Y549,Base!F:F,0)),"")</f>
        <v/>
      </c>
      <c r="AA549" s="115"/>
      <c r="AB549" s="185"/>
      <c r="AC549" s="186"/>
      <c r="AD549" s="187" t="str">
        <f t="shared" si="21"/>
        <v/>
      </c>
      <c r="AE549" s="188"/>
      <c r="AF549" s="189"/>
      <c r="AG549" s="189"/>
      <c r="AH549" s="190"/>
      <c r="AI549" s="190"/>
      <c r="AJ549" s="191" t="str">
        <f t="shared" si="33"/>
        <v/>
      </c>
      <c r="AK549" s="192"/>
      <c r="AL549" s="193"/>
      <c r="AM549" s="194"/>
      <c r="AN549" s="115"/>
      <c r="AO549" s="195"/>
      <c r="AP549" s="196" t="str">
        <f t="shared" si="22"/>
        <v/>
      </c>
      <c r="AQ549" s="196"/>
      <c r="AR549" s="196" t="str">
        <f t="shared" si="23"/>
        <v/>
      </c>
      <c r="AS549" s="196"/>
      <c r="AT549" s="196" t="str">
        <f t="shared" si="24"/>
        <v/>
      </c>
      <c r="AU549" s="196"/>
      <c r="AV549" s="196" t="str">
        <f t="shared" si="25"/>
        <v/>
      </c>
      <c r="AW549" s="196"/>
      <c r="AX549" s="196" t="str">
        <f t="shared" si="26"/>
        <v/>
      </c>
      <c r="AY549" s="196"/>
      <c r="AZ549" s="196" t="str">
        <f t="shared" si="27"/>
        <v/>
      </c>
      <c r="BA549" s="196"/>
      <c r="BB549" s="196" t="str">
        <f t="shared" si="28"/>
        <v/>
      </c>
      <c r="BC549" s="196"/>
      <c r="BD549" s="196" t="str">
        <f t="shared" si="29"/>
        <v/>
      </c>
      <c r="BE549" s="196"/>
      <c r="BF549" s="196" t="str">
        <f t="shared" si="30"/>
        <v/>
      </c>
      <c r="BG549" s="196"/>
      <c r="BH549" s="196" t="str">
        <f t="shared" si="31"/>
        <v/>
      </c>
      <c r="BI549" s="196"/>
      <c r="BJ549" s="196" t="str">
        <f t="shared" si="32"/>
        <v/>
      </c>
      <c r="BK549" s="197"/>
      <c r="BL549" s="115"/>
      <c r="BM549" s="198"/>
      <c r="BN549" s="191"/>
      <c r="BO549" s="191"/>
      <c r="BP549" s="191"/>
      <c r="BQ549" s="199"/>
      <c r="BR549" s="199"/>
      <c r="BS549" s="199"/>
      <c r="BT549" s="199"/>
      <c r="BU549" s="200"/>
      <c r="BV549" s="200"/>
      <c r="BW549" s="191"/>
      <c r="BX549" s="191"/>
      <c r="BY549" s="189"/>
      <c r="BZ549" s="191"/>
      <c r="CA549" s="191"/>
      <c r="CB549" s="182"/>
      <c r="CC549" s="182"/>
      <c r="CD549" s="201"/>
      <c r="CE549" s="202"/>
    </row>
    <row r="550" spans="2:83" ht="15.6" x14ac:dyDescent="0.3">
      <c r="B550" s="110"/>
      <c r="C550" s="147"/>
      <c r="D550" s="148"/>
      <c r="E550" s="148"/>
      <c r="F550" s="149"/>
      <c r="G550" s="149"/>
      <c r="H550" s="149"/>
      <c r="I550" s="150"/>
      <c r="J550" s="151"/>
      <c r="K550" s="151"/>
      <c r="L550" s="151"/>
      <c r="M550" s="151"/>
      <c r="N550" s="151"/>
      <c r="O550" s="152"/>
      <c r="P550" s="153"/>
      <c r="Q550" s="153"/>
      <c r="R550" s="154"/>
      <c r="S550" s="154"/>
      <c r="T550" s="155"/>
      <c r="U550" s="155"/>
      <c r="V550" s="154"/>
      <c r="W550" s="154"/>
      <c r="X550" s="154"/>
      <c r="Y550" s="154"/>
      <c r="Z550" s="156" t="str">
        <f>IFERROR(INDEX(Base!G:G,MATCH('Debêntures IPCA-Spread'!Y550,Base!F:F,0)),"")</f>
        <v/>
      </c>
      <c r="AA550" s="115"/>
      <c r="AB550" s="157"/>
      <c r="AC550" s="158"/>
      <c r="AD550" s="159" t="str">
        <f t="shared" si="21"/>
        <v/>
      </c>
      <c r="AE550" s="160"/>
      <c r="AF550" s="161"/>
      <c r="AG550" s="161"/>
      <c r="AH550" s="162"/>
      <c r="AI550" s="162"/>
      <c r="AJ550" s="163" t="str">
        <f t="shared" si="33"/>
        <v/>
      </c>
      <c r="AK550" s="164"/>
      <c r="AL550" s="165"/>
      <c r="AM550" s="166"/>
      <c r="AN550" s="115"/>
      <c r="AO550" s="167"/>
      <c r="AP550" s="168" t="str">
        <f t="shared" si="22"/>
        <v/>
      </c>
      <c r="AQ550" s="168"/>
      <c r="AR550" s="168" t="str">
        <f t="shared" si="23"/>
        <v/>
      </c>
      <c r="AS550" s="168"/>
      <c r="AT550" s="168" t="str">
        <f t="shared" si="24"/>
        <v/>
      </c>
      <c r="AU550" s="168"/>
      <c r="AV550" s="168" t="str">
        <f t="shared" si="25"/>
        <v/>
      </c>
      <c r="AW550" s="168"/>
      <c r="AX550" s="168" t="str">
        <f t="shared" si="26"/>
        <v/>
      </c>
      <c r="AY550" s="168"/>
      <c r="AZ550" s="168" t="str">
        <f t="shared" si="27"/>
        <v/>
      </c>
      <c r="BA550" s="168"/>
      <c r="BB550" s="168" t="str">
        <f t="shared" si="28"/>
        <v/>
      </c>
      <c r="BC550" s="168"/>
      <c r="BD550" s="168" t="str">
        <f t="shared" si="29"/>
        <v/>
      </c>
      <c r="BE550" s="168"/>
      <c r="BF550" s="168" t="str">
        <f t="shared" si="30"/>
        <v/>
      </c>
      <c r="BG550" s="168"/>
      <c r="BH550" s="168" t="str">
        <f t="shared" si="31"/>
        <v/>
      </c>
      <c r="BI550" s="168"/>
      <c r="BJ550" s="168" t="str">
        <f t="shared" si="32"/>
        <v/>
      </c>
      <c r="BK550" s="169"/>
      <c r="BL550" s="115"/>
      <c r="BM550" s="170"/>
      <c r="BN550" s="163"/>
      <c r="BO550" s="163"/>
      <c r="BP550" s="163"/>
      <c r="BQ550" s="171"/>
      <c r="BR550" s="171"/>
      <c r="BS550" s="171"/>
      <c r="BT550" s="171"/>
      <c r="BU550" s="172"/>
      <c r="BV550" s="172"/>
      <c r="BW550" s="163"/>
      <c r="BX550" s="163"/>
      <c r="BY550" s="161"/>
      <c r="BZ550" s="163"/>
      <c r="CA550" s="163"/>
      <c r="CB550" s="154"/>
      <c r="CC550" s="154"/>
      <c r="CD550" s="173"/>
      <c r="CE550" s="174"/>
    </row>
    <row r="551" spans="2:83" ht="15.6" x14ac:dyDescent="0.3">
      <c r="B551" s="98"/>
      <c r="C551" s="175"/>
      <c r="D551" s="176"/>
      <c r="E551" s="176"/>
      <c r="F551" s="177"/>
      <c r="G551" s="177"/>
      <c r="H551" s="177"/>
      <c r="I551" s="178"/>
      <c r="J551" s="179"/>
      <c r="K551" s="179"/>
      <c r="L551" s="179"/>
      <c r="M551" s="179"/>
      <c r="N551" s="179"/>
      <c r="O551" s="180"/>
      <c r="P551" s="181"/>
      <c r="Q551" s="181"/>
      <c r="R551" s="182"/>
      <c r="S551" s="182"/>
      <c r="T551" s="183"/>
      <c r="U551" s="183"/>
      <c r="V551" s="182"/>
      <c r="W551" s="182"/>
      <c r="X551" s="182"/>
      <c r="Y551" s="182"/>
      <c r="Z551" s="184" t="str">
        <f>IFERROR(INDEX(Base!G:G,MATCH('Debêntures IPCA-Spread'!Y551,Base!F:F,0)),"")</f>
        <v/>
      </c>
      <c r="AA551" s="115"/>
      <c r="AB551" s="185"/>
      <c r="AC551" s="186"/>
      <c r="AD551" s="187" t="str">
        <f t="shared" si="21"/>
        <v/>
      </c>
      <c r="AE551" s="188"/>
      <c r="AF551" s="189"/>
      <c r="AG551" s="189"/>
      <c r="AH551" s="190"/>
      <c r="AI551" s="190"/>
      <c r="AJ551" s="191" t="str">
        <f t="shared" si="33"/>
        <v/>
      </c>
      <c r="AK551" s="192"/>
      <c r="AL551" s="193"/>
      <c r="AM551" s="194"/>
      <c r="AN551" s="115"/>
      <c r="AO551" s="195"/>
      <c r="AP551" s="196" t="str">
        <f t="shared" si="22"/>
        <v/>
      </c>
      <c r="AQ551" s="196"/>
      <c r="AR551" s="196" t="str">
        <f t="shared" si="23"/>
        <v/>
      </c>
      <c r="AS551" s="196"/>
      <c r="AT551" s="196" t="str">
        <f t="shared" si="24"/>
        <v/>
      </c>
      <c r="AU551" s="196"/>
      <c r="AV551" s="196" t="str">
        <f t="shared" si="25"/>
        <v/>
      </c>
      <c r="AW551" s="196"/>
      <c r="AX551" s="196" t="str">
        <f t="shared" si="26"/>
        <v/>
      </c>
      <c r="AY551" s="196"/>
      <c r="AZ551" s="196" t="str">
        <f t="shared" si="27"/>
        <v/>
      </c>
      <c r="BA551" s="196"/>
      <c r="BB551" s="196" t="str">
        <f t="shared" si="28"/>
        <v/>
      </c>
      <c r="BC551" s="196"/>
      <c r="BD551" s="196" t="str">
        <f t="shared" si="29"/>
        <v/>
      </c>
      <c r="BE551" s="196"/>
      <c r="BF551" s="196" t="str">
        <f t="shared" si="30"/>
        <v/>
      </c>
      <c r="BG551" s="196"/>
      <c r="BH551" s="196" t="str">
        <f t="shared" si="31"/>
        <v/>
      </c>
      <c r="BI551" s="196"/>
      <c r="BJ551" s="196" t="str">
        <f t="shared" si="32"/>
        <v/>
      </c>
      <c r="BK551" s="197"/>
      <c r="BL551" s="115"/>
      <c r="BM551" s="198"/>
      <c r="BN551" s="191"/>
      <c r="BO551" s="191"/>
      <c r="BP551" s="191"/>
      <c r="BQ551" s="199"/>
      <c r="BR551" s="199"/>
      <c r="BS551" s="199"/>
      <c r="BT551" s="199"/>
      <c r="BU551" s="200"/>
      <c r="BV551" s="200"/>
      <c r="BW551" s="191"/>
      <c r="BX551" s="191"/>
      <c r="BY551" s="189"/>
      <c r="BZ551" s="191"/>
      <c r="CA551" s="191"/>
      <c r="CB551" s="182"/>
      <c r="CC551" s="182"/>
      <c r="CD551" s="201"/>
      <c r="CE551" s="202"/>
    </row>
    <row r="552" spans="2:83" ht="15.6" x14ac:dyDescent="0.3">
      <c r="B552" s="110"/>
      <c r="C552" s="147"/>
      <c r="D552" s="148"/>
      <c r="E552" s="148"/>
      <c r="F552" s="149"/>
      <c r="G552" s="149"/>
      <c r="H552" s="149"/>
      <c r="I552" s="150"/>
      <c r="J552" s="151"/>
      <c r="K552" s="151"/>
      <c r="L552" s="151"/>
      <c r="M552" s="151"/>
      <c r="N552" s="151"/>
      <c r="O552" s="152"/>
      <c r="P552" s="153"/>
      <c r="Q552" s="153"/>
      <c r="R552" s="154"/>
      <c r="S552" s="154"/>
      <c r="T552" s="155"/>
      <c r="U552" s="155"/>
      <c r="V552" s="154"/>
      <c r="W552" s="154"/>
      <c r="X552" s="154"/>
      <c r="Y552" s="154"/>
      <c r="Z552" s="156" t="str">
        <f>IFERROR(INDEX(Base!G:G,MATCH('Debêntures IPCA-Spread'!Y552,Base!F:F,0)),"")</f>
        <v/>
      </c>
      <c r="AA552" s="115"/>
      <c r="AB552" s="157"/>
      <c r="AC552" s="158"/>
      <c r="AD552" s="159" t="str">
        <f t="shared" si="21"/>
        <v/>
      </c>
      <c r="AE552" s="160"/>
      <c r="AF552" s="161"/>
      <c r="AG552" s="161"/>
      <c r="AH552" s="162"/>
      <c r="AI552" s="162"/>
      <c r="AJ552" s="163" t="str">
        <f t="shared" si="33"/>
        <v/>
      </c>
      <c r="AK552" s="164"/>
      <c r="AL552" s="165"/>
      <c r="AM552" s="166"/>
      <c r="AN552" s="115"/>
      <c r="AO552" s="167"/>
      <c r="AP552" s="168" t="str">
        <f t="shared" si="22"/>
        <v/>
      </c>
      <c r="AQ552" s="168"/>
      <c r="AR552" s="168" t="str">
        <f t="shared" si="23"/>
        <v/>
      </c>
      <c r="AS552" s="168"/>
      <c r="AT552" s="168" t="str">
        <f t="shared" si="24"/>
        <v/>
      </c>
      <c r="AU552" s="168"/>
      <c r="AV552" s="168" t="str">
        <f t="shared" si="25"/>
        <v/>
      </c>
      <c r="AW552" s="168"/>
      <c r="AX552" s="168" t="str">
        <f t="shared" si="26"/>
        <v/>
      </c>
      <c r="AY552" s="168"/>
      <c r="AZ552" s="168" t="str">
        <f t="shared" si="27"/>
        <v/>
      </c>
      <c r="BA552" s="168"/>
      <c r="BB552" s="168" t="str">
        <f t="shared" si="28"/>
        <v/>
      </c>
      <c r="BC552" s="168"/>
      <c r="BD552" s="168" t="str">
        <f t="shared" si="29"/>
        <v/>
      </c>
      <c r="BE552" s="168"/>
      <c r="BF552" s="168" t="str">
        <f t="shared" si="30"/>
        <v/>
      </c>
      <c r="BG552" s="168"/>
      <c r="BH552" s="168" t="str">
        <f t="shared" si="31"/>
        <v/>
      </c>
      <c r="BI552" s="168"/>
      <c r="BJ552" s="168" t="str">
        <f t="shared" si="32"/>
        <v/>
      </c>
      <c r="BK552" s="169"/>
      <c r="BL552" s="115"/>
      <c r="BM552" s="170"/>
      <c r="BN552" s="163"/>
      <c r="BO552" s="163"/>
      <c r="BP552" s="163"/>
      <c r="BQ552" s="171"/>
      <c r="BR552" s="171"/>
      <c r="BS552" s="171"/>
      <c r="BT552" s="171"/>
      <c r="BU552" s="172"/>
      <c r="BV552" s="172"/>
      <c r="BW552" s="163"/>
      <c r="BX552" s="163"/>
      <c r="BY552" s="161"/>
      <c r="BZ552" s="163"/>
      <c r="CA552" s="163"/>
      <c r="CB552" s="154"/>
      <c r="CC552" s="154"/>
      <c r="CD552" s="173"/>
      <c r="CE552" s="174"/>
    </row>
    <row r="553" spans="2:83" ht="15.6" x14ac:dyDescent="0.3">
      <c r="B553" s="98"/>
      <c r="C553" s="175"/>
      <c r="D553" s="176"/>
      <c r="E553" s="176"/>
      <c r="F553" s="177"/>
      <c r="G553" s="177"/>
      <c r="H553" s="177"/>
      <c r="I553" s="178"/>
      <c r="J553" s="179"/>
      <c r="K553" s="179"/>
      <c r="L553" s="179"/>
      <c r="M553" s="179"/>
      <c r="N553" s="179"/>
      <c r="O553" s="180"/>
      <c r="P553" s="181"/>
      <c r="Q553" s="181"/>
      <c r="R553" s="182"/>
      <c r="S553" s="182"/>
      <c r="T553" s="183"/>
      <c r="U553" s="183"/>
      <c r="V553" s="182"/>
      <c r="W553" s="182"/>
      <c r="X553" s="182"/>
      <c r="Y553" s="182"/>
      <c r="Z553" s="184" t="str">
        <f>IFERROR(INDEX(Base!G:G,MATCH('Debêntures IPCA-Spread'!Y553,Base!F:F,0)),"")</f>
        <v/>
      </c>
      <c r="AA553" s="115"/>
      <c r="AB553" s="185"/>
      <c r="AC553" s="186"/>
      <c r="AD553" s="187" t="str">
        <f t="shared" ref="AD553:AD569" si="34">IF(AND(Z553&lt;&gt;"",AC553&lt;&gt;""),AC553-Z553,"")</f>
        <v/>
      </c>
      <c r="AE553" s="188"/>
      <c r="AF553" s="189"/>
      <c r="AG553" s="189"/>
      <c r="AH553" s="190"/>
      <c r="AI553" s="190"/>
      <c r="AJ553" s="191" t="str">
        <f t="shared" si="33"/>
        <v/>
      </c>
      <c r="AK553" s="192"/>
      <c r="AL553" s="193"/>
      <c r="AM553" s="194"/>
      <c r="AN553" s="115"/>
      <c r="AO553" s="195"/>
      <c r="AP553" s="196" t="str">
        <f t="shared" si="22"/>
        <v/>
      </c>
      <c r="AQ553" s="196"/>
      <c r="AR553" s="196" t="str">
        <f t="shared" si="23"/>
        <v/>
      </c>
      <c r="AS553" s="196"/>
      <c r="AT553" s="196" t="str">
        <f t="shared" si="24"/>
        <v/>
      </c>
      <c r="AU553" s="196"/>
      <c r="AV553" s="196" t="str">
        <f t="shared" si="25"/>
        <v/>
      </c>
      <c r="AW553" s="196"/>
      <c r="AX553" s="196" t="str">
        <f t="shared" si="26"/>
        <v/>
      </c>
      <c r="AY553" s="196"/>
      <c r="AZ553" s="196" t="str">
        <f t="shared" si="27"/>
        <v/>
      </c>
      <c r="BA553" s="196"/>
      <c r="BB553" s="196" t="str">
        <f t="shared" si="28"/>
        <v/>
      </c>
      <c r="BC553" s="196"/>
      <c r="BD553" s="196" t="str">
        <f t="shared" si="29"/>
        <v/>
      </c>
      <c r="BE553" s="196"/>
      <c r="BF553" s="196" t="str">
        <f t="shared" si="30"/>
        <v/>
      </c>
      <c r="BG553" s="196"/>
      <c r="BH553" s="196" t="str">
        <f t="shared" si="31"/>
        <v/>
      </c>
      <c r="BI553" s="196"/>
      <c r="BJ553" s="196" t="str">
        <f t="shared" si="32"/>
        <v/>
      </c>
      <c r="BK553" s="197"/>
      <c r="BL553" s="115"/>
      <c r="BM553" s="198"/>
      <c r="BN553" s="191"/>
      <c r="BO553" s="191"/>
      <c r="BP553" s="191"/>
      <c r="BQ553" s="199"/>
      <c r="BR553" s="199"/>
      <c r="BS553" s="199"/>
      <c r="BT553" s="199"/>
      <c r="BU553" s="200"/>
      <c r="BV553" s="200"/>
      <c r="BW553" s="191"/>
      <c r="BX553" s="191"/>
      <c r="BY553" s="189"/>
      <c r="BZ553" s="191"/>
      <c r="CA553" s="191"/>
      <c r="CB553" s="182"/>
      <c r="CC553" s="182"/>
      <c r="CD553" s="201"/>
      <c r="CE553" s="202"/>
    </row>
    <row r="554" spans="2:83" ht="15.6" x14ac:dyDescent="0.3">
      <c r="B554" s="110"/>
      <c r="C554" s="147"/>
      <c r="D554" s="148"/>
      <c r="E554" s="148"/>
      <c r="F554" s="149"/>
      <c r="G554" s="149"/>
      <c r="H554" s="149"/>
      <c r="I554" s="150"/>
      <c r="J554" s="151"/>
      <c r="K554" s="151"/>
      <c r="L554" s="151"/>
      <c r="M554" s="151"/>
      <c r="N554" s="151"/>
      <c r="O554" s="152"/>
      <c r="P554" s="153"/>
      <c r="Q554" s="153"/>
      <c r="R554" s="154"/>
      <c r="S554" s="154"/>
      <c r="T554" s="155"/>
      <c r="U554" s="155"/>
      <c r="V554" s="154"/>
      <c r="W554" s="154"/>
      <c r="X554" s="154"/>
      <c r="Y554" s="154"/>
      <c r="Z554" s="156" t="str">
        <f>IFERROR(INDEX(Base!G:G,MATCH('Debêntures IPCA-Spread'!Y554,Base!F:F,0)),"")</f>
        <v/>
      </c>
      <c r="AA554" s="115"/>
      <c r="AB554" s="157"/>
      <c r="AC554" s="158"/>
      <c r="AD554" s="159" t="str">
        <f t="shared" si="34"/>
        <v/>
      </c>
      <c r="AE554" s="160"/>
      <c r="AF554" s="161"/>
      <c r="AG554" s="161"/>
      <c r="AH554" s="162"/>
      <c r="AI554" s="162"/>
      <c r="AJ554" s="163" t="str">
        <f t="shared" si="33"/>
        <v/>
      </c>
      <c r="AK554" s="164"/>
      <c r="AL554" s="165"/>
      <c r="AM554" s="166"/>
      <c r="AN554" s="115"/>
      <c r="AO554" s="167"/>
      <c r="AP554" s="168" t="str">
        <f t="shared" si="22"/>
        <v/>
      </c>
      <c r="AQ554" s="168"/>
      <c r="AR554" s="168" t="str">
        <f t="shared" si="23"/>
        <v/>
      </c>
      <c r="AS554" s="168"/>
      <c r="AT554" s="168" t="str">
        <f t="shared" si="24"/>
        <v/>
      </c>
      <c r="AU554" s="168"/>
      <c r="AV554" s="168" t="str">
        <f t="shared" si="25"/>
        <v/>
      </c>
      <c r="AW554" s="168"/>
      <c r="AX554" s="168" t="str">
        <f t="shared" si="26"/>
        <v/>
      </c>
      <c r="AY554" s="168"/>
      <c r="AZ554" s="168" t="str">
        <f t="shared" si="27"/>
        <v/>
      </c>
      <c r="BA554" s="168"/>
      <c r="BB554" s="168" t="str">
        <f t="shared" si="28"/>
        <v/>
      </c>
      <c r="BC554" s="168"/>
      <c r="BD554" s="168" t="str">
        <f t="shared" si="29"/>
        <v/>
      </c>
      <c r="BE554" s="168"/>
      <c r="BF554" s="168" t="str">
        <f t="shared" si="30"/>
        <v/>
      </c>
      <c r="BG554" s="168"/>
      <c r="BH554" s="168" t="str">
        <f t="shared" si="31"/>
        <v/>
      </c>
      <c r="BI554" s="168"/>
      <c r="BJ554" s="168" t="str">
        <f t="shared" si="32"/>
        <v/>
      </c>
      <c r="BK554" s="169"/>
      <c r="BL554" s="115"/>
      <c r="BM554" s="170"/>
      <c r="BN554" s="163"/>
      <c r="BO554" s="163"/>
      <c r="BP554" s="163"/>
      <c r="BQ554" s="171"/>
      <c r="BR554" s="171"/>
      <c r="BS554" s="171"/>
      <c r="BT554" s="171"/>
      <c r="BU554" s="172"/>
      <c r="BV554" s="172"/>
      <c r="BW554" s="163"/>
      <c r="BX554" s="163"/>
      <c r="BY554" s="161"/>
      <c r="BZ554" s="163"/>
      <c r="CA554" s="163"/>
      <c r="CB554" s="154"/>
      <c r="CC554" s="154"/>
      <c r="CD554" s="173"/>
      <c r="CE554" s="174"/>
    </row>
    <row r="555" spans="2:83" ht="15.6" x14ac:dyDescent="0.3">
      <c r="B555" s="98"/>
      <c r="C555" s="175"/>
      <c r="D555" s="176"/>
      <c r="E555" s="176"/>
      <c r="F555" s="177"/>
      <c r="G555" s="177"/>
      <c r="H555" s="177"/>
      <c r="I555" s="178"/>
      <c r="J555" s="179"/>
      <c r="K555" s="179"/>
      <c r="L555" s="179"/>
      <c r="M555" s="179"/>
      <c r="N555" s="179"/>
      <c r="O555" s="180"/>
      <c r="P555" s="181"/>
      <c r="Q555" s="181"/>
      <c r="R555" s="182"/>
      <c r="S555" s="182"/>
      <c r="T555" s="183"/>
      <c r="U555" s="183"/>
      <c r="V555" s="182"/>
      <c r="W555" s="182"/>
      <c r="X555" s="182"/>
      <c r="Y555" s="182"/>
      <c r="Z555" s="184" t="str">
        <f>IFERROR(INDEX(Base!G:G,MATCH('Debêntures IPCA-Spread'!Y555,Base!F:F,0)),"")</f>
        <v/>
      </c>
      <c r="AA555" s="115"/>
      <c r="AB555" s="185"/>
      <c r="AC555" s="186"/>
      <c r="AD555" s="187" t="str">
        <f t="shared" si="34"/>
        <v/>
      </c>
      <c r="AE555" s="188"/>
      <c r="AF555" s="189"/>
      <c r="AG555" s="189"/>
      <c r="AH555" s="190"/>
      <c r="AI555" s="190"/>
      <c r="AJ555" s="191" t="str">
        <f t="shared" si="33"/>
        <v/>
      </c>
      <c r="AK555" s="192"/>
      <c r="AL555" s="193"/>
      <c r="AM555" s="194"/>
      <c r="AN555" s="115"/>
      <c r="AO555" s="195"/>
      <c r="AP555" s="196" t="str">
        <f t="shared" si="22"/>
        <v/>
      </c>
      <c r="AQ555" s="196"/>
      <c r="AR555" s="196" t="str">
        <f t="shared" si="23"/>
        <v/>
      </c>
      <c r="AS555" s="196"/>
      <c r="AT555" s="196" t="str">
        <f t="shared" si="24"/>
        <v/>
      </c>
      <c r="AU555" s="196"/>
      <c r="AV555" s="196" t="str">
        <f t="shared" si="25"/>
        <v/>
      </c>
      <c r="AW555" s="196"/>
      <c r="AX555" s="196" t="str">
        <f t="shared" si="26"/>
        <v/>
      </c>
      <c r="AY555" s="196"/>
      <c r="AZ555" s="196" t="str">
        <f t="shared" si="27"/>
        <v/>
      </c>
      <c r="BA555" s="196"/>
      <c r="BB555" s="196" t="str">
        <f t="shared" si="28"/>
        <v/>
      </c>
      <c r="BC555" s="196"/>
      <c r="BD555" s="196" t="str">
        <f t="shared" si="29"/>
        <v/>
      </c>
      <c r="BE555" s="196"/>
      <c r="BF555" s="196" t="str">
        <f t="shared" si="30"/>
        <v/>
      </c>
      <c r="BG555" s="196"/>
      <c r="BH555" s="196" t="str">
        <f t="shared" si="31"/>
        <v/>
      </c>
      <c r="BI555" s="196"/>
      <c r="BJ555" s="196" t="str">
        <f t="shared" si="32"/>
        <v/>
      </c>
      <c r="BK555" s="197"/>
      <c r="BL555" s="115"/>
      <c r="BM555" s="198"/>
      <c r="BN555" s="191"/>
      <c r="BO555" s="191"/>
      <c r="BP555" s="191"/>
      <c r="BQ555" s="199"/>
      <c r="BR555" s="199"/>
      <c r="BS555" s="199"/>
      <c r="BT555" s="199"/>
      <c r="BU555" s="200"/>
      <c r="BV555" s="200"/>
      <c r="BW555" s="191"/>
      <c r="BX555" s="191"/>
      <c r="BY555" s="189"/>
      <c r="BZ555" s="191"/>
      <c r="CA555" s="191"/>
      <c r="CB555" s="182"/>
      <c r="CC555" s="182"/>
      <c r="CD555" s="201"/>
      <c r="CE555" s="202"/>
    </row>
    <row r="556" spans="2:83" ht="15.6" x14ac:dyDescent="0.3">
      <c r="B556" s="110"/>
      <c r="C556" s="147"/>
      <c r="D556" s="148"/>
      <c r="E556" s="148"/>
      <c r="F556" s="149"/>
      <c r="G556" s="149"/>
      <c r="H556" s="149"/>
      <c r="I556" s="150"/>
      <c r="J556" s="151"/>
      <c r="K556" s="151"/>
      <c r="L556" s="151"/>
      <c r="M556" s="151"/>
      <c r="N556" s="151"/>
      <c r="O556" s="152"/>
      <c r="P556" s="153"/>
      <c r="Q556" s="153"/>
      <c r="R556" s="154"/>
      <c r="S556" s="154"/>
      <c r="T556" s="155"/>
      <c r="U556" s="155"/>
      <c r="V556" s="154"/>
      <c r="W556" s="154"/>
      <c r="X556" s="154"/>
      <c r="Y556" s="154"/>
      <c r="Z556" s="156" t="str">
        <f>IFERROR(INDEX(Base!G:G,MATCH('Debêntures IPCA-Spread'!Y556,Base!F:F,0)),"")</f>
        <v/>
      </c>
      <c r="AA556" s="115"/>
      <c r="AB556" s="157"/>
      <c r="AC556" s="158"/>
      <c r="AD556" s="159" t="str">
        <f t="shared" si="34"/>
        <v/>
      </c>
      <c r="AE556" s="160"/>
      <c r="AF556" s="161"/>
      <c r="AG556" s="161"/>
      <c r="AH556" s="162"/>
      <c r="AI556" s="162"/>
      <c r="AJ556" s="163" t="str">
        <f t="shared" si="33"/>
        <v/>
      </c>
      <c r="AK556" s="164"/>
      <c r="AL556" s="165"/>
      <c r="AM556" s="166"/>
      <c r="AN556" s="115"/>
      <c r="AO556" s="167"/>
      <c r="AP556" s="168" t="str">
        <f t="shared" si="22"/>
        <v/>
      </c>
      <c r="AQ556" s="168"/>
      <c r="AR556" s="168" t="str">
        <f t="shared" si="23"/>
        <v/>
      </c>
      <c r="AS556" s="168"/>
      <c r="AT556" s="168" t="str">
        <f t="shared" si="24"/>
        <v/>
      </c>
      <c r="AU556" s="168"/>
      <c r="AV556" s="168" t="str">
        <f t="shared" si="25"/>
        <v/>
      </c>
      <c r="AW556" s="168"/>
      <c r="AX556" s="168" t="str">
        <f t="shared" si="26"/>
        <v/>
      </c>
      <c r="AY556" s="168"/>
      <c r="AZ556" s="168" t="str">
        <f t="shared" si="27"/>
        <v/>
      </c>
      <c r="BA556" s="168"/>
      <c r="BB556" s="168" t="str">
        <f t="shared" si="28"/>
        <v/>
      </c>
      <c r="BC556" s="168"/>
      <c r="BD556" s="168" t="str">
        <f t="shared" si="29"/>
        <v/>
      </c>
      <c r="BE556" s="168"/>
      <c r="BF556" s="168" t="str">
        <f t="shared" si="30"/>
        <v/>
      </c>
      <c r="BG556" s="168"/>
      <c r="BH556" s="168" t="str">
        <f t="shared" si="31"/>
        <v/>
      </c>
      <c r="BI556" s="168"/>
      <c r="BJ556" s="168" t="str">
        <f t="shared" si="32"/>
        <v/>
      </c>
      <c r="BK556" s="169"/>
      <c r="BL556" s="115"/>
      <c r="BM556" s="170"/>
      <c r="BN556" s="163"/>
      <c r="BO556" s="163"/>
      <c r="BP556" s="163"/>
      <c r="BQ556" s="171"/>
      <c r="BR556" s="171"/>
      <c r="BS556" s="171"/>
      <c r="BT556" s="171"/>
      <c r="BU556" s="172"/>
      <c r="BV556" s="172"/>
      <c r="BW556" s="163"/>
      <c r="BX556" s="163"/>
      <c r="BY556" s="161"/>
      <c r="BZ556" s="163"/>
      <c r="CA556" s="163"/>
      <c r="CB556" s="154"/>
      <c r="CC556" s="154"/>
      <c r="CD556" s="173"/>
      <c r="CE556" s="174"/>
    </row>
    <row r="557" spans="2:83" ht="15.6" x14ac:dyDescent="0.3">
      <c r="B557" s="98"/>
      <c r="C557" s="175"/>
      <c r="D557" s="176"/>
      <c r="E557" s="176"/>
      <c r="F557" s="177"/>
      <c r="G557" s="177"/>
      <c r="H557" s="177"/>
      <c r="I557" s="178"/>
      <c r="J557" s="179"/>
      <c r="K557" s="179"/>
      <c r="L557" s="179"/>
      <c r="M557" s="179"/>
      <c r="N557" s="179"/>
      <c r="O557" s="180"/>
      <c r="P557" s="181"/>
      <c r="Q557" s="181"/>
      <c r="R557" s="182"/>
      <c r="S557" s="182"/>
      <c r="T557" s="183"/>
      <c r="U557" s="183"/>
      <c r="V557" s="182"/>
      <c r="W557" s="182"/>
      <c r="X557" s="182"/>
      <c r="Y557" s="182"/>
      <c r="Z557" s="184" t="str">
        <f>IFERROR(INDEX(Base!G:G,MATCH('Debêntures IPCA-Spread'!Y557,Base!F:F,0)),"")</f>
        <v/>
      </c>
      <c r="AA557" s="115"/>
      <c r="AB557" s="185"/>
      <c r="AC557" s="186"/>
      <c r="AD557" s="187" t="str">
        <f t="shared" si="34"/>
        <v/>
      </c>
      <c r="AE557" s="188"/>
      <c r="AF557" s="189"/>
      <c r="AG557" s="189"/>
      <c r="AH557" s="190"/>
      <c r="AI557" s="190"/>
      <c r="AJ557" s="191" t="str">
        <f t="shared" si="33"/>
        <v/>
      </c>
      <c r="AK557" s="192"/>
      <c r="AL557" s="193"/>
      <c r="AM557" s="194"/>
      <c r="AN557" s="115"/>
      <c r="AO557" s="195"/>
      <c r="AP557" s="196" t="str">
        <f t="shared" si="22"/>
        <v/>
      </c>
      <c r="AQ557" s="196"/>
      <c r="AR557" s="196" t="str">
        <f t="shared" si="23"/>
        <v/>
      </c>
      <c r="AS557" s="196"/>
      <c r="AT557" s="196" t="str">
        <f t="shared" si="24"/>
        <v/>
      </c>
      <c r="AU557" s="196"/>
      <c r="AV557" s="196" t="str">
        <f t="shared" si="25"/>
        <v/>
      </c>
      <c r="AW557" s="196"/>
      <c r="AX557" s="196" t="str">
        <f t="shared" si="26"/>
        <v/>
      </c>
      <c r="AY557" s="196"/>
      <c r="AZ557" s="196" t="str">
        <f t="shared" si="27"/>
        <v/>
      </c>
      <c r="BA557" s="196"/>
      <c r="BB557" s="196" t="str">
        <f t="shared" si="28"/>
        <v/>
      </c>
      <c r="BC557" s="196"/>
      <c r="BD557" s="196" t="str">
        <f t="shared" si="29"/>
        <v/>
      </c>
      <c r="BE557" s="196"/>
      <c r="BF557" s="196" t="str">
        <f t="shared" si="30"/>
        <v/>
      </c>
      <c r="BG557" s="196"/>
      <c r="BH557" s="196" t="str">
        <f t="shared" si="31"/>
        <v/>
      </c>
      <c r="BI557" s="196"/>
      <c r="BJ557" s="196" t="str">
        <f t="shared" si="32"/>
        <v/>
      </c>
      <c r="BK557" s="197"/>
      <c r="BL557" s="115"/>
      <c r="BM557" s="198"/>
      <c r="BN557" s="191"/>
      <c r="BO557" s="191"/>
      <c r="BP557" s="191"/>
      <c r="BQ557" s="199"/>
      <c r="BR557" s="199"/>
      <c r="BS557" s="199"/>
      <c r="BT557" s="199"/>
      <c r="BU557" s="200"/>
      <c r="BV557" s="200"/>
      <c r="BW557" s="191"/>
      <c r="BX557" s="191"/>
      <c r="BY557" s="189"/>
      <c r="BZ557" s="191"/>
      <c r="CA557" s="191"/>
      <c r="CB557" s="182"/>
      <c r="CC557" s="182"/>
      <c r="CD557" s="201"/>
      <c r="CE557" s="202"/>
    </row>
    <row r="558" spans="2:83" ht="15.6" x14ac:dyDescent="0.3">
      <c r="B558" s="110"/>
      <c r="C558" s="147"/>
      <c r="D558" s="148"/>
      <c r="E558" s="148"/>
      <c r="F558" s="149"/>
      <c r="G558" s="149"/>
      <c r="H558" s="149"/>
      <c r="I558" s="150"/>
      <c r="J558" s="151"/>
      <c r="K558" s="151"/>
      <c r="L558" s="151"/>
      <c r="M558" s="151"/>
      <c r="N558" s="151"/>
      <c r="O558" s="152"/>
      <c r="P558" s="153"/>
      <c r="Q558" s="153"/>
      <c r="R558" s="154"/>
      <c r="S558" s="154"/>
      <c r="T558" s="155"/>
      <c r="U558" s="155"/>
      <c r="V558" s="154"/>
      <c r="W558" s="154"/>
      <c r="X558" s="154"/>
      <c r="Y558" s="154"/>
      <c r="Z558" s="156" t="str">
        <f>IFERROR(INDEX(Base!G:G,MATCH('Debêntures IPCA-Spread'!Y558,Base!F:F,0)),"")</f>
        <v/>
      </c>
      <c r="AA558" s="115"/>
      <c r="AB558" s="157"/>
      <c r="AC558" s="158"/>
      <c r="AD558" s="159" t="str">
        <f t="shared" si="34"/>
        <v/>
      </c>
      <c r="AE558" s="160"/>
      <c r="AF558" s="161"/>
      <c r="AG558" s="161"/>
      <c r="AH558" s="162"/>
      <c r="AI558" s="162"/>
      <c r="AJ558" s="163" t="str">
        <f t="shared" si="33"/>
        <v/>
      </c>
      <c r="AK558" s="164"/>
      <c r="AL558" s="165"/>
      <c r="AM558" s="166"/>
      <c r="AN558" s="115"/>
      <c r="AO558" s="167"/>
      <c r="AP558" s="168" t="str">
        <f t="shared" si="22"/>
        <v/>
      </c>
      <c r="AQ558" s="168"/>
      <c r="AR558" s="168" t="str">
        <f t="shared" si="23"/>
        <v/>
      </c>
      <c r="AS558" s="168"/>
      <c r="AT558" s="168" t="str">
        <f t="shared" si="24"/>
        <v/>
      </c>
      <c r="AU558" s="168"/>
      <c r="AV558" s="168" t="str">
        <f t="shared" si="25"/>
        <v/>
      </c>
      <c r="AW558" s="168"/>
      <c r="AX558" s="168" t="str">
        <f t="shared" si="26"/>
        <v/>
      </c>
      <c r="AY558" s="168"/>
      <c r="AZ558" s="168" t="str">
        <f t="shared" si="27"/>
        <v/>
      </c>
      <c r="BA558" s="168"/>
      <c r="BB558" s="168" t="str">
        <f t="shared" si="28"/>
        <v/>
      </c>
      <c r="BC558" s="168"/>
      <c r="BD558" s="168" t="str">
        <f t="shared" si="29"/>
        <v/>
      </c>
      <c r="BE558" s="168"/>
      <c r="BF558" s="168" t="str">
        <f t="shared" si="30"/>
        <v/>
      </c>
      <c r="BG558" s="168"/>
      <c r="BH558" s="168" t="str">
        <f t="shared" si="31"/>
        <v/>
      </c>
      <c r="BI558" s="168"/>
      <c r="BJ558" s="168" t="str">
        <f t="shared" si="32"/>
        <v/>
      </c>
      <c r="BK558" s="169"/>
      <c r="BL558" s="115"/>
      <c r="BM558" s="170"/>
      <c r="BN558" s="163"/>
      <c r="BO558" s="163"/>
      <c r="BP558" s="163"/>
      <c r="BQ558" s="171"/>
      <c r="BR558" s="171"/>
      <c r="BS558" s="171"/>
      <c r="BT558" s="171"/>
      <c r="BU558" s="172"/>
      <c r="BV558" s="172"/>
      <c r="BW558" s="163"/>
      <c r="BX558" s="163"/>
      <c r="BY558" s="161"/>
      <c r="BZ558" s="163"/>
      <c r="CA558" s="163"/>
      <c r="CB558" s="154"/>
      <c r="CC558" s="154"/>
      <c r="CD558" s="173"/>
      <c r="CE558" s="174"/>
    </row>
    <row r="559" spans="2:83" ht="15.6" x14ac:dyDescent="0.3">
      <c r="B559" s="98"/>
      <c r="C559" s="175"/>
      <c r="D559" s="176"/>
      <c r="E559" s="176"/>
      <c r="F559" s="177"/>
      <c r="G559" s="177"/>
      <c r="H559" s="177"/>
      <c r="I559" s="178"/>
      <c r="J559" s="179"/>
      <c r="K559" s="179"/>
      <c r="L559" s="179"/>
      <c r="M559" s="179"/>
      <c r="N559" s="179"/>
      <c r="O559" s="180"/>
      <c r="P559" s="181"/>
      <c r="Q559" s="181"/>
      <c r="R559" s="182"/>
      <c r="S559" s="182"/>
      <c r="T559" s="183"/>
      <c r="U559" s="183"/>
      <c r="V559" s="182"/>
      <c r="W559" s="182"/>
      <c r="X559" s="182"/>
      <c r="Y559" s="182"/>
      <c r="Z559" s="184" t="str">
        <f>IFERROR(INDEX(Base!G:G,MATCH('Debêntures IPCA-Spread'!Y559,Base!F:F,0)),"")</f>
        <v/>
      </c>
      <c r="AA559" s="115"/>
      <c r="AB559" s="185"/>
      <c r="AC559" s="186"/>
      <c r="AD559" s="187" t="str">
        <f t="shared" si="34"/>
        <v/>
      </c>
      <c r="AE559" s="188"/>
      <c r="AF559" s="189"/>
      <c r="AG559" s="189"/>
      <c r="AH559" s="190"/>
      <c r="AI559" s="190"/>
      <c r="AJ559" s="191" t="str">
        <f t="shared" si="33"/>
        <v/>
      </c>
      <c r="AK559" s="192"/>
      <c r="AL559" s="193"/>
      <c r="AM559" s="194"/>
      <c r="AN559" s="115"/>
      <c r="AO559" s="195"/>
      <c r="AP559" s="196" t="str">
        <f t="shared" si="22"/>
        <v/>
      </c>
      <c r="AQ559" s="196"/>
      <c r="AR559" s="196" t="str">
        <f t="shared" si="23"/>
        <v/>
      </c>
      <c r="AS559" s="196"/>
      <c r="AT559" s="196" t="str">
        <f t="shared" si="24"/>
        <v/>
      </c>
      <c r="AU559" s="196"/>
      <c r="AV559" s="196" t="str">
        <f t="shared" si="25"/>
        <v/>
      </c>
      <c r="AW559" s="196"/>
      <c r="AX559" s="196" t="str">
        <f t="shared" si="26"/>
        <v/>
      </c>
      <c r="AY559" s="196"/>
      <c r="AZ559" s="196" t="str">
        <f t="shared" si="27"/>
        <v/>
      </c>
      <c r="BA559" s="196"/>
      <c r="BB559" s="196" t="str">
        <f t="shared" si="28"/>
        <v/>
      </c>
      <c r="BC559" s="196"/>
      <c r="BD559" s="196" t="str">
        <f t="shared" si="29"/>
        <v/>
      </c>
      <c r="BE559" s="196"/>
      <c r="BF559" s="196" t="str">
        <f t="shared" si="30"/>
        <v/>
      </c>
      <c r="BG559" s="196"/>
      <c r="BH559" s="196" t="str">
        <f t="shared" si="31"/>
        <v/>
      </c>
      <c r="BI559" s="196"/>
      <c r="BJ559" s="196" t="str">
        <f t="shared" si="32"/>
        <v/>
      </c>
      <c r="BK559" s="197"/>
      <c r="BL559" s="115"/>
      <c r="BM559" s="198"/>
      <c r="BN559" s="191"/>
      <c r="BO559" s="191"/>
      <c r="BP559" s="191"/>
      <c r="BQ559" s="199"/>
      <c r="BR559" s="199"/>
      <c r="BS559" s="199"/>
      <c r="BT559" s="199"/>
      <c r="BU559" s="200"/>
      <c r="BV559" s="200"/>
      <c r="BW559" s="191"/>
      <c r="BX559" s="191"/>
      <c r="BY559" s="189"/>
      <c r="BZ559" s="191"/>
      <c r="CA559" s="191"/>
      <c r="CB559" s="182"/>
      <c r="CC559" s="182"/>
      <c r="CD559" s="201"/>
      <c r="CE559" s="202"/>
    </row>
    <row r="560" spans="2:83" ht="15.6" x14ac:dyDescent="0.3">
      <c r="B560" s="110"/>
      <c r="C560" s="147"/>
      <c r="D560" s="148"/>
      <c r="E560" s="148"/>
      <c r="F560" s="149"/>
      <c r="G560" s="149"/>
      <c r="H560" s="149"/>
      <c r="I560" s="150"/>
      <c r="J560" s="151"/>
      <c r="K560" s="151"/>
      <c r="L560" s="151"/>
      <c r="M560" s="151"/>
      <c r="N560" s="151"/>
      <c r="O560" s="152"/>
      <c r="P560" s="153"/>
      <c r="Q560" s="153"/>
      <c r="R560" s="154"/>
      <c r="S560" s="154"/>
      <c r="T560" s="155"/>
      <c r="U560" s="155"/>
      <c r="V560" s="154"/>
      <c r="W560" s="154"/>
      <c r="X560" s="154"/>
      <c r="Y560" s="154"/>
      <c r="Z560" s="156" t="str">
        <f>IFERROR(INDEX(Base!G:G,MATCH('Debêntures IPCA-Spread'!Y560,Base!F:F,0)),"")</f>
        <v/>
      </c>
      <c r="AA560" s="115"/>
      <c r="AB560" s="157"/>
      <c r="AC560" s="158"/>
      <c r="AD560" s="159" t="str">
        <f t="shared" si="34"/>
        <v/>
      </c>
      <c r="AE560" s="160"/>
      <c r="AF560" s="161"/>
      <c r="AG560" s="161"/>
      <c r="AH560" s="162"/>
      <c r="AI560" s="162"/>
      <c r="AJ560" s="163" t="str">
        <f t="shared" si="33"/>
        <v/>
      </c>
      <c r="AK560" s="164"/>
      <c r="AL560" s="165"/>
      <c r="AM560" s="166"/>
      <c r="AN560" s="115"/>
      <c r="AO560" s="167"/>
      <c r="AP560" s="168" t="str">
        <f t="shared" si="22"/>
        <v/>
      </c>
      <c r="AQ560" s="168"/>
      <c r="AR560" s="168" t="str">
        <f t="shared" si="23"/>
        <v/>
      </c>
      <c r="AS560" s="168"/>
      <c r="AT560" s="168" t="str">
        <f t="shared" si="24"/>
        <v/>
      </c>
      <c r="AU560" s="168"/>
      <c r="AV560" s="168" t="str">
        <f t="shared" si="25"/>
        <v/>
      </c>
      <c r="AW560" s="168"/>
      <c r="AX560" s="168" t="str">
        <f t="shared" si="26"/>
        <v/>
      </c>
      <c r="AY560" s="168"/>
      <c r="AZ560" s="168" t="str">
        <f t="shared" si="27"/>
        <v/>
      </c>
      <c r="BA560" s="168"/>
      <c r="BB560" s="168" t="str">
        <f t="shared" si="28"/>
        <v/>
      </c>
      <c r="BC560" s="168"/>
      <c r="BD560" s="168" t="str">
        <f t="shared" si="29"/>
        <v/>
      </c>
      <c r="BE560" s="168"/>
      <c r="BF560" s="168" t="str">
        <f t="shared" si="30"/>
        <v/>
      </c>
      <c r="BG560" s="168"/>
      <c r="BH560" s="168" t="str">
        <f t="shared" si="31"/>
        <v/>
      </c>
      <c r="BI560" s="168"/>
      <c r="BJ560" s="168" t="str">
        <f t="shared" si="32"/>
        <v/>
      </c>
      <c r="BK560" s="169"/>
      <c r="BL560" s="115"/>
      <c r="BM560" s="170"/>
      <c r="BN560" s="163"/>
      <c r="BO560" s="163"/>
      <c r="BP560" s="163"/>
      <c r="BQ560" s="171"/>
      <c r="BR560" s="171"/>
      <c r="BS560" s="171"/>
      <c r="BT560" s="171"/>
      <c r="BU560" s="172"/>
      <c r="BV560" s="172"/>
      <c r="BW560" s="163"/>
      <c r="BX560" s="163"/>
      <c r="BY560" s="161"/>
      <c r="BZ560" s="163"/>
      <c r="CA560" s="163"/>
      <c r="CB560" s="154"/>
      <c r="CC560" s="154"/>
      <c r="CD560" s="173"/>
      <c r="CE560" s="174"/>
    </row>
    <row r="561" spans="2:84" ht="15.6" x14ac:dyDescent="0.3">
      <c r="B561" s="98"/>
      <c r="C561" s="175"/>
      <c r="D561" s="176"/>
      <c r="E561" s="176"/>
      <c r="F561" s="177"/>
      <c r="G561" s="177"/>
      <c r="H561" s="177"/>
      <c r="I561" s="178"/>
      <c r="J561" s="179"/>
      <c r="K561" s="179"/>
      <c r="L561" s="179"/>
      <c r="M561" s="179"/>
      <c r="N561" s="179"/>
      <c r="O561" s="180"/>
      <c r="P561" s="181"/>
      <c r="Q561" s="181"/>
      <c r="R561" s="182"/>
      <c r="S561" s="182"/>
      <c r="T561" s="183"/>
      <c r="U561" s="183"/>
      <c r="V561" s="182"/>
      <c r="W561" s="182"/>
      <c r="X561" s="182"/>
      <c r="Y561" s="182"/>
      <c r="Z561" s="184" t="str">
        <f>IFERROR(INDEX(Base!G:G,MATCH('Debêntures IPCA-Spread'!Y561,Base!F:F,0)),"")</f>
        <v/>
      </c>
      <c r="AA561" s="115"/>
      <c r="AB561" s="185"/>
      <c r="AC561" s="186"/>
      <c r="AD561" s="187" t="str">
        <f t="shared" si="34"/>
        <v/>
      </c>
      <c r="AE561" s="188"/>
      <c r="AF561" s="189"/>
      <c r="AG561" s="189"/>
      <c r="AH561" s="190"/>
      <c r="AI561" s="190"/>
      <c r="AJ561" s="191" t="str">
        <f t="shared" si="33"/>
        <v/>
      </c>
      <c r="AK561" s="192"/>
      <c r="AL561" s="193"/>
      <c r="AM561" s="194"/>
      <c r="AN561" s="115"/>
      <c r="AO561" s="195"/>
      <c r="AP561" s="196" t="str">
        <f t="shared" si="22"/>
        <v/>
      </c>
      <c r="AQ561" s="196"/>
      <c r="AR561" s="196" t="str">
        <f t="shared" si="23"/>
        <v/>
      </c>
      <c r="AS561" s="196"/>
      <c r="AT561" s="196" t="str">
        <f t="shared" si="24"/>
        <v/>
      </c>
      <c r="AU561" s="196"/>
      <c r="AV561" s="196" t="str">
        <f t="shared" si="25"/>
        <v/>
      </c>
      <c r="AW561" s="196"/>
      <c r="AX561" s="196" t="str">
        <f t="shared" si="26"/>
        <v/>
      </c>
      <c r="AY561" s="196"/>
      <c r="AZ561" s="196" t="str">
        <f t="shared" si="27"/>
        <v/>
      </c>
      <c r="BA561" s="196"/>
      <c r="BB561" s="196" t="str">
        <f t="shared" si="28"/>
        <v/>
      </c>
      <c r="BC561" s="196"/>
      <c r="BD561" s="196" t="str">
        <f t="shared" si="29"/>
        <v/>
      </c>
      <c r="BE561" s="196"/>
      <c r="BF561" s="196" t="str">
        <f t="shared" si="30"/>
        <v/>
      </c>
      <c r="BG561" s="196"/>
      <c r="BH561" s="196" t="str">
        <f t="shared" si="31"/>
        <v/>
      </c>
      <c r="BI561" s="196"/>
      <c r="BJ561" s="196" t="str">
        <f t="shared" si="32"/>
        <v/>
      </c>
      <c r="BK561" s="197"/>
      <c r="BL561" s="115"/>
      <c r="BM561" s="198"/>
      <c r="BN561" s="191"/>
      <c r="BO561" s="191"/>
      <c r="BP561" s="191"/>
      <c r="BQ561" s="199"/>
      <c r="BR561" s="199"/>
      <c r="BS561" s="199"/>
      <c r="BT561" s="199"/>
      <c r="BU561" s="200"/>
      <c r="BV561" s="200"/>
      <c r="BW561" s="191"/>
      <c r="BX561" s="191"/>
      <c r="BY561" s="189"/>
      <c r="BZ561" s="191"/>
      <c r="CA561" s="191"/>
      <c r="CB561" s="182"/>
      <c r="CC561" s="182"/>
      <c r="CD561" s="201"/>
      <c r="CE561" s="202"/>
    </row>
    <row r="562" spans="2:84" ht="15.6" x14ac:dyDescent="0.3">
      <c r="B562" s="110"/>
      <c r="C562" s="147"/>
      <c r="D562" s="148"/>
      <c r="E562" s="148"/>
      <c r="F562" s="149"/>
      <c r="G562" s="149"/>
      <c r="H562" s="149"/>
      <c r="I562" s="150"/>
      <c r="J562" s="151"/>
      <c r="K562" s="151"/>
      <c r="L562" s="151"/>
      <c r="M562" s="151"/>
      <c r="N562" s="151"/>
      <c r="O562" s="152"/>
      <c r="P562" s="153"/>
      <c r="Q562" s="153"/>
      <c r="R562" s="154"/>
      <c r="S562" s="154"/>
      <c r="T562" s="155"/>
      <c r="U562" s="155"/>
      <c r="V562" s="154"/>
      <c r="W562" s="154"/>
      <c r="X562" s="154"/>
      <c r="Y562" s="154"/>
      <c r="Z562" s="156" t="str">
        <f>IFERROR(INDEX(Base!G:G,MATCH('Debêntures IPCA-Spread'!Y562,Base!F:F,0)),"")</f>
        <v/>
      </c>
      <c r="AA562" s="115"/>
      <c r="AB562" s="157"/>
      <c r="AC562" s="158"/>
      <c r="AD562" s="159" t="str">
        <f t="shared" si="34"/>
        <v/>
      </c>
      <c r="AE562" s="160"/>
      <c r="AF562" s="161"/>
      <c r="AG562" s="161"/>
      <c r="AH562" s="162"/>
      <c r="AI562" s="162"/>
      <c r="AJ562" s="163" t="str">
        <f t="shared" si="33"/>
        <v/>
      </c>
      <c r="AK562" s="164"/>
      <c r="AL562" s="165"/>
      <c r="AM562" s="166"/>
      <c r="AN562" s="115"/>
      <c r="AO562" s="167"/>
      <c r="AP562" s="168" t="str">
        <f t="shared" si="22"/>
        <v/>
      </c>
      <c r="AQ562" s="168"/>
      <c r="AR562" s="168" t="str">
        <f t="shared" si="23"/>
        <v/>
      </c>
      <c r="AS562" s="168"/>
      <c r="AT562" s="168" t="str">
        <f t="shared" si="24"/>
        <v/>
      </c>
      <c r="AU562" s="168"/>
      <c r="AV562" s="168" t="str">
        <f t="shared" si="25"/>
        <v/>
      </c>
      <c r="AW562" s="168"/>
      <c r="AX562" s="168" t="str">
        <f t="shared" si="26"/>
        <v/>
      </c>
      <c r="AY562" s="168"/>
      <c r="AZ562" s="168" t="str">
        <f t="shared" si="27"/>
        <v/>
      </c>
      <c r="BA562" s="168"/>
      <c r="BB562" s="168" t="str">
        <f t="shared" si="28"/>
        <v/>
      </c>
      <c r="BC562" s="168"/>
      <c r="BD562" s="168" t="str">
        <f t="shared" si="29"/>
        <v/>
      </c>
      <c r="BE562" s="168"/>
      <c r="BF562" s="168" t="str">
        <f t="shared" si="30"/>
        <v/>
      </c>
      <c r="BG562" s="168"/>
      <c r="BH562" s="168" t="str">
        <f t="shared" si="31"/>
        <v/>
      </c>
      <c r="BI562" s="168"/>
      <c r="BJ562" s="168" t="str">
        <f t="shared" si="32"/>
        <v/>
      </c>
      <c r="BK562" s="169"/>
      <c r="BL562" s="115"/>
      <c r="BM562" s="170"/>
      <c r="BN562" s="163"/>
      <c r="BO562" s="163"/>
      <c r="BP562" s="163"/>
      <c r="BQ562" s="171"/>
      <c r="BR562" s="171"/>
      <c r="BS562" s="171"/>
      <c r="BT562" s="171"/>
      <c r="BU562" s="172"/>
      <c r="BV562" s="172"/>
      <c r="BW562" s="163"/>
      <c r="BX562" s="163"/>
      <c r="BY562" s="161"/>
      <c r="BZ562" s="163"/>
      <c r="CA562" s="163"/>
      <c r="CB562" s="154"/>
      <c r="CC562" s="154"/>
      <c r="CD562" s="173"/>
      <c r="CE562" s="174"/>
    </row>
    <row r="563" spans="2:84" ht="15.6" x14ac:dyDescent="0.3">
      <c r="B563" s="98"/>
      <c r="C563" s="175"/>
      <c r="D563" s="176"/>
      <c r="E563" s="176"/>
      <c r="F563" s="177"/>
      <c r="G563" s="177"/>
      <c r="H563" s="177"/>
      <c r="I563" s="178"/>
      <c r="J563" s="179"/>
      <c r="K563" s="179"/>
      <c r="L563" s="179"/>
      <c r="M563" s="179"/>
      <c r="N563" s="179"/>
      <c r="O563" s="180"/>
      <c r="P563" s="181"/>
      <c r="Q563" s="181"/>
      <c r="R563" s="182"/>
      <c r="S563" s="182"/>
      <c r="T563" s="183"/>
      <c r="U563" s="183"/>
      <c r="V563" s="182"/>
      <c r="W563" s="182"/>
      <c r="X563" s="182"/>
      <c r="Y563" s="182"/>
      <c r="Z563" s="184" t="str">
        <f>IFERROR(INDEX(Base!G:G,MATCH('Debêntures IPCA-Spread'!Y563,Base!F:F,0)),"")</f>
        <v/>
      </c>
      <c r="AA563" s="115"/>
      <c r="AB563" s="185"/>
      <c r="AC563" s="186"/>
      <c r="AD563" s="187" t="str">
        <f t="shared" si="34"/>
        <v/>
      </c>
      <c r="AE563" s="188"/>
      <c r="AF563" s="189"/>
      <c r="AG563" s="189"/>
      <c r="AH563" s="190"/>
      <c r="AI563" s="190"/>
      <c r="AJ563" s="191" t="str">
        <f t="shared" si="33"/>
        <v/>
      </c>
      <c r="AK563" s="192"/>
      <c r="AL563" s="193"/>
      <c r="AM563" s="194"/>
      <c r="AN563" s="115"/>
      <c r="AO563" s="195"/>
      <c r="AP563" s="196" t="str">
        <f t="shared" ref="AP563:AP569" si="35">IF(AO563="","",AO563-AO$6)</f>
        <v/>
      </c>
      <c r="AQ563" s="196"/>
      <c r="AR563" s="196" t="str">
        <f t="shared" ref="AR563:AR569" si="36">IF(AQ563="","",AQ563-AQ$6)</f>
        <v/>
      </c>
      <c r="AS563" s="196"/>
      <c r="AT563" s="196" t="str">
        <f t="shared" ref="AT563:AT569" si="37">IF(AS563="","",AS563-AS$6)</f>
        <v/>
      </c>
      <c r="AU563" s="196"/>
      <c r="AV563" s="196" t="str">
        <f t="shared" ref="AV563:AV569" si="38">IF(AU563="","",AU563-AU$6)</f>
        <v/>
      </c>
      <c r="AW563" s="196"/>
      <c r="AX563" s="196" t="str">
        <f t="shared" ref="AX563:AX569" si="39">IF(AW563="","",AW563-AW$6)</f>
        <v/>
      </c>
      <c r="AY563" s="196"/>
      <c r="AZ563" s="196" t="str">
        <f t="shared" ref="AZ563:AZ569" si="40">IF(AY563="","",AY563-AY$6)</f>
        <v/>
      </c>
      <c r="BA563" s="196"/>
      <c r="BB563" s="196" t="str">
        <f t="shared" ref="BB563:BB569" si="41">IF(BA563="","",BA563-BA$6)</f>
        <v/>
      </c>
      <c r="BC563" s="196"/>
      <c r="BD563" s="196" t="str">
        <f t="shared" ref="BD563:BD569" si="42">IF(BC563="","",BC563-BC$6)</f>
        <v/>
      </c>
      <c r="BE563" s="196"/>
      <c r="BF563" s="196" t="str">
        <f t="shared" ref="BF563:BF569" si="43">IF(BE563="","",BE563-BE$6)</f>
        <v/>
      </c>
      <c r="BG563" s="196"/>
      <c r="BH563" s="196" t="str">
        <f t="shared" ref="BH563:BH569" si="44">IF(BG563="","",BG563-BG$6)</f>
        <v/>
      </c>
      <c r="BI563" s="196"/>
      <c r="BJ563" s="196" t="str">
        <f t="shared" ref="BJ563:BJ569" si="45">IF(BI563="","",BI563-BI$6)</f>
        <v/>
      </c>
      <c r="BK563" s="197"/>
      <c r="BL563" s="115"/>
      <c r="BM563" s="198"/>
      <c r="BN563" s="191"/>
      <c r="BO563" s="191"/>
      <c r="BP563" s="191"/>
      <c r="BQ563" s="199"/>
      <c r="BR563" s="199"/>
      <c r="BS563" s="199"/>
      <c r="BT563" s="199"/>
      <c r="BU563" s="200"/>
      <c r="BV563" s="200"/>
      <c r="BW563" s="191"/>
      <c r="BX563" s="191"/>
      <c r="BY563" s="189"/>
      <c r="BZ563" s="191"/>
      <c r="CA563" s="191"/>
      <c r="CB563" s="182"/>
      <c r="CC563" s="182"/>
      <c r="CD563" s="201"/>
      <c r="CE563" s="202"/>
    </row>
    <row r="564" spans="2:84" ht="15.6" x14ac:dyDescent="0.3">
      <c r="B564" s="110"/>
      <c r="C564" s="147"/>
      <c r="D564" s="148"/>
      <c r="E564" s="148"/>
      <c r="F564" s="149"/>
      <c r="G564" s="149"/>
      <c r="H564" s="149"/>
      <c r="I564" s="150"/>
      <c r="J564" s="151"/>
      <c r="K564" s="151"/>
      <c r="L564" s="151"/>
      <c r="M564" s="151"/>
      <c r="N564" s="151"/>
      <c r="O564" s="152"/>
      <c r="P564" s="153"/>
      <c r="Q564" s="153"/>
      <c r="R564" s="154"/>
      <c r="S564" s="154"/>
      <c r="T564" s="155"/>
      <c r="U564" s="155"/>
      <c r="V564" s="154"/>
      <c r="W564" s="154"/>
      <c r="X564" s="154"/>
      <c r="Y564" s="154"/>
      <c r="Z564" s="156" t="str">
        <f>IFERROR(INDEX(Base!G:G,MATCH('Debêntures IPCA-Spread'!Y564,Base!F:F,0)),"")</f>
        <v/>
      </c>
      <c r="AA564" s="115"/>
      <c r="AB564" s="157"/>
      <c r="AC564" s="158"/>
      <c r="AD564" s="159" t="str">
        <f t="shared" si="34"/>
        <v/>
      </c>
      <c r="AE564" s="160"/>
      <c r="AF564" s="161"/>
      <c r="AG564" s="161"/>
      <c r="AH564" s="162"/>
      <c r="AI564" s="162"/>
      <c r="AJ564" s="163" t="str">
        <f t="shared" si="33"/>
        <v/>
      </c>
      <c r="AK564" s="164"/>
      <c r="AL564" s="165"/>
      <c r="AM564" s="166"/>
      <c r="AN564" s="115"/>
      <c r="AO564" s="167"/>
      <c r="AP564" s="168" t="str">
        <f t="shared" si="35"/>
        <v/>
      </c>
      <c r="AQ564" s="168"/>
      <c r="AR564" s="168" t="str">
        <f t="shared" si="36"/>
        <v/>
      </c>
      <c r="AS564" s="168"/>
      <c r="AT564" s="168" t="str">
        <f t="shared" si="37"/>
        <v/>
      </c>
      <c r="AU564" s="168"/>
      <c r="AV564" s="168" t="str">
        <f t="shared" si="38"/>
        <v/>
      </c>
      <c r="AW564" s="168"/>
      <c r="AX564" s="168" t="str">
        <f t="shared" si="39"/>
        <v/>
      </c>
      <c r="AY564" s="168"/>
      <c r="AZ564" s="168" t="str">
        <f t="shared" si="40"/>
        <v/>
      </c>
      <c r="BA564" s="168"/>
      <c r="BB564" s="168" t="str">
        <f t="shared" si="41"/>
        <v/>
      </c>
      <c r="BC564" s="168"/>
      <c r="BD564" s="168" t="str">
        <f t="shared" si="42"/>
        <v/>
      </c>
      <c r="BE564" s="168"/>
      <c r="BF564" s="168" t="str">
        <f t="shared" si="43"/>
        <v/>
      </c>
      <c r="BG564" s="168"/>
      <c r="BH564" s="168" t="str">
        <f t="shared" si="44"/>
        <v/>
      </c>
      <c r="BI564" s="168"/>
      <c r="BJ564" s="168" t="str">
        <f t="shared" si="45"/>
        <v/>
      </c>
      <c r="BK564" s="169"/>
      <c r="BL564" s="115"/>
      <c r="BM564" s="170"/>
      <c r="BN564" s="163"/>
      <c r="BO564" s="163"/>
      <c r="BP564" s="163"/>
      <c r="BQ564" s="171"/>
      <c r="BR564" s="171"/>
      <c r="BS564" s="171"/>
      <c r="BT564" s="171"/>
      <c r="BU564" s="172"/>
      <c r="BV564" s="172"/>
      <c r="BW564" s="163"/>
      <c r="BX564" s="163"/>
      <c r="BY564" s="161"/>
      <c r="BZ564" s="163"/>
      <c r="CA564" s="163"/>
      <c r="CB564" s="154"/>
      <c r="CC564" s="154"/>
      <c r="CD564" s="173"/>
      <c r="CE564" s="174"/>
    </row>
    <row r="565" spans="2:84" ht="15.6" x14ac:dyDescent="0.3">
      <c r="B565" s="98"/>
      <c r="C565" s="175"/>
      <c r="D565" s="176"/>
      <c r="E565" s="176"/>
      <c r="F565" s="177"/>
      <c r="G565" s="177"/>
      <c r="H565" s="177"/>
      <c r="I565" s="178"/>
      <c r="J565" s="179"/>
      <c r="K565" s="179"/>
      <c r="L565" s="179"/>
      <c r="M565" s="179"/>
      <c r="N565" s="179"/>
      <c r="O565" s="180"/>
      <c r="P565" s="181"/>
      <c r="Q565" s="181"/>
      <c r="R565" s="182"/>
      <c r="S565" s="182"/>
      <c r="T565" s="183"/>
      <c r="U565" s="183"/>
      <c r="V565" s="182"/>
      <c r="W565" s="182"/>
      <c r="X565" s="182"/>
      <c r="Y565" s="182"/>
      <c r="Z565" s="184" t="str">
        <f>IFERROR(INDEX(Base!G:G,MATCH('Debêntures IPCA-Spread'!Y565,Base!F:F,0)),"")</f>
        <v/>
      </c>
      <c r="AA565" s="115"/>
      <c r="AB565" s="185"/>
      <c r="AC565" s="186"/>
      <c r="AD565" s="187" t="str">
        <f t="shared" si="34"/>
        <v/>
      </c>
      <c r="AE565" s="188"/>
      <c r="AF565" s="189"/>
      <c r="AG565" s="189"/>
      <c r="AH565" s="190"/>
      <c r="AI565" s="190"/>
      <c r="AJ565" s="191" t="str">
        <f t="shared" si="33"/>
        <v/>
      </c>
      <c r="AK565" s="192"/>
      <c r="AL565" s="193"/>
      <c r="AM565" s="194"/>
      <c r="AN565" s="115"/>
      <c r="AO565" s="195"/>
      <c r="AP565" s="196" t="str">
        <f t="shared" si="35"/>
        <v/>
      </c>
      <c r="AQ565" s="196"/>
      <c r="AR565" s="196" t="str">
        <f t="shared" si="36"/>
        <v/>
      </c>
      <c r="AS565" s="196"/>
      <c r="AT565" s="196" t="str">
        <f t="shared" si="37"/>
        <v/>
      </c>
      <c r="AU565" s="196"/>
      <c r="AV565" s="196" t="str">
        <f t="shared" si="38"/>
        <v/>
      </c>
      <c r="AW565" s="196"/>
      <c r="AX565" s="196" t="str">
        <f t="shared" si="39"/>
        <v/>
      </c>
      <c r="AY565" s="196"/>
      <c r="AZ565" s="196" t="str">
        <f t="shared" si="40"/>
        <v/>
      </c>
      <c r="BA565" s="196"/>
      <c r="BB565" s="196" t="str">
        <f t="shared" si="41"/>
        <v/>
      </c>
      <c r="BC565" s="196"/>
      <c r="BD565" s="196" t="str">
        <f t="shared" si="42"/>
        <v/>
      </c>
      <c r="BE565" s="196"/>
      <c r="BF565" s="196" t="str">
        <f t="shared" si="43"/>
        <v/>
      </c>
      <c r="BG565" s="196"/>
      <c r="BH565" s="196" t="str">
        <f t="shared" si="44"/>
        <v/>
      </c>
      <c r="BI565" s="196"/>
      <c r="BJ565" s="196" t="str">
        <f t="shared" si="45"/>
        <v/>
      </c>
      <c r="BK565" s="197"/>
      <c r="BL565" s="115"/>
      <c r="BM565" s="198"/>
      <c r="BN565" s="191"/>
      <c r="BO565" s="191"/>
      <c r="BP565" s="191"/>
      <c r="BQ565" s="199"/>
      <c r="BR565" s="199"/>
      <c r="BS565" s="199"/>
      <c r="BT565" s="199"/>
      <c r="BU565" s="200"/>
      <c r="BV565" s="200"/>
      <c r="BW565" s="191"/>
      <c r="BX565" s="191"/>
      <c r="BY565" s="189"/>
      <c r="BZ565" s="191"/>
      <c r="CA565" s="191"/>
      <c r="CB565" s="182"/>
      <c r="CC565" s="182"/>
      <c r="CD565" s="201"/>
      <c r="CE565" s="202"/>
    </row>
    <row r="566" spans="2:84" ht="15.6" x14ac:dyDescent="0.3">
      <c r="B566" s="110"/>
      <c r="C566" s="147"/>
      <c r="D566" s="148"/>
      <c r="E566" s="148"/>
      <c r="F566" s="149"/>
      <c r="G566" s="149"/>
      <c r="H566" s="149"/>
      <c r="I566" s="150"/>
      <c r="J566" s="151"/>
      <c r="K566" s="151"/>
      <c r="L566" s="151"/>
      <c r="M566" s="151"/>
      <c r="N566" s="151"/>
      <c r="O566" s="152"/>
      <c r="P566" s="153"/>
      <c r="Q566" s="153"/>
      <c r="R566" s="154"/>
      <c r="S566" s="154"/>
      <c r="T566" s="155"/>
      <c r="U566" s="155"/>
      <c r="V566" s="154"/>
      <c r="W566" s="154"/>
      <c r="X566" s="154"/>
      <c r="Y566" s="154"/>
      <c r="Z566" s="156" t="str">
        <f>IFERROR(INDEX(Base!G:G,MATCH('Debêntures IPCA-Spread'!Y566,Base!F:F,0)),"")</f>
        <v/>
      </c>
      <c r="AA566" s="115"/>
      <c r="AB566" s="157"/>
      <c r="AC566" s="158"/>
      <c r="AD566" s="159" t="str">
        <f t="shared" si="34"/>
        <v/>
      </c>
      <c r="AE566" s="160"/>
      <c r="AF566" s="161"/>
      <c r="AG566" s="161"/>
      <c r="AH566" s="162"/>
      <c r="AI566" s="162"/>
      <c r="AJ566" s="163" t="str">
        <f t="shared" si="33"/>
        <v/>
      </c>
      <c r="AK566" s="164"/>
      <c r="AL566" s="165"/>
      <c r="AM566" s="166"/>
      <c r="AN566" s="115"/>
      <c r="AO566" s="167"/>
      <c r="AP566" s="168" t="str">
        <f t="shared" si="35"/>
        <v/>
      </c>
      <c r="AQ566" s="168"/>
      <c r="AR566" s="168" t="str">
        <f t="shared" si="36"/>
        <v/>
      </c>
      <c r="AS566" s="168"/>
      <c r="AT566" s="168" t="str">
        <f t="shared" si="37"/>
        <v/>
      </c>
      <c r="AU566" s="168"/>
      <c r="AV566" s="168" t="str">
        <f t="shared" si="38"/>
        <v/>
      </c>
      <c r="AW566" s="168"/>
      <c r="AX566" s="168" t="str">
        <f t="shared" si="39"/>
        <v/>
      </c>
      <c r="AY566" s="168"/>
      <c r="AZ566" s="168" t="str">
        <f t="shared" si="40"/>
        <v/>
      </c>
      <c r="BA566" s="168"/>
      <c r="BB566" s="168" t="str">
        <f t="shared" si="41"/>
        <v/>
      </c>
      <c r="BC566" s="168"/>
      <c r="BD566" s="168" t="str">
        <f t="shared" si="42"/>
        <v/>
      </c>
      <c r="BE566" s="168"/>
      <c r="BF566" s="168" t="str">
        <f t="shared" si="43"/>
        <v/>
      </c>
      <c r="BG566" s="168"/>
      <c r="BH566" s="168" t="str">
        <f t="shared" si="44"/>
        <v/>
      </c>
      <c r="BI566" s="168"/>
      <c r="BJ566" s="168" t="str">
        <f t="shared" si="45"/>
        <v/>
      </c>
      <c r="BK566" s="169"/>
      <c r="BL566" s="115"/>
      <c r="BM566" s="170"/>
      <c r="BN566" s="163"/>
      <c r="BO566" s="163"/>
      <c r="BP566" s="163"/>
      <c r="BQ566" s="171"/>
      <c r="BR566" s="171"/>
      <c r="BS566" s="171"/>
      <c r="BT566" s="171"/>
      <c r="BU566" s="172"/>
      <c r="BV566" s="172"/>
      <c r="BW566" s="163"/>
      <c r="BX566" s="163"/>
      <c r="BY566" s="161"/>
      <c r="BZ566" s="163"/>
      <c r="CA566" s="163"/>
      <c r="CB566" s="154"/>
      <c r="CC566" s="154"/>
      <c r="CD566" s="173"/>
      <c r="CE566" s="174"/>
    </row>
    <row r="567" spans="2:84" ht="15.6" x14ac:dyDescent="0.3">
      <c r="B567" s="98"/>
      <c r="C567" s="175"/>
      <c r="D567" s="176"/>
      <c r="E567" s="176"/>
      <c r="F567" s="177"/>
      <c r="G567" s="177"/>
      <c r="H567" s="177"/>
      <c r="I567" s="178"/>
      <c r="J567" s="179"/>
      <c r="K567" s="179"/>
      <c r="L567" s="179"/>
      <c r="M567" s="179"/>
      <c r="N567" s="179"/>
      <c r="O567" s="180"/>
      <c r="P567" s="181"/>
      <c r="Q567" s="181"/>
      <c r="R567" s="182"/>
      <c r="S567" s="182"/>
      <c r="T567" s="183"/>
      <c r="U567" s="183"/>
      <c r="V567" s="182"/>
      <c r="W567" s="182"/>
      <c r="X567" s="182"/>
      <c r="Y567" s="182"/>
      <c r="Z567" s="184" t="str">
        <f>IFERROR(INDEX(Base!G:G,MATCH('Debêntures IPCA-Spread'!Y567,Base!F:F,0)),"")</f>
        <v/>
      </c>
      <c r="AA567" s="115"/>
      <c r="AB567" s="185"/>
      <c r="AC567" s="186"/>
      <c r="AD567" s="187" t="str">
        <f t="shared" si="34"/>
        <v/>
      </c>
      <c r="AE567" s="188"/>
      <c r="AF567" s="189"/>
      <c r="AG567" s="189"/>
      <c r="AH567" s="190"/>
      <c r="AI567" s="190"/>
      <c r="AJ567" s="191" t="str">
        <f t="shared" si="33"/>
        <v/>
      </c>
      <c r="AK567" s="192"/>
      <c r="AL567" s="193"/>
      <c r="AM567" s="194"/>
      <c r="AN567" s="115"/>
      <c r="AO567" s="195"/>
      <c r="AP567" s="196" t="str">
        <f t="shared" si="35"/>
        <v/>
      </c>
      <c r="AQ567" s="196"/>
      <c r="AR567" s="196" t="str">
        <f t="shared" si="36"/>
        <v/>
      </c>
      <c r="AS567" s="196"/>
      <c r="AT567" s="196" t="str">
        <f t="shared" si="37"/>
        <v/>
      </c>
      <c r="AU567" s="196"/>
      <c r="AV567" s="196" t="str">
        <f t="shared" si="38"/>
        <v/>
      </c>
      <c r="AW567" s="196"/>
      <c r="AX567" s="196" t="str">
        <f t="shared" si="39"/>
        <v/>
      </c>
      <c r="AY567" s="196"/>
      <c r="AZ567" s="196" t="str">
        <f t="shared" si="40"/>
        <v/>
      </c>
      <c r="BA567" s="196"/>
      <c r="BB567" s="196" t="str">
        <f t="shared" si="41"/>
        <v/>
      </c>
      <c r="BC567" s="196"/>
      <c r="BD567" s="196" t="str">
        <f t="shared" si="42"/>
        <v/>
      </c>
      <c r="BE567" s="196"/>
      <c r="BF567" s="196" t="str">
        <f t="shared" si="43"/>
        <v/>
      </c>
      <c r="BG567" s="196"/>
      <c r="BH567" s="196" t="str">
        <f t="shared" si="44"/>
        <v/>
      </c>
      <c r="BI567" s="196"/>
      <c r="BJ567" s="196" t="str">
        <f t="shared" si="45"/>
        <v/>
      </c>
      <c r="BK567" s="197"/>
      <c r="BL567" s="115"/>
      <c r="BM567" s="198"/>
      <c r="BN567" s="191"/>
      <c r="BO567" s="191"/>
      <c r="BP567" s="191"/>
      <c r="BQ567" s="199"/>
      <c r="BR567" s="199"/>
      <c r="BS567" s="199"/>
      <c r="BT567" s="199"/>
      <c r="BU567" s="200"/>
      <c r="BV567" s="200"/>
      <c r="BW567" s="191"/>
      <c r="BX567" s="191"/>
      <c r="BY567" s="189"/>
      <c r="BZ567" s="191"/>
      <c r="CA567" s="191"/>
      <c r="CB567" s="182"/>
      <c r="CC567" s="182"/>
      <c r="CD567" s="201"/>
      <c r="CE567" s="202"/>
    </row>
    <row r="568" spans="2:84" ht="15.6" x14ac:dyDescent="0.3">
      <c r="B568" s="110"/>
      <c r="C568" s="147"/>
      <c r="D568" s="148"/>
      <c r="E568" s="148"/>
      <c r="F568" s="149"/>
      <c r="G568" s="149"/>
      <c r="H568" s="149"/>
      <c r="I568" s="150"/>
      <c r="J568" s="151"/>
      <c r="K568" s="151"/>
      <c r="L568" s="151"/>
      <c r="M568" s="151"/>
      <c r="N568" s="151"/>
      <c r="O568" s="152"/>
      <c r="P568" s="153"/>
      <c r="Q568" s="153"/>
      <c r="R568" s="154"/>
      <c r="S568" s="154"/>
      <c r="T568" s="155"/>
      <c r="U568" s="155"/>
      <c r="V568" s="154"/>
      <c r="W568" s="154"/>
      <c r="X568" s="154"/>
      <c r="Y568" s="154"/>
      <c r="Z568" s="156" t="str">
        <f>IFERROR(INDEX(Base!G:G,MATCH('Debêntures IPCA-Spread'!Y568,Base!F:F,0)),"")</f>
        <v/>
      </c>
      <c r="AA568" s="115"/>
      <c r="AB568" s="157"/>
      <c r="AC568" s="158"/>
      <c r="AD568" s="159" t="str">
        <f t="shared" si="34"/>
        <v/>
      </c>
      <c r="AE568" s="160"/>
      <c r="AF568" s="161"/>
      <c r="AG568" s="161"/>
      <c r="AH568" s="162"/>
      <c r="AI568" s="162"/>
      <c r="AJ568" s="163" t="str">
        <f t="shared" si="33"/>
        <v/>
      </c>
      <c r="AK568" s="164"/>
      <c r="AL568" s="165"/>
      <c r="AM568" s="166"/>
      <c r="AN568" s="115"/>
      <c r="AO568" s="167"/>
      <c r="AP568" s="168" t="str">
        <f t="shared" si="35"/>
        <v/>
      </c>
      <c r="AQ568" s="168"/>
      <c r="AR568" s="168" t="str">
        <f t="shared" si="36"/>
        <v/>
      </c>
      <c r="AS568" s="168"/>
      <c r="AT568" s="168" t="str">
        <f t="shared" si="37"/>
        <v/>
      </c>
      <c r="AU568" s="168"/>
      <c r="AV568" s="168" t="str">
        <f t="shared" si="38"/>
        <v/>
      </c>
      <c r="AW568" s="168"/>
      <c r="AX568" s="168" t="str">
        <f t="shared" si="39"/>
        <v/>
      </c>
      <c r="AY568" s="168"/>
      <c r="AZ568" s="168" t="str">
        <f t="shared" si="40"/>
        <v/>
      </c>
      <c r="BA568" s="168"/>
      <c r="BB568" s="168" t="str">
        <f t="shared" si="41"/>
        <v/>
      </c>
      <c r="BC568" s="168"/>
      <c r="BD568" s="168" t="str">
        <f t="shared" si="42"/>
        <v/>
      </c>
      <c r="BE568" s="168"/>
      <c r="BF568" s="168" t="str">
        <f t="shared" si="43"/>
        <v/>
      </c>
      <c r="BG568" s="168"/>
      <c r="BH568" s="168" t="str">
        <f t="shared" si="44"/>
        <v/>
      </c>
      <c r="BI568" s="168"/>
      <c r="BJ568" s="168" t="str">
        <f t="shared" si="45"/>
        <v/>
      </c>
      <c r="BK568" s="169"/>
      <c r="BL568" s="115"/>
      <c r="BM568" s="170"/>
      <c r="BN568" s="163"/>
      <c r="BO568" s="163"/>
      <c r="BP568" s="163"/>
      <c r="BQ568" s="171"/>
      <c r="BR568" s="171"/>
      <c r="BS568" s="171"/>
      <c r="BT568" s="171"/>
      <c r="BU568" s="172"/>
      <c r="BV568" s="172"/>
      <c r="BW568" s="163"/>
      <c r="BX568" s="163"/>
      <c r="BY568" s="161"/>
      <c r="BZ568" s="163"/>
      <c r="CA568" s="163"/>
      <c r="CB568" s="154"/>
      <c r="CC568" s="154"/>
      <c r="CD568" s="173"/>
      <c r="CE568" s="174"/>
    </row>
    <row r="569" spans="2:84" ht="15.6" x14ac:dyDescent="0.3">
      <c r="B569" s="101"/>
      <c r="C569" s="203"/>
      <c r="D569" s="204"/>
      <c r="E569" s="204"/>
      <c r="F569" s="205"/>
      <c r="G569" s="205"/>
      <c r="H569" s="205"/>
      <c r="I569" s="206"/>
      <c r="J569" s="207"/>
      <c r="K569" s="207"/>
      <c r="L569" s="207"/>
      <c r="M569" s="207"/>
      <c r="N569" s="207"/>
      <c r="O569" s="208"/>
      <c r="P569" s="209"/>
      <c r="Q569" s="209"/>
      <c r="R569" s="210"/>
      <c r="S569" s="210"/>
      <c r="T569" s="211"/>
      <c r="U569" s="211"/>
      <c r="V569" s="210"/>
      <c r="W569" s="210"/>
      <c r="X569" s="210"/>
      <c r="Y569" s="210"/>
      <c r="Z569" s="212" t="str">
        <f>IFERROR(INDEX(Base!G:G,MATCH('Debêntures IPCA-Spread'!Y569,Base!F:F,0)),"")</f>
        <v/>
      </c>
      <c r="AA569" s="213"/>
      <c r="AB569" s="214"/>
      <c r="AC569" s="215"/>
      <c r="AD569" s="216" t="str">
        <f t="shared" si="34"/>
        <v/>
      </c>
      <c r="AE569" s="217"/>
      <c r="AF569" s="218"/>
      <c r="AG569" s="218"/>
      <c r="AH569" s="219"/>
      <c r="AI569" s="219"/>
      <c r="AJ569" s="220" t="str">
        <f t="shared" si="33"/>
        <v/>
      </c>
      <c r="AK569" s="221"/>
      <c r="AL569" s="222"/>
      <c r="AM569" s="223"/>
      <c r="AN569" s="213"/>
      <c r="AO569" s="224"/>
      <c r="AP569" s="225" t="str">
        <f t="shared" si="35"/>
        <v/>
      </c>
      <c r="AQ569" s="225"/>
      <c r="AR569" s="225" t="str">
        <f t="shared" si="36"/>
        <v/>
      </c>
      <c r="AS569" s="225"/>
      <c r="AT569" s="225" t="str">
        <f t="shared" si="37"/>
        <v/>
      </c>
      <c r="AU569" s="225"/>
      <c r="AV569" s="225" t="str">
        <f t="shared" si="38"/>
        <v/>
      </c>
      <c r="AW569" s="225"/>
      <c r="AX569" s="225" t="str">
        <f t="shared" si="39"/>
        <v/>
      </c>
      <c r="AY569" s="225"/>
      <c r="AZ569" s="225" t="str">
        <f t="shared" si="40"/>
        <v/>
      </c>
      <c r="BA569" s="225"/>
      <c r="BB569" s="225" t="str">
        <f t="shared" si="41"/>
        <v/>
      </c>
      <c r="BC569" s="225"/>
      <c r="BD569" s="225" t="str">
        <f t="shared" si="42"/>
        <v/>
      </c>
      <c r="BE569" s="225"/>
      <c r="BF569" s="225" t="str">
        <f t="shared" si="43"/>
        <v/>
      </c>
      <c r="BG569" s="225"/>
      <c r="BH569" s="225" t="str">
        <f t="shared" si="44"/>
        <v/>
      </c>
      <c r="BI569" s="225"/>
      <c r="BJ569" s="225" t="str">
        <f t="shared" si="45"/>
        <v/>
      </c>
      <c r="BK569" s="226"/>
      <c r="BL569" s="213"/>
      <c r="BM569" s="227"/>
      <c r="BN569" s="220"/>
      <c r="BO569" s="220"/>
      <c r="BP569" s="220"/>
      <c r="BQ569" s="228"/>
      <c r="BR569" s="228"/>
      <c r="BS569" s="228"/>
      <c r="BT569" s="228"/>
      <c r="BU569" s="229"/>
      <c r="BV569" s="229"/>
      <c r="BW569" s="220"/>
      <c r="BX569" s="220"/>
      <c r="BY569" s="218"/>
      <c r="BZ569" s="220"/>
      <c r="CA569" s="220"/>
      <c r="CB569" s="210"/>
      <c r="CC569" s="210"/>
      <c r="CD569" s="230"/>
      <c r="CE569" s="231"/>
      <c r="CF569" s="232"/>
    </row>
    <row r="570" spans="2:84" x14ac:dyDescent="0.3">
      <c r="B570" s="234"/>
      <c r="C570" s="234"/>
      <c r="D570" s="235"/>
      <c r="E570" s="235"/>
      <c r="F570" s="236"/>
      <c r="G570" s="236"/>
      <c r="H570" s="236"/>
      <c r="I570" s="237"/>
      <c r="J570" s="238"/>
      <c r="K570" s="238"/>
      <c r="L570" s="238"/>
      <c r="M570" s="238"/>
      <c r="N570" s="238"/>
      <c r="O570" s="239"/>
      <c r="P570" s="240"/>
      <c r="Q570" s="240"/>
      <c r="R570" s="241"/>
      <c r="S570" s="241"/>
      <c r="T570" s="242"/>
      <c r="U570" s="242"/>
      <c r="V570" s="241"/>
      <c r="W570" s="241"/>
      <c r="X570" s="241"/>
      <c r="Y570" s="241"/>
      <c r="Z570" s="241"/>
      <c r="AA570" s="232"/>
      <c r="AB570" s="243"/>
      <c r="AC570" s="244"/>
      <c r="AD570" s="245"/>
      <c r="AE570" s="246"/>
      <c r="AF570" s="246"/>
      <c r="AG570" s="246"/>
      <c r="AH570" s="247"/>
      <c r="AI570" s="247"/>
      <c r="AJ570" s="243"/>
      <c r="AK570" s="243"/>
      <c r="AL570" s="246"/>
      <c r="AM570" s="239"/>
      <c r="AN570" s="232"/>
      <c r="AO570" s="235"/>
      <c r="AP570" s="248"/>
      <c r="AQ570" s="248"/>
      <c r="AR570" s="248"/>
      <c r="AS570" s="248"/>
      <c r="AT570" s="248"/>
      <c r="AU570" s="248"/>
      <c r="AV570" s="248"/>
      <c r="AW570" s="248"/>
      <c r="AX570" s="248"/>
      <c r="AY570" s="248"/>
      <c r="AZ570" s="248"/>
      <c r="BA570" s="248"/>
      <c r="BB570" s="248"/>
      <c r="BC570" s="248"/>
      <c r="BD570" s="248"/>
      <c r="BE570" s="248"/>
      <c r="BF570" s="248"/>
      <c r="BG570" s="248"/>
      <c r="BH570" s="248"/>
      <c r="BI570" s="248"/>
      <c r="BJ570" s="248"/>
      <c r="BK570" s="248"/>
      <c r="BL570" s="232"/>
      <c r="BM570" s="240"/>
      <c r="BN570" s="240"/>
      <c r="BO570" s="249"/>
      <c r="BP570" s="249"/>
      <c r="BQ570" s="249"/>
      <c r="BR570" s="250"/>
      <c r="BS570" s="250"/>
      <c r="BT570" s="250"/>
      <c r="BU570" s="251"/>
      <c r="BV570" s="251"/>
      <c r="BW570" s="243"/>
      <c r="BX570" s="243"/>
      <c r="BY570" s="252"/>
      <c r="BZ570" s="253"/>
      <c r="CA570" s="253"/>
      <c r="CB570" s="254"/>
      <c r="CC570" s="254"/>
      <c r="CD570" s="243"/>
      <c r="CE570" s="254"/>
      <c r="CF570" s="232"/>
    </row>
    <row r="571" spans="2:84" x14ac:dyDescent="0.3">
      <c r="B571" s="234"/>
      <c r="C571" s="234"/>
      <c r="D571" s="235"/>
      <c r="E571" s="235"/>
      <c r="F571" s="236"/>
      <c r="G571" s="236"/>
      <c r="H571" s="236"/>
      <c r="I571" s="237"/>
      <c r="J571" s="238"/>
      <c r="K571" s="238"/>
      <c r="L571" s="238"/>
      <c r="M571" s="238"/>
      <c r="N571" s="238"/>
      <c r="O571" s="239"/>
      <c r="P571" s="240"/>
      <c r="Q571" s="240"/>
      <c r="R571" s="241"/>
      <c r="S571" s="241"/>
      <c r="T571" s="242"/>
      <c r="U571" s="242"/>
      <c r="V571" s="241"/>
      <c r="W571" s="241"/>
      <c r="X571" s="241"/>
      <c r="Y571" s="241"/>
      <c r="Z571" s="241"/>
      <c r="AA571" s="232"/>
      <c r="AB571" s="243"/>
      <c r="AC571" s="244"/>
      <c r="AD571" s="245"/>
      <c r="AE571" s="246"/>
      <c r="AF571" s="246"/>
      <c r="AG571" s="246"/>
      <c r="AH571" s="247"/>
      <c r="AI571" s="247"/>
      <c r="AJ571" s="243"/>
      <c r="AK571" s="243"/>
      <c r="AL571" s="246"/>
      <c r="AM571" s="239"/>
      <c r="AN571" s="232"/>
      <c r="AO571" s="235"/>
      <c r="AP571" s="248"/>
      <c r="AQ571" s="248"/>
      <c r="AR571" s="248"/>
      <c r="AS571" s="248"/>
      <c r="AT571" s="248"/>
      <c r="AU571" s="248"/>
      <c r="AV571" s="248"/>
      <c r="AW571" s="248"/>
      <c r="AX571" s="248"/>
      <c r="AY571" s="248"/>
      <c r="AZ571" s="248"/>
      <c r="BA571" s="248"/>
      <c r="BB571" s="248"/>
      <c r="BC571" s="248"/>
      <c r="BD571" s="248"/>
      <c r="BE571" s="248"/>
      <c r="BF571" s="248"/>
      <c r="BG571" s="248"/>
      <c r="BH571" s="248"/>
      <c r="BI571" s="248"/>
      <c r="BJ571" s="248"/>
      <c r="BK571" s="248"/>
      <c r="BL571" s="232"/>
      <c r="BM571" s="240"/>
      <c r="BN571" s="240"/>
      <c r="BO571" s="249"/>
      <c r="BP571" s="249"/>
      <c r="BQ571" s="249"/>
      <c r="BR571" s="250"/>
      <c r="BS571" s="250"/>
      <c r="BT571" s="250"/>
      <c r="BU571" s="251"/>
      <c r="BV571" s="251"/>
      <c r="BW571" s="243"/>
      <c r="BX571" s="243"/>
      <c r="BY571" s="252"/>
      <c r="BZ571" s="253"/>
      <c r="CA571" s="253"/>
      <c r="CB571" s="254"/>
      <c r="CC571" s="254"/>
      <c r="CD571" s="243"/>
      <c r="CE571" s="254"/>
      <c r="CF571" s="232"/>
    </row>
    <row r="572" spans="2:84" x14ac:dyDescent="0.3">
      <c r="B572" s="234"/>
      <c r="C572" s="234"/>
      <c r="D572" s="235"/>
      <c r="E572" s="235"/>
      <c r="F572" s="236"/>
      <c r="G572" s="236"/>
      <c r="H572" s="236"/>
      <c r="I572" s="237"/>
      <c r="J572" s="238"/>
      <c r="K572" s="238"/>
      <c r="L572" s="238"/>
      <c r="M572" s="238"/>
      <c r="N572" s="238"/>
      <c r="O572" s="239"/>
      <c r="P572" s="240"/>
      <c r="Q572" s="240"/>
      <c r="R572" s="241"/>
      <c r="S572" s="241"/>
      <c r="T572" s="242"/>
      <c r="U572" s="242"/>
      <c r="V572" s="241"/>
      <c r="W572" s="241"/>
      <c r="X572" s="241"/>
      <c r="Y572" s="241"/>
      <c r="Z572" s="241"/>
      <c r="AA572" s="232"/>
      <c r="AB572" s="243"/>
      <c r="AC572" s="244"/>
      <c r="AD572" s="245"/>
      <c r="AE572" s="246"/>
      <c r="AF572" s="246"/>
      <c r="AG572" s="246"/>
      <c r="AH572" s="247"/>
      <c r="AI572" s="247"/>
      <c r="AJ572" s="243"/>
      <c r="AK572" s="243"/>
      <c r="AL572" s="246"/>
      <c r="AM572" s="239"/>
      <c r="AN572" s="232"/>
      <c r="AO572" s="235"/>
      <c r="AP572" s="248"/>
      <c r="AQ572" s="248"/>
      <c r="AR572" s="248"/>
      <c r="AS572" s="248"/>
      <c r="AT572" s="248"/>
      <c r="AU572" s="248"/>
      <c r="AV572" s="248"/>
      <c r="AW572" s="248"/>
      <c r="AX572" s="248"/>
      <c r="AY572" s="248"/>
      <c r="AZ572" s="248"/>
      <c r="BA572" s="248"/>
      <c r="BB572" s="248"/>
      <c r="BC572" s="248"/>
      <c r="BD572" s="248"/>
      <c r="BE572" s="248"/>
      <c r="BF572" s="248"/>
      <c r="BG572" s="248"/>
      <c r="BH572" s="248"/>
      <c r="BI572" s="248"/>
      <c r="BJ572" s="248"/>
      <c r="BK572" s="248"/>
      <c r="BL572" s="232"/>
      <c r="BM572" s="240"/>
      <c r="BN572" s="240"/>
      <c r="BO572" s="249"/>
      <c r="BP572" s="249"/>
      <c r="BQ572" s="249"/>
      <c r="BR572" s="250"/>
      <c r="BS572" s="250"/>
      <c r="BT572" s="250"/>
      <c r="BU572" s="251"/>
      <c r="BV572" s="251"/>
      <c r="BW572" s="243"/>
      <c r="BX572" s="243"/>
      <c r="BY572" s="252"/>
      <c r="BZ572" s="253"/>
      <c r="CA572" s="253"/>
      <c r="CB572" s="254"/>
      <c r="CC572" s="254"/>
      <c r="CD572" s="243"/>
      <c r="CE572" s="254"/>
      <c r="CF572" s="232"/>
    </row>
    <row r="573" spans="2:84" x14ac:dyDescent="0.3">
      <c r="B573" s="234"/>
      <c r="C573" s="234"/>
      <c r="D573" s="235"/>
      <c r="E573" s="235"/>
      <c r="F573" s="236"/>
      <c r="G573" s="236"/>
      <c r="H573" s="236"/>
      <c r="I573" s="237"/>
      <c r="J573" s="238"/>
      <c r="K573" s="238"/>
      <c r="L573" s="238"/>
      <c r="M573" s="238"/>
      <c r="N573" s="238"/>
      <c r="O573" s="239"/>
      <c r="P573" s="240"/>
      <c r="Q573" s="240"/>
      <c r="R573" s="241"/>
      <c r="S573" s="241"/>
      <c r="T573" s="242"/>
      <c r="U573" s="242"/>
      <c r="V573" s="241"/>
      <c r="W573" s="241"/>
      <c r="X573" s="241"/>
      <c r="Y573" s="241"/>
      <c r="Z573" s="241"/>
      <c r="AA573" s="232"/>
      <c r="AB573" s="243"/>
      <c r="AC573" s="244"/>
      <c r="AD573" s="245"/>
      <c r="AE573" s="246"/>
      <c r="AF573" s="246"/>
      <c r="AG573" s="246"/>
      <c r="AH573" s="247"/>
      <c r="AI573" s="247"/>
      <c r="AJ573" s="243"/>
      <c r="AK573" s="243"/>
      <c r="AL573" s="246"/>
      <c r="AM573" s="239"/>
      <c r="AN573" s="232"/>
      <c r="AO573" s="235"/>
      <c r="AP573" s="248"/>
      <c r="AQ573" s="248"/>
      <c r="AR573" s="248"/>
      <c r="AS573" s="248"/>
      <c r="AT573" s="248"/>
      <c r="AU573" s="248"/>
      <c r="AV573" s="248"/>
      <c r="AW573" s="248"/>
      <c r="AX573" s="248"/>
      <c r="AY573" s="248"/>
      <c r="AZ573" s="248"/>
      <c r="BA573" s="248"/>
      <c r="BB573" s="248"/>
      <c r="BC573" s="248"/>
      <c r="BD573" s="248"/>
      <c r="BE573" s="248"/>
      <c r="BF573" s="248"/>
      <c r="BG573" s="248"/>
      <c r="BH573" s="248"/>
      <c r="BI573" s="248"/>
      <c r="BJ573" s="248"/>
      <c r="BK573" s="248"/>
      <c r="BL573" s="232"/>
      <c r="BM573" s="240"/>
      <c r="BN573" s="240"/>
      <c r="BO573" s="249"/>
      <c r="BP573" s="249"/>
      <c r="BQ573" s="249"/>
      <c r="BR573" s="250"/>
      <c r="BS573" s="250"/>
      <c r="BT573" s="250"/>
      <c r="BU573" s="251"/>
      <c r="BV573" s="251"/>
      <c r="BW573" s="243"/>
      <c r="BX573" s="243"/>
      <c r="BY573" s="252"/>
      <c r="BZ573" s="253"/>
      <c r="CA573" s="253"/>
      <c r="CB573" s="254"/>
      <c r="CC573" s="254"/>
      <c r="CD573" s="243"/>
      <c r="CE573" s="254"/>
      <c r="CF573" s="232"/>
    </row>
    <row r="574" spans="2:84" x14ac:dyDescent="0.3">
      <c r="B574" s="234"/>
      <c r="C574" s="234"/>
      <c r="D574" s="235"/>
      <c r="E574" s="235"/>
      <c r="F574" s="236"/>
      <c r="G574" s="236"/>
      <c r="H574" s="236"/>
      <c r="I574" s="237"/>
      <c r="J574" s="238"/>
      <c r="K574" s="238"/>
      <c r="L574" s="238"/>
      <c r="M574" s="238"/>
      <c r="N574" s="238"/>
      <c r="O574" s="239"/>
      <c r="P574" s="240"/>
      <c r="Q574" s="240"/>
      <c r="R574" s="241"/>
      <c r="S574" s="241"/>
      <c r="T574" s="242"/>
      <c r="U574" s="242"/>
      <c r="V574" s="241"/>
      <c r="W574" s="241"/>
      <c r="X574" s="241"/>
      <c r="Y574" s="241"/>
      <c r="Z574" s="241"/>
      <c r="AA574" s="232"/>
      <c r="AB574" s="243"/>
      <c r="AC574" s="244"/>
      <c r="AD574" s="245"/>
      <c r="AE574" s="246"/>
      <c r="AF574" s="246"/>
      <c r="AG574" s="246"/>
      <c r="AH574" s="247"/>
      <c r="AI574" s="247"/>
      <c r="AJ574" s="243"/>
      <c r="AK574" s="243"/>
      <c r="AL574" s="246"/>
      <c r="AM574" s="239"/>
      <c r="AN574" s="232"/>
      <c r="AO574" s="235"/>
      <c r="AP574" s="248"/>
      <c r="AQ574" s="248"/>
      <c r="AR574" s="248"/>
      <c r="AS574" s="248"/>
      <c r="AT574" s="248"/>
      <c r="AU574" s="248"/>
      <c r="AV574" s="248"/>
      <c r="AW574" s="248"/>
      <c r="AX574" s="248"/>
      <c r="AY574" s="248"/>
      <c r="AZ574" s="248"/>
      <c r="BA574" s="248"/>
      <c r="BB574" s="248"/>
      <c r="BC574" s="248"/>
      <c r="BD574" s="248"/>
      <c r="BE574" s="248"/>
      <c r="BF574" s="248"/>
      <c r="BG574" s="248"/>
      <c r="BH574" s="248"/>
      <c r="BI574" s="248"/>
      <c r="BJ574" s="248"/>
      <c r="BK574" s="248"/>
      <c r="BL574" s="232"/>
      <c r="BM574" s="240"/>
      <c r="BN574" s="240"/>
      <c r="BO574" s="249"/>
      <c r="BP574" s="249"/>
      <c r="BQ574" s="249"/>
      <c r="BR574" s="250"/>
      <c r="BS574" s="250"/>
      <c r="BT574" s="250"/>
      <c r="BU574" s="251"/>
      <c r="BV574" s="251"/>
      <c r="BW574" s="243"/>
      <c r="BX574" s="243"/>
      <c r="BY574" s="252"/>
      <c r="BZ574" s="253"/>
      <c r="CA574" s="253"/>
      <c r="CB574" s="254"/>
      <c r="CC574" s="254"/>
      <c r="CD574" s="243"/>
      <c r="CE574" s="254"/>
      <c r="CF574" s="232"/>
    </row>
    <row r="575" spans="2:84" x14ac:dyDescent="0.3">
      <c r="B575" s="234"/>
      <c r="C575" s="234"/>
      <c r="D575" s="235"/>
      <c r="E575" s="235"/>
      <c r="F575" s="236"/>
      <c r="G575" s="236"/>
      <c r="H575" s="236"/>
      <c r="I575" s="237"/>
      <c r="J575" s="238"/>
      <c r="K575" s="238"/>
      <c r="L575" s="238"/>
      <c r="M575" s="238"/>
      <c r="N575" s="238"/>
      <c r="O575" s="239"/>
      <c r="P575" s="240"/>
      <c r="Q575" s="240"/>
      <c r="R575" s="241"/>
      <c r="S575" s="241"/>
      <c r="T575" s="242"/>
      <c r="U575" s="242"/>
      <c r="V575" s="241"/>
      <c r="W575" s="241"/>
      <c r="X575" s="241"/>
      <c r="Y575" s="241"/>
      <c r="Z575" s="241"/>
      <c r="AA575" s="232"/>
      <c r="AB575" s="243"/>
      <c r="AC575" s="244"/>
      <c r="AD575" s="245"/>
      <c r="AE575" s="246"/>
      <c r="AF575" s="246"/>
      <c r="AG575" s="246"/>
      <c r="AH575" s="247"/>
      <c r="AI575" s="247"/>
      <c r="AJ575" s="243"/>
      <c r="AK575" s="243"/>
      <c r="AL575" s="246"/>
      <c r="AM575" s="239"/>
      <c r="AN575" s="232"/>
      <c r="AO575" s="235"/>
      <c r="AP575" s="248"/>
      <c r="AQ575" s="248"/>
      <c r="AR575" s="248"/>
      <c r="AS575" s="248"/>
      <c r="AT575" s="248"/>
      <c r="AU575" s="248"/>
      <c r="AV575" s="248"/>
      <c r="AW575" s="248"/>
      <c r="AX575" s="248"/>
      <c r="AY575" s="248"/>
      <c r="AZ575" s="248"/>
      <c r="BA575" s="248"/>
      <c r="BB575" s="248"/>
      <c r="BC575" s="248"/>
      <c r="BD575" s="248"/>
      <c r="BE575" s="248"/>
      <c r="BF575" s="248"/>
      <c r="BG575" s="248"/>
      <c r="BH575" s="248"/>
      <c r="BI575" s="248"/>
      <c r="BJ575" s="248"/>
      <c r="BK575" s="248"/>
      <c r="BL575" s="232"/>
      <c r="BM575" s="240"/>
      <c r="BN575" s="240"/>
      <c r="BO575" s="249"/>
      <c r="BP575" s="249"/>
      <c r="BQ575" s="249"/>
      <c r="BR575" s="250"/>
      <c r="BS575" s="250"/>
      <c r="BT575" s="250"/>
      <c r="BU575" s="251"/>
      <c r="BV575" s="251"/>
      <c r="BW575" s="243"/>
      <c r="BX575" s="243"/>
      <c r="BY575" s="252"/>
      <c r="BZ575" s="253"/>
      <c r="CA575" s="253"/>
      <c r="CB575" s="254"/>
      <c r="CC575" s="254"/>
      <c r="CD575" s="243"/>
      <c r="CE575" s="254"/>
      <c r="CF575" s="232"/>
    </row>
    <row r="576" spans="2:84" x14ac:dyDescent="0.3">
      <c r="B576" s="234"/>
      <c r="C576" s="234"/>
      <c r="D576" s="235"/>
      <c r="E576" s="235"/>
      <c r="F576" s="236"/>
      <c r="G576" s="236"/>
      <c r="H576" s="236"/>
      <c r="I576" s="237"/>
      <c r="J576" s="238"/>
      <c r="K576" s="238"/>
      <c r="L576" s="238"/>
      <c r="M576" s="238"/>
      <c r="N576" s="238"/>
      <c r="O576" s="239"/>
      <c r="P576" s="240"/>
      <c r="Q576" s="240"/>
      <c r="R576" s="241"/>
      <c r="S576" s="241"/>
      <c r="T576" s="242"/>
      <c r="U576" s="242"/>
      <c r="V576" s="241"/>
      <c r="W576" s="241"/>
      <c r="X576" s="241"/>
      <c r="Y576" s="241"/>
      <c r="Z576" s="241"/>
      <c r="AA576" s="232"/>
      <c r="AB576" s="243"/>
      <c r="AC576" s="244"/>
      <c r="AD576" s="245"/>
      <c r="AE576" s="246"/>
      <c r="AF576" s="246"/>
      <c r="AG576" s="246"/>
      <c r="AH576" s="247"/>
      <c r="AI576" s="247"/>
      <c r="AJ576" s="243"/>
      <c r="AK576" s="243"/>
      <c r="AL576" s="246"/>
      <c r="AM576" s="239"/>
      <c r="AN576" s="232"/>
      <c r="AO576" s="235"/>
      <c r="AP576" s="248"/>
      <c r="AQ576" s="248"/>
      <c r="AR576" s="248"/>
      <c r="AS576" s="248"/>
      <c r="AT576" s="248"/>
      <c r="AU576" s="248"/>
      <c r="AV576" s="248"/>
      <c r="AW576" s="248"/>
      <c r="AX576" s="248"/>
      <c r="AY576" s="248"/>
      <c r="AZ576" s="248"/>
      <c r="BA576" s="248"/>
      <c r="BB576" s="248"/>
      <c r="BC576" s="248"/>
      <c r="BD576" s="248"/>
      <c r="BE576" s="248"/>
      <c r="BF576" s="248"/>
      <c r="BG576" s="248"/>
      <c r="BH576" s="248"/>
      <c r="BI576" s="248"/>
      <c r="BJ576" s="248"/>
      <c r="BK576" s="248"/>
      <c r="BL576" s="232"/>
      <c r="BM576" s="240"/>
      <c r="BN576" s="240"/>
      <c r="BO576" s="249"/>
      <c r="BP576" s="249"/>
      <c r="BQ576" s="249"/>
      <c r="BR576" s="250"/>
      <c r="BS576" s="250"/>
      <c r="BT576" s="250"/>
      <c r="BU576" s="251"/>
      <c r="BV576" s="251"/>
      <c r="BW576" s="243"/>
      <c r="BX576" s="243"/>
      <c r="BY576" s="252"/>
      <c r="BZ576" s="253"/>
      <c r="CA576" s="253"/>
      <c r="CB576" s="254"/>
      <c r="CC576" s="254"/>
      <c r="CD576" s="243"/>
      <c r="CE576" s="254"/>
      <c r="CF576" s="232"/>
    </row>
    <row r="577" spans="2:84" x14ac:dyDescent="0.3">
      <c r="B577" s="234"/>
      <c r="C577" s="234"/>
      <c r="D577" s="235"/>
      <c r="E577" s="235"/>
      <c r="F577" s="236"/>
      <c r="G577" s="236"/>
      <c r="H577" s="236"/>
      <c r="I577" s="237"/>
      <c r="J577" s="238"/>
      <c r="K577" s="238"/>
      <c r="L577" s="238"/>
      <c r="M577" s="238"/>
      <c r="N577" s="238"/>
      <c r="O577" s="239"/>
      <c r="P577" s="240"/>
      <c r="Q577" s="240"/>
      <c r="R577" s="241"/>
      <c r="S577" s="241"/>
      <c r="T577" s="242"/>
      <c r="U577" s="242"/>
      <c r="V577" s="241"/>
      <c r="W577" s="241"/>
      <c r="X577" s="241"/>
      <c r="Y577" s="241"/>
      <c r="Z577" s="241"/>
      <c r="AA577" s="232"/>
      <c r="AB577" s="243"/>
      <c r="AC577" s="244"/>
      <c r="AD577" s="245"/>
      <c r="AE577" s="246"/>
      <c r="AF577" s="246"/>
      <c r="AG577" s="246"/>
      <c r="AH577" s="247"/>
      <c r="AI577" s="247"/>
      <c r="AJ577" s="243"/>
      <c r="AK577" s="243"/>
      <c r="AL577" s="246"/>
      <c r="AM577" s="239"/>
      <c r="AN577" s="232"/>
      <c r="AO577" s="235"/>
      <c r="AP577" s="248"/>
      <c r="AQ577" s="248"/>
      <c r="AR577" s="248"/>
      <c r="AS577" s="248"/>
      <c r="AT577" s="248"/>
      <c r="AU577" s="248"/>
      <c r="AV577" s="248"/>
      <c r="AW577" s="248"/>
      <c r="AX577" s="248"/>
      <c r="AY577" s="248"/>
      <c r="AZ577" s="248"/>
      <c r="BA577" s="248"/>
      <c r="BB577" s="248"/>
      <c r="BC577" s="248"/>
      <c r="BD577" s="248"/>
      <c r="BE577" s="248"/>
      <c r="BF577" s="248"/>
      <c r="BG577" s="248"/>
      <c r="BH577" s="248"/>
      <c r="BI577" s="248"/>
      <c r="BJ577" s="248"/>
      <c r="BK577" s="248"/>
      <c r="BL577" s="232"/>
      <c r="BM577" s="240"/>
      <c r="BN577" s="240"/>
      <c r="BO577" s="249"/>
      <c r="BP577" s="249"/>
      <c r="BQ577" s="249"/>
      <c r="BR577" s="250"/>
      <c r="BS577" s="250"/>
      <c r="BT577" s="250"/>
      <c r="BU577" s="251"/>
      <c r="BV577" s="251"/>
      <c r="BW577" s="243"/>
      <c r="BX577" s="243"/>
      <c r="BY577" s="252"/>
      <c r="BZ577" s="253"/>
      <c r="CA577" s="253"/>
      <c r="CB577" s="254"/>
      <c r="CC577" s="254"/>
      <c r="CD577" s="243"/>
      <c r="CE577" s="254"/>
      <c r="CF577" s="232"/>
    </row>
    <row r="578" spans="2:84" x14ac:dyDescent="0.3">
      <c r="B578" s="234"/>
      <c r="C578" s="234"/>
      <c r="D578" s="235"/>
      <c r="E578" s="235"/>
      <c r="F578" s="236"/>
      <c r="G578" s="236"/>
      <c r="H578" s="236"/>
      <c r="I578" s="237"/>
      <c r="J578" s="238"/>
      <c r="K578" s="238"/>
      <c r="L578" s="238"/>
      <c r="M578" s="238"/>
      <c r="N578" s="238"/>
      <c r="O578" s="239"/>
      <c r="P578" s="240"/>
      <c r="Q578" s="240"/>
      <c r="R578" s="241"/>
      <c r="S578" s="241"/>
      <c r="T578" s="242"/>
      <c r="U578" s="242"/>
      <c r="V578" s="241"/>
      <c r="W578" s="241"/>
      <c r="X578" s="241"/>
      <c r="Y578" s="241"/>
      <c r="Z578" s="241"/>
      <c r="AA578" s="232"/>
      <c r="AB578" s="243"/>
      <c r="AC578" s="244"/>
      <c r="AD578" s="245"/>
      <c r="AE578" s="246"/>
      <c r="AF578" s="246"/>
      <c r="AG578" s="246"/>
      <c r="AH578" s="247"/>
      <c r="AI578" s="247"/>
      <c r="AJ578" s="243"/>
      <c r="AK578" s="243"/>
      <c r="AL578" s="246"/>
      <c r="AM578" s="239"/>
      <c r="AN578" s="232"/>
      <c r="AO578" s="235"/>
      <c r="AP578" s="248"/>
      <c r="AQ578" s="248"/>
      <c r="AR578" s="248"/>
      <c r="AS578" s="248"/>
      <c r="AT578" s="248"/>
      <c r="AU578" s="248"/>
      <c r="AV578" s="248"/>
      <c r="AW578" s="248"/>
      <c r="AX578" s="248"/>
      <c r="AY578" s="248"/>
      <c r="AZ578" s="248"/>
      <c r="BA578" s="248"/>
      <c r="BB578" s="248"/>
      <c r="BC578" s="248"/>
      <c r="BD578" s="248"/>
      <c r="BE578" s="248"/>
      <c r="BF578" s="248"/>
      <c r="BG578" s="248"/>
      <c r="BH578" s="248"/>
      <c r="BI578" s="248"/>
      <c r="BJ578" s="248"/>
      <c r="BK578" s="248"/>
      <c r="BL578" s="232"/>
      <c r="BM578" s="240"/>
      <c r="BN578" s="240"/>
      <c r="BO578" s="249"/>
      <c r="BP578" s="249"/>
      <c r="BQ578" s="249"/>
      <c r="BR578" s="250"/>
      <c r="BS578" s="250"/>
      <c r="BT578" s="250"/>
      <c r="BU578" s="251"/>
      <c r="BV578" s="251"/>
      <c r="BW578" s="243"/>
      <c r="BX578" s="243"/>
      <c r="BY578" s="252"/>
      <c r="BZ578" s="253"/>
      <c r="CA578" s="253"/>
      <c r="CB578" s="254"/>
      <c r="CC578" s="254"/>
      <c r="CD578" s="243"/>
      <c r="CE578" s="254"/>
      <c r="CF578" s="232"/>
    </row>
    <row r="579" spans="2:84" x14ac:dyDescent="0.3">
      <c r="B579" s="234"/>
      <c r="C579" s="234"/>
      <c r="D579" s="235"/>
      <c r="E579" s="235"/>
      <c r="F579" s="236"/>
      <c r="G579" s="236"/>
      <c r="H579" s="236"/>
      <c r="I579" s="237"/>
      <c r="J579" s="238"/>
      <c r="K579" s="238"/>
      <c r="L579" s="238"/>
      <c r="M579" s="238"/>
      <c r="N579" s="238"/>
      <c r="O579" s="239"/>
      <c r="P579" s="240"/>
      <c r="Q579" s="240"/>
      <c r="R579" s="241"/>
      <c r="S579" s="241"/>
      <c r="T579" s="242"/>
      <c r="U579" s="242"/>
      <c r="V579" s="241"/>
      <c r="W579" s="241"/>
      <c r="X579" s="241"/>
      <c r="Y579" s="241"/>
      <c r="Z579" s="241"/>
      <c r="AA579" s="232"/>
      <c r="AB579" s="243"/>
      <c r="AC579" s="244"/>
      <c r="AD579" s="245"/>
      <c r="AE579" s="246"/>
      <c r="AF579" s="246"/>
      <c r="AG579" s="246"/>
      <c r="AH579" s="247"/>
      <c r="AI579" s="247"/>
      <c r="AJ579" s="243"/>
      <c r="AK579" s="243"/>
      <c r="AL579" s="246"/>
      <c r="AM579" s="239"/>
      <c r="AN579" s="232"/>
      <c r="AO579" s="235"/>
      <c r="AP579" s="248"/>
      <c r="AQ579" s="248"/>
      <c r="AR579" s="248"/>
      <c r="AS579" s="248"/>
      <c r="AT579" s="248"/>
      <c r="AU579" s="248"/>
      <c r="AV579" s="248"/>
      <c r="AW579" s="248"/>
      <c r="AX579" s="248"/>
      <c r="AY579" s="248"/>
      <c r="AZ579" s="248"/>
      <c r="BA579" s="248"/>
      <c r="BB579" s="248"/>
      <c r="BC579" s="248"/>
      <c r="BD579" s="248"/>
      <c r="BE579" s="248"/>
      <c r="BF579" s="248"/>
      <c r="BG579" s="248"/>
      <c r="BH579" s="248"/>
      <c r="BI579" s="248"/>
      <c r="BJ579" s="248"/>
      <c r="BK579" s="248"/>
      <c r="BL579" s="232"/>
      <c r="BM579" s="240"/>
      <c r="BN579" s="240"/>
      <c r="BO579" s="249"/>
      <c r="BP579" s="249"/>
      <c r="BQ579" s="249"/>
      <c r="BR579" s="250"/>
      <c r="BS579" s="250"/>
      <c r="BT579" s="250"/>
      <c r="BU579" s="251"/>
      <c r="BV579" s="251"/>
      <c r="BW579" s="243"/>
      <c r="BX579" s="243"/>
      <c r="BY579" s="252"/>
      <c r="BZ579" s="253"/>
      <c r="CA579" s="253"/>
      <c r="CB579" s="254"/>
      <c r="CC579" s="254"/>
      <c r="CD579" s="243"/>
      <c r="CE579" s="254"/>
      <c r="CF579" s="232"/>
    </row>
    <row r="580" spans="2:84" x14ac:dyDescent="0.3">
      <c r="B580" s="234"/>
      <c r="C580" s="234"/>
      <c r="D580" s="235"/>
      <c r="E580" s="235"/>
      <c r="F580" s="236"/>
      <c r="G580" s="236"/>
      <c r="H580" s="236"/>
      <c r="I580" s="237"/>
      <c r="J580" s="238"/>
      <c r="K580" s="238"/>
      <c r="L580" s="238"/>
      <c r="M580" s="238"/>
      <c r="N580" s="238"/>
      <c r="O580" s="239"/>
      <c r="P580" s="240"/>
      <c r="Q580" s="240"/>
      <c r="R580" s="241"/>
      <c r="S580" s="241"/>
      <c r="T580" s="242"/>
      <c r="U580" s="242"/>
      <c r="V580" s="241"/>
      <c r="W580" s="241"/>
      <c r="X580" s="241"/>
      <c r="Y580" s="241"/>
      <c r="Z580" s="241"/>
      <c r="AA580" s="232"/>
      <c r="AB580" s="243"/>
      <c r="AC580" s="244"/>
      <c r="AD580" s="245"/>
      <c r="AE580" s="246"/>
      <c r="AF580" s="246"/>
      <c r="AG580" s="246"/>
      <c r="AH580" s="247"/>
      <c r="AI580" s="247"/>
      <c r="AJ580" s="243"/>
      <c r="AK580" s="243"/>
      <c r="AL580" s="246"/>
      <c r="AM580" s="239"/>
      <c r="AN580" s="232"/>
      <c r="AO580" s="235"/>
      <c r="AP580" s="248"/>
      <c r="AQ580" s="248"/>
      <c r="AR580" s="248"/>
      <c r="AS580" s="248"/>
      <c r="AT580" s="248"/>
      <c r="AU580" s="248"/>
      <c r="AV580" s="248"/>
      <c r="AW580" s="248"/>
      <c r="AX580" s="248"/>
      <c r="AY580" s="248"/>
      <c r="AZ580" s="248"/>
      <c r="BA580" s="248"/>
      <c r="BB580" s="248"/>
      <c r="BC580" s="248"/>
      <c r="BD580" s="248"/>
      <c r="BE580" s="248"/>
      <c r="BF580" s="248"/>
      <c r="BG580" s="248"/>
      <c r="BH580" s="248"/>
      <c r="BI580" s="248"/>
      <c r="BJ580" s="248"/>
      <c r="BK580" s="248"/>
      <c r="BL580" s="232"/>
      <c r="BM580" s="240"/>
      <c r="BN580" s="240"/>
      <c r="BO580" s="249"/>
      <c r="BP580" s="249"/>
      <c r="BQ580" s="249"/>
      <c r="BR580" s="250"/>
      <c r="BS580" s="250"/>
      <c r="BT580" s="250"/>
      <c r="BU580" s="251"/>
      <c r="BV580" s="251"/>
      <c r="BW580" s="243"/>
      <c r="BX580" s="243"/>
      <c r="BY580" s="252"/>
      <c r="BZ580" s="253"/>
      <c r="CA580" s="253"/>
      <c r="CB580" s="254"/>
      <c r="CC580" s="254"/>
      <c r="CD580" s="243"/>
      <c r="CE580" s="254"/>
      <c r="CF580" s="232"/>
    </row>
  </sheetData>
  <sortState xmlns:xlrd2="http://schemas.microsoft.com/office/spreadsheetml/2017/richdata2" ref="B9:CE190">
    <sortCondition ref="B9:B190"/>
  </sortState>
  <mergeCells count="27">
    <mergeCell ref="E5:Z5"/>
    <mergeCell ref="BM5:CE5"/>
    <mergeCell ref="AU6:AV6"/>
    <mergeCell ref="AW6:AX6"/>
    <mergeCell ref="AY6:AZ6"/>
    <mergeCell ref="BA6:BB6"/>
    <mergeCell ref="AQ6:AR6"/>
    <mergeCell ref="AY7:AZ7"/>
    <mergeCell ref="BM7:CE7"/>
    <mergeCell ref="BM6:CE6"/>
    <mergeCell ref="BI6:BJ6"/>
    <mergeCell ref="BI7:BJ7"/>
    <mergeCell ref="BE6:BF6"/>
    <mergeCell ref="BC6:BD6"/>
    <mergeCell ref="AS6:AT6"/>
    <mergeCell ref="AO7:AP7"/>
    <mergeCell ref="AQ7:AR7"/>
    <mergeCell ref="BG6:BH6"/>
    <mergeCell ref="BA7:BB7"/>
    <mergeCell ref="BC7:BD7"/>
    <mergeCell ref="BE7:BF7"/>
    <mergeCell ref="BG7:BH7"/>
    <mergeCell ref="AB5:AM5"/>
    <mergeCell ref="AS7:AT7"/>
    <mergeCell ref="AO6:AP6"/>
    <mergeCell ref="AU7:AV7"/>
    <mergeCell ref="AW7:AX7"/>
  </mergeCells>
  <dataValidations count="2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Y9:AY200 AO9:AO200 AQ9:AQ200 BA9:BA200 BE9:BE200 BI9:BI200 AW9:AW200 BC9:BC200 AS9:AS200 BG9:BG200 AU9:AU200 D12:D200 D9:D10 AB9:AH200 E9:Y200 Z9:Z397" xr:uid="{00000000-0002-0000-0000-000000000000}">
      <formula1>"FALSE"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BK9:BK200 AI9:AI200 BM9:CE200 AK9:AL200" xr:uid="{00000000-0002-0000-0000-000001000000}">
      <formula1>FALSE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Base!$C$5:$C$12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7">
    <tabColor rgb="FF023A4A"/>
  </sheetPr>
  <dimension ref="A1:AK316"/>
  <sheetViews>
    <sheetView showGridLines="0" zoomScale="80" zoomScaleNormal="80" workbookViewId="0"/>
  </sheetViews>
  <sheetFormatPr defaultRowHeight="14.4" x14ac:dyDescent="0.3"/>
  <cols>
    <col min="1" max="1" width="2.88671875" customWidth="1"/>
    <col min="2" max="2" width="19.6640625" bestFit="1" customWidth="1"/>
    <col min="3" max="3" width="44.5546875" bestFit="1" customWidth="1"/>
    <col min="4" max="4" width="56.5546875" bestFit="1" customWidth="1"/>
    <col min="5" max="18" width="17.5546875" customWidth="1"/>
    <col min="19" max="19" width="2.5546875" customWidth="1"/>
    <col min="20" max="25" width="17.5546875" customWidth="1"/>
    <col min="26" max="26" width="2.88671875" customWidth="1"/>
    <col min="27" max="36" width="17.5546875" customWidth="1"/>
    <col min="37" max="37" width="18.21875" customWidth="1"/>
  </cols>
  <sheetData>
    <row r="1" spans="1:37" s="3" customFormat="1" ht="60" customHeight="1" x14ac:dyDescent="0.3">
      <c r="A1" s="30"/>
      <c r="B1" s="40"/>
      <c r="C1" s="40"/>
      <c r="D1" s="76" t="s">
        <v>2871</v>
      </c>
      <c r="F1" s="59"/>
      <c r="G1" s="59"/>
      <c r="H1" s="59"/>
      <c r="I1" s="60"/>
      <c r="J1" s="61"/>
      <c r="K1" s="61"/>
      <c r="L1" s="43"/>
      <c r="M1" s="43"/>
      <c r="N1" s="43"/>
      <c r="O1" s="46"/>
      <c r="P1" s="44"/>
      <c r="Q1" s="44"/>
      <c r="R1" s="45"/>
      <c r="S1" s="45"/>
      <c r="T1" s="63"/>
      <c r="U1" s="63"/>
      <c r="V1" s="45"/>
      <c r="W1" s="45"/>
      <c r="X1" s="45"/>
      <c r="Y1" s="45"/>
      <c r="Z1" s="45"/>
      <c r="AA1"/>
      <c r="AB1" s="31"/>
      <c r="AC1" s="47"/>
      <c r="AD1" s="48"/>
      <c r="AE1" s="66"/>
      <c r="AF1" s="66"/>
      <c r="AG1" s="66"/>
      <c r="AH1" s="19"/>
      <c r="AI1" s="19"/>
      <c r="AJ1" s="31"/>
      <c r="AK1" s="31"/>
    </row>
    <row r="2" spans="1:37" ht="17.100000000000001" customHeight="1" x14ac:dyDescent="0.3">
      <c r="B2" s="78" t="s">
        <v>2182</v>
      </c>
      <c r="C2" s="79">
        <f>IF(C3="",MAX(E:E),C3)</f>
        <v>45473</v>
      </c>
      <c r="D2" s="77" t="s">
        <v>2860</v>
      </c>
      <c r="E2" s="37"/>
      <c r="F2" s="12"/>
      <c r="H2" s="1"/>
      <c r="I2" s="1"/>
      <c r="J2" s="1"/>
    </row>
    <row r="3" spans="1:37" ht="17.100000000000001" customHeight="1" x14ac:dyDescent="0.3">
      <c r="B3" s="80" t="s">
        <v>2183</v>
      </c>
      <c r="C3" s="82"/>
      <c r="D3" s="77" t="s">
        <v>2863</v>
      </c>
      <c r="E3" s="37"/>
      <c r="F3" s="12"/>
      <c r="G3" s="1"/>
      <c r="H3" s="1"/>
      <c r="I3" s="1"/>
      <c r="J3" s="1"/>
    </row>
    <row r="4" spans="1:37" ht="17.100000000000001" customHeight="1" x14ac:dyDescent="0.3">
      <c r="B4" s="81" t="s">
        <v>2184</v>
      </c>
      <c r="C4" s="83" t="str">
        <f>CHOOSE(ROUNDUP(MONTH($C$2)/3,0),"&lt;MAR/","&lt;JUN/","&lt;SEP/","&lt;DEC/")&amp;YEAR($C$2)</f>
        <v>&lt;JUN/2024</v>
      </c>
      <c r="D4" s="77" t="s">
        <v>2860</v>
      </c>
      <c r="E4" s="1"/>
      <c r="F4" s="12"/>
      <c r="G4" s="1"/>
      <c r="H4" s="1"/>
      <c r="I4" s="1"/>
      <c r="J4" s="1"/>
    </row>
    <row r="5" spans="1:37" ht="17.100000000000001" customHeight="1" x14ac:dyDescent="0.3">
      <c r="B5" s="80" t="s">
        <v>2185</v>
      </c>
      <c r="C5" s="82" t="s">
        <v>448</v>
      </c>
      <c r="D5" s="278" t="s">
        <v>2875</v>
      </c>
      <c r="E5" s="12"/>
      <c r="F5" s="12"/>
      <c r="G5" s="1"/>
      <c r="H5" s="1"/>
      <c r="I5" s="1"/>
      <c r="J5" s="1"/>
    </row>
    <row r="6" spans="1:37" ht="17.100000000000001" customHeight="1" x14ac:dyDescent="0.3">
      <c r="B6" s="81" t="s">
        <v>2186</v>
      </c>
      <c r="C6" s="83" t="s">
        <v>237</v>
      </c>
      <c r="D6" s="278" t="s">
        <v>2874</v>
      </c>
      <c r="E6" s="1"/>
      <c r="F6" s="12"/>
      <c r="G6" s="1"/>
      <c r="H6" s="1"/>
      <c r="I6" s="1"/>
      <c r="J6" s="1"/>
    </row>
    <row r="7" spans="1:37" ht="17.100000000000001" customHeight="1" x14ac:dyDescent="0.3">
      <c r="E7" s="1"/>
      <c r="F7" s="12"/>
      <c r="G7" s="1"/>
      <c r="H7" s="1"/>
      <c r="I7" s="1"/>
      <c r="J7" s="1"/>
    </row>
    <row r="8" spans="1:37" x14ac:dyDescent="0.3">
      <c r="B8" s="31"/>
      <c r="C8" s="31"/>
      <c r="D8" s="3"/>
      <c r="E8" s="12"/>
      <c r="F8" s="12"/>
      <c r="G8" s="1"/>
      <c r="H8" s="1"/>
      <c r="I8" s="1"/>
      <c r="J8" s="1"/>
    </row>
    <row r="9" spans="1:37" s="3" customFormat="1" ht="47.4" thickBot="1" x14ac:dyDescent="0.35">
      <c r="B9" s="84" t="str">
        <f>_xll.ECOSECURITIES("corporatebond","ACTIVE","true","BRA",,,,"Tipo de debênture=IPCA Spread")</f>
        <v>Código</v>
      </c>
      <c r="C9" s="85" t="str">
        <f>_xll.ECONOMATICA($B$10:$B$300,"name")</f>
        <v>Nome</v>
      </c>
      <c r="D9" s="85" t="str">
        <f>_xll.ECONOMATICA($B$10:$B$300,"Sector NAICS",,,,,,,,,"Setor NAICS")</f>
        <v>Setor NAICS</v>
      </c>
      <c r="E9" s="85" t="str">
        <f>_xll.ECONOMATICA(B10:B200,"Fin Statm Date",,,,,,,,,"Último Balanço")</f>
        <v>Último Balanço</v>
      </c>
      <c r="F9" s="85" t="str">
        <f>_xll.ECONOMATICA(B10:B200,"Fin Statm Date",,C4,,,,,,,"Data do Balanço do Relatório")</f>
        <v>Data do Balanço do Relatório</v>
      </c>
      <c r="G9" s="85" t="str">
        <f>_xll.ECONOMATICA($B$10:$B$300,"Total Assets",,$C$4,,,$C$5,$C$6,,,"Ativo Total")</f>
        <v>Ativo Total</v>
      </c>
      <c r="H9" s="85" t="str">
        <f>_xll.ECONOMATICA($B$10:$B$300,"Curr Assets",,$C$4,,,$C$5,$C$6,,,"Ativo Circulante")</f>
        <v>Ativo Circulante</v>
      </c>
      <c r="I9" s="85" t="str">
        <f>_xll.ECONOMATICA($B$10:$B$300,"Curr Liab",,$C$4,,,$C$5,$C$6,,,"Passivo Circulante")</f>
        <v>Passivo Circulante</v>
      </c>
      <c r="J9" s="85" t="str">
        <f>_xll.ECONOMATICA($B$10:$B$300,"WorkCap",,$C$4,,,$C$5,$C$6,,,"Capital de Giro")</f>
        <v>Capital de Giro</v>
      </c>
      <c r="K9" s="85" t="str">
        <f>_xll.ECONOMATICA($B$10:$B$300,"CurrRatio",,$C$4,,,,,,,"Liquidez Corrente")</f>
        <v>Liquidez Corrente</v>
      </c>
      <c r="L9" s="85" t="str">
        <f>_xll.ECONOMATICA($B$10:$B$300,"Inventories",,$C$4,,,$C$5,$C$6,,,"Estoques")</f>
        <v>Estoques</v>
      </c>
      <c r="M9" s="85" t="str">
        <f>_xll.ECONOMATICA($B$10:$B$300,"QuickRatio",,$C$4,,,,,,,"Liquidez Seca")</f>
        <v>Liquidez Seca</v>
      </c>
      <c r="N9" s="85" t="str">
        <f>_xll.ECONOMATICA($B$10:$B$300,"InventTurn",,$C$4,,,,,,,"Prazo Médio Estoque")</f>
        <v>Prazo Médio Estoque</v>
      </c>
      <c r="O9" s="85" t="str">
        <f>_xll.ECONOMATICA($B$10:$B$300,"SupplierTurn",,$C$4,,,,,,,"Prazo Médio Pagamento")</f>
        <v>Prazo Médio Pagamento</v>
      </c>
      <c r="P9" s="85" t="str">
        <f>_xll.ECONOMATICA($B$10:$B$300,"ReceivabTurn",,$C$4,,,,,,,"Prazo Médio Recebimento")</f>
        <v>Prazo Médio Recebimento</v>
      </c>
      <c r="Q9" s="85" t="str">
        <f>_xll.ECONOMATICA($B$10:$B$300,"OperatTurn",,$C$4,,,,,,,"Ciclo Operacional")</f>
        <v>Ciclo Operacional</v>
      </c>
      <c r="R9" s="86" t="str">
        <f>_xll.ECONOMATICA($B$10:$B$300,"FinancTurn",,$C$4,,,,,,,"Ciclo Financeiro")</f>
        <v>Ciclo Financeiro</v>
      </c>
      <c r="S9" s="279"/>
      <c r="T9" s="281" t="str">
        <f>_xll.ECONOMATICA($B$10:$B$300,"TtDebtGr",,$C$4,,,$C$5,$C$6,,,"Dívida Total Bruta")</f>
        <v>Dívida Total Bruta</v>
      </c>
      <c r="U9" s="85" t="str">
        <f>_xll.ECONOMATICA($B$10:$B$300,"TtNetDebt",,$C$4,,,$C$5,$C$6,,,"Dívida Total Líquida")</f>
        <v>Dívida Total Líquida</v>
      </c>
      <c r="V9" s="85" t="str">
        <f>_xll.ECONOMATICA($B$10:$B$300,"DebtGr/Assets",,$C$4,,,,"decimal",,,"Dívida Bruta / Ativo Total")</f>
        <v>Dívida Bruta / Ativo Total</v>
      </c>
      <c r="W9" s="85" t="str">
        <f>_xll.ECONOMATICA($B$10:$B$300,"DebtGr/StkEq",,$C$4,,,,"decimal",,,"Dívida Bruta / Patr. Líquido")</f>
        <v>Dívida Bruta / Patr. Líquido</v>
      </c>
      <c r="X9" s="85" t="str">
        <f>_xll.ECONOMATICA($B$10:$B$300,"EBIT/DebtGr",,$C$4,,,,"decimal",,,"EBIT / Dívida Bruta")</f>
        <v>EBIT / Dívida Bruta</v>
      </c>
      <c r="Y9" s="86" t="str">
        <f>_xll.ECONOMATICA($B$10:$B$300,"DebtST/DebtTt",,$C$4,,,,"decimal",,,"% Dívida no CP")</f>
        <v>% Dívida no CP</v>
      </c>
      <c r="Z9" s="279"/>
      <c r="AA9" s="281" t="str">
        <f>_xll.ECONOMATICA($B$10:$B$300,"Stock Eq Par",,$C$4,,,$C$5,$C$6,,,"Patrimônio Líquido")</f>
        <v>Patrimônio Líquido</v>
      </c>
      <c r="AB9" s="85" t="str">
        <f>_xll.ECONOMATICA($B$10:$B$300,"MinInt",,$C$4,,,$C$5,$C$6,,,"Part. Acionistas Minoritários")</f>
        <v>Part. Acionistas Minoritários</v>
      </c>
      <c r="AC9" s="85" t="str">
        <f>_xll.ECONOMATICA($B$10:$B$300,"Capital Stock",,$C$4,,,$C$5,$C$6,,,"Capital Social")</f>
        <v>Capital Social</v>
      </c>
      <c r="AD9" s="85" t="str">
        <f>_xll.ECONOMATICA($B$10:$B$300,"Retained Earn",,$C$4,,,$C$5,$C$6,,,"Lucros Acumulados")</f>
        <v>Lucros Acumulados</v>
      </c>
      <c r="AE9" s="85" t="str">
        <f>_xll.ECONOMATICA($B$10:$B$300,"EarRes",,$C$4,,,$C$5,$C$6,,,"Reserva de Lucros")</f>
        <v>Reserva de Lucros</v>
      </c>
      <c r="AF9" s="85" t="str">
        <f>_xll.ECONOMATICA($B$10:$B$300,"Capital Reserv",,$C$4,,,$C$5,$C$6,,,"Reservas de Capital")</f>
        <v>Reservas de Capital</v>
      </c>
      <c r="AG9" s="85" t="str">
        <f>_xll.ECONOMATICA($B$10:$B$300,"RevaRs",,$C$4,,,$C$5,$C$6,,,"Reservas de Reavaliação")</f>
        <v>Reservas de Reavaliação</v>
      </c>
      <c r="AH9" s="85" t="str">
        <f>_xll.ECONOMATICA($B$10:$B$300,"AjAvalPatr",,$C$4,,,$C$5,$C$6,,,"Ajustes Avaliação Patrimonial")</f>
        <v>Ajustes Avaliação Patrimonial</v>
      </c>
      <c r="AI9" s="85" t="str">
        <f>_xll.ECONOMATICA($B$10:$B$300,"AjAcumConv",,$C$4,,,$C$5,$C$6,,,"Ajustes Acumul. De Conversão")</f>
        <v>Ajustes Acumul. De Conversão</v>
      </c>
      <c r="AJ9" s="86" t="str">
        <f>_xll.ECONOMATICA($B$10:$B$300,"OtCoIn",,$C$4,,,$C$5,$C$6,,,"Outros Result. Abrangentes")</f>
        <v>Outros Result. Abrangentes</v>
      </c>
    </row>
    <row r="10" spans="1:37" ht="16.2" thickTop="1" x14ac:dyDescent="0.3">
      <c r="B10" s="282" t="s">
        <v>1089</v>
      </c>
      <c r="C10" s="118" t="s">
        <v>1130</v>
      </c>
      <c r="D10" s="285" t="s">
        <v>1147</v>
      </c>
      <c r="E10" s="286"/>
      <c r="F10" s="286"/>
      <c r="G10" s="287"/>
      <c r="H10" s="287"/>
      <c r="I10" s="287"/>
      <c r="J10" s="287"/>
      <c r="K10" s="288"/>
      <c r="L10" s="287"/>
      <c r="M10" s="288"/>
      <c r="N10" s="289"/>
      <c r="O10" s="289"/>
      <c r="P10" s="289"/>
      <c r="Q10" s="289"/>
      <c r="R10" s="290"/>
      <c r="S10" s="115"/>
      <c r="T10" s="291"/>
      <c r="U10" s="292"/>
      <c r="V10" s="293"/>
      <c r="W10" s="293"/>
      <c r="X10" s="293"/>
      <c r="Y10" s="294"/>
      <c r="Z10" s="115"/>
      <c r="AA10" s="291"/>
      <c r="AB10" s="292"/>
      <c r="AC10" s="292"/>
      <c r="AD10" s="292"/>
      <c r="AE10" s="292"/>
      <c r="AF10" s="292"/>
      <c r="AG10" s="292"/>
      <c r="AH10" s="292"/>
      <c r="AI10" s="292"/>
      <c r="AJ10" s="295"/>
    </row>
    <row r="11" spans="1:37" ht="15.6" x14ac:dyDescent="0.3">
      <c r="B11" s="306" t="s">
        <v>488</v>
      </c>
      <c r="C11" s="148" t="s">
        <v>608</v>
      </c>
      <c r="D11" s="307" t="s">
        <v>231</v>
      </c>
      <c r="E11" s="308">
        <v>45473</v>
      </c>
      <c r="F11" s="308">
        <v>45473</v>
      </c>
      <c r="G11" s="309">
        <v>35962566</v>
      </c>
      <c r="H11" s="309">
        <v>8044280</v>
      </c>
      <c r="I11" s="309">
        <v>4616225</v>
      </c>
      <c r="J11" s="309">
        <v>3428055</v>
      </c>
      <c r="K11" s="310">
        <v>1.7426100331000001</v>
      </c>
      <c r="L11" s="309">
        <v>213479</v>
      </c>
      <c r="M11" s="310">
        <v>1.6963646702999999</v>
      </c>
      <c r="N11" s="311">
        <v>12.213894823</v>
      </c>
      <c r="O11" s="311">
        <v>37.609108654000003</v>
      </c>
      <c r="P11" s="311">
        <v>49.059806674000001</v>
      </c>
      <c r="Q11" s="311">
        <v>61.273701496999998</v>
      </c>
      <c r="R11" s="312">
        <v>23.664592843000001</v>
      </c>
      <c r="S11" s="115"/>
      <c r="T11" s="313">
        <v>19861911</v>
      </c>
      <c r="U11" s="314">
        <v>14740558</v>
      </c>
      <c r="V11" s="315">
        <v>0.55229404376000002</v>
      </c>
      <c r="W11" s="315">
        <v>1.9534608631999999</v>
      </c>
      <c r="X11" s="315">
        <v>0.11808340093</v>
      </c>
      <c r="Y11" s="316">
        <v>0.11044692527</v>
      </c>
      <c r="Z11" s="115"/>
      <c r="AA11" s="313">
        <v>5327748</v>
      </c>
      <c r="AB11" s="314">
        <v>4839802</v>
      </c>
      <c r="AC11" s="314">
        <v>1215939</v>
      </c>
      <c r="AD11" s="314">
        <v>10121</v>
      </c>
      <c r="AE11" s="314">
        <v>823249</v>
      </c>
      <c r="AF11" s="314">
        <v>3497160</v>
      </c>
      <c r="AG11" s="314">
        <v>0</v>
      </c>
      <c r="AH11" s="314">
        <v>-221453</v>
      </c>
      <c r="AI11" s="314">
        <v>2732</v>
      </c>
      <c r="AJ11" s="317">
        <v>0</v>
      </c>
    </row>
    <row r="12" spans="1:37" ht="15.6" x14ac:dyDescent="0.3">
      <c r="B12" s="283" t="s">
        <v>396</v>
      </c>
      <c r="C12" s="176" t="s">
        <v>609</v>
      </c>
      <c r="D12" s="296" t="s">
        <v>226</v>
      </c>
      <c r="E12" s="297">
        <v>45473</v>
      </c>
      <c r="F12" s="297">
        <v>45473</v>
      </c>
      <c r="G12" s="284">
        <v>20299813</v>
      </c>
      <c r="H12" s="284">
        <v>3405914</v>
      </c>
      <c r="I12" s="284">
        <v>4407045</v>
      </c>
      <c r="J12" s="284">
        <v>-1001131</v>
      </c>
      <c r="K12" s="298">
        <v>0.77283395108999997</v>
      </c>
      <c r="L12" s="284">
        <v>0</v>
      </c>
      <c r="M12" s="298">
        <v>0.77283395108999997</v>
      </c>
      <c r="N12" s="299">
        <v>0</v>
      </c>
      <c r="O12" s="299">
        <v>55.564490431000003</v>
      </c>
      <c r="P12" s="299">
        <v>39.012453710999999</v>
      </c>
      <c r="Q12" s="299">
        <v>39.012453710999999</v>
      </c>
      <c r="R12" s="300">
        <v>-16.55203672</v>
      </c>
      <c r="S12" s="115"/>
      <c r="T12" s="301">
        <v>12191010</v>
      </c>
      <c r="U12" s="302">
        <v>10016791</v>
      </c>
      <c r="V12" s="303">
        <v>0.60054789666999997</v>
      </c>
      <c r="W12" s="303">
        <v>2.2957385657999998</v>
      </c>
      <c r="X12" s="303">
        <v>2.5435874468000001E-2</v>
      </c>
      <c r="Y12" s="304">
        <v>0.26187715373999998</v>
      </c>
      <c r="Z12" s="115"/>
      <c r="AA12" s="301">
        <v>4262700</v>
      </c>
      <c r="AB12" s="302">
        <v>1047578</v>
      </c>
      <c r="AC12" s="302">
        <v>2196958</v>
      </c>
      <c r="AD12" s="302">
        <v>-220597</v>
      </c>
      <c r="AE12" s="302">
        <v>1231057</v>
      </c>
      <c r="AF12" s="302">
        <v>1259136</v>
      </c>
      <c r="AG12" s="302">
        <v>0</v>
      </c>
      <c r="AH12" s="302">
        <v>0</v>
      </c>
      <c r="AI12" s="302">
        <v>0</v>
      </c>
      <c r="AJ12" s="305">
        <v>-203854</v>
      </c>
    </row>
    <row r="13" spans="1:37" ht="15.6" x14ac:dyDescent="0.3">
      <c r="B13" s="306" t="s">
        <v>1389</v>
      </c>
      <c r="C13" s="148" t="s">
        <v>1889</v>
      </c>
      <c r="D13" s="307" t="s">
        <v>104</v>
      </c>
      <c r="E13" s="308"/>
      <c r="F13" s="308"/>
      <c r="G13" s="309"/>
      <c r="H13" s="309"/>
      <c r="I13" s="309"/>
      <c r="J13" s="309"/>
      <c r="K13" s="310"/>
      <c r="L13" s="309"/>
      <c r="M13" s="310"/>
      <c r="N13" s="311"/>
      <c r="O13" s="311"/>
      <c r="P13" s="311"/>
      <c r="Q13" s="311"/>
      <c r="R13" s="312"/>
      <c r="S13" s="115"/>
      <c r="T13" s="313"/>
      <c r="U13" s="314"/>
      <c r="V13" s="315"/>
      <c r="W13" s="315"/>
      <c r="X13" s="315"/>
      <c r="Y13" s="316"/>
      <c r="Z13" s="115"/>
      <c r="AA13" s="313"/>
      <c r="AB13" s="314"/>
      <c r="AC13" s="314"/>
      <c r="AD13" s="314"/>
      <c r="AE13" s="314"/>
      <c r="AF13" s="314"/>
      <c r="AG13" s="314"/>
      <c r="AH13" s="314"/>
      <c r="AI13" s="314"/>
      <c r="AJ13" s="317"/>
    </row>
    <row r="14" spans="1:37" ht="15.6" x14ac:dyDescent="0.3">
      <c r="B14" s="283" t="s">
        <v>491</v>
      </c>
      <c r="C14" s="176" t="s">
        <v>610</v>
      </c>
      <c r="D14" s="296" t="s">
        <v>226</v>
      </c>
      <c r="E14" s="297">
        <v>45473</v>
      </c>
      <c r="F14" s="297">
        <v>45473</v>
      </c>
      <c r="G14" s="284">
        <v>18428058</v>
      </c>
      <c r="H14" s="284">
        <v>3504668</v>
      </c>
      <c r="I14" s="284">
        <v>3350860</v>
      </c>
      <c r="J14" s="284">
        <v>153808</v>
      </c>
      <c r="K14" s="298">
        <v>1.0459010523000001</v>
      </c>
      <c r="L14" s="284">
        <v>22552</v>
      </c>
      <c r="M14" s="298">
        <v>1.0391708396999999</v>
      </c>
      <c r="N14" s="299">
        <v>1.1059772236000001</v>
      </c>
      <c r="O14" s="299">
        <v>46.33520807</v>
      </c>
      <c r="P14" s="299">
        <v>52.271090483999998</v>
      </c>
      <c r="Q14" s="299">
        <v>53.377067707999998</v>
      </c>
      <c r="R14" s="300">
        <v>7.0418596382</v>
      </c>
      <c r="S14" s="115"/>
      <c r="T14" s="301">
        <v>8561720</v>
      </c>
      <c r="U14" s="302">
        <v>7766338</v>
      </c>
      <c r="V14" s="303">
        <v>0.46460240139999998</v>
      </c>
      <c r="W14" s="303">
        <v>1.6430575763999999</v>
      </c>
      <c r="X14" s="303">
        <v>0.14452353032000001</v>
      </c>
      <c r="Y14" s="304">
        <v>0.15076993875</v>
      </c>
      <c r="Z14" s="115"/>
      <c r="AA14" s="301">
        <v>5210846</v>
      </c>
      <c r="AB14" s="302">
        <v>0</v>
      </c>
      <c r="AC14" s="302">
        <v>2864105</v>
      </c>
      <c r="AD14" s="302">
        <v>494311</v>
      </c>
      <c r="AE14" s="302">
        <v>1756862</v>
      </c>
      <c r="AF14" s="302">
        <v>141391</v>
      </c>
      <c r="AG14" s="302">
        <v>0</v>
      </c>
      <c r="AH14" s="302">
        <v>0</v>
      </c>
      <c r="AI14" s="302">
        <v>0</v>
      </c>
      <c r="AJ14" s="305">
        <v>-45823</v>
      </c>
    </row>
    <row r="15" spans="1:37" ht="15.6" x14ac:dyDescent="0.3">
      <c r="B15" s="306" t="s">
        <v>1391</v>
      </c>
      <c r="C15" s="148" t="s">
        <v>1890</v>
      </c>
      <c r="D15" s="307" t="s">
        <v>104</v>
      </c>
      <c r="E15" s="308"/>
      <c r="F15" s="308"/>
      <c r="G15" s="309"/>
      <c r="H15" s="309"/>
      <c r="I15" s="309"/>
      <c r="J15" s="309"/>
      <c r="K15" s="310"/>
      <c r="L15" s="309"/>
      <c r="M15" s="310"/>
      <c r="N15" s="311"/>
      <c r="O15" s="311"/>
      <c r="P15" s="311"/>
      <c r="Q15" s="311"/>
      <c r="R15" s="312"/>
      <c r="S15" s="115"/>
      <c r="T15" s="313"/>
      <c r="U15" s="314"/>
      <c r="V15" s="315"/>
      <c r="W15" s="315"/>
      <c r="X15" s="315"/>
      <c r="Y15" s="316"/>
      <c r="Z15" s="115"/>
      <c r="AA15" s="313"/>
      <c r="AB15" s="314"/>
      <c r="AC15" s="314"/>
      <c r="AD15" s="314"/>
      <c r="AE15" s="314"/>
      <c r="AF15" s="314"/>
      <c r="AG15" s="314"/>
      <c r="AH15" s="314"/>
      <c r="AI15" s="314"/>
      <c r="AJ15" s="317"/>
    </row>
    <row r="16" spans="1:37" ht="15.6" x14ac:dyDescent="0.3">
      <c r="B16" s="283" t="s">
        <v>1392</v>
      </c>
      <c r="C16" s="176" t="s">
        <v>1891</v>
      </c>
      <c r="D16" s="296" t="s">
        <v>1147</v>
      </c>
      <c r="E16" s="297"/>
      <c r="F16" s="297"/>
      <c r="G16" s="284"/>
      <c r="H16" s="284"/>
      <c r="I16" s="284"/>
      <c r="J16" s="284"/>
      <c r="K16" s="298"/>
      <c r="L16" s="284"/>
      <c r="M16" s="298"/>
      <c r="N16" s="299"/>
      <c r="O16" s="299"/>
      <c r="P16" s="299"/>
      <c r="Q16" s="299"/>
      <c r="R16" s="300"/>
      <c r="S16" s="115"/>
      <c r="T16" s="301"/>
      <c r="U16" s="302"/>
      <c r="V16" s="303"/>
      <c r="W16" s="303"/>
      <c r="X16" s="303"/>
      <c r="Y16" s="304"/>
      <c r="Z16" s="115"/>
      <c r="AA16" s="301"/>
      <c r="AB16" s="302"/>
      <c r="AC16" s="302"/>
      <c r="AD16" s="302"/>
      <c r="AE16" s="302"/>
      <c r="AF16" s="302"/>
      <c r="AG16" s="302"/>
      <c r="AH16" s="302"/>
      <c r="AI16" s="302"/>
      <c r="AJ16" s="305"/>
    </row>
    <row r="17" spans="2:36" ht="15.6" x14ac:dyDescent="0.3">
      <c r="B17" s="306" t="s">
        <v>1396</v>
      </c>
      <c r="C17" s="148" t="s">
        <v>1893</v>
      </c>
      <c r="D17" s="307" t="s">
        <v>231</v>
      </c>
      <c r="E17" s="308">
        <v>45473</v>
      </c>
      <c r="F17" s="308">
        <v>45473</v>
      </c>
      <c r="G17" s="309">
        <v>13133050</v>
      </c>
      <c r="H17" s="309">
        <v>1794436</v>
      </c>
      <c r="I17" s="309">
        <v>2498411</v>
      </c>
      <c r="J17" s="309">
        <v>-703975</v>
      </c>
      <c r="K17" s="310">
        <v>0.71823090756999997</v>
      </c>
      <c r="L17" s="309">
        <v>12176</v>
      </c>
      <c r="M17" s="310">
        <v>0.71335740996999997</v>
      </c>
      <c r="N17" s="311">
        <v>2.9796640863000001</v>
      </c>
      <c r="O17" s="311">
        <v>81.207592727000005</v>
      </c>
      <c r="P17" s="311">
        <v>95.120487064000002</v>
      </c>
      <c r="Q17" s="311">
        <v>98.100151150000002</v>
      </c>
      <c r="R17" s="312">
        <v>16.892558423000001</v>
      </c>
      <c r="S17" s="115"/>
      <c r="T17" s="313">
        <v>6221314</v>
      </c>
      <c r="U17" s="314">
        <v>5116795</v>
      </c>
      <c r="V17" s="315">
        <v>0.47371433140000002</v>
      </c>
      <c r="W17" s="315">
        <v>1.5435623104</v>
      </c>
      <c r="X17" s="315">
        <v>1.8647186109E-2</v>
      </c>
      <c r="Y17" s="316">
        <v>1.7734356440000001E-2</v>
      </c>
      <c r="Z17" s="115"/>
      <c r="AA17" s="313">
        <v>4030491</v>
      </c>
      <c r="AB17" s="314">
        <v>0</v>
      </c>
      <c r="AC17" s="314">
        <v>3979128</v>
      </c>
      <c r="AD17" s="314">
        <v>14543</v>
      </c>
      <c r="AE17" s="314">
        <v>36820</v>
      </c>
      <c r="AF17" s="314">
        <v>0</v>
      </c>
      <c r="AG17" s="314">
        <v>0</v>
      </c>
      <c r="AH17" s="314">
        <v>0</v>
      </c>
      <c r="AI17" s="314">
        <v>0</v>
      </c>
      <c r="AJ17" s="317">
        <v>0</v>
      </c>
    </row>
    <row r="18" spans="2:36" ht="15.6" x14ac:dyDescent="0.3">
      <c r="B18" s="283" t="s">
        <v>1398</v>
      </c>
      <c r="C18" s="176" t="s">
        <v>1894</v>
      </c>
      <c r="D18" s="296" t="s">
        <v>231</v>
      </c>
      <c r="E18" s="297">
        <v>45473</v>
      </c>
      <c r="F18" s="297">
        <v>45473</v>
      </c>
      <c r="G18" s="284">
        <v>15624192</v>
      </c>
      <c r="H18" s="284">
        <v>4248347</v>
      </c>
      <c r="I18" s="284">
        <v>2846549</v>
      </c>
      <c r="J18" s="284">
        <v>1401798</v>
      </c>
      <c r="K18" s="298">
        <v>1.4924552501999999</v>
      </c>
      <c r="L18" s="284">
        <v>9016</v>
      </c>
      <c r="M18" s="298">
        <v>1.4892879062</v>
      </c>
      <c r="N18" s="299">
        <v>1.0744845668</v>
      </c>
      <c r="O18" s="299">
        <v>104.0125134</v>
      </c>
      <c r="P18" s="299">
        <v>115.16046059</v>
      </c>
      <c r="Q18" s="299">
        <v>116.23494516</v>
      </c>
      <c r="R18" s="300">
        <v>12.222431756000001</v>
      </c>
      <c r="S18" s="115"/>
      <c r="T18" s="301">
        <v>6762819</v>
      </c>
      <c r="U18" s="302">
        <v>4493137</v>
      </c>
      <c r="V18" s="303">
        <v>0.43284279917000001</v>
      </c>
      <c r="W18" s="303">
        <v>1.4933575498</v>
      </c>
      <c r="X18" s="303">
        <v>7.8080900879000006E-2</v>
      </c>
      <c r="Y18" s="304">
        <v>1.4223358631999999E-2</v>
      </c>
      <c r="Z18" s="115"/>
      <c r="AA18" s="301">
        <v>4528600</v>
      </c>
      <c r="AB18" s="302">
        <v>0</v>
      </c>
      <c r="AC18" s="302">
        <v>4055793</v>
      </c>
      <c r="AD18" s="302">
        <v>246017</v>
      </c>
      <c r="AE18" s="302">
        <v>226790</v>
      </c>
      <c r="AF18" s="302">
        <v>0</v>
      </c>
      <c r="AG18" s="302">
        <v>0</v>
      </c>
      <c r="AH18" s="302">
        <v>0</v>
      </c>
      <c r="AI18" s="302">
        <v>0</v>
      </c>
      <c r="AJ18" s="305">
        <v>0</v>
      </c>
    </row>
    <row r="19" spans="2:36" ht="15.6" x14ac:dyDescent="0.3">
      <c r="B19" s="306" t="s">
        <v>2205</v>
      </c>
      <c r="C19" s="148" t="s">
        <v>2784</v>
      </c>
      <c r="D19" s="307" t="s">
        <v>231</v>
      </c>
      <c r="E19" s="308">
        <v>45473</v>
      </c>
      <c r="F19" s="308">
        <v>45473</v>
      </c>
      <c r="G19" s="309">
        <v>1411431</v>
      </c>
      <c r="H19" s="309">
        <v>64157</v>
      </c>
      <c r="I19" s="309">
        <v>217293</v>
      </c>
      <c r="J19" s="309">
        <v>-153136</v>
      </c>
      <c r="K19" s="310">
        <v>0.29525571463</v>
      </c>
      <c r="L19" s="309">
        <v>11402</v>
      </c>
      <c r="M19" s="310">
        <v>0.24278278638</v>
      </c>
      <c r="N19" s="311">
        <v>27.316722567999999</v>
      </c>
      <c r="O19" s="311">
        <v>21.897460469999999</v>
      </c>
      <c r="P19" s="311">
        <v>51.182971520000002</v>
      </c>
      <c r="Q19" s="311">
        <v>78.499694087999998</v>
      </c>
      <c r="R19" s="312">
        <v>56.602233619000003</v>
      </c>
      <c r="S19" s="115"/>
      <c r="T19" s="313">
        <v>1147404</v>
      </c>
      <c r="U19" s="314">
        <v>1127910</v>
      </c>
      <c r="V19" s="315">
        <v>0.81293665790000003</v>
      </c>
      <c r="W19" s="315">
        <v>5.0414288539000003</v>
      </c>
      <c r="X19" s="315">
        <v>8.0799788042999997E-3</v>
      </c>
      <c r="Y19" s="316">
        <v>0.15855531269000001</v>
      </c>
      <c r="Z19" s="115"/>
      <c r="AA19" s="313">
        <v>227595</v>
      </c>
      <c r="AB19" s="314">
        <v>0</v>
      </c>
      <c r="AC19" s="314">
        <v>550000</v>
      </c>
      <c r="AD19" s="314">
        <v>-322405</v>
      </c>
      <c r="AE19" s="314">
        <v>0</v>
      </c>
      <c r="AF19" s="314">
        <v>0</v>
      </c>
      <c r="AG19" s="314">
        <v>0</v>
      </c>
      <c r="AH19" s="314">
        <v>0</v>
      </c>
      <c r="AI19" s="314">
        <v>0</v>
      </c>
      <c r="AJ19" s="317">
        <v>0</v>
      </c>
    </row>
    <row r="20" spans="2:36" ht="15.6" x14ac:dyDescent="0.3">
      <c r="B20" s="283" t="s">
        <v>28</v>
      </c>
      <c r="C20" s="176" t="s">
        <v>68</v>
      </c>
      <c r="D20" s="296" t="s">
        <v>227</v>
      </c>
      <c r="E20" s="297">
        <v>45473</v>
      </c>
      <c r="F20" s="297">
        <v>45473</v>
      </c>
      <c r="G20" s="284">
        <v>6893433</v>
      </c>
      <c r="H20" s="284">
        <v>1977316</v>
      </c>
      <c r="I20" s="284">
        <v>1695501</v>
      </c>
      <c r="J20" s="284">
        <v>281815</v>
      </c>
      <c r="K20" s="298">
        <v>1.1662134083</v>
      </c>
      <c r="L20" s="284">
        <v>44759</v>
      </c>
      <c r="M20" s="298">
        <v>1.1398147214000001</v>
      </c>
      <c r="N20" s="299">
        <v>9.0150859030999992</v>
      </c>
      <c r="O20" s="299">
        <v>66.197909323000005</v>
      </c>
      <c r="P20" s="299">
        <v>89.098735293000004</v>
      </c>
      <c r="Q20" s="299">
        <v>98.113821196000004</v>
      </c>
      <c r="R20" s="300">
        <v>31.915911872999999</v>
      </c>
      <c r="S20" s="115"/>
      <c r="T20" s="301">
        <v>4428595</v>
      </c>
      <c r="U20" s="302">
        <v>3527116</v>
      </c>
      <c r="V20" s="303">
        <v>0.64243679456000002</v>
      </c>
      <c r="W20" s="303">
        <v>3.1499018099999998</v>
      </c>
      <c r="X20" s="303">
        <v>3.6477483264999999E-2</v>
      </c>
      <c r="Y20" s="304">
        <v>0.21820125796000001</v>
      </c>
      <c r="Z20" s="115"/>
      <c r="AA20" s="301">
        <v>1405947</v>
      </c>
      <c r="AB20" s="302">
        <v>0</v>
      </c>
      <c r="AC20" s="302">
        <v>901831</v>
      </c>
      <c r="AD20" s="302">
        <v>-81684</v>
      </c>
      <c r="AE20" s="302">
        <v>581640</v>
      </c>
      <c r="AF20" s="302">
        <v>0</v>
      </c>
      <c r="AG20" s="302">
        <v>0</v>
      </c>
      <c r="AH20" s="302">
        <v>4160</v>
      </c>
      <c r="AI20" s="302">
        <v>0</v>
      </c>
      <c r="AJ20" s="305">
        <v>0</v>
      </c>
    </row>
    <row r="21" spans="2:36" ht="15.6" x14ac:dyDescent="0.3">
      <c r="B21" s="306" t="s">
        <v>493</v>
      </c>
      <c r="C21" s="148" t="s">
        <v>612</v>
      </c>
      <c r="D21" s="307" t="s">
        <v>103</v>
      </c>
      <c r="E21" s="308"/>
      <c r="F21" s="308"/>
      <c r="G21" s="309"/>
      <c r="H21" s="309"/>
      <c r="I21" s="309"/>
      <c r="J21" s="309"/>
      <c r="K21" s="310"/>
      <c r="L21" s="309"/>
      <c r="M21" s="310"/>
      <c r="N21" s="311"/>
      <c r="O21" s="311"/>
      <c r="P21" s="311"/>
      <c r="Q21" s="311"/>
      <c r="R21" s="312"/>
      <c r="S21" s="115"/>
      <c r="T21" s="313"/>
      <c r="U21" s="314"/>
      <c r="V21" s="315"/>
      <c r="W21" s="315"/>
      <c r="X21" s="315"/>
      <c r="Y21" s="316"/>
      <c r="Z21" s="115"/>
      <c r="AA21" s="313"/>
      <c r="AB21" s="314"/>
      <c r="AC21" s="314"/>
      <c r="AD21" s="314"/>
      <c r="AE21" s="314"/>
      <c r="AF21" s="314"/>
      <c r="AG21" s="314"/>
      <c r="AH21" s="314"/>
      <c r="AI21" s="314"/>
      <c r="AJ21" s="317"/>
    </row>
    <row r="22" spans="2:36" ht="15.6" x14ac:dyDescent="0.3">
      <c r="B22" s="283" t="s">
        <v>1401</v>
      </c>
      <c r="C22" s="176" t="s">
        <v>1895</v>
      </c>
      <c r="D22" s="296" t="s">
        <v>232</v>
      </c>
      <c r="E22" s="297">
        <v>45473</v>
      </c>
      <c r="F22" s="297">
        <v>45473</v>
      </c>
      <c r="G22" s="284">
        <v>8058719</v>
      </c>
      <c r="H22" s="284">
        <v>1816256</v>
      </c>
      <c r="I22" s="284">
        <v>2142737</v>
      </c>
      <c r="J22" s="284">
        <v>-326481</v>
      </c>
      <c r="K22" s="298">
        <v>0.84763365732999996</v>
      </c>
      <c r="L22" s="284">
        <v>15048</v>
      </c>
      <c r="M22" s="298">
        <v>0.84061086358000003</v>
      </c>
      <c r="N22" s="299">
        <v>1.1838006231</v>
      </c>
      <c r="O22" s="299">
        <v>73.828314296000002</v>
      </c>
      <c r="P22" s="299">
        <v>18.897177935999999</v>
      </c>
      <c r="Q22" s="299">
        <v>20.080978558999998</v>
      </c>
      <c r="R22" s="300">
        <v>-53.747335737</v>
      </c>
      <c r="S22" s="115"/>
      <c r="T22" s="301">
        <v>3027354</v>
      </c>
      <c r="U22" s="302">
        <v>2919321</v>
      </c>
      <c r="V22" s="303">
        <v>0.37566193833</v>
      </c>
      <c r="W22" s="303">
        <v>0.93109789348000005</v>
      </c>
      <c r="X22" s="303">
        <v>0.4151057326</v>
      </c>
      <c r="Y22" s="304">
        <v>0.27777491499000001</v>
      </c>
      <c r="Z22" s="115"/>
      <c r="AA22" s="301">
        <v>3251381</v>
      </c>
      <c r="AB22" s="302">
        <v>0</v>
      </c>
      <c r="AC22" s="302">
        <v>51930</v>
      </c>
      <c r="AD22" s="302">
        <v>959869</v>
      </c>
      <c r="AE22" s="302">
        <v>2214330</v>
      </c>
      <c r="AF22" s="302">
        <v>22725</v>
      </c>
      <c r="AG22" s="302">
        <v>0</v>
      </c>
      <c r="AH22" s="302">
        <v>2527</v>
      </c>
      <c r="AI22" s="302">
        <v>0</v>
      </c>
      <c r="AJ22" s="305">
        <v>0</v>
      </c>
    </row>
    <row r="23" spans="2:36" ht="15.6" x14ac:dyDescent="0.3">
      <c r="B23" s="306" t="s">
        <v>1092</v>
      </c>
      <c r="C23" s="148" t="s">
        <v>1131</v>
      </c>
      <c r="D23" s="307" t="s">
        <v>227</v>
      </c>
      <c r="E23" s="308"/>
      <c r="F23" s="308"/>
      <c r="G23" s="309"/>
      <c r="H23" s="309"/>
      <c r="I23" s="309"/>
      <c r="J23" s="309"/>
      <c r="K23" s="310"/>
      <c r="L23" s="309"/>
      <c r="M23" s="310"/>
      <c r="N23" s="311"/>
      <c r="O23" s="311"/>
      <c r="P23" s="311"/>
      <c r="Q23" s="311"/>
      <c r="R23" s="312"/>
      <c r="S23" s="115"/>
      <c r="T23" s="313"/>
      <c r="U23" s="314"/>
      <c r="V23" s="315"/>
      <c r="W23" s="315"/>
      <c r="X23" s="315"/>
      <c r="Y23" s="316"/>
      <c r="Z23" s="115"/>
      <c r="AA23" s="313"/>
      <c r="AB23" s="314"/>
      <c r="AC23" s="314"/>
      <c r="AD23" s="314"/>
      <c r="AE23" s="314"/>
      <c r="AF23" s="314"/>
      <c r="AG23" s="314"/>
      <c r="AH23" s="314"/>
      <c r="AI23" s="314"/>
      <c r="AJ23" s="317"/>
    </row>
    <row r="24" spans="2:36" ht="15.6" x14ac:dyDescent="0.3">
      <c r="B24" s="283" t="s">
        <v>1094</v>
      </c>
      <c r="C24" s="176" t="s">
        <v>1133</v>
      </c>
      <c r="D24" s="296" t="s">
        <v>226</v>
      </c>
      <c r="E24" s="297">
        <v>45291</v>
      </c>
      <c r="F24" s="297"/>
      <c r="G24" s="284"/>
      <c r="H24" s="284"/>
      <c r="I24" s="284"/>
      <c r="J24" s="284"/>
      <c r="K24" s="298"/>
      <c r="L24" s="284"/>
      <c r="M24" s="298"/>
      <c r="N24" s="299"/>
      <c r="O24" s="299"/>
      <c r="P24" s="299"/>
      <c r="Q24" s="299"/>
      <c r="R24" s="300"/>
      <c r="S24" s="115"/>
      <c r="T24" s="301"/>
      <c r="U24" s="302"/>
      <c r="V24" s="303"/>
      <c r="W24" s="303"/>
      <c r="X24" s="303"/>
      <c r="Y24" s="304"/>
      <c r="Z24" s="115"/>
      <c r="AA24" s="301"/>
      <c r="AB24" s="302"/>
      <c r="AC24" s="302"/>
      <c r="AD24" s="302"/>
      <c r="AE24" s="302"/>
      <c r="AF24" s="302"/>
      <c r="AG24" s="302"/>
      <c r="AH24" s="302"/>
      <c r="AI24" s="302"/>
      <c r="AJ24" s="305"/>
    </row>
    <row r="25" spans="2:36" ht="15.6" x14ac:dyDescent="0.3">
      <c r="B25" s="306" t="s">
        <v>1403</v>
      </c>
      <c r="C25" s="148" t="s">
        <v>1896</v>
      </c>
      <c r="D25" s="307" t="s">
        <v>104</v>
      </c>
      <c r="E25" s="308"/>
      <c r="F25" s="308"/>
      <c r="G25" s="309"/>
      <c r="H25" s="309"/>
      <c r="I25" s="309"/>
      <c r="J25" s="309"/>
      <c r="K25" s="310"/>
      <c r="L25" s="309"/>
      <c r="M25" s="310"/>
      <c r="N25" s="311"/>
      <c r="O25" s="311"/>
      <c r="P25" s="311"/>
      <c r="Q25" s="311"/>
      <c r="R25" s="312"/>
      <c r="S25" s="115"/>
      <c r="T25" s="313"/>
      <c r="U25" s="314"/>
      <c r="V25" s="315"/>
      <c r="W25" s="315"/>
      <c r="X25" s="315"/>
      <c r="Y25" s="316"/>
      <c r="Z25" s="115"/>
      <c r="AA25" s="313"/>
      <c r="AB25" s="314"/>
      <c r="AC25" s="314"/>
      <c r="AD25" s="314"/>
      <c r="AE25" s="314"/>
      <c r="AF25" s="314"/>
      <c r="AG25" s="314"/>
      <c r="AH25" s="314"/>
      <c r="AI25" s="314"/>
      <c r="AJ25" s="317"/>
    </row>
    <row r="26" spans="2:36" ht="15.6" x14ac:dyDescent="0.3">
      <c r="B26" s="283" t="s">
        <v>1404</v>
      </c>
      <c r="C26" s="176" t="s">
        <v>1897</v>
      </c>
      <c r="D26" s="296" t="s">
        <v>226</v>
      </c>
      <c r="E26" s="297">
        <v>45473</v>
      </c>
      <c r="F26" s="297">
        <v>45473</v>
      </c>
      <c r="G26" s="284">
        <v>6013886</v>
      </c>
      <c r="H26" s="284">
        <v>1051283</v>
      </c>
      <c r="I26" s="284">
        <v>329364</v>
      </c>
      <c r="J26" s="284">
        <v>721919</v>
      </c>
      <c r="K26" s="298">
        <v>3.1918576407999999</v>
      </c>
      <c r="L26" s="284">
        <v>0</v>
      </c>
      <c r="M26" s="298">
        <v>3.1918576407999999</v>
      </c>
      <c r="N26" s="299">
        <v>0</v>
      </c>
      <c r="O26" s="299">
        <v>31.435674332000001</v>
      </c>
      <c r="P26" s="299">
        <v>353.55615191999999</v>
      </c>
      <c r="Q26" s="299">
        <v>353.55615191999999</v>
      </c>
      <c r="R26" s="300">
        <v>322.12047759000001</v>
      </c>
      <c r="S26" s="115"/>
      <c r="T26" s="301">
        <v>2227246</v>
      </c>
      <c r="U26" s="302">
        <v>1964322</v>
      </c>
      <c r="V26" s="303">
        <v>0.37035055204</v>
      </c>
      <c r="W26" s="303">
        <v>1.0678004780999999</v>
      </c>
      <c r="X26" s="303">
        <v>0.16309199792000001</v>
      </c>
      <c r="Y26" s="304">
        <v>6.9765980049000004E-2</v>
      </c>
      <c r="Z26" s="115"/>
      <c r="AA26" s="301">
        <v>2085826</v>
      </c>
      <c r="AB26" s="302">
        <v>0</v>
      </c>
      <c r="AC26" s="302">
        <v>499811</v>
      </c>
      <c r="AD26" s="302">
        <v>198518</v>
      </c>
      <c r="AE26" s="302">
        <v>1387497</v>
      </c>
      <c r="AF26" s="302">
        <v>0</v>
      </c>
      <c r="AG26" s="302">
        <v>0</v>
      </c>
      <c r="AH26" s="302">
        <v>0</v>
      </c>
      <c r="AI26" s="302">
        <v>0</v>
      </c>
      <c r="AJ26" s="305">
        <v>0</v>
      </c>
    </row>
    <row r="27" spans="2:36" ht="15.6" x14ac:dyDescent="0.3">
      <c r="B27" s="306" t="s">
        <v>494</v>
      </c>
      <c r="C27" s="148" t="s">
        <v>332</v>
      </c>
      <c r="D27" s="307" t="s">
        <v>228</v>
      </c>
      <c r="E27" s="308">
        <v>45473</v>
      </c>
      <c r="F27" s="308">
        <v>45473</v>
      </c>
      <c r="G27" s="309">
        <v>22071621</v>
      </c>
      <c r="H27" s="309">
        <v>3076902</v>
      </c>
      <c r="I27" s="309">
        <v>2147032</v>
      </c>
      <c r="J27" s="309">
        <v>929870</v>
      </c>
      <c r="K27" s="310">
        <v>1.4330955477</v>
      </c>
      <c r="L27" s="309">
        <v>0</v>
      </c>
      <c r="M27" s="310">
        <v>1.4330955477</v>
      </c>
      <c r="N27" s="311">
        <v>0</v>
      </c>
      <c r="O27" s="311">
        <v>17.550646634</v>
      </c>
      <c r="P27" s="311">
        <v>12.431196263</v>
      </c>
      <c r="Q27" s="311">
        <v>12.431196263</v>
      </c>
      <c r="R27" s="312">
        <v>-5.1194503702</v>
      </c>
      <c r="S27" s="115"/>
      <c r="T27" s="313">
        <v>14448575</v>
      </c>
      <c r="U27" s="314">
        <v>11727616</v>
      </c>
      <c r="V27" s="315">
        <v>0.65462228623999996</v>
      </c>
      <c r="W27" s="315">
        <v>3.0440373435999999</v>
      </c>
      <c r="X27" s="315">
        <v>7.8535564926000001E-2</v>
      </c>
      <c r="Y27" s="316">
        <v>6.2419096692999998E-2</v>
      </c>
      <c r="Z27" s="115"/>
      <c r="AA27" s="313">
        <v>4746517</v>
      </c>
      <c r="AB27" s="314">
        <v>0</v>
      </c>
      <c r="AC27" s="314">
        <v>5353848</v>
      </c>
      <c r="AD27" s="314">
        <v>-585060</v>
      </c>
      <c r="AE27" s="314">
        <v>0</v>
      </c>
      <c r="AF27" s="314">
        <v>0</v>
      </c>
      <c r="AG27" s="314">
        <v>0</v>
      </c>
      <c r="AH27" s="314">
        <v>-22271</v>
      </c>
      <c r="AI27" s="314">
        <v>0</v>
      </c>
      <c r="AJ27" s="317">
        <v>0</v>
      </c>
    </row>
    <row r="28" spans="2:36" ht="15.6" x14ac:dyDescent="0.3">
      <c r="B28" s="283" t="s">
        <v>1405</v>
      </c>
      <c r="C28" s="176" t="s">
        <v>1898</v>
      </c>
      <c r="D28" s="296" t="s">
        <v>226</v>
      </c>
      <c r="E28" s="297">
        <v>45473</v>
      </c>
      <c r="F28" s="297">
        <v>45473</v>
      </c>
      <c r="G28" s="284">
        <v>501972</v>
      </c>
      <c r="H28" s="284">
        <v>77235</v>
      </c>
      <c r="I28" s="284">
        <v>164071</v>
      </c>
      <c r="J28" s="284">
        <v>-86836</v>
      </c>
      <c r="K28" s="298">
        <v>0.47074132540000002</v>
      </c>
      <c r="L28" s="284">
        <v>4042</v>
      </c>
      <c r="M28" s="298">
        <v>0.44610564938000002</v>
      </c>
      <c r="N28" s="299">
        <v>19.277197817000001</v>
      </c>
      <c r="O28" s="299">
        <v>13.220285092999999</v>
      </c>
      <c r="P28" s="299">
        <v>40.248173993000002</v>
      </c>
      <c r="Q28" s="299">
        <v>59.525371810000003</v>
      </c>
      <c r="R28" s="300">
        <v>46.305086717000002</v>
      </c>
      <c r="S28" s="115"/>
      <c r="T28" s="301">
        <v>293879</v>
      </c>
      <c r="U28" s="302">
        <v>238216</v>
      </c>
      <c r="V28" s="303">
        <v>0.58544898918999999</v>
      </c>
      <c r="W28" s="303">
        <v>73.323103793000001</v>
      </c>
      <c r="X28" s="303">
        <v>-3.8342310950999998E-2</v>
      </c>
      <c r="Y28" s="304">
        <v>0.10821120257</v>
      </c>
      <c r="Z28" s="115"/>
      <c r="AA28" s="301">
        <v>4008</v>
      </c>
      <c r="AB28" s="302">
        <v>0</v>
      </c>
      <c r="AC28" s="302">
        <v>50222</v>
      </c>
      <c r="AD28" s="302">
        <v>-46741</v>
      </c>
      <c r="AE28" s="302">
        <v>527</v>
      </c>
      <c r="AF28" s="302">
        <v>0</v>
      </c>
      <c r="AG28" s="302">
        <v>0</v>
      </c>
      <c r="AH28" s="302">
        <v>0</v>
      </c>
      <c r="AI28" s="302">
        <v>0</v>
      </c>
      <c r="AJ28" s="305">
        <v>0</v>
      </c>
    </row>
    <row r="29" spans="2:36" ht="15.6" x14ac:dyDescent="0.3">
      <c r="B29" s="306" t="s">
        <v>2208</v>
      </c>
      <c r="C29" s="148" t="s">
        <v>2785</v>
      </c>
      <c r="D29" s="307" t="s">
        <v>226</v>
      </c>
      <c r="E29" s="308">
        <v>45473</v>
      </c>
      <c r="F29" s="308">
        <v>45473</v>
      </c>
      <c r="G29" s="309">
        <v>3084407</v>
      </c>
      <c r="H29" s="309">
        <v>226914</v>
      </c>
      <c r="I29" s="309">
        <v>236886</v>
      </c>
      <c r="J29" s="309">
        <v>-9972</v>
      </c>
      <c r="K29" s="310">
        <v>0.95790380183000001</v>
      </c>
      <c r="L29" s="309">
        <v>0</v>
      </c>
      <c r="M29" s="310">
        <v>0.95790380183000001</v>
      </c>
      <c r="N29" s="311">
        <v>0</v>
      </c>
      <c r="O29" s="311">
        <v>928.93926789</v>
      </c>
      <c r="P29" s="311">
        <v>3917.9883193000001</v>
      </c>
      <c r="Q29" s="311">
        <v>3917.9883193000001</v>
      </c>
      <c r="R29" s="312">
        <v>2989.0490513999998</v>
      </c>
      <c r="S29" s="115"/>
      <c r="T29" s="313">
        <v>2051826</v>
      </c>
      <c r="U29" s="314">
        <v>1955976</v>
      </c>
      <c r="V29" s="315">
        <v>0.66522543879999996</v>
      </c>
      <c r="W29" s="315">
        <v>2.1442563126</v>
      </c>
      <c r="X29" s="315">
        <v>-1.3841329625E-4</v>
      </c>
      <c r="Y29" s="316">
        <v>8.2561581733000003E-2</v>
      </c>
      <c r="Z29" s="115"/>
      <c r="AA29" s="313">
        <v>956894</v>
      </c>
      <c r="AB29" s="314">
        <v>0</v>
      </c>
      <c r="AC29" s="314">
        <v>291975</v>
      </c>
      <c r="AD29" s="314">
        <v>-1623</v>
      </c>
      <c r="AE29" s="314">
        <v>29508</v>
      </c>
      <c r="AF29" s="314">
        <v>637034</v>
      </c>
      <c r="AG29" s="314">
        <v>0</v>
      </c>
      <c r="AH29" s="314">
        <v>0</v>
      </c>
      <c r="AI29" s="314">
        <v>0</v>
      </c>
      <c r="AJ29" s="317">
        <v>0</v>
      </c>
    </row>
    <row r="30" spans="2:36" ht="15.6" x14ac:dyDescent="0.3">
      <c r="B30" s="283" t="s">
        <v>2209</v>
      </c>
      <c r="C30" s="176" t="s">
        <v>2786</v>
      </c>
      <c r="D30" s="296" t="s">
        <v>226</v>
      </c>
      <c r="E30" s="297"/>
      <c r="F30" s="297"/>
      <c r="G30" s="284"/>
      <c r="H30" s="284"/>
      <c r="I30" s="284"/>
      <c r="J30" s="284"/>
      <c r="K30" s="298"/>
      <c r="L30" s="284"/>
      <c r="M30" s="298"/>
      <c r="N30" s="299"/>
      <c r="O30" s="299"/>
      <c r="P30" s="299"/>
      <c r="Q30" s="299"/>
      <c r="R30" s="300"/>
      <c r="S30" s="115"/>
      <c r="T30" s="301"/>
      <c r="U30" s="302"/>
      <c r="V30" s="303"/>
      <c r="W30" s="303"/>
      <c r="X30" s="303"/>
      <c r="Y30" s="304"/>
      <c r="Z30" s="115"/>
      <c r="AA30" s="301"/>
      <c r="AB30" s="302"/>
      <c r="AC30" s="302"/>
      <c r="AD30" s="302"/>
      <c r="AE30" s="302"/>
      <c r="AF30" s="302"/>
      <c r="AG30" s="302"/>
      <c r="AH30" s="302"/>
      <c r="AI30" s="302"/>
      <c r="AJ30" s="305"/>
    </row>
    <row r="31" spans="2:36" ht="15.6" x14ac:dyDescent="0.3">
      <c r="B31" s="306" t="s">
        <v>2210</v>
      </c>
      <c r="C31" s="148" t="s">
        <v>2787</v>
      </c>
      <c r="D31" s="307" t="s">
        <v>226</v>
      </c>
      <c r="E31" s="308">
        <v>45473</v>
      </c>
      <c r="F31" s="308">
        <v>45473</v>
      </c>
      <c r="G31" s="309">
        <v>29259449</v>
      </c>
      <c r="H31" s="309">
        <v>7315927</v>
      </c>
      <c r="I31" s="309">
        <v>2988810</v>
      </c>
      <c r="J31" s="309">
        <v>4327117</v>
      </c>
      <c r="K31" s="310">
        <v>2.4477725249</v>
      </c>
      <c r="L31" s="309">
        <v>0</v>
      </c>
      <c r="M31" s="310">
        <v>2.4477725249</v>
      </c>
      <c r="N31" s="311">
        <v>0</v>
      </c>
      <c r="O31" s="311">
        <v>34.062451621999998</v>
      </c>
      <c r="P31" s="311">
        <v>36.350496001000003</v>
      </c>
      <c r="Q31" s="311">
        <v>36.350496001000003</v>
      </c>
      <c r="R31" s="312">
        <v>2.2880443787</v>
      </c>
      <c r="S31" s="115"/>
      <c r="T31" s="313">
        <v>8309704</v>
      </c>
      <c r="U31" s="314">
        <v>3317658</v>
      </c>
      <c r="V31" s="315">
        <v>0.28400070008</v>
      </c>
      <c r="W31" s="315">
        <v>0.67473355194999995</v>
      </c>
      <c r="X31" s="315">
        <v>9.3415842489999998E-2</v>
      </c>
      <c r="Y31" s="316">
        <v>9.3304647192999995E-2</v>
      </c>
      <c r="Z31" s="115"/>
      <c r="AA31" s="313">
        <v>12315534</v>
      </c>
      <c r="AB31" s="314">
        <v>0</v>
      </c>
      <c r="AC31" s="314">
        <v>5940137</v>
      </c>
      <c r="AD31" s="314">
        <v>344707</v>
      </c>
      <c r="AE31" s="314">
        <v>732604</v>
      </c>
      <c r="AF31" s="314">
        <v>5707715</v>
      </c>
      <c r="AG31" s="314">
        <v>0</v>
      </c>
      <c r="AH31" s="314">
        <v>-409629</v>
      </c>
      <c r="AI31" s="314">
        <v>0</v>
      </c>
      <c r="AJ31" s="317">
        <v>0</v>
      </c>
    </row>
    <row r="32" spans="2:36" ht="15.6" x14ac:dyDescent="0.3">
      <c r="B32" s="283" t="s">
        <v>1406</v>
      </c>
      <c r="C32" s="176" t="s">
        <v>1899</v>
      </c>
      <c r="D32" s="296" t="s">
        <v>228</v>
      </c>
      <c r="E32" s="297">
        <v>45473</v>
      </c>
      <c r="F32" s="297">
        <v>45473</v>
      </c>
      <c r="G32" s="284">
        <v>2403608</v>
      </c>
      <c r="H32" s="284">
        <v>590853</v>
      </c>
      <c r="I32" s="284">
        <v>188845</v>
      </c>
      <c r="J32" s="284">
        <v>402008</v>
      </c>
      <c r="K32" s="298">
        <v>3.1287722736000001</v>
      </c>
      <c r="L32" s="284">
        <v>0</v>
      </c>
      <c r="M32" s="298">
        <v>3.1287722736000001</v>
      </c>
      <c r="N32" s="299">
        <v>0</v>
      </c>
      <c r="O32" s="299">
        <v>23.578373156000001</v>
      </c>
      <c r="P32" s="299">
        <v>16.650062667</v>
      </c>
      <c r="Q32" s="299">
        <v>16.650062667</v>
      </c>
      <c r="R32" s="300">
        <v>-6.9283104889000002</v>
      </c>
      <c r="S32" s="115"/>
      <c r="T32" s="301">
        <v>1088020</v>
      </c>
      <c r="U32" s="302">
        <v>543059</v>
      </c>
      <c r="V32" s="303">
        <v>0.45266116605000001</v>
      </c>
      <c r="W32" s="303">
        <v>1.1687502551</v>
      </c>
      <c r="X32" s="303">
        <v>5.6498961415999999E-2</v>
      </c>
      <c r="Y32" s="304">
        <v>1.5204683736999999E-2</v>
      </c>
      <c r="Z32" s="115"/>
      <c r="AA32" s="301">
        <v>930926</v>
      </c>
      <c r="AB32" s="302">
        <v>0</v>
      </c>
      <c r="AC32" s="302">
        <v>1733585</v>
      </c>
      <c r="AD32" s="302">
        <v>-802659</v>
      </c>
      <c r="AE32" s="302">
        <v>0</v>
      </c>
      <c r="AF32" s="302">
        <v>0</v>
      </c>
      <c r="AG32" s="302">
        <v>0</v>
      </c>
      <c r="AH32" s="302">
        <v>0</v>
      </c>
      <c r="AI32" s="302">
        <v>0</v>
      </c>
      <c r="AJ32" s="305">
        <v>0</v>
      </c>
    </row>
    <row r="33" spans="2:36" ht="15.6" x14ac:dyDescent="0.3">
      <c r="B33" s="306" t="s">
        <v>1095</v>
      </c>
      <c r="C33" s="148" t="s">
        <v>1134</v>
      </c>
      <c r="D33" s="307" t="s">
        <v>228</v>
      </c>
      <c r="E33" s="308">
        <v>45473</v>
      </c>
      <c r="F33" s="308">
        <v>45473</v>
      </c>
      <c r="G33" s="309">
        <v>6987957</v>
      </c>
      <c r="H33" s="309">
        <v>180160</v>
      </c>
      <c r="I33" s="309">
        <v>340420</v>
      </c>
      <c r="J33" s="309">
        <v>-160260</v>
      </c>
      <c r="K33" s="310">
        <v>0.52922859996000005</v>
      </c>
      <c r="L33" s="309">
        <v>0</v>
      </c>
      <c r="M33" s="310">
        <v>0.52922859996000005</v>
      </c>
      <c r="N33" s="311">
        <v>0</v>
      </c>
      <c r="O33" s="311">
        <v>27.169095175999999</v>
      </c>
      <c r="P33" s="311">
        <v>9.8366367083000004</v>
      </c>
      <c r="Q33" s="311">
        <v>9.8366367083000004</v>
      </c>
      <c r="R33" s="312">
        <v>-17.332458467999999</v>
      </c>
      <c r="S33" s="115"/>
      <c r="T33" s="313">
        <v>2241818</v>
      </c>
      <c r="U33" s="314">
        <v>2118992</v>
      </c>
      <c r="V33" s="315">
        <v>0.32081164780999999</v>
      </c>
      <c r="W33" s="315">
        <v>0.70032738746000001</v>
      </c>
      <c r="X33" s="315">
        <v>9.0645181722999998E-2</v>
      </c>
      <c r="Y33" s="316">
        <v>9.5021094487000007E-3</v>
      </c>
      <c r="Z33" s="115"/>
      <c r="AA33" s="313">
        <v>3201100</v>
      </c>
      <c r="AB33" s="314">
        <v>0</v>
      </c>
      <c r="AC33" s="314">
        <v>3609168</v>
      </c>
      <c r="AD33" s="314">
        <v>-408068</v>
      </c>
      <c r="AE33" s="314">
        <v>0</v>
      </c>
      <c r="AF33" s="314">
        <v>0</v>
      </c>
      <c r="AG33" s="314">
        <v>0</v>
      </c>
      <c r="AH33" s="314">
        <v>0</v>
      </c>
      <c r="AI33" s="314">
        <v>0</v>
      </c>
      <c r="AJ33" s="317">
        <v>0</v>
      </c>
    </row>
    <row r="34" spans="2:36" ht="15.6" x14ac:dyDescent="0.3">
      <c r="B34" s="283" t="s">
        <v>2211</v>
      </c>
      <c r="C34" s="176" t="s">
        <v>2788</v>
      </c>
      <c r="D34" s="296" t="s">
        <v>226</v>
      </c>
      <c r="E34" s="297"/>
      <c r="F34" s="297"/>
      <c r="G34" s="284"/>
      <c r="H34" s="284"/>
      <c r="I34" s="284"/>
      <c r="J34" s="284"/>
      <c r="K34" s="298"/>
      <c r="L34" s="284"/>
      <c r="M34" s="298"/>
      <c r="N34" s="299"/>
      <c r="O34" s="299"/>
      <c r="P34" s="299"/>
      <c r="Q34" s="299"/>
      <c r="R34" s="300"/>
      <c r="S34" s="115"/>
      <c r="T34" s="301"/>
      <c r="U34" s="302"/>
      <c r="V34" s="303"/>
      <c r="W34" s="303"/>
      <c r="X34" s="303"/>
      <c r="Y34" s="304"/>
      <c r="Z34" s="115"/>
      <c r="AA34" s="301"/>
      <c r="AB34" s="302"/>
      <c r="AC34" s="302"/>
      <c r="AD34" s="302"/>
      <c r="AE34" s="302"/>
      <c r="AF34" s="302"/>
      <c r="AG34" s="302"/>
      <c r="AH34" s="302"/>
      <c r="AI34" s="302"/>
      <c r="AJ34" s="305"/>
    </row>
    <row r="35" spans="2:36" ht="15.6" x14ac:dyDescent="0.3">
      <c r="B35" s="306" t="s">
        <v>2212</v>
      </c>
      <c r="C35" s="148" t="s">
        <v>2789</v>
      </c>
      <c r="D35" s="307" t="s">
        <v>226</v>
      </c>
      <c r="E35" s="308"/>
      <c r="F35" s="308"/>
      <c r="G35" s="309"/>
      <c r="H35" s="309"/>
      <c r="I35" s="309"/>
      <c r="J35" s="309"/>
      <c r="K35" s="310"/>
      <c r="L35" s="309"/>
      <c r="M35" s="310"/>
      <c r="N35" s="311"/>
      <c r="O35" s="311"/>
      <c r="P35" s="311"/>
      <c r="Q35" s="311"/>
      <c r="R35" s="312"/>
      <c r="S35" s="115"/>
      <c r="T35" s="313"/>
      <c r="U35" s="314"/>
      <c r="V35" s="315"/>
      <c r="W35" s="315"/>
      <c r="X35" s="315"/>
      <c r="Y35" s="316"/>
      <c r="Z35" s="115"/>
      <c r="AA35" s="313"/>
      <c r="AB35" s="314"/>
      <c r="AC35" s="314"/>
      <c r="AD35" s="314"/>
      <c r="AE35" s="314"/>
      <c r="AF35" s="314"/>
      <c r="AG35" s="314"/>
      <c r="AH35" s="314"/>
      <c r="AI35" s="314"/>
      <c r="AJ35" s="317"/>
    </row>
    <row r="36" spans="2:36" ht="15.6" x14ac:dyDescent="0.3">
      <c r="B36" s="283" t="s">
        <v>29</v>
      </c>
      <c r="C36" s="176" t="s">
        <v>69</v>
      </c>
      <c r="D36" s="296" t="s">
        <v>226</v>
      </c>
      <c r="E36" s="297"/>
      <c r="F36" s="297"/>
      <c r="G36" s="284"/>
      <c r="H36" s="284"/>
      <c r="I36" s="284"/>
      <c r="J36" s="284"/>
      <c r="K36" s="298"/>
      <c r="L36" s="284"/>
      <c r="M36" s="298"/>
      <c r="N36" s="299"/>
      <c r="O36" s="299"/>
      <c r="P36" s="299"/>
      <c r="Q36" s="299"/>
      <c r="R36" s="300"/>
      <c r="S36" s="115"/>
      <c r="T36" s="301"/>
      <c r="U36" s="302"/>
      <c r="V36" s="303"/>
      <c r="W36" s="303"/>
      <c r="X36" s="303"/>
      <c r="Y36" s="304"/>
      <c r="Z36" s="115"/>
      <c r="AA36" s="301"/>
      <c r="AB36" s="302"/>
      <c r="AC36" s="302"/>
      <c r="AD36" s="302"/>
      <c r="AE36" s="302"/>
      <c r="AF36" s="302"/>
      <c r="AG36" s="302"/>
      <c r="AH36" s="302"/>
      <c r="AI36" s="302"/>
      <c r="AJ36" s="305"/>
    </row>
    <row r="37" spans="2:36" ht="15.6" x14ac:dyDescent="0.3">
      <c r="B37" s="306" t="s">
        <v>2213</v>
      </c>
      <c r="C37" s="148" t="s">
        <v>2790</v>
      </c>
      <c r="D37" s="307" t="s">
        <v>233</v>
      </c>
      <c r="E37" s="308">
        <v>45473</v>
      </c>
      <c r="F37" s="308">
        <v>45473</v>
      </c>
      <c r="G37" s="309">
        <v>21740723</v>
      </c>
      <c r="H37" s="309">
        <v>4119135</v>
      </c>
      <c r="I37" s="309">
        <v>3010782</v>
      </c>
      <c r="J37" s="309">
        <v>1108353</v>
      </c>
      <c r="K37" s="310">
        <v>1.3681279481999999</v>
      </c>
      <c r="L37" s="309">
        <v>799728</v>
      </c>
      <c r="M37" s="310">
        <v>1.1025065913000001</v>
      </c>
      <c r="N37" s="311">
        <v>44.986611930999999</v>
      </c>
      <c r="O37" s="311">
        <v>73.115507409000003</v>
      </c>
      <c r="P37" s="311">
        <v>18.054389278999999</v>
      </c>
      <c r="Q37" s="311">
        <v>63.041001209999997</v>
      </c>
      <c r="R37" s="312">
        <v>-10.074506198</v>
      </c>
      <c r="S37" s="115"/>
      <c r="T37" s="313">
        <v>11112574</v>
      </c>
      <c r="U37" s="314">
        <v>9528610</v>
      </c>
      <c r="V37" s="315">
        <v>0.51114095883999999</v>
      </c>
      <c r="W37" s="315">
        <v>2.2118778792999998</v>
      </c>
      <c r="X37" s="315">
        <v>9.7759349004000004E-2</v>
      </c>
      <c r="Y37" s="316">
        <v>2.7886338484999999E-2</v>
      </c>
      <c r="Z37" s="115"/>
      <c r="AA37" s="313">
        <v>4944065</v>
      </c>
      <c r="AB37" s="314">
        <v>79980</v>
      </c>
      <c r="AC37" s="314">
        <v>5062422</v>
      </c>
      <c r="AD37" s="314">
        <v>-600268</v>
      </c>
      <c r="AE37" s="314">
        <v>297183</v>
      </c>
      <c r="AF37" s="314">
        <v>184728</v>
      </c>
      <c r="AG37" s="314">
        <v>0</v>
      </c>
      <c r="AH37" s="314">
        <v>0</v>
      </c>
      <c r="AI37" s="314">
        <v>0</v>
      </c>
      <c r="AJ37" s="317">
        <v>0</v>
      </c>
    </row>
    <row r="38" spans="2:36" ht="15.6" x14ac:dyDescent="0.3">
      <c r="B38" s="283" t="s">
        <v>1096</v>
      </c>
      <c r="C38" s="176" t="s">
        <v>1135</v>
      </c>
      <c r="D38" s="296" t="s">
        <v>227</v>
      </c>
      <c r="E38" s="297"/>
      <c r="F38" s="297"/>
      <c r="G38" s="284"/>
      <c r="H38" s="284"/>
      <c r="I38" s="284"/>
      <c r="J38" s="284"/>
      <c r="K38" s="298"/>
      <c r="L38" s="284"/>
      <c r="M38" s="298"/>
      <c r="N38" s="299"/>
      <c r="O38" s="299"/>
      <c r="P38" s="299"/>
      <c r="Q38" s="299"/>
      <c r="R38" s="300"/>
      <c r="S38" s="115"/>
      <c r="T38" s="301"/>
      <c r="U38" s="302"/>
      <c r="V38" s="303"/>
      <c r="W38" s="303"/>
      <c r="X38" s="303"/>
      <c r="Y38" s="304"/>
      <c r="Z38" s="115"/>
      <c r="AA38" s="301"/>
      <c r="AB38" s="302"/>
      <c r="AC38" s="302"/>
      <c r="AD38" s="302"/>
      <c r="AE38" s="302"/>
      <c r="AF38" s="302"/>
      <c r="AG38" s="302"/>
      <c r="AH38" s="302"/>
      <c r="AI38" s="302"/>
      <c r="AJ38" s="305"/>
    </row>
    <row r="39" spans="2:36" ht="15.6" x14ac:dyDescent="0.3">
      <c r="B39" s="306" t="s">
        <v>496</v>
      </c>
      <c r="C39" s="148" t="s">
        <v>614</v>
      </c>
      <c r="D39" s="307" t="s">
        <v>231</v>
      </c>
      <c r="E39" s="308">
        <v>45473</v>
      </c>
      <c r="F39" s="308">
        <v>45473</v>
      </c>
      <c r="G39" s="309">
        <v>18658301</v>
      </c>
      <c r="H39" s="309">
        <v>3250874</v>
      </c>
      <c r="I39" s="309">
        <v>1852116</v>
      </c>
      <c r="J39" s="309">
        <v>1398758</v>
      </c>
      <c r="K39" s="310">
        <v>1.7552215952000001</v>
      </c>
      <c r="L39" s="309">
        <v>41125</v>
      </c>
      <c r="M39" s="310">
        <v>1.7330172624</v>
      </c>
      <c r="N39" s="311">
        <v>6.4166241924999996</v>
      </c>
      <c r="O39" s="311">
        <v>34.577842038</v>
      </c>
      <c r="P39" s="311">
        <v>84.97760615</v>
      </c>
      <c r="Q39" s="311">
        <v>91.394230343000004</v>
      </c>
      <c r="R39" s="312">
        <v>56.816388304999997</v>
      </c>
      <c r="S39" s="115"/>
      <c r="T39" s="313">
        <v>13214053</v>
      </c>
      <c r="U39" s="314">
        <v>11263378</v>
      </c>
      <c r="V39" s="315">
        <v>0.70821308970999997</v>
      </c>
      <c r="W39" s="315">
        <v>3.9380808265999998</v>
      </c>
      <c r="X39" s="315">
        <v>4.1219525909E-2</v>
      </c>
      <c r="Y39" s="316">
        <v>9.4719689711999996E-2</v>
      </c>
      <c r="Z39" s="115"/>
      <c r="AA39" s="313">
        <v>3267085</v>
      </c>
      <c r="AB39" s="314">
        <v>88370</v>
      </c>
      <c r="AC39" s="314">
        <v>4008806</v>
      </c>
      <c r="AD39" s="314">
        <v>19677</v>
      </c>
      <c r="AE39" s="314">
        <v>440842</v>
      </c>
      <c r="AF39" s="314">
        <v>55166</v>
      </c>
      <c r="AG39" s="314">
        <v>0</v>
      </c>
      <c r="AH39" s="314">
        <v>-1257406</v>
      </c>
      <c r="AI39" s="314">
        <v>0</v>
      </c>
      <c r="AJ39" s="317">
        <v>0</v>
      </c>
    </row>
    <row r="40" spans="2:36" ht="15.6" x14ac:dyDescent="0.3">
      <c r="B40" s="283" t="s">
        <v>1408</v>
      </c>
      <c r="C40" s="176" t="s">
        <v>1901</v>
      </c>
      <c r="D40" s="296" t="s">
        <v>231</v>
      </c>
      <c r="E40" s="297">
        <v>45473</v>
      </c>
      <c r="F40" s="297">
        <v>45473</v>
      </c>
      <c r="G40" s="284">
        <v>3958771</v>
      </c>
      <c r="H40" s="284">
        <v>704300</v>
      </c>
      <c r="I40" s="284">
        <v>97201</v>
      </c>
      <c r="J40" s="284">
        <v>607099</v>
      </c>
      <c r="K40" s="298">
        <v>7.2458102282999999</v>
      </c>
      <c r="L40" s="284">
        <v>8321</v>
      </c>
      <c r="M40" s="298">
        <v>7.1602041130999998</v>
      </c>
      <c r="N40" s="299">
        <v>5.7574150098999999</v>
      </c>
      <c r="O40" s="299">
        <v>36.485308363000001</v>
      </c>
      <c r="P40" s="299">
        <v>86.339119440000005</v>
      </c>
      <c r="Q40" s="299">
        <v>92.096534449999993</v>
      </c>
      <c r="R40" s="300">
        <v>55.611226086999999</v>
      </c>
      <c r="S40" s="115"/>
      <c r="T40" s="301">
        <v>2845819</v>
      </c>
      <c r="U40" s="302">
        <v>2339427</v>
      </c>
      <c r="V40" s="303">
        <v>0.71886426368</v>
      </c>
      <c r="W40" s="303">
        <v>3.5731968083000001</v>
      </c>
      <c r="X40" s="303">
        <v>9.1221542901999998E-3</v>
      </c>
      <c r="Y40" s="304">
        <v>8.4144494080999992E-3</v>
      </c>
      <c r="Z40" s="115"/>
      <c r="AA40" s="301">
        <v>796435</v>
      </c>
      <c r="AB40" s="302">
        <v>0</v>
      </c>
      <c r="AC40" s="302">
        <v>934783</v>
      </c>
      <c r="AD40" s="302">
        <v>-134968</v>
      </c>
      <c r="AE40" s="302">
        <v>0</v>
      </c>
      <c r="AF40" s="302">
        <v>0</v>
      </c>
      <c r="AG40" s="302">
        <v>0</v>
      </c>
      <c r="AH40" s="302">
        <v>-46</v>
      </c>
      <c r="AI40" s="302">
        <v>0</v>
      </c>
      <c r="AJ40" s="305">
        <v>-3334</v>
      </c>
    </row>
    <row r="41" spans="2:36" ht="15.6" x14ac:dyDescent="0.3">
      <c r="B41" s="306" t="s">
        <v>2214</v>
      </c>
      <c r="C41" s="148" t="s">
        <v>2791</v>
      </c>
      <c r="D41" s="307" t="s">
        <v>104</v>
      </c>
      <c r="E41" s="308"/>
      <c r="F41" s="308"/>
      <c r="G41" s="309"/>
      <c r="H41" s="309"/>
      <c r="I41" s="309"/>
      <c r="J41" s="309"/>
      <c r="K41" s="310"/>
      <c r="L41" s="309"/>
      <c r="M41" s="310"/>
      <c r="N41" s="311"/>
      <c r="O41" s="311"/>
      <c r="P41" s="311"/>
      <c r="Q41" s="311"/>
      <c r="R41" s="312"/>
      <c r="S41" s="115"/>
      <c r="T41" s="313"/>
      <c r="U41" s="314"/>
      <c r="V41" s="315"/>
      <c r="W41" s="315"/>
      <c r="X41" s="315"/>
      <c r="Y41" s="316"/>
      <c r="Z41" s="115"/>
      <c r="AA41" s="313"/>
      <c r="AB41" s="314"/>
      <c r="AC41" s="314"/>
      <c r="AD41" s="314"/>
      <c r="AE41" s="314"/>
      <c r="AF41" s="314"/>
      <c r="AG41" s="314"/>
      <c r="AH41" s="314"/>
      <c r="AI41" s="314"/>
      <c r="AJ41" s="317"/>
    </row>
    <row r="42" spans="2:36" ht="15.6" x14ac:dyDescent="0.3">
      <c r="B42" s="283" t="s">
        <v>497</v>
      </c>
      <c r="C42" s="176" t="s">
        <v>615</v>
      </c>
      <c r="D42" s="296" t="s">
        <v>226</v>
      </c>
      <c r="E42" s="297"/>
      <c r="F42" s="297"/>
      <c r="G42" s="284"/>
      <c r="H42" s="284"/>
      <c r="I42" s="284"/>
      <c r="J42" s="284"/>
      <c r="K42" s="298"/>
      <c r="L42" s="284"/>
      <c r="M42" s="298"/>
      <c r="N42" s="299"/>
      <c r="O42" s="299"/>
      <c r="P42" s="299"/>
      <c r="Q42" s="299"/>
      <c r="R42" s="300"/>
      <c r="S42" s="115"/>
      <c r="T42" s="301"/>
      <c r="U42" s="302"/>
      <c r="V42" s="303"/>
      <c r="W42" s="303"/>
      <c r="X42" s="303"/>
      <c r="Y42" s="304"/>
      <c r="Z42" s="115"/>
      <c r="AA42" s="301"/>
      <c r="AB42" s="302"/>
      <c r="AC42" s="302"/>
      <c r="AD42" s="302"/>
      <c r="AE42" s="302"/>
      <c r="AF42" s="302"/>
      <c r="AG42" s="302"/>
      <c r="AH42" s="302"/>
      <c r="AI42" s="302"/>
      <c r="AJ42" s="305"/>
    </row>
    <row r="43" spans="2:36" ht="15.6" x14ac:dyDescent="0.3">
      <c r="B43" s="306" t="s">
        <v>30</v>
      </c>
      <c r="C43" s="148" t="s">
        <v>16</v>
      </c>
      <c r="D43" s="307" t="s">
        <v>228</v>
      </c>
      <c r="E43" s="308">
        <v>45473</v>
      </c>
      <c r="F43" s="308">
        <v>45473</v>
      </c>
      <c r="G43" s="309">
        <v>55405606</v>
      </c>
      <c r="H43" s="309">
        <v>10281542</v>
      </c>
      <c r="I43" s="309">
        <v>6750236</v>
      </c>
      <c r="J43" s="309">
        <v>3531306</v>
      </c>
      <c r="K43" s="310">
        <v>1.523138154</v>
      </c>
      <c r="L43" s="309">
        <v>390048</v>
      </c>
      <c r="M43" s="310">
        <v>1.4653552854</v>
      </c>
      <c r="N43" s="311">
        <v>10.929435668</v>
      </c>
      <c r="O43" s="311">
        <v>22.055016554000002</v>
      </c>
      <c r="P43" s="311">
        <v>50.015135405000002</v>
      </c>
      <c r="Q43" s="311">
        <v>60.944571072999999</v>
      </c>
      <c r="R43" s="312">
        <v>38.889554519000001</v>
      </c>
      <c r="S43" s="115"/>
      <c r="T43" s="313">
        <v>31232878</v>
      </c>
      <c r="U43" s="314">
        <v>24861325</v>
      </c>
      <c r="V43" s="315">
        <v>0.56371331811000003</v>
      </c>
      <c r="W43" s="315">
        <v>2.2502345849999998</v>
      </c>
      <c r="X43" s="315">
        <v>8.7790756907E-2</v>
      </c>
      <c r="Y43" s="316">
        <v>0.10241384095</v>
      </c>
      <c r="Z43" s="115"/>
      <c r="AA43" s="313">
        <v>13158104</v>
      </c>
      <c r="AB43" s="314">
        <v>721728</v>
      </c>
      <c r="AC43" s="314">
        <v>6022942</v>
      </c>
      <c r="AD43" s="314">
        <v>608839</v>
      </c>
      <c r="AE43" s="314">
        <v>5306264</v>
      </c>
      <c r="AF43" s="314">
        <v>266679</v>
      </c>
      <c r="AG43" s="314">
        <v>0</v>
      </c>
      <c r="AH43" s="314">
        <v>0</v>
      </c>
      <c r="AI43" s="314">
        <v>0</v>
      </c>
      <c r="AJ43" s="317">
        <v>953380</v>
      </c>
    </row>
    <row r="44" spans="2:36" ht="15.6" x14ac:dyDescent="0.3">
      <c r="B44" s="283" t="s">
        <v>1098</v>
      </c>
      <c r="C44" s="176" t="s">
        <v>1136</v>
      </c>
      <c r="D44" s="296" t="s">
        <v>103</v>
      </c>
      <c r="E44" s="297">
        <v>45473</v>
      </c>
      <c r="F44" s="297">
        <v>45473</v>
      </c>
      <c r="G44" s="284">
        <v>7750661</v>
      </c>
      <c r="H44" s="284">
        <v>2729911</v>
      </c>
      <c r="I44" s="284">
        <v>2704816</v>
      </c>
      <c r="J44" s="284">
        <v>25095</v>
      </c>
      <c r="K44" s="298">
        <v>1.0092778953999999</v>
      </c>
      <c r="L44" s="284">
        <v>15797</v>
      </c>
      <c r="M44" s="298">
        <v>1.0034375721</v>
      </c>
      <c r="N44" s="299">
        <v>1.4562332628000001</v>
      </c>
      <c r="O44" s="299">
        <v>58.411943381</v>
      </c>
      <c r="P44" s="299">
        <v>69.641919337999994</v>
      </c>
      <c r="Q44" s="299">
        <v>71.098152600999995</v>
      </c>
      <c r="R44" s="300">
        <v>12.68620922</v>
      </c>
      <c r="S44" s="115"/>
      <c r="T44" s="301">
        <v>4844992</v>
      </c>
      <c r="U44" s="302">
        <v>3695839</v>
      </c>
      <c r="V44" s="303">
        <v>0.62510694248999998</v>
      </c>
      <c r="W44" s="303">
        <v>-1.368791447</v>
      </c>
      <c r="X44" s="303">
        <v>2.7367434249999999E-2</v>
      </c>
      <c r="Y44" s="304">
        <v>0.14295854358000001</v>
      </c>
      <c r="Z44" s="115"/>
      <c r="AA44" s="301">
        <v>-3539613</v>
      </c>
      <c r="AB44" s="302">
        <v>0</v>
      </c>
      <c r="AC44" s="302">
        <v>3385861</v>
      </c>
      <c r="AD44" s="302">
        <v>-5675071</v>
      </c>
      <c r="AE44" s="302">
        <v>0</v>
      </c>
      <c r="AF44" s="302">
        <v>1475</v>
      </c>
      <c r="AG44" s="302">
        <v>0</v>
      </c>
      <c r="AH44" s="302">
        <v>0</v>
      </c>
      <c r="AI44" s="302">
        <v>0</v>
      </c>
      <c r="AJ44" s="305">
        <v>-1251878</v>
      </c>
    </row>
    <row r="45" spans="2:36" ht="15.6" x14ac:dyDescent="0.3">
      <c r="B45" s="306" t="s">
        <v>499</v>
      </c>
      <c r="C45" s="148" t="s">
        <v>70</v>
      </c>
      <c r="D45" s="307" t="s">
        <v>226</v>
      </c>
      <c r="E45" s="308">
        <v>45473</v>
      </c>
      <c r="F45" s="308">
        <v>45473</v>
      </c>
      <c r="G45" s="309">
        <v>13822000</v>
      </c>
      <c r="H45" s="309">
        <v>3508000</v>
      </c>
      <c r="I45" s="309">
        <v>3254000</v>
      </c>
      <c r="J45" s="309">
        <v>254000</v>
      </c>
      <c r="K45" s="310">
        <v>1.078057775</v>
      </c>
      <c r="L45" s="309">
        <v>0</v>
      </c>
      <c r="M45" s="310">
        <v>1.078057775</v>
      </c>
      <c r="N45" s="311">
        <v>0</v>
      </c>
      <c r="O45" s="311">
        <v>36.579586876999997</v>
      </c>
      <c r="P45" s="311">
        <v>81.897175959999998</v>
      </c>
      <c r="Q45" s="311">
        <v>81.897175959999998</v>
      </c>
      <c r="R45" s="312">
        <v>45.317589081999998</v>
      </c>
      <c r="S45" s="115"/>
      <c r="T45" s="313">
        <v>8442000</v>
      </c>
      <c r="U45" s="314">
        <v>7843000</v>
      </c>
      <c r="V45" s="315">
        <v>0.61076544638999997</v>
      </c>
      <c r="W45" s="315">
        <v>5.1982758621</v>
      </c>
      <c r="X45" s="315">
        <v>6.1833688699000001E-2</v>
      </c>
      <c r="Y45" s="316">
        <v>0.19675432362</v>
      </c>
      <c r="Z45" s="115"/>
      <c r="AA45" s="313">
        <v>1624000</v>
      </c>
      <c r="AB45" s="314">
        <v>0</v>
      </c>
      <c r="AC45" s="314">
        <v>663000</v>
      </c>
      <c r="AD45" s="314">
        <v>17000</v>
      </c>
      <c r="AE45" s="314">
        <v>538000</v>
      </c>
      <c r="AF45" s="314">
        <v>446000</v>
      </c>
      <c r="AG45" s="314">
        <v>0</v>
      </c>
      <c r="AH45" s="314">
        <v>0</v>
      </c>
      <c r="AI45" s="314">
        <v>0</v>
      </c>
      <c r="AJ45" s="317">
        <v>-40000</v>
      </c>
    </row>
    <row r="46" spans="2:36" ht="15.6" x14ac:dyDescent="0.3">
      <c r="B46" s="283" t="s">
        <v>31</v>
      </c>
      <c r="C46" s="176" t="s">
        <v>71</v>
      </c>
      <c r="D46" s="296" t="s">
        <v>226</v>
      </c>
      <c r="E46" s="297">
        <v>45473</v>
      </c>
      <c r="F46" s="297">
        <v>45473</v>
      </c>
      <c r="G46" s="284">
        <v>29198828</v>
      </c>
      <c r="H46" s="284">
        <v>6383563</v>
      </c>
      <c r="I46" s="284">
        <v>9275399</v>
      </c>
      <c r="J46" s="284">
        <v>-2891836</v>
      </c>
      <c r="K46" s="298">
        <v>0.68822516422000002</v>
      </c>
      <c r="L46" s="284">
        <v>0</v>
      </c>
      <c r="M46" s="298">
        <v>0.68822516422000002</v>
      </c>
      <c r="N46" s="299">
        <v>0</v>
      </c>
      <c r="O46" s="299">
        <v>35.436832195000001</v>
      </c>
      <c r="P46" s="299">
        <v>57.221812956000001</v>
      </c>
      <c r="Q46" s="299">
        <v>57.221812956000001</v>
      </c>
      <c r="R46" s="300">
        <v>21.784980761</v>
      </c>
      <c r="S46" s="115"/>
      <c r="T46" s="301">
        <v>7381071</v>
      </c>
      <c r="U46" s="302">
        <v>6667677</v>
      </c>
      <c r="V46" s="303">
        <v>0.25278655020000002</v>
      </c>
      <c r="W46" s="303">
        <v>0.74300259550000003</v>
      </c>
      <c r="X46" s="303">
        <v>0.22157109720000001</v>
      </c>
      <c r="Y46" s="304">
        <v>0.32318331580999998</v>
      </c>
      <c r="Z46" s="115"/>
      <c r="AA46" s="301">
        <v>9934112</v>
      </c>
      <c r="AB46" s="302">
        <v>0</v>
      </c>
      <c r="AC46" s="302">
        <v>6284312</v>
      </c>
      <c r="AD46" s="302">
        <v>1050887</v>
      </c>
      <c r="AE46" s="302">
        <v>3976565</v>
      </c>
      <c r="AF46" s="302">
        <v>0</v>
      </c>
      <c r="AG46" s="302">
        <v>0</v>
      </c>
      <c r="AH46" s="302">
        <v>-1377652</v>
      </c>
      <c r="AI46" s="302">
        <v>0</v>
      </c>
      <c r="AJ46" s="305">
        <v>0</v>
      </c>
    </row>
    <row r="47" spans="2:36" ht="15.6" x14ac:dyDescent="0.3">
      <c r="B47" s="306" t="s">
        <v>1415</v>
      </c>
      <c r="C47" s="148" t="s">
        <v>72</v>
      </c>
      <c r="D47" s="307" t="s">
        <v>226</v>
      </c>
      <c r="E47" s="308">
        <v>45473</v>
      </c>
      <c r="F47" s="308">
        <v>45473</v>
      </c>
      <c r="G47" s="309">
        <v>18142030</v>
      </c>
      <c r="H47" s="309">
        <v>4761297</v>
      </c>
      <c r="I47" s="309">
        <v>3912871</v>
      </c>
      <c r="J47" s="309">
        <v>848426</v>
      </c>
      <c r="K47" s="310">
        <v>1.2168295351</v>
      </c>
      <c r="L47" s="309">
        <v>0</v>
      </c>
      <c r="M47" s="310">
        <v>1.2168295351</v>
      </c>
      <c r="N47" s="311">
        <v>0</v>
      </c>
      <c r="O47" s="311">
        <v>40.752240022999999</v>
      </c>
      <c r="P47" s="311">
        <v>36.908383467999997</v>
      </c>
      <c r="Q47" s="311">
        <v>36.908383467999997</v>
      </c>
      <c r="R47" s="312">
        <v>-3.8438565549999999</v>
      </c>
      <c r="S47" s="115"/>
      <c r="T47" s="313">
        <v>3156086</v>
      </c>
      <c r="U47" s="314">
        <v>2043764</v>
      </c>
      <c r="V47" s="315">
        <v>0.17396542724</v>
      </c>
      <c r="W47" s="315">
        <v>0.30743141621999998</v>
      </c>
      <c r="X47" s="315">
        <v>0.40399437784999997</v>
      </c>
      <c r="Y47" s="316">
        <v>0.67704365470000005</v>
      </c>
      <c r="Z47" s="115"/>
      <c r="AA47" s="313">
        <v>10265984</v>
      </c>
      <c r="AB47" s="314">
        <v>0</v>
      </c>
      <c r="AC47" s="314">
        <v>5473724</v>
      </c>
      <c r="AD47" s="314">
        <v>501181</v>
      </c>
      <c r="AE47" s="314">
        <v>4460605</v>
      </c>
      <c r="AF47" s="314">
        <v>0</v>
      </c>
      <c r="AG47" s="314">
        <v>0</v>
      </c>
      <c r="AH47" s="314">
        <v>-169526</v>
      </c>
      <c r="AI47" s="314">
        <v>0</v>
      </c>
      <c r="AJ47" s="317">
        <v>0</v>
      </c>
    </row>
    <row r="48" spans="2:36" ht="15.6" x14ac:dyDescent="0.3">
      <c r="B48" s="283" t="s">
        <v>2228</v>
      </c>
      <c r="C48" s="176" t="s">
        <v>2792</v>
      </c>
      <c r="D48" s="296" t="s">
        <v>226</v>
      </c>
      <c r="E48" s="297">
        <v>45473</v>
      </c>
      <c r="F48" s="297">
        <v>45473</v>
      </c>
      <c r="G48" s="284">
        <v>58076696</v>
      </c>
      <c r="H48" s="284">
        <v>8034653</v>
      </c>
      <c r="I48" s="284">
        <v>4837797</v>
      </c>
      <c r="J48" s="284">
        <v>3196856</v>
      </c>
      <c r="K48" s="298">
        <v>1.6608082150000001</v>
      </c>
      <c r="L48" s="284">
        <v>0</v>
      </c>
      <c r="M48" s="298">
        <v>1.6608082150000001</v>
      </c>
      <c r="N48" s="299">
        <v>0</v>
      </c>
      <c r="O48" s="299">
        <v>32.108530076999998</v>
      </c>
      <c r="P48" s="299">
        <v>55.672419443000003</v>
      </c>
      <c r="Q48" s="299">
        <v>55.672419443000003</v>
      </c>
      <c r="R48" s="300">
        <v>23.563889367000002</v>
      </c>
      <c r="S48" s="115"/>
      <c r="T48" s="301">
        <v>9305650</v>
      </c>
      <c r="U48" s="302">
        <v>7641067</v>
      </c>
      <c r="V48" s="303">
        <v>0.16023036159000001</v>
      </c>
      <c r="W48" s="303">
        <v>0.31289848267999998</v>
      </c>
      <c r="X48" s="303">
        <v>0.11468108084</v>
      </c>
      <c r="Y48" s="304">
        <v>8.8869127896000003E-2</v>
      </c>
      <c r="Z48" s="115"/>
      <c r="AA48" s="301">
        <v>28923521</v>
      </c>
      <c r="AB48" s="302">
        <v>816636</v>
      </c>
      <c r="AC48" s="302">
        <v>20336184</v>
      </c>
      <c r="AD48" s="302">
        <v>-543334</v>
      </c>
      <c r="AE48" s="302">
        <v>9353766</v>
      </c>
      <c r="AF48" s="302">
        <v>0</v>
      </c>
      <c r="AG48" s="302">
        <v>0</v>
      </c>
      <c r="AH48" s="302">
        <v>0</v>
      </c>
      <c r="AI48" s="302">
        <v>0</v>
      </c>
      <c r="AJ48" s="305">
        <v>-223095</v>
      </c>
    </row>
    <row r="49" spans="2:36" ht="15.6" x14ac:dyDescent="0.3">
      <c r="B49" s="306" t="s">
        <v>260</v>
      </c>
      <c r="C49" s="148" t="s">
        <v>267</v>
      </c>
      <c r="D49" s="307" t="s">
        <v>226</v>
      </c>
      <c r="E49" s="308"/>
      <c r="F49" s="308"/>
      <c r="G49" s="309"/>
      <c r="H49" s="309"/>
      <c r="I49" s="309"/>
      <c r="J49" s="309"/>
      <c r="K49" s="310"/>
      <c r="L49" s="309"/>
      <c r="M49" s="310"/>
      <c r="N49" s="311"/>
      <c r="O49" s="311"/>
      <c r="P49" s="311"/>
      <c r="Q49" s="311"/>
      <c r="R49" s="312"/>
      <c r="S49" s="115"/>
      <c r="T49" s="313"/>
      <c r="U49" s="314"/>
      <c r="V49" s="315"/>
      <c r="W49" s="315"/>
      <c r="X49" s="315"/>
      <c r="Y49" s="316"/>
      <c r="Z49" s="115"/>
      <c r="AA49" s="313"/>
      <c r="AB49" s="314"/>
      <c r="AC49" s="314"/>
      <c r="AD49" s="314"/>
      <c r="AE49" s="314"/>
      <c r="AF49" s="314"/>
      <c r="AG49" s="314"/>
      <c r="AH49" s="314"/>
      <c r="AI49" s="314"/>
      <c r="AJ49" s="317"/>
    </row>
    <row r="50" spans="2:36" ht="15.6" x14ac:dyDescent="0.3">
      <c r="B50" s="283" t="s">
        <v>501</v>
      </c>
      <c r="C50" s="176" t="s">
        <v>616</v>
      </c>
      <c r="D50" s="296" t="s">
        <v>226</v>
      </c>
      <c r="E50" s="297">
        <v>45473</v>
      </c>
      <c r="F50" s="297">
        <v>45473</v>
      </c>
      <c r="G50" s="284">
        <v>15193814</v>
      </c>
      <c r="H50" s="284">
        <v>3355590</v>
      </c>
      <c r="I50" s="284">
        <v>478415</v>
      </c>
      <c r="J50" s="284">
        <v>2877175</v>
      </c>
      <c r="K50" s="298">
        <v>7.0139732240999999</v>
      </c>
      <c r="L50" s="284">
        <v>0</v>
      </c>
      <c r="M50" s="298">
        <v>7.0139732240999999</v>
      </c>
      <c r="N50" s="299">
        <v>0</v>
      </c>
      <c r="O50" s="299">
        <v>50.335485888999997</v>
      </c>
      <c r="P50" s="299">
        <v>38.138235571999999</v>
      </c>
      <c r="Q50" s="299">
        <v>38.138235571999999</v>
      </c>
      <c r="R50" s="300">
        <v>-12.197250317</v>
      </c>
      <c r="S50" s="115"/>
      <c r="T50" s="301">
        <v>4026312</v>
      </c>
      <c r="U50" s="302">
        <v>947959</v>
      </c>
      <c r="V50" s="303">
        <v>0.26499679408999999</v>
      </c>
      <c r="W50" s="303">
        <v>0.50017826631999995</v>
      </c>
      <c r="X50" s="303">
        <v>7.3260591826999996E-2</v>
      </c>
      <c r="Y50" s="304">
        <v>3.0389845596000001E-2</v>
      </c>
      <c r="Z50" s="115"/>
      <c r="AA50" s="301">
        <v>8049754</v>
      </c>
      <c r="AB50" s="302">
        <v>0</v>
      </c>
      <c r="AC50" s="302">
        <v>6471508</v>
      </c>
      <c r="AD50" s="302">
        <v>70716</v>
      </c>
      <c r="AE50" s="302">
        <v>1774584</v>
      </c>
      <c r="AF50" s="302">
        <v>1925766</v>
      </c>
      <c r="AG50" s="302">
        <v>0</v>
      </c>
      <c r="AH50" s="302">
        <v>-2192820</v>
      </c>
      <c r="AI50" s="302">
        <v>0</v>
      </c>
      <c r="AJ50" s="305">
        <v>0</v>
      </c>
    </row>
    <row r="51" spans="2:36" ht="15.6" x14ac:dyDescent="0.3">
      <c r="B51" s="306" t="s">
        <v>32</v>
      </c>
      <c r="C51" s="148" t="s">
        <v>73</v>
      </c>
      <c r="D51" s="307" t="s">
        <v>104</v>
      </c>
      <c r="E51" s="308"/>
      <c r="F51" s="308"/>
      <c r="G51" s="309"/>
      <c r="H51" s="309"/>
      <c r="I51" s="309"/>
      <c r="J51" s="309"/>
      <c r="K51" s="310"/>
      <c r="L51" s="309"/>
      <c r="M51" s="310"/>
      <c r="N51" s="311"/>
      <c r="O51" s="311"/>
      <c r="P51" s="311"/>
      <c r="Q51" s="311"/>
      <c r="R51" s="312"/>
      <c r="S51" s="115"/>
      <c r="T51" s="313"/>
      <c r="U51" s="314"/>
      <c r="V51" s="315"/>
      <c r="W51" s="315"/>
      <c r="X51" s="315"/>
      <c r="Y51" s="316"/>
      <c r="Z51" s="115"/>
      <c r="AA51" s="313"/>
      <c r="AB51" s="314"/>
      <c r="AC51" s="314"/>
      <c r="AD51" s="314"/>
      <c r="AE51" s="314"/>
      <c r="AF51" s="314"/>
      <c r="AG51" s="314"/>
      <c r="AH51" s="314"/>
      <c r="AI51" s="314"/>
      <c r="AJ51" s="317"/>
    </row>
    <row r="52" spans="2:36" ht="15.6" x14ac:dyDescent="0.3">
      <c r="B52" s="283" t="s">
        <v>1099</v>
      </c>
      <c r="C52" s="176" t="s">
        <v>1137</v>
      </c>
      <c r="D52" s="296" t="s">
        <v>231</v>
      </c>
      <c r="E52" s="297">
        <v>45473</v>
      </c>
      <c r="F52" s="297">
        <v>45473</v>
      </c>
      <c r="G52" s="284">
        <v>5989889</v>
      </c>
      <c r="H52" s="284">
        <v>828357</v>
      </c>
      <c r="I52" s="284">
        <v>1148491</v>
      </c>
      <c r="J52" s="284">
        <v>-320134</v>
      </c>
      <c r="K52" s="298">
        <v>0.72125684921</v>
      </c>
      <c r="L52" s="284">
        <v>39279</v>
      </c>
      <c r="M52" s="298">
        <v>0.68705631999000005</v>
      </c>
      <c r="N52" s="299">
        <v>7.8163534695000001</v>
      </c>
      <c r="O52" s="299">
        <v>50.251795936000001</v>
      </c>
      <c r="P52" s="299">
        <v>57.233262349</v>
      </c>
      <c r="Q52" s="299">
        <v>65.049615818000007</v>
      </c>
      <c r="R52" s="300">
        <v>14.797819881000001</v>
      </c>
      <c r="S52" s="115"/>
      <c r="T52" s="301">
        <v>2084328</v>
      </c>
      <c r="U52" s="302">
        <v>1784321</v>
      </c>
      <c r="V52" s="303">
        <v>0.34797439484999998</v>
      </c>
      <c r="W52" s="303">
        <v>0.68337525069000005</v>
      </c>
      <c r="X52" s="303">
        <v>0.10320640513</v>
      </c>
      <c r="Y52" s="304">
        <v>0.35870745870999998</v>
      </c>
      <c r="Z52" s="115"/>
      <c r="AA52" s="301">
        <v>3050049</v>
      </c>
      <c r="AB52" s="302">
        <v>0</v>
      </c>
      <c r="AC52" s="302">
        <v>2553227</v>
      </c>
      <c r="AD52" s="302">
        <v>0</v>
      </c>
      <c r="AE52" s="302">
        <v>203566</v>
      </c>
      <c r="AF52" s="302">
        <v>7844</v>
      </c>
      <c r="AG52" s="302">
        <v>0</v>
      </c>
      <c r="AH52" s="302">
        <v>349231</v>
      </c>
      <c r="AI52" s="302">
        <v>0</v>
      </c>
      <c r="AJ52" s="305">
        <v>-63819</v>
      </c>
    </row>
    <row r="53" spans="2:36" ht="15.6" x14ac:dyDescent="0.3">
      <c r="B53" s="306" t="s">
        <v>1440</v>
      </c>
      <c r="C53" s="148" t="s">
        <v>2793</v>
      </c>
      <c r="D53" s="307" t="s">
        <v>226</v>
      </c>
      <c r="E53" s="308">
        <v>45473</v>
      </c>
      <c r="F53" s="308">
        <v>45473</v>
      </c>
      <c r="G53" s="309">
        <v>15844978</v>
      </c>
      <c r="H53" s="309">
        <v>4195476</v>
      </c>
      <c r="I53" s="309">
        <v>2101425</v>
      </c>
      <c r="J53" s="309">
        <v>2094051</v>
      </c>
      <c r="K53" s="310">
        <v>1.9964909526000001</v>
      </c>
      <c r="L53" s="309">
        <v>19057</v>
      </c>
      <c r="M53" s="310">
        <v>1.9874223444000001</v>
      </c>
      <c r="N53" s="311">
        <v>5.5419557259000003</v>
      </c>
      <c r="O53" s="311">
        <v>30.642010333000002</v>
      </c>
      <c r="P53" s="311">
        <v>47.511726471000003</v>
      </c>
      <c r="Q53" s="311">
        <v>53.053682197000001</v>
      </c>
      <c r="R53" s="312">
        <v>22.411671863999999</v>
      </c>
      <c r="S53" s="115"/>
      <c r="T53" s="313">
        <v>4416617</v>
      </c>
      <c r="U53" s="314">
        <v>3483859</v>
      </c>
      <c r="V53" s="315">
        <v>0.27873923208000001</v>
      </c>
      <c r="W53" s="315">
        <v>0.55327510392000001</v>
      </c>
      <c r="X53" s="315">
        <v>9.8113782561999999E-2</v>
      </c>
      <c r="Y53" s="316">
        <v>0.29243966592999998</v>
      </c>
      <c r="Z53" s="115"/>
      <c r="AA53" s="313">
        <v>7982678</v>
      </c>
      <c r="AB53" s="314">
        <v>0</v>
      </c>
      <c r="AC53" s="314">
        <v>7067586</v>
      </c>
      <c r="AD53" s="314">
        <v>-98973</v>
      </c>
      <c r="AE53" s="314">
        <v>1095426</v>
      </c>
      <c r="AF53" s="314">
        <v>0</v>
      </c>
      <c r="AG53" s="314">
        <v>0</v>
      </c>
      <c r="AH53" s="314">
        <v>0</v>
      </c>
      <c r="AI53" s="314">
        <v>0</v>
      </c>
      <c r="AJ53" s="317">
        <v>-81361</v>
      </c>
    </row>
    <row r="54" spans="2:36" ht="15.6" x14ac:dyDescent="0.3">
      <c r="B54" s="283" t="s">
        <v>2232</v>
      </c>
      <c r="C54" s="176" t="s">
        <v>2794</v>
      </c>
      <c r="D54" s="296" t="s">
        <v>226</v>
      </c>
      <c r="E54" s="297">
        <v>45473</v>
      </c>
      <c r="F54" s="297">
        <v>45473</v>
      </c>
      <c r="G54" s="284">
        <v>67707831</v>
      </c>
      <c r="H54" s="284">
        <v>13057506</v>
      </c>
      <c r="I54" s="284">
        <v>3140374</v>
      </c>
      <c r="J54" s="284">
        <v>9917132</v>
      </c>
      <c r="K54" s="298">
        <v>4.1579461555000004</v>
      </c>
      <c r="L54" s="284">
        <v>133024</v>
      </c>
      <c r="M54" s="298">
        <v>4.1155868696000004</v>
      </c>
      <c r="N54" s="299">
        <v>13.677513403000001</v>
      </c>
      <c r="O54" s="299">
        <v>40.804382869000001</v>
      </c>
      <c r="P54" s="299">
        <v>52.834111294000003</v>
      </c>
      <c r="Q54" s="299">
        <v>66.511624698000006</v>
      </c>
      <c r="R54" s="300">
        <v>25.707241829000001</v>
      </c>
      <c r="S54" s="115"/>
      <c r="T54" s="301">
        <v>8874775</v>
      </c>
      <c r="U54" s="302">
        <v>1957184</v>
      </c>
      <c r="V54" s="303">
        <v>0.13107457245000001</v>
      </c>
      <c r="W54" s="303">
        <v>0.27964993053999998</v>
      </c>
      <c r="X54" s="303">
        <v>0.16305585212000001</v>
      </c>
      <c r="Y54" s="304">
        <v>1.9106737916999999E-2</v>
      </c>
      <c r="Z54" s="115"/>
      <c r="AA54" s="301">
        <v>31735302</v>
      </c>
      <c r="AB54" s="302">
        <v>0</v>
      </c>
      <c r="AC54" s="302">
        <v>19370176</v>
      </c>
      <c r="AD54" s="302">
        <v>245352</v>
      </c>
      <c r="AE54" s="302">
        <v>11192678</v>
      </c>
      <c r="AF54" s="302">
        <v>4916199</v>
      </c>
      <c r="AG54" s="302">
        <v>0</v>
      </c>
      <c r="AH54" s="302">
        <v>0</v>
      </c>
      <c r="AI54" s="302">
        <v>0</v>
      </c>
      <c r="AJ54" s="305">
        <v>-3989103</v>
      </c>
    </row>
    <row r="55" spans="2:36" ht="15.6" x14ac:dyDescent="0.3">
      <c r="B55" s="306" t="s">
        <v>2233</v>
      </c>
      <c r="C55" s="148" t="s">
        <v>2795</v>
      </c>
      <c r="D55" s="307" t="s">
        <v>103</v>
      </c>
      <c r="E55" s="308">
        <v>45473</v>
      </c>
      <c r="F55" s="308">
        <v>45473</v>
      </c>
      <c r="G55" s="309">
        <v>1078647</v>
      </c>
      <c r="H55" s="309">
        <v>198944</v>
      </c>
      <c r="I55" s="309">
        <v>115716</v>
      </c>
      <c r="J55" s="309">
        <v>83228</v>
      </c>
      <c r="K55" s="310">
        <v>1.7192436655000001</v>
      </c>
      <c r="L55" s="309">
        <v>19359</v>
      </c>
      <c r="M55" s="310">
        <v>1.551946144</v>
      </c>
      <c r="N55" s="311">
        <v>22.145803277999999</v>
      </c>
      <c r="O55" s="311">
        <v>22.494709213</v>
      </c>
      <c r="P55" s="311">
        <v>100.8613917</v>
      </c>
      <c r="Q55" s="311">
        <v>123.00719497999999</v>
      </c>
      <c r="R55" s="312">
        <v>100.51248577</v>
      </c>
      <c r="S55" s="115"/>
      <c r="T55" s="313">
        <v>880240</v>
      </c>
      <c r="U55" s="314">
        <v>844596</v>
      </c>
      <c r="V55" s="315">
        <v>0.81605937808999995</v>
      </c>
      <c r="W55" s="315">
        <v>9.9790270834000001</v>
      </c>
      <c r="X55" s="315">
        <v>6.2702217576999994E-2</v>
      </c>
      <c r="Y55" s="316">
        <v>2.1278287739999999E-2</v>
      </c>
      <c r="Z55" s="115"/>
      <c r="AA55" s="313">
        <v>88209</v>
      </c>
      <c r="AB55" s="314">
        <v>0</v>
      </c>
      <c r="AC55" s="314">
        <v>110000</v>
      </c>
      <c r="AD55" s="314">
        <v>-21791</v>
      </c>
      <c r="AE55" s="314">
        <v>0</v>
      </c>
      <c r="AF55" s="314">
        <v>0</v>
      </c>
      <c r="AG55" s="314">
        <v>0</v>
      </c>
      <c r="AH55" s="314">
        <v>0</v>
      </c>
      <c r="AI55" s="314">
        <v>0</v>
      </c>
      <c r="AJ55" s="317">
        <v>0</v>
      </c>
    </row>
    <row r="56" spans="2:36" ht="15.6" x14ac:dyDescent="0.3">
      <c r="B56" s="283" t="s">
        <v>389</v>
      </c>
      <c r="C56" s="176" t="s">
        <v>394</v>
      </c>
      <c r="D56" s="296" t="s">
        <v>226</v>
      </c>
      <c r="E56" s="297">
        <v>45473</v>
      </c>
      <c r="F56" s="297">
        <v>45473</v>
      </c>
      <c r="G56" s="284">
        <v>13539647</v>
      </c>
      <c r="H56" s="284">
        <v>2841712</v>
      </c>
      <c r="I56" s="284">
        <v>5389479</v>
      </c>
      <c r="J56" s="284">
        <v>-2547767</v>
      </c>
      <c r="K56" s="298">
        <v>0.52727026118999998</v>
      </c>
      <c r="L56" s="284">
        <v>0</v>
      </c>
      <c r="M56" s="298">
        <v>0.52727026118999998</v>
      </c>
      <c r="N56" s="299">
        <v>0</v>
      </c>
      <c r="O56" s="299">
        <v>67.935853696999999</v>
      </c>
      <c r="P56" s="299">
        <v>84.655118946000002</v>
      </c>
      <c r="Q56" s="299">
        <v>84.655118946000002</v>
      </c>
      <c r="R56" s="300">
        <v>16.719265247999999</v>
      </c>
      <c r="S56" s="115"/>
      <c r="T56" s="301">
        <v>5399244</v>
      </c>
      <c r="U56" s="302">
        <v>5119258</v>
      </c>
      <c r="V56" s="303">
        <v>0.39877287789999999</v>
      </c>
      <c r="W56" s="303">
        <v>1.0848593312999999</v>
      </c>
      <c r="X56" s="303">
        <v>0.12468986398</v>
      </c>
      <c r="Y56" s="304">
        <v>0.60419606893</v>
      </c>
      <c r="Z56" s="115"/>
      <c r="AA56" s="301">
        <v>4976907</v>
      </c>
      <c r="AB56" s="302">
        <v>0</v>
      </c>
      <c r="AC56" s="302">
        <v>1968927</v>
      </c>
      <c r="AD56" s="302">
        <v>194421</v>
      </c>
      <c r="AE56" s="302">
        <v>2450409</v>
      </c>
      <c r="AF56" s="302">
        <v>358671</v>
      </c>
      <c r="AG56" s="302">
        <v>0</v>
      </c>
      <c r="AH56" s="302">
        <v>0</v>
      </c>
      <c r="AI56" s="302">
        <v>0</v>
      </c>
      <c r="AJ56" s="305">
        <v>4479</v>
      </c>
    </row>
    <row r="57" spans="2:36" ht="15.6" x14ac:dyDescent="0.3">
      <c r="B57" s="306" t="s">
        <v>1102</v>
      </c>
      <c r="C57" s="148" t="s">
        <v>1138</v>
      </c>
      <c r="D57" s="307" t="s">
        <v>1147</v>
      </c>
      <c r="E57" s="308"/>
      <c r="F57" s="308"/>
      <c r="G57" s="309"/>
      <c r="H57" s="309"/>
      <c r="I57" s="309"/>
      <c r="J57" s="309"/>
      <c r="K57" s="310"/>
      <c r="L57" s="309"/>
      <c r="M57" s="310"/>
      <c r="N57" s="311"/>
      <c r="O57" s="311"/>
      <c r="P57" s="311"/>
      <c r="Q57" s="311"/>
      <c r="R57" s="312"/>
      <c r="S57" s="115"/>
      <c r="T57" s="313"/>
      <c r="U57" s="314"/>
      <c r="V57" s="315"/>
      <c r="W57" s="315"/>
      <c r="X57" s="315"/>
      <c r="Y57" s="316"/>
      <c r="Z57" s="115"/>
      <c r="AA57" s="313"/>
      <c r="AB57" s="314"/>
      <c r="AC57" s="314"/>
      <c r="AD57" s="314"/>
      <c r="AE57" s="314"/>
      <c r="AF57" s="314"/>
      <c r="AG57" s="314"/>
      <c r="AH57" s="314"/>
      <c r="AI57" s="314"/>
      <c r="AJ57" s="317"/>
    </row>
    <row r="58" spans="2:36" ht="15.6" x14ac:dyDescent="0.3">
      <c r="B58" s="283" t="s">
        <v>33</v>
      </c>
      <c r="C58" s="176" t="s">
        <v>25</v>
      </c>
      <c r="D58" s="296" t="s">
        <v>229</v>
      </c>
      <c r="E58" s="297">
        <v>45473</v>
      </c>
      <c r="F58" s="297">
        <v>45473</v>
      </c>
      <c r="G58" s="284">
        <v>14236598</v>
      </c>
      <c r="H58" s="284">
        <v>4722502</v>
      </c>
      <c r="I58" s="284">
        <v>4235765</v>
      </c>
      <c r="J58" s="284">
        <v>486737</v>
      </c>
      <c r="K58" s="298">
        <v>1.1149112379999999</v>
      </c>
      <c r="L58" s="284">
        <v>170488</v>
      </c>
      <c r="M58" s="298">
        <v>1.0746616018999999</v>
      </c>
      <c r="N58" s="299">
        <v>5.2908007377999997</v>
      </c>
      <c r="O58" s="299">
        <v>32.827431206999997</v>
      </c>
      <c r="P58" s="299">
        <v>40.462704457000001</v>
      </c>
      <c r="Q58" s="299">
        <v>45.753505195000002</v>
      </c>
      <c r="R58" s="300">
        <v>12.926073987000001</v>
      </c>
      <c r="S58" s="115"/>
      <c r="T58" s="301">
        <v>8238983</v>
      </c>
      <c r="U58" s="302">
        <v>6680161</v>
      </c>
      <c r="V58" s="303">
        <v>0.57871852531000001</v>
      </c>
      <c r="W58" s="303">
        <v>5.8619253678999996</v>
      </c>
      <c r="X58" s="303">
        <v>0.18982937579</v>
      </c>
      <c r="Y58" s="304">
        <v>0.24001785172000001</v>
      </c>
      <c r="Z58" s="115"/>
      <c r="AA58" s="301">
        <v>1405508</v>
      </c>
      <c r="AB58" s="302">
        <v>0</v>
      </c>
      <c r="AC58" s="302">
        <v>536315</v>
      </c>
      <c r="AD58" s="302">
        <v>865968</v>
      </c>
      <c r="AE58" s="302">
        <v>107263</v>
      </c>
      <c r="AF58" s="302">
        <v>-46851</v>
      </c>
      <c r="AG58" s="302">
        <v>0</v>
      </c>
      <c r="AH58" s="302">
        <v>-57187</v>
      </c>
      <c r="AI58" s="302">
        <v>0</v>
      </c>
      <c r="AJ58" s="305">
        <v>0</v>
      </c>
    </row>
    <row r="59" spans="2:36" ht="15.6" x14ac:dyDescent="0.3">
      <c r="B59" s="306" t="s">
        <v>504</v>
      </c>
      <c r="C59" s="148" t="s">
        <v>618</v>
      </c>
      <c r="D59" s="307" t="s">
        <v>231</v>
      </c>
      <c r="E59" s="308"/>
      <c r="F59" s="308"/>
      <c r="G59" s="309"/>
      <c r="H59" s="309"/>
      <c r="I59" s="309"/>
      <c r="J59" s="309"/>
      <c r="K59" s="310"/>
      <c r="L59" s="309"/>
      <c r="M59" s="310"/>
      <c r="N59" s="311"/>
      <c r="O59" s="311"/>
      <c r="P59" s="311"/>
      <c r="Q59" s="311"/>
      <c r="R59" s="312"/>
      <c r="S59" s="115"/>
      <c r="T59" s="313"/>
      <c r="U59" s="314"/>
      <c r="V59" s="315"/>
      <c r="W59" s="315"/>
      <c r="X59" s="315"/>
      <c r="Y59" s="316"/>
      <c r="Z59" s="115"/>
      <c r="AA59" s="313"/>
      <c r="AB59" s="314"/>
      <c r="AC59" s="314"/>
      <c r="AD59" s="314"/>
      <c r="AE59" s="314"/>
      <c r="AF59" s="314"/>
      <c r="AG59" s="314"/>
      <c r="AH59" s="314"/>
      <c r="AI59" s="314"/>
      <c r="AJ59" s="317"/>
    </row>
    <row r="60" spans="2:36" ht="15.6" x14ac:dyDescent="0.3">
      <c r="B60" s="283" t="s">
        <v>2240</v>
      </c>
      <c r="C60" s="176" t="s">
        <v>2796</v>
      </c>
      <c r="D60" s="296" t="s">
        <v>226</v>
      </c>
      <c r="E60" s="297"/>
      <c r="F60" s="297"/>
      <c r="G60" s="284"/>
      <c r="H60" s="284"/>
      <c r="I60" s="284"/>
      <c r="J60" s="284"/>
      <c r="K60" s="298"/>
      <c r="L60" s="284"/>
      <c r="M60" s="298"/>
      <c r="N60" s="299"/>
      <c r="O60" s="299"/>
      <c r="P60" s="299"/>
      <c r="Q60" s="299"/>
      <c r="R60" s="300"/>
      <c r="S60" s="115"/>
      <c r="T60" s="301"/>
      <c r="U60" s="302"/>
      <c r="V60" s="303"/>
      <c r="W60" s="303"/>
      <c r="X60" s="303"/>
      <c r="Y60" s="304"/>
      <c r="Z60" s="115"/>
      <c r="AA60" s="301"/>
      <c r="AB60" s="302"/>
      <c r="AC60" s="302"/>
      <c r="AD60" s="302"/>
      <c r="AE60" s="302"/>
      <c r="AF60" s="302"/>
      <c r="AG60" s="302"/>
      <c r="AH60" s="302"/>
      <c r="AI60" s="302"/>
      <c r="AJ60" s="305"/>
    </row>
    <row r="61" spans="2:36" ht="15.6" x14ac:dyDescent="0.3">
      <c r="B61" s="306" t="s">
        <v>505</v>
      </c>
      <c r="C61" s="148" t="s">
        <v>619</v>
      </c>
      <c r="D61" s="307" t="s">
        <v>229</v>
      </c>
      <c r="E61" s="308">
        <v>45473</v>
      </c>
      <c r="F61" s="308">
        <v>45473</v>
      </c>
      <c r="G61" s="309">
        <v>3097984</v>
      </c>
      <c r="H61" s="309">
        <v>818051</v>
      </c>
      <c r="I61" s="309">
        <v>779745</v>
      </c>
      <c r="J61" s="309">
        <v>38306</v>
      </c>
      <c r="K61" s="310">
        <v>1.0491263169</v>
      </c>
      <c r="L61" s="309">
        <v>4959</v>
      </c>
      <c r="M61" s="310">
        <v>1.0427665454999999</v>
      </c>
      <c r="N61" s="311">
        <v>0.75004474455000003</v>
      </c>
      <c r="O61" s="311">
        <v>33.591991858999997</v>
      </c>
      <c r="P61" s="311">
        <v>38.981422250999998</v>
      </c>
      <c r="Q61" s="311">
        <v>39.731466996000002</v>
      </c>
      <c r="R61" s="312">
        <v>6.1394751360999997</v>
      </c>
      <c r="S61" s="115"/>
      <c r="T61" s="313">
        <v>1106281</v>
      </c>
      <c r="U61" s="314">
        <v>686911</v>
      </c>
      <c r="V61" s="315">
        <v>0.35709706699999999</v>
      </c>
      <c r="W61" s="315">
        <v>0.99342583795999995</v>
      </c>
      <c r="X61" s="315">
        <v>0.37059842843000002</v>
      </c>
      <c r="Y61" s="316">
        <v>0.1226044739</v>
      </c>
      <c r="Z61" s="115"/>
      <c r="AA61" s="313">
        <v>1113602</v>
      </c>
      <c r="AB61" s="314">
        <v>0</v>
      </c>
      <c r="AC61" s="314">
        <v>665430</v>
      </c>
      <c r="AD61" s="314">
        <v>257259</v>
      </c>
      <c r="AE61" s="314">
        <v>191289</v>
      </c>
      <c r="AF61" s="314">
        <v>0</v>
      </c>
      <c r="AG61" s="314">
        <v>0</v>
      </c>
      <c r="AH61" s="314">
        <v>0</v>
      </c>
      <c r="AI61" s="314">
        <v>0</v>
      </c>
      <c r="AJ61" s="317">
        <v>-376</v>
      </c>
    </row>
    <row r="62" spans="2:36" ht="15.6" x14ac:dyDescent="0.3">
      <c r="B62" s="283" t="s">
        <v>397</v>
      </c>
      <c r="C62" s="176" t="s">
        <v>405</v>
      </c>
      <c r="D62" s="296" t="s">
        <v>226</v>
      </c>
      <c r="E62" s="297">
        <v>45473</v>
      </c>
      <c r="F62" s="297">
        <v>45473</v>
      </c>
      <c r="G62" s="284">
        <v>2734575</v>
      </c>
      <c r="H62" s="284">
        <v>338768</v>
      </c>
      <c r="I62" s="284">
        <v>362574</v>
      </c>
      <c r="J62" s="284">
        <v>-23806</v>
      </c>
      <c r="K62" s="298">
        <v>0.93434167922</v>
      </c>
      <c r="L62" s="284">
        <v>0</v>
      </c>
      <c r="M62" s="298">
        <v>0.93434167922</v>
      </c>
      <c r="N62" s="299">
        <v>0</v>
      </c>
      <c r="O62" s="299">
        <v>72.304969560000004</v>
      </c>
      <c r="P62" s="299">
        <v>17.962851918999998</v>
      </c>
      <c r="Q62" s="299">
        <v>17.962851918999998</v>
      </c>
      <c r="R62" s="300">
        <v>-54.342117641000002</v>
      </c>
      <c r="S62" s="115"/>
      <c r="T62" s="301">
        <v>555423</v>
      </c>
      <c r="U62" s="302">
        <v>489087</v>
      </c>
      <c r="V62" s="303">
        <v>0.20311126958</v>
      </c>
      <c r="W62" s="303">
        <v>0.32009384573999999</v>
      </c>
      <c r="X62" s="303">
        <v>0.41214533788000002</v>
      </c>
      <c r="Y62" s="304">
        <v>0.34672492856999998</v>
      </c>
      <c r="Z62" s="115"/>
      <c r="AA62" s="301">
        <v>1735188</v>
      </c>
      <c r="AB62" s="302">
        <v>0</v>
      </c>
      <c r="AC62" s="302">
        <v>875449</v>
      </c>
      <c r="AD62" s="302">
        <v>127862</v>
      </c>
      <c r="AE62" s="302">
        <v>731877</v>
      </c>
      <c r="AF62" s="302">
        <v>0</v>
      </c>
      <c r="AG62" s="302">
        <v>0</v>
      </c>
      <c r="AH62" s="302">
        <v>0</v>
      </c>
      <c r="AI62" s="302">
        <v>0</v>
      </c>
      <c r="AJ62" s="305">
        <v>0</v>
      </c>
    </row>
    <row r="63" spans="2:36" ht="15.6" x14ac:dyDescent="0.3">
      <c r="B63" s="306" t="s">
        <v>398</v>
      </c>
      <c r="C63" s="148" t="s">
        <v>406</v>
      </c>
      <c r="D63" s="307" t="s">
        <v>226</v>
      </c>
      <c r="E63" s="308">
        <v>45473</v>
      </c>
      <c r="F63" s="308">
        <v>45473</v>
      </c>
      <c r="G63" s="309">
        <v>1750752</v>
      </c>
      <c r="H63" s="309">
        <v>225646</v>
      </c>
      <c r="I63" s="309">
        <v>254792</v>
      </c>
      <c r="J63" s="309">
        <v>-29146</v>
      </c>
      <c r="K63" s="310">
        <v>0.88560865333000005</v>
      </c>
      <c r="L63" s="309">
        <v>0</v>
      </c>
      <c r="M63" s="310">
        <v>0.88560865333000005</v>
      </c>
      <c r="N63" s="311">
        <v>0</v>
      </c>
      <c r="O63" s="311">
        <v>127.01337401000001</v>
      </c>
      <c r="P63" s="311">
        <v>18.708567444</v>
      </c>
      <c r="Q63" s="311">
        <v>18.708567444</v>
      </c>
      <c r="R63" s="312">
        <v>-108.30480656</v>
      </c>
      <c r="S63" s="115"/>
      <c r="T63" s="313">
        <v>373018</v>
      </c>
      <c r="U63" s="314">
        <v>315808</v>
      </c>
      <c r="V63" s="315">
        <v>0.21306158724999999</v>
      </c>
      <c r="W63" s="315">
        <v>0.34967705648000003</v>
      </c>
      <c r="X63" s="315">
        <v>0.39299443995</v>
      </c>
      <c r="Y63" s="316">
        <v>0.32495750875000001</v>
      </c>
      <c r="Z63" s="115"/>
      <c r="AA63" s="313">
        <v>1066750</v>
      </c>
      <c r="AB63" s="314">
        <v>0</v>
      </c>
      <c r="AC63" s="314">
        <v>590713</v>
      </c>
      <c r="AD63" s="314">
        <v>81656</v>
      </c>
      <c r="AE63" s="314">
        <v>394381</v>
      </c>
      <c r="AF63" s="314">
        <v>0</v>
      </c>
      <c r="AG63" s="314">
        <v>0</v>
      </c>
      <c r="AH63" s="314">
        <v>0</v>
      </c>
      <c r="AI63" s="314">
        <v>0</v>
      </c>
      <c r="AJ63" s="317">
        <v>0</v>
      </c>
    </row>
    <row r="64" spans="2:36" ht="15.6" x14ac:dyDescent="0.3">
      <c r="B64" s="283" t="s">
        <v>506</v>
      </c>
      <c r="C64" s="176" t="s">
        <v>620</v>
      </c>
      <c r="D64" s="296" t="s">
        <v>226</v>
      </c>
      <c r="E64" s="297">
        <v>45473</v>
      </c>
      <c r="F64" s="297">
        <v>45473</v>
      </c>
      <c r="G64" s="284">
        <v>2895485</v>
      </c>
      <c r="H64" s="284">
        <v>166273</v>
      </c>
      <c r="I64" s="284">
        <v>157577</v>
      </c>
      <c r="J64" s="284">
        <v>8696</v>
      </c>
      <c r="K64" s="298">
        <v>1.0551857187</v>
      </c>
      <c r="L64" s="284">
        <v>2310</v>
      </c>
      <c r="M64" s="298">
        <v>1.0405262189</v>
      </c>
      <c r="N64" s="299">
        <v>4.8785638859000002</v>
      </c>
      <c r="O64" s="299">
        <v>34.306230200999998</v>
      </c>
      <c r="P64" s="299">
        <v>57.722818848999999</v>
      </c>
      <c r="Q64" s="299">
        <v>62.601382735000001</v>
      </c>
      <c r="R64" s="300">
        <v>28.295152534</v>
      </c>
      <c r="S64" s="115"/>
      <c r="T64" s="301">
        <v>1408223</v>
      </c>
      <c r="U64" s="302">
        <v>1313857</v>
      </c>
      <c r="V64" s="303">
        <v>0.48635133665000002</v>
      </c>
      <c r="W64" s="303">
        <v>1.0645548779</v>
      </c>
      <c r="X64" s="303">
        <v>6.0882402858E-2</v>
      </c>
      <c r="Y64" s="304">
        <v>6.5729646512000001E-2</v>
      </c>
      <c r="Z64" s="115"/>
      <c r="AA64" s="301">
        <v>1322828</v>
      </c>
      <c r="AB64" s="302">
        <v>0</v>
      </c>
      <c r="AC64" s="302">
        <v>2234136</v>
      </c>
      <c r="AD64" s="302">
        <v>-911308</v>
      </c>
      <c r="AE64" s="302">
        <v>0</v>
      </c>
      <c r="AF64" s="302">
        <v>0</v>
      </c>
      <c r="AG64" s="302">
        <v>0</v>
      </c>
      <c r="AH64" s="302">
        <v>0</v>
      </c>
      <c r="AI64" s="302">
        <v>0</v>
      </c>
      <c r="AJ64" s="305">
        <v>0</v>
      </c>
    </row>
    <row r="65" spans="2:36" ht="15.6" x14ac:dyDescent="0.3">
      <c r="B65" s="306" t="s">
        <v>35</v>
      </c>
      <c r="C65" s="148" t="s">
        <v>74</v>
      </c>
      <c r="D65" s="307" t="s">
        <v>226</v>
      </c>
      <c r="E65" s="308"/>
      <c r="F65" s="308"/>
      <c r="G65" s="309"/>
      <c r="H65" s="309"/>
      <c r="I65" s="309"/>
      <c r="J65" s="309"/>
      <c r="K65" s="310"/>
      <c r="L65" s="309"/>
      <c r="M65" s="310"/>
      <c r="N65" s="311"/>
      <c r="O65" s="311"/>
      <c r="P65" s="311"/>
      <c r="Q65" s="311"/>
      <c r="R65" s="312"/>
      <c r="S65" s="115"/>
      <c r="T65" s="313"/>
      <c r="U65" s="314"/>
      <c r="V65" s="315"/>
      <c r="W65" s="315"/>
      <c r="X65" s="315"/>
      <c r="Y65" s="316"/>
      <c r="Z65" s="115"/>
      <c r="AA65" s="313"/>
      <c r="AB65" s="314"/>
      <c r="AC65" s="314"/>
      <c r="AD65" s="314"/>
      <c r="AE65" s="314"/>
      <c r="AF65" s="314"/>
      <c r="AG65" s="314"/>
      <c r="AH65" s="314"/>
      <c r="AI65" s="314"/>
      <c r="AJ65" s="317"/>
    </row>
    <row r="66" spans="2:36" ht="15.6" x14ac:dyDescent="0.3">
      <c r="B66" s="283" t="s">
        <v>2242</v>
      </c>
      <c r="C66" s="176" t="s">
        <v>75</v>
      </c>
      <c r="D66" s="296" t="s">
        <v>228</v>
      </c>
      <c r="E66" s="297">
        <v>45473</v>
      </c>
      <c r="F66" s="297">
        <v>45473</v>
      </c>
      <c r="G66" s="284">
        <v>3922006</v>
      </c>
      <c r="H66" s="284">
        <v>786532</v>
      </c>
      <c r="I66" s="284">
        <v>394644</v>
      </c>
      <c r="J66" s="284">
        <v>391888</v>
      </c>
      <c r="K66" s="298">
        <v>1.9930164908000001</v>
      </c>
      <c r="L66" s="284">
        <v>0</v>
      </c>
      <c r="M66" s="298">
        <v>1.9930164908000001</v>
      </c>
      <c r="N66" s="299">
        <v>0</v>
      </c>
      <c r="O66" s="299">
        <v>4.5871661543000002</v>
      </c>
      <c r="P66" s="299">
        <v>6.7296432535999999</v>
      </c>
      <c r="Q66" s="299">
        <v>6.7296432535999999</v>
      </c>
      <c r="R66" s="300">
        <v>2.1424770993000002</v>
      </c>
      <c r="S66" s="115"/>
      <c r="T66" s="301">
        <v>2402873</v>
      </c>
      <c r="U66" s="302">
        <v>1667784</v>
      </c>
      <c r="V66" s="303">
        <v>0.61266428454999999</v>
      </c>
      <c r="W66" s="303">
        <v>3.6057139255999999</v>
      </c>
      <c r="X66" s="303">
        <v>0.23023022856</v>
      </c>
      <c r="Y66" s="304">
        <v>-1.0703853262E-3</v>
      </c>
      <c r="Z66" s="115"/>
      <c r="AA66" s="301">
        <v>666407</v>
      </c>
      <c r="AB66" s="302">
        <v>0</v>
      </c>
      <c r="AC66" s="302">
        <v>129625</v>
      </c>
      <c r="AD66" s="302">
        <v>510857</v>
      </c>
      <c r="AE66" s="302">
        <v>25925</v>
      </c>
      <c r="AF66" s="302">
        <v>0</v>
      </c>
      <c r="AG66" s="302">
        <v>0</v>
      </c>
      <c r="AH66" s="302">
        <v>0</v>
      </c>
      <c r="AI66" s="302">
        <v>0</v>
      </c>
      <c r="AJ66" s="305">
        <v>0</v>
      </c>
    </row>
    <row r="67" spans="2:36" ht="15.6" x14ac:dyDescent="0.3">
      <c r="B67" s="306" t="s">
        <v>40</v>
      </c>
      <c r="C67" s="148" t="s">
        <v>76</v>
      </c>
      <c r="D67" s="307" t="s">
        <v>230</v>
      </c>
      <c r="E67" s="308">
        <v>45473</v>
      </c>
      <c r="F67" s="308">
        <v>45473</v>
      </c>
      <c r="G67" s="309">
        <v>15064018</v>
      </c>
      <c r="H67" s="309">
        <v>2568157</v>
      </c>
      <c r="I67" s="309">
        <v>2690153</v>
      </c>
      <c r="J67" s="309">
        <v>-121996</v>
      </c>
      <c r="K67" s="310">
        <v>0.95465090646999995</v>
      </c>
      <c r="L67" s="309">
        <v>10916</v>
      </c>
      <c r="M67" s="310">
        <v>0.9505931447</v>
      </c>
      <c r="N67" s="311">
        <v>2.1631595287000001</v>
      </c>
      <c r="O67" s="311">
        <v>16.900030605000001</v>
      </c>
      <c r="P67" s="311">
        <v>31.031275329</v>
      </c>
      <c r="Q67" s="311">
        <v>33.194434858000001</v>
      </c>
      <c r="R67" s="312">
        <v>16.294404253</v>
      </c>
      <c r="S67" s="115"/>
      <c r="T67" s="313">
        <v>2107172</v>
      </c>
      <c r="U67" s="314">
        <v>-69406</v>
      </c>
      <c r="V67" s="315">
        <v>0.13988113928000001</v>
      </c>
      <c r="W67" s="315">
        <v>-0.63938832493999997</v>
      </c>
      <c r="X67" s="315">
        <v>0.27928617122999999</v>
      </c>
      <c r="Y67" s="316">
        <v>0.30195162047000002</v>
      </c>
      <c r="Z67" s="115"/>
      <c r="AA67" s="313">
        <v>-3295606</v>
      </c>
      <c r="AB67" s="314">
        <v>0</v>
      </c>
      <c r="AC67" s="314">
        <v>2624558</v>
      </c>
      <c r="AD67" s="314">
        <v>-5920164</v>
      </c>
      <c r="AE67" s="314">
        <v>0</v>
      </c>
      <c r="AF67" s="314">
        <v>0</v>
      </c>
      <c r="AG67" s="314">
        <v>0</v>
      </c>
      <c r="AH67" s="314">
        <v>0</v>
      </c>
      <c r="AI67" s="314">
        <v>0</v>
      </c>
      <c r="AJ67" s="317">
        <v>0</v>
      </c>
    </row>
    <row r="68" spans="2:36" ht="15.6" x14ac:dyDescent="0.3">
      <c r="B68" s="283" t="s">
        <v>2243</v>
      </c>
      <c r="C68" s="176" t="s">
        <v>2797</v>
      </c>
      <c r="D68" s="296" t="s">
        <v>232</v>
      </c>
      <c r="E68" s="297"/>
      <c r="F68" s="297"/>
      <c r="G68" s="284"/>
      <c r="H68" s="284"/>
      <c r="I68" s="284"/>
      <c r="J68" s="284"/>
      <c r="K68" s="298"/>
      <c r="L68" s="284"/>
      <c r="M68" s="298"/>
      <c r="N68" s="299"/>
      <c r="O68" s="299"/>
      <c r="P68" s="299"/>
      <c r="Q68" s="299"/>
      <c r="R68" s="300"/>
      <c r="S68" s="115"/>
      <c r="T68" s="301"/>
      <c r="U68" s="302"/>
      <c r="V68" s="303"/>
      <c r="W68" s="303"/>
      <c r="X68" s="303"/>
      <c r="Y68" s="304"/>
      <c r="Z68" s="115"/>
      <c r="AA68" s="301"/>
      <c r="AB68" s="302"/>
      <c r="AC68" s="302"/>
      <c r="AD68" s="302"/>
      <c r="AE68" s="302"/>
      <c r="AF68" s="302"/>
      <c r="AG68" s="302"/>
      <c r="AH68" s="302"/>
      <c r="AI68" s="302"/>
      <c r="AJ68" s="305"/>
    </row>
    <row r="69" spans="2:36" ht="15.6" x14ac:dyDescent="0.3">
      <c r="B69" s="306" t="s">
        <v>2244</v>
      </c>
      <c r="C69" s="148" t="s">
        <v>2798</v>
      </c>
      <c r="D69" s="307" t="s">
        <v>228</v>
      </c>
      <c r="E69" s="308">
        <v>45473</v>
      </c>
      <c r="F69" s="308">
        <v>45473</v>
      </c>
      <c r="G69" s="309">
        <v>735563</v>
      </c>
      <c r="H69" s="309">
        <v>57312</v>
      </c>
      <c r="I69" s="309">
        <v>65519</v>
      </c>
      <c r="J69" s="309">
        <v>-8207</v>
      </c>
      <c r="K69" s="310">
        <v>0.87473862544000003</v>
      </c>
      <c r="L69" s="309">
        <v>0</v>
      </c>
      <c r="M69" s="310">
        <v>0.87473862544000003</v>
      </c>
      <c r="N69" s="311">
        <v>0</v>
      </c>
      <c r="O69" s="311">
        <v>22.727285393999999</v>
      </c>
      <c r="P69" s="311">
        <v>18.743528491999999</v>
      </c>
      <c r="Q69" s="311">
        <v>18.743528491999999</v>
      </c>
      <c r="R69" s="312">
        <v>-3.9837569022000001</v>
      </c>
      <c r="S69" s="115"/>
      <c r="T69" s="313">
        <v>514398</v>
      </c>
      <c r="U69" s="314">
        <v>474739</v>
      </c>
      <c r="V69" s="315">
        <v>0.69932555063000001</v>
      </c>
      <c r="W69" s="315">
        <v>3.1130921041000001</v>
      </c>
      <c r="X69" s="315">
        <v>7.4170195063000002E-2</v>
      </c>
      <c r="Y69" s="316">
        <v>7.1073371203000002E-2</v>
      </c>
      <c r="Z69" s="115"/>
      <c r="AA69" s="313">
        <v>165237</v>
      </c>
      <c r="AB69" s="314">
        <v>0</v>
      </c>
      <c r="AC69" s="314">
        <v>147368</v>
      </c>
      <c r="AD69" s="314">
        <v>5212</v>
      </c>
      <c r="AE69" s="314">
        <v>12511</v>
      </c>
      <c r="AF69" s="314">
        <v>146</v>
      </c>
      <c r="AG69" s="314">
        <v>0</v>
      </c>
      <c r="AH69" s="314">
        <v>0</v>
      </c>
      <c r="AI69" s="314">
        <v>0</v>
      </c>
      <c r="AJ69" s="317">
        <v>0</v>
      </c>
    </row>
    <row r="70" spans="2:36" ht="15.6" x14ac:dyDescent="0.3">
      <c r="B70" s="283" t="s">
        <v>2245</v>
      </c>
      <c r="C70" s="176" t="s">
        <v>2799</v>
      </c>
      <c r="D70" s="296" t="s">
        <v>1150</v>
      </c>
      <c r="E70" s="297"/>
      <c r="F70" s="297"/>
      <c r="G70" s="284"/>
      <c r="H70" s="284"/>
      <c r="I70" s="284"/>
      <c r="J70" s="284"/>
      <c r="K70" s="298"/>
      <c r="L70" s="284"/>
      <c r="M70" s="298"/>
      <c r="N70" s="299"/>
      <c r="O70" s="299"/>
      <c r="P70" s="299"/>
      <c r="Q70" s="299"/>
      <c r="R70" s="300"/>
      <c r="S70" s="115"/>
      <c r="T70" s="301"/>
      <c r="U70" s="302"/>
      <c r="V70" s="303"/>
      <c r="W70" s="303"/>
      <c r="X70" s="303"/>
      <c r="Y70" s="304"/>
      <c r="Z70" s="115"/>
      <c r="AA70" s="301"/>
      <c r="AB70" s="302"/>
      <c r="AC70" s="302"/>
      <c r="AD70" s="302"/>
      <c r="AE70" s="302"/>
      <c r="AF70" s="302"/>
      <c r="AG70" s="302"/>
      <c r="AH70" s="302"/>
      <c r="AI70" s="302"/>
      <c r="AJ70" s="305"/>
    </row>
    <row r="71" spans="2:36" ht="15.6" x14ac:dyDescent="0.3">
      <c r="B71" s="306" t="s">
        <v>41</v>
      </c>
      <c r="C71" s="148" t="s">
        <v>77</v>
      </c>
      <c r="D71" s="307" t="s">
        <v>228</v>
      </c>
      <c r="E71" s="308">
        <v>45473</v>
      </c>
      <c r="F71" s="308">
        <v>45473</v>
      </c>
      <c r="G71" s="309">
        <v>3046799</v>
      </c>
      <c r="H71" s="309">
        <v>172330</v>
      </c>
      <c r="I71" s="309">
        <v>223325</v>
      </c>
      <c r="J71" s="309">
        <v>-50995</v>
      </c>
      <c r="K71" s="310">
        <v>0.77165565878999998</v>
      </c>
      <c r="L71" s="309">
        <v>5930</v>
      </c>
      <c r="M71" s="310">
        <v>0.74510242919000003</v>
      </c>
      <c r="N71" s="311">
        <v>4.2606016094000001</v>
      </c>
      <c r="O71" s="311">
        <v>17.730712735000001</v>
      </c>
      <c r="P71" s="311">
        <v>21.216965689999999</v>
      </c>
      <c r="Q71" s="311">
        <v>25.4775673</v>
      </c>
      <c r="R71" s="312">
        <v>7.7468545649999996</v>
      </c>
      <c r="S71" s="115"/>
      <c r="T71" s="313">
        <v>1253286</v>
      </c>
      <c r="U71" s="314">
        <v>1141542</v>
      </c>
      <c r="V71" s="315">
        <v>0.41134515273</v>
      </c>
      <c r="W71" s="315">
        <v>0.78728297337999997</v>
      </c>
      <c r="X71" s="315">
        <v>7.1309342001999995E-2</v>
      </c>
      <c r="Y71" s="316">
        <v>0.11140394131</v>
      </c>
      <c r="Z71" s="115"/>
      <c r="AA71" s="313">
        <v>1591913</v>
      </c>
      <c r="AB71" s="314">
        <v>0</v>
      </c>
      <c r="AC71" s="314">
        <v>2451400</v>
      </c>
      <c r="AD71" s="314">
        <v>-859487</v>
      </c>
      <c r="AE71" s="314">
        <v>0</v>
      </c>
      <c r="AF71" s="314">
        <v>0</v>
      </c>
      <c r="AG71" s="314">
        <v>0</v>
      </c>
      <c r="AH71" s="314">
        <v>0</v>
      </c>
      <c r="AI71" s="314">
        <v>0</v>
      </c>
      <c r="AJ71" s="317">
        <v>0</v>
      </c>
    </row>
    <row r="72" spans="2:36" ht="15.6" x14ac:dyDescent="0.3">
      <c r="B72" s="283" t="s">
        <v>1105</v>
      </c>
      <c r="C72" s="176" t="s">
        <v>1139</v>
      </c>
      <c r="D72" s="296" t="s">
        <v>228</v>
      </c>
      <c r="E72" s="297">
        <v>45473</v>
      </c>
      <c r="F72" s="297">
        <v>45473</v>
      </c>
      <c r="G72" s="284">
        <v>1067734</v>
      </c>
      <c r="H72" s="284">
        <v>51022</v>
      </c>
      <c r="I72" s="284">
        <v>123710</v>
      </c>
      <c r="J72" s="284">
        <v>-72688</v>
      </c>
      <c r="K72" s="298">
        <v>0.41243230134999997</v>
      </c>
      <c r="L72" s="284">
        <v>0</v>
      </c>
      <c r="M72" s="298">
        <v>0.41243230134999997</v>
      </c>
      <c r="N72" s="299">
        <v>0</v>
      </c>
      <c r="O72" s="299">
        <v>97.134607725999999</v>
      </c>
      <c r="P72" s="299">
        <v>21.816998807000001</v>
      </c>
      <c r="Q72" s="299">
        <v>21.816998807000001</v>
      </c>
      <c r="R72" s="300">
        <v>-75.317608918999994</v>
      </c>
      <c r="S72" s="115"/>
      <c r="T72" s="301">
        <v>406155</v>
      </c>
      <c r="U72" s="302">
        <v>375852</v>
      </c>
      <c r="V72" s="303">
        <v>0.38038968506999998</v>
      </c>
      <c r="W72" s="303">
        <v>1.0310805459000001</v>
      </c>
      <c r="X72" s="303">
        <v>4.2050448720000001E-2</v>
      </c>
      <c r="Y72" s="304">
        <v>3.1640629809000002E-2</v>
      </c>
      <c r="Z72" s="115"/>
      <c r="AA72" s="301">
        <v>393912</v>
      </c>
      <c r="AB72" s="302">
        <v>0</v>
      </c>
      <c r="AC72" s="302">
        <v>861447</v>
      </c>
      <c r="AD72" s="302">
        <v>-474937</v>
      </c>
      <c r="AE72" s="302">
        <v>0</v>
      </c>
      <c r="AF72" s="302">
        <v>7402</v>
      </c>
      <c r="AG72" s="302">
        <v>0</v>
      </c>
      <c r="AH72" s="302">
        <v>0</v>
      </c>
      <c r="AI72" s="302">
        <v>0</v>
      </c>
      <c r="AJ72" s="305">
        <v>0</v>
      </c>
    </row>
    <row r="73" spans="2:36" ht="15.6" x14ac:dyDescent="0.3">
      <c r="B73" s="306" t="s">
        <v>43</v>
      </c>
      <c r="C73" s="148" t="s">
        <v>78</v>
      </c>
      <c r="D73" s="307" t="s">
        <v>228</v>
      </c>
      <c r="E73" s="308">
        <v>45473</v>
      </c>
      <c r="F73" s="308">
        <v>45473</v>
      </c>
      <c r="G73" s="309">
        <v>1786690</v>
      </c>
      <c r="H73" s="309">
        <v>209605</v>
      </c>
      <c r="I73" s="309">
        <v>2887893</v>
      </c>
      <c r="J73" s="309">
        <v>-2678288</v>
      </c>
      <c r="K73" s="310">
        <v>7.2580597688000001E-2</v>
      </c>
      <c r="L73" s="309">
        <v>0</v>
      </c>
      <c r="M73" s="310">
        <v>7.2580597688000001E-2</v>
      </c>
      <c r="N73" s="311">
        <v>0</v>
      </c>
      <c r="O73" s="311">
        <v>36.989861693999998</v>
      </c>
      <c r="P73" s="311">
        <v>0</v>
      </c>
      <c r="Q73" s="311">
        <v>0</v>
      </c>
      <c r="R73" s="312">
        <v>-36.989861693999998</v>
      </c>
      <c r="S73" s="115"/>
      <c r="T73" s="313">
        <v>2718074</v>
      </c>
      <c r="U73" s="314">
        <v>2547211</v>
      </c>
      <c r="V73" s="315">
        <v>1.5212902070000001</v>
      </c>
      <c r="W73" s="315">
        <v>-1.5077568594999999</v>
      </c>
      <c r="X73" s="315">
        <v>4.4623509147000001E-3</v>
      </c>
      <c r="Y73" s="316">
        <v>1</v>
      </c>
      <c r="Z73" s="115"/>
      <c r="AA73" s="313">
        <v>-1802727</v>
      </c>
      <c r="AB73" s="314">
        <v>0</v>
      </c>
      <c r="AC73" s="314">
        <v>303578</v>
      </c>
      <c r="AD73" s="314">
        <v>-2106305</v>
      </c>
      <c r="AE73" s="314">
        <v>0</v>
      </c>
      <c r="AF73" s="314">
        <v>0</v>
      </c>
      <c r="AG73" s="314">
        <v>0</v>
      </c>
      <c r="AH73" s="314">
        <v>0</v>
      </c>
      <c r="AI73" s="314">
        <v>0</v>
      </c>
      <c r="AJ73" s="317">
        <v>0</v>
      </c>
    </row>
    <row r="74" spans="2:36" ht="15.6" x14ac:dyDescent="0.3">
      <c r="B74" s="283" t="s">
        <v>1106</v>
      </c>
      <c r="C74" s="176" t="s">
        <v>1140</v>
      </c>
      <c r="D74" s="296" t="s">
        <v>232</v>
      </c>
      <c r="E74" s="297">
        <v>45473</v>
      </c>
      <c r="F74" s="297">
        <v>45473</v>
      </c>
      <c r="G74" s="284">
        <v>3087046</v>
      </c>
      <c r="H74" s="284">
        <v>601688</v>
      </c>
      <c r="I74" s="284">
        <v>279903</v>
      </c>
      <c r="J74" s="284">
        <v>321785</v>
      </c>
      <c r="K74" s="298">
        <v>2.1496304077000001</v>
      </c>
      <c r="L74" s="284">
        <v>94743</v>
      </c>
      <c r="M74" s="298">
        <v>1.8111452896</v>
      </c>
      <c r="N74" s="299">
        <v>50.53484065</v>
      </c>
      <c r="O74" s="299">
        <v>50.204139687999998</v>
      </c>
      <c r="P74" s="299">
        <v>27.896327670000002</v>
      </c>
      <c r="Q74" s="299">
        <v>78.431168319999998</v>
      </c>
      <c r="R74" s="300">
        <v>28.227028631</v>
      </c>
      <c r="S74" s="115"/>
      <c r="T74" s="301">
        <v>1477690</v>
      </c>
      <c r="U74" s="302">
        <v>1111972</v>
      </c>
      <c r="V74" s="303">
        <v>0.47867443504000001</v>
      </c>
      <c r="W74" s="303">
        <v>1.0689308448999999</v>
      </c>
      <c r="X74" s="303">
        <v>6.3206085174000004E-2</v>
      </c>
      <c r="Y74" s="304">
        <v>8.2603929106000007E-2</v>
      </c>
      <c r="Z74" s="115"/>
      <c r="AA74" s="301">
        <v>1382400</v>
      </c>
      <c r="AB74" s="302">
        <v>0</v>
      </c>
      <c r="AC74" s="302">
        <v>1458916</v>
      </c>
      <c r="AD74" s="302">
        <v>-76516</v>
      </c>
      <c r="AE74" s="302">
        <v>0</v>
      </c>
      <c r="AF74" s="302">
        <v>0</v>
      </c>
      <c r="AG74" s="302">
        <v>0</v>
      </c>
      <c r="AH74" s="302">
        <v>0</v>
      </c>
      <c r="AI74" s="302">
        <v>0</v>
      </c>
      <c r="AJ74" s="305">
        <v>0</v>
      </c>
    </row>
    <row r="75" spans="2:36" ht="15.6" x14ac:dyDescent="0.3">
      <c r="B75" s="306" t="s">
        <v>1421</v>
      </c>
      <c r="C75" s="148" t="s">
        <v>1903</v>
      </c>
      <c r="D75" s="307" t="s">
        <v>231</v>
      </c>
      <c r="E75" s="308"/>
      <c r="F75" s="308"/>
      <c r="G75" s="309"/>
      <c r="H75" s="309"/>
      <c r="I75" s="309"/>
      <c r="J75" s="309"/>
      <c r="K75" s="310"/>
      <c r="L75" s="309"/>
      <c r="M75" s="310"/>
      <c r="N75" s="311"/>
      <c r="O75" s="311"/>
      <c r="P75" s="311"/>
      <c r="Q75" s="311"/>
      <c r="R75" s="312"/>
      <c r="S75" s="115"/>
      <c r="T75" s="313"/>
      <c r="U75" s="314"/>
      <c r="V75" s="315"/>
      <c r="W75" s="315"/>
      <c r="X75" s="315"/>
      <c r="Y75" s="316"/>
      <c r="Z75" s="115"/>
      <c r="AA75" s="313"/>
      <c r="AB75" s="314"/>
      <c r="AC75" s="314"/>
      <c r="AD75" s="314"/>
      <c r="AE75" s="314"/>
      <c r="AF75" s="314"/>
      <c r="AG75" s="314"/>
      <c r="AH75" s="314"/>
      <c r="AI75" s="314"/>
      <c r="AJ75" s="317"/>
    </row>
    <row r="76" spans="2:36" ht="15.6" x14ac:dyDescent="0.3">
      <c r="B76" s="283" t="s">
        <v>511</v>
      </c>
      <c r="C76" s="176" t="s">
        <v>621</v>
      </c>
      <c r="D76" s="296" t="s">
        <v>228</v>
      </c>
      <c r="E76" s="297"/>
      <c r="F76" s="297"/>
      <c r="G76" s="284"/>
      <c r="H76" s="284"/>
      <c r="I76" s="284"/>
      <c r="J76" s="284"/>
      <c r="K76" s="298"/>
      <c r="L76" s="284"/>
      <c r="M76" s="298"/>
      <c r="N76" s="299"/>
      <c r="O76" s="299"/>
      <c r="P76" s="299"/>
      <c r="Q76" s="299"/>
      <c r="R76" s="300"/>
      <c r="S76" s="115"/>
      <c r="T76" s="301"/>
      <c r="U76" s="302"/>
      <c r="V76" s="303"/>
      <c r="W76" s="303"/>
      <c r="X76" s="303"/>
      <c r="Y76" s="304"/>
      <c r="Z76" s="115"/>
      <c r="AA76" s="301"/>
      <c r="AB76" s="302"/>
      <c r="AC76" s="302"/>
      <c r="AD76" s="302"/>
      <c r="AE76" s="302"/>
      <c r="AF76" s="302"/>
      <c r="AG76" s="302"/>
      <c r="AH76" s="302"/>
      <c r="AI76" s="302"/>
      <c r="AJ76" s="305"/>
    </row>
    <row r="77" spans="2:36" ht="15.6" x14ac:dyDescent="0.3">
      <c r="B77" s="306" t="s">
        <v>1422</v>
      </c>
      <c r="C77" s="148" t="s">
        <v>1904</v>
      </c>
      <c r="D77" s="307" t="s">
        <v>228</v>
      </c>
      <c r="E77" s="308">
        <v>45473</v>
      </c>
      <c r="F77" s="308">
        <v>45473</v>
      </c>
      <c r="G77" s="309">
        <v>1440304</v>
      </c>
      <c r="H77" s="309">
        <v>238066</v>
      </c>
      <c r="I77" s="309">
        <v>78506</v>
      </c>
      <c r="J77" s="309">
        <v>159560</v>
      </c>
      <c r="K77" s="310">
        <v>3.0324561179999998</v>
      </c>
      <c r="L77" s="309">
        <v>0</v>
      </c>
      <c r="M77" s="310">
        <v>3.0324561179999998</v>
      </c>
      <c r="N77" s="311">
        <v>0</v>
      </c>
      <c r="O77" s="311">
        <v>17.555220554999998</v>
      </c>
      <c r="P77" s="311">
        <v>11.823102001000001</v>
      </c>
      <c r="Q77" s="311">
        <v>11.823102001000001</v>
      </c>
      <c r="R77" s="312">
        <v>-5.7321185529000003</v>
      </c>
      <c r="S77" s="115"/>
      <c r="T77" s="313">
        <v>695840</v>
      </c>
      <c r="U77" s="314">
        <v>495050</v>
      </c>
      <c r="V77" s="315">
        <v>0.48312023017</v>
      </c>
      <c r="W77" s="315">
        <v>1.0875677737</v>
      </c>
      <c r="X77" s="315">
        <v>4.2824499884999999E-2</v>
      </c>
      <c r="Y77" s="316">
        <v>4.9154978156E-2</v>
      </c>
      <c r="Z77" s="115"/>
      <c r="AA77" s="313">
        <v>639813</v>
      </c>
      <c r="AB77" s="314">
        <v>0</v>
      </c>
      <c r="AC77" s="314">
        <v>622407</v>
      </c>
      <c r="AD77" s="314">
        <v>11136</v>
      </c>
      <c r="AE77" s="314">
        <v>6270</v>
      </c>
      <c r="AF77" s="314">
        <v>0</v>
      </c>
      <c r="AG77" s="314">
        <v>0</v>
      </c>
      <c r="AH77" s="314">
        <v>0</v>
      </c>
      <c r="AI77" s="314">
        <v>0</v>
      </c>
      <c r="AJ77" s="317">
        <v>0</v>
      </c>
    </row>
    <row r="78" spans="2:36" ht="15.6" x14ac:dyDescent="0.3">
      <c r="B78" s="283" t="s">
        <v>2247</v>
      </c>
      <c r="C78" s="176" t="s">
        <v>80</v>
      </c>
      <c r="D78" s="296" t="s">
        <v>228</v>
      </c>
      <c r="E78" s="297">
        <v>45473</v>
      </c>
      <c r="F78" s="297">
        <v>45473</v>
      </c>
      <c r="G78" s="284">
        <v>3341781</v>
      </c>
      <c r="H78" s="284">
        <v>866909</v>
      </c>
      <c r="I78" s="284">
        <v>1120297</v>
      </c>
      <c r="J78" s="284">
        <v>-253388</v>
      </c>
      <c r="K78" s="298">
        <v>0.77382069219000005</v>
      </c>
      <c r="L78" s="284">
        <v>0</v>
      </c>
      <c r="M78" s="298">
        <v>0.77382069219000005</v>
      </c>
      <c r="N78" s="299">
        <v>0</v>
      </c>
      <c r="O78" s="299">
        <v>21.827199261000001</v>
      </c>
      <c r="P78" s="299">
        <v>23.345433760999999</v>
      </c>
      <c r="Q78" s="299">
        <v>23.345433760999999</v>
      </c>
      <c r="R78" s="300">
        <v>1.5182345000999999</v>
      </c>
      <c r="S78" s="115"/>
      <c r="T78" s="301">
        <v>2576099</v>
      </c>
      <c r="U78" s="302">
        <v>2381347</v>
      </c>
      <c r="V78" s="303">
        <v>0.77087606878000003</v>
      </c>
      <c r="W78" s="303">
        <v>6.2913931383000001</v>
      </c>
      <c r="X78" s="303">
        <v>0.2026214831</v>
      </c>
      <c r="Y78" s="304">
        <v>0.37025867407000002</v>
      </c>
      <c r="Z78" s="115"/>
      <c r="AA78" s="301">
        <v>409464</v>
      </c>
      <c r="AB78" s="302">
        <v>0</v>
      </c>
      <c r="AC78" s="302">
        <v>302547</v>
      </c>
      <c r="AD78" s="302">
        <v>45917</v>
      </c>
      <c r="AE78" s="302">
        <v>60509</v>
      </c>
      <c r="AF78" s="302">
        <v>491</v>
      </c>
      <c r="AG78" s="302">
        <v>0</v>
      </c>
      <c r="AH78" s="302">
        <v>0</v>
      </c>
      <c r="AI78" s="302">
        <v>0</v>
      </c>
      <c r="AJ78" s="305">
        <v>0</v>
      </c>
    </row>
    <row r="79" spans="2:36" ht="15.6" x14ac:dyDescent="0.3">
      <c r="B79" s="306" t="s">
        <v>1423</v>
      </c>
      <c r="C79" s="148" t="s">
        <v>1905</v>
      </c>
      <c r="D79" s="307" t="s">
        <v>228</v>
      </c>
      <c r="E79" s="308"/>
      <c r="F79" s="308"/>
      <c r="G79" s="309"/>
      <c r="H79" s="309"/>
      <c r="I79" s="309"/>
      <c r="J79" s="309"/>
      <c r="K79" s="310"/>
      <c r="L79" s="309"/>
      <c r="M79" s="310"/>
      <c r="N79" s="311"/>
      <c r="O79" s="311"/>
      <c r="P79" s="311"/>
      <c r="Q79" s="311"/>
      <c r="R79" s="312"/>
      <c r="S79" s="115"/>
      <c r="T79" s="313"/>
      <c r="U79" s="314"/>
      <c r="V79" s="315"/>
      <c r="W79" s="315"/>
      <c r="X79" s="315"/>
      <c r="Y79" s="316"/>
      <c r="Z79" s="115"/>
      <c r="AA79" s="313"/>
      <c r="AB79" s="314"/>
      <c r="AC79" s="314"/>
      <c r="AD79" s="314"/>
      <c r="AE79" s="314"/>
      <c r="AF79" s="314"/>
      <c r="AG79" s="314"/>
      <c r="AH79" s="314"/>
      <c r="AI79" s="314"/>
      <c r="AJ79" s="317"/>
    </row>
    <row r="80" spans="2:36" ht="15.6" x14ac:dyDescent="0.3">
      <c r="B80" s="283" t="s">
        <v>2248</v>
      </c>
      <c r="C80" s="176" t="s">
        <v>2800</v>
      </c>
      <c r="D80" s="296" t="s">
        <v>228</v>
      </c>
      <c r="E80" s="297"/>
      <c r="F80" s="297"/>
      <c r="G80" s="284"/>
      <c r="H80" s="284"/>
      <c r="I80" s="284"/>
      <c r="J80" s="284"/>
      <c r="K80" s="298"/>
      <c r="L80" s="284"/>
      <c r="M80" s="298"/>
      <c r="N80" s="299"/>
      <c r="O80" s="299"/>
      <c r="P80" s="299"/>
      <c r="Q80" s="299"/>
      <c r="R80" s="300"/>
      <c r="S80" s="115"/>
      <c r="T80" s="301"/>
      <c r="U80" s="302"/>
      <c r="V80" s="303"/>
      <c r="W80" s="303"/>
      <c r="X80" s="303"/>
      <c r="Y80" s="304"/>
      <c r="Z80" s="115"/>
      <c r="AA80" s="301"/>
      <c r="AB80" s="302"/>
      <c r="AC80" s="302"/>
      <c r="AD80" s="302"/>
      <c r="AE80" s="302"/>
      <c r="AF80" s="302"/>
      <c r="AG80" s="302"/>
      <c r="AH80" s="302"/>
      <c r="AI80" s="302"/>
      <c r="AJ80" s="305"/>
    </row>
    <row r="81" spans="2:36" ht="15.6" x14ac:dyDescent="0.3">
      <c r="B81" s="306" t="s">
        <v>1424</v>
      </c>
      <c r="C81" s="148" t="s">
        <v>1906</v>
      </c>
      <c r="D81" s="307" t="s">
        <v>226</v>
      </c>
      <c r="E81" s="308"/>
      <c r="F81" s="308"/>
      <c r="G81" s="309"/>
      <c r="H81" s="309"/>
      <c r="I81" s="309"/>
      <c r="J81" s="309"/>
      <c r="K81" s="310"/>
      <c r="L81" s="309"/>
      <c r="M81" s="310"/>
      <c r="N81" s="311"/>
      <c r="O81" s="311"/>
      <c r="P81" s="311"/>
      <c r="Q81" s="311"/>
      <c r="R81" s="312"/>
      <c r="S81" s="115"/>
      <c r="T81" s="313"/>
      <c r="U81" s="314"/>
      <c r="V81" s="315"/>
      <c r="W81" s="315"/>
      <c r="X81" s="315"/>
      <c r="Y81" s="316"/>
      <c r="Z81" s="115"/>
      <c r="AA81" s="313"/>
      <c r="AB81" s="314"/>
      <c r="AC81" s="314"/>
      <c r="AD81" s="314"/>
      <c r="AE81" s="314"/>
      <c r="AF81" s="314"/>
      <c r="AG81" s="314"/>
      <c r="AH81" s="314"/>
      <c r="AI81" s="314"/>
      <c r="AJ81" s="317"/>
    </row>
    <row r="82" spans="2:36" ht="15.6" x14ac:dyDescent="0.3">
      <c r="B82" s="283" t="s">
        <v>512</v>
      </c>
      <c r="C82" s="176" t="s">
        <v>17</v>
      </c>
      <c r="D82" s="296" t="s">
        <v>231</v>
      </c>
      <c r="E82" s="297">
        <v>45473</v>
      </c>
      <c r="F82" s="297">
        <v>45473</v>
      </c>
      <c r="G82" s="284">
        <v>14317315</v>
      </c>
      <c r="H82" s="284">
        <v>2099190</v>
      </c>
      <c r="I82" s="284">
        <v>1847757</v>
      </c>
      <c r="J82" s="284">
        <v>251433</v>
      </c>
      <c r="K82" s="298">
        <v>1.1360747111</v>
      </c>
      <c r="L82" s="284">
        <v>108734</v>
      </c>
      <c r="M82" s="298">
        <v>1.0772282285999999</v>
      </c>
      <c r="N82" s="299">
        <v>9.1907994894999998</v>
      </c>
      <c r="O82" s="299">
        <v>29.179566985000001</v>
      </c>
      <c r="P82" s="299">
        <v>61.866924382000001</v>
      </c>
      <c r="Q82" s="299">
        <v>71.057723871999997</v>
      </c>
      <c r="R82" s="300">
        <v>41.878156887000003</v>
      </c>
      <c r="S82" s="115"/>
      <c r="T82" s="301">
        <v>4992357</v>
      </c>
      <c r="U82" s="302">
        <v>4447791</v>
      </c>
      <c r="V82" s="303">
        <v>0.34869366217999997</v>
      </c>
      <c r="W82" s="303">
        <v>0.65411365748000005</v>
      </c>
      <c r="X82" s="303">
        <v>0.20856561339999999</v>
      </c>
      <c r="Y82" s="304">
        <v>0.1297807829</v>
      </c>
      <c r="Z82" s="115"/>
      <c r="AA82" s="301">
        <v>7632247</v>
      </c>
      <c r="AB82" s="302">
        <v>0</v>
      </c>
      <c r="AC82" s="302">
        <v>3606531</v>
      </c>
      <c r="AD82" s="302">
        <v>358436</v>
      </c>
      <c r="AE82" s="302">
        <v>3721575</v>
      </c>
      <c r="AF82" s="302">
        <v>-8576</v>
      </c>
      <c r="AG82" s="302">
        <v>0</v>
      </c>
      <c r="AH82" s="302">
        <v>-45719</v>
      </c>
      <c r="AI82" s="302">
        <v>0</v>
      </c>
      <c r="AJ82" s="305">
        <v>0</v>
      </c>
    </row>
    <row r="83" spans="2:36" ht="15.6" x14ac:dyDescent="0.3">
      <c r="B83" s="306" t="s">
        <v>515</v>
      </c>
      <c r="C83" s="148" t="s">
        <v>622</v>
      </c>
      <c r="D83" s="307" t="s">
        <v>226</v>
      </c>
      <c r="E83" s="308">
        <v>45473</v>
      </c>
      <c r="F83" s="308">
        <v>45473</v>
      </c>
      <c r="G83" s="309">
        <v>27712821</v>
      </c>
      <c r="H83" s="309">
        <v>5139831</v>
      </c>
      <c r="I83" s="309">
        <v>4239290</v>
      </c>
      <c r="J83" s="309">
        <v>900541</v>
      </c>
      <c r="K83" s="310">
        <v>1.2124273167999999</v>
      </c>
      <c r="L83" s="309">
        <v>40848</v>
      </c>
      <c r="M83" s="310">
        <v>1.2027917411</v>
      </c>
      <c r="N83" s="311">
        <v>6.5270584810000001</v>
      </c>
      <c r="O83" s="311">
        <v>63.389070082000003</v>
      </c>
      <c r="P83" s="311">
        <v>44.001549844000003</v>
      </c>
      <c r="Q83" s="311">
        <v>50.528608325</v>
      </c>
      <c r="R83" s="312">
        <v>-12.860461756999999</v>
      </c>
      <c r="S83" s="115"/>
      <c r="T83" s="313">
        <v>8758922</v>
      </c>
      <c r="U83" s="314">
        <v>5577515</v>
      </c>
      <c r="V83" s="315">
        <v>0.31606028127000002</v>
      </c>
      <c r="W83" s="315">
        <v>0.66276956608000004</v>
      </c>
      <c r="X83" s="315">
        <v>0.12738622400999999</v>
      </c>
      <c r="Y83" s="316">
        <v>0.16462699405</v>
      </c>
      <c r="Z83" s="115"/>
      <c r="AA83" s="313">
        <v>13104584</v>
      </c>
      <c r="AB83" s="314">
        <v>111053</v>
      </c>
      <c r="AC83" s="314">
        <v>6242757</v>
      </c>
      <c r="AD83" s="314">
        <v>673349</v>
      </c>
      <c r="AE83" s="314">
        <v>5707226</v>
      </c>
      <c r="AF83" s="314">
        <v>0</v>
      </c>
      <c r="AG83" s="314">
        <v>0</v>
      </c>
      <c r="AH83" s="314">
        <v>481252</v>
      </c>
      <c r="AI83" s="314">
        <v>0</v>
      </c>
      <c r="AJ83" s="317">
        <v>0</v>
      </c>
    </row>
    <row r="84" spans="2:36" ht="15.6" x14ac:dyDescent="0.3">
      <c r="B84" s="283" t="s">
        <v>44</v>
      </c>
      <c r="C84" s="176" t="s">
        <v>81</v>
      </c>
      <c r="D84" s="296" t="s">
        <v>226</v>
      </c>
      <c r="E84" s="297">
        <v>45473</v>
      </c>
      <c r="F84" s="297">
        <v>45473</v>
      </c>
      <c r="G84" s="284">
        <v>6101000</v>
      </c>
      <c r="H84" s="284">
        <v>1634000</v>
      </c>
      <c r="I84" s="284">
        <v>905000</v>
      </c>
      <c r="J84" s="284">
        <v>729000</v>
      </c>
      <c r="K84" s="298">
        <v>1.8055248618999999</v>
      </c>
      <c r="L84" s="284">
        <v>0</v>
      </c>
      <c r="M84" s="298">
        <v>1.8055248618999999</v>
      </c>
      <c r="N84" s="299">
        <v>0</v>
      </c>
      <c r="O84" s="299">
        <v>41.863857373999998</v>
      </c>
      <c r="P84" s="299">
        <v>61.804264625000002</v>
      </c>
      <c r="Q84" s="299">
        <v>61.804264625000002</v>
      </c>
      <c r="R84" s="300">
        <v>19.940407251</v>
      </c>
      <c r="S84" s="115"/>
      <c r="T84" s="301">
        <v>3016000</v>
      </c>
      <c r="U84" s="302">
        <v>2401000</v>
      </c>
      <c r="V84" s="303">
        <v>0.49434518930999999</v>
      </c>
      <c r="W84" s="303">
        <v>1.8234582828999999</v>
      </c>
      <c r="X84" s="303">
        <v>0.16611405836000001</v>
      </c>
      <c r="Y84" s="304">
        <v>7.2612732095999999E-2</v>
      </c>
      <c r="Z84" s="115"/>
      <c r="AA84" s="301">
        <v>1654000</v>
      </c>
      <c r="AB84" s="302">
        <v>0</v>
      </c>
      <c r="AC84" s="302">
        <v>542000</v>
      </c>
      <c r="AD84" s="302">
        <v>272000</v>
      </c>
      <c r="AE84" s="302">
        <v>645000</v>
      </c>
      <c r="AF84" s="302">
        <v>185000</v>
      </c>
      <c r="AG84" s="302">
        <v>0</v>
      </c>
      <c r="AH84" s="302">
        <v>0</v>
      </c>
      <c r="AI84" s="302">
        <v>0</v>
      </c>
      <c r="AJ84" s="305">
        <v>10000</v>
      </c>
    </row>
    <row r="85" spans="2:36" ht="15.6" x14ac:dyDescent="0.3">
      <c r="B85" s="306" t="s">
        <v>1430</v>
      </c>
      <c r="C85" s="148" t="s">
        <v>1907</v>
      </c>
      <c r="D85" s="307" t="s">
        <v>226</v>
      </c>
      <c r="E85" s="308">
        <v>45473</v>
      </c>
      <c r="F85" s="308">
        <v>45473</v>
      </c>
      <c r="G85" s="309">
        <v>14864880</v>
      </c>
      <c r="H85" s="309">
        <v>1872272</v>
      </c>
      <c r="I85" s="309">
        <v>4001621</v>
      </c>
      <c r="J85" s="309">
        <v>-2129349</v>
      </c>
      <c r="K85" s="310">
        <v>0.46787839228</v>
      </c>
      <c r="L85" s="309">
        <v>0</v>
      </c>
      <c r="M85" s="310">
        <v>0.46787839228</v>
      </c>
      <c r="N85" s="311">
        <v>0</v>
      </c>
      <c r="O85" s="311">
        <v>47.094284389999999</v>
      </c>
      <c r="P85" s="311">
        <v>54.828406004000001</v>
      </c>
      <c r="Q85" s="311">
        <v>54.828406004000001</v>
      </c>
      <c r="R85" s="312">
        <v>7.7341216137000002</v>
      </c>
      <c r="S85" s="115"/>
      <c r="T85" s="313">
        <v>1341642</v>
      </c>
      <c r="U85" s="314">
        <v>474346</v>
      </c>
      <c r="V85" s="315">
        <v>9.0255824467000006E-2</v>
      </c>
      <c r="W85" s="315">
        <v>0.22013618612999999</v>
      </c>
      <c r="X85" s="315">
        <v>1.0098334727</v>
      </c>
      <c r="Y85" s="316">
        <v>0.31619239708000002</v>
      </c>
      <c r="Z85" s="115"/>
      <c r="AA85" s="313">
        <v>3140306</v>
      </c>
      <c r="AB85" s="314">
        <v>2954294</v>
      </c>
      <c r="AC85" s="314">
        <v>972728</v>
      </c>
      <c r="AD85" s="314">
        <v>566712</v>
      </c>
      <c r="AE85" s="314">
        <v>1411941</v>
      </c>
      <c r="AF85" s="314">
        <v>97379</v>
      </c>
      <c r="AG85" s="314">
        <v>0</v>
      </c>
      <c r="AH85" s="314">
        <v>0</v>
      </c>
      <c r="AI85" s="314">
        <v>0</v>
      </c>
      <c r="AJ85" s="317">
        <v>91546</v>
      </c>
    </row>
    <row r="86" spans="2:36" ht="15.6" x14ac:dyDescent="0.3">
      <c r="B86" s="283" t="s">
        <v>519</v>
      </c>
      <c r="C86" s="176" t="s">
        <v>82</v>
      </c>
      <c r="D86" s="296" t="s">
        <v>226</v>
      </c>
      <c r="E86" s="297">
        <v>45473</v>
      </c>
      <c r="F86" s="297">
        <v>45473</v>
      </c>
      <c r="G86" s="284">
        <v>7618192</v>
      </c>
      <c r="H86" s="284">
        <v>1876673</v>
      </c>
      <c r="I86" s="284">
        <v>2481575</v>
      </c>
      <c r="J86" s="284">
        <v>-604902</v>
      </c>
      <c r="K86" s="298">
        <v>0.75624270875999999</v>
      </c>
      <c r="L86" s="284">
        <v>6643</v>
      </c>
      <c r="M86" s="298">
        <v>0.75356577979999995</v>
      </c>
      <c r="N86" s="299">
        <v>0.56155164721999995</v>
      </c>
      <c r="O86" s="299">
        <v>52.301312607</v>
      </c>
      <c r="P86" s="299">
        <v>52.322506261000001</v>
      </c>
      <c r="Q86" s="299">
        <v>52.884057908999999</v>
      </c>
      <c r="R86" s="300">
        <v>0.58274530148000003</v>
      </c>
      <c r="S86" s="115"/>
      <c r="T86" s="301">
        <v>4073546</v>
      </c>
      <c r="U86" s="302">
        <v>3845742</v>
      </c>
      <c r="V86" s="303">
        <v>0.53471296076999997</v>
      </c>
      <c r="W86" s="303">
        <v>6.3259713637999999</v>
      </c>
      <c r="X86" s="303">
        <v>0.14770939127999999</v>
      </c>
      <c r="Y86" s="304">
        <v>0.24224864528000001</v>
      </c>
      <c r="Z86" s="115"/>
      <c r="AA86" s="301">
        <v>643940</v>
      </c>
      <c r="AB86" s="302">
        <v>0</v>
      </c>
      <c r="AC86" s="302">
        <v>272262</v>
      </c>
      <c r="AD86" s="302">
        <v>274260</v>
      </c>
      <c r="AE86" s="302">
        <v>438770</v>
      </c>
      <c r="AF86" s="302">
        <v>23788</v>
      </c>
      <c r="AG86" s="302">
        <v>0</v>
      </c>
      <c r="AH86" s="302">
        <v>0</v>
      </c>
      <c r="AI86" s="302">
        <v>0</v>
      </c>
      <c r="AJ86" s="305">
        <v>-365140</v>
      </c>
    </row>
    <row r="87" spans="2:36" ht="15.6" x14ac:dyDescent="0.3">
      <c r="B87" s="306" t="s">
        <v>1110</v>
      </c>
      <c r="C87" s="148" t="s">
        <v>1141</v>
      </c>
      <c r="D87" s="307" t="s">
        <v>234</v>
      </c>
      <c r="E87" s="308">
        <v>45473</v>
      </c>
      <c r="F87" s="308">
        <v>45473</v>
      </c>
      <c r="G87" s="309">
        <v>30855507</v>
      </c>
      <c r="H87" s="309">
        <v>13779474</v>
      </c>
      <c r="I87" s="309">
        <v>5165903</v>
      </c>
      <c r="J87" s="309">
        <v>8613571</v>
      </c>
      <c r="K87" s="310">
        <v>2.6673892251</v>
      </c>
      <c r="L87" s="309">
        <v>700595</v>
      </c>
      <c r="M87" s="310">
        <v>2.5317701474000001</v>
      </c>
      <c r="N87" s="311">
        <v>32.870813247999997</v>
      </c>
      <c r="O87" s="311">
        <v>83.833464617999994</v>
      </c>
      <c r="P87" s="311">
        <v>21.063565675</v>
      </c>
      <c r="Q87" s="311">
        <v>53.934378922000001</v>
      </c>
      <c r="R87" s="312">
        <v>-29.899085696</v>
      </c>
      <c r="S87" s="115"/>
      <c r="T87" s="313">
        <v>8899739</v>
      </c>
      <c r="U87" s="314">
        <v>-2887121</v>
      </c>
      <c r="V87" s="315">
        <v>0.28843275854</v>
      </c>
      <c r="W87" s="315">
        <v>0.75764937581000003</v>
      </c>
      <c r="X87" s="315">
        <v>0.28723628861</v>
      </c>
      <c r="Y87" s="316">
        <v>7.6351003102000006E-2</v>
      </c>
      <c r="Z87" s="115"/>
      <c r="AA87" s="313">
        <v>11746514</v>
      </c>
      <c r="AB87" s="314">
        <v>0</v>
      </c>
      <c r="AC87" s="314">
        <v>7473980</v>
      </c>
      <c r="AD87" s="314">
        <v>2065380</v>
      </c>
      <c r="AE87" s="314">
        <v>2248894</v>
      </c>
      <c r="AF87" s="314">
        <v>127042</v>
      </c>
      <c r="AG87" s="314">
        <v>0</v>
      </c>
      <c r="AH87" s="314">
        <v>322635</v>
      </c>
      <c r="AI87" s="314">
        <v>0</v>
      </c>
      <c r="AJ87" s="317">
        <v>-491417</v>
      </c>
    </row>
    <row r="88" spans="2:36" ht="15.6" x14ac:dyDescent="0.3">
      <c r="B88" s="283" t="s">
        <v>520</v>
      </c>
      <c r="C88" s="176" t="s">
        <v>623</v>
      </c>
      <c r="D88" s="296" t="s">
        <v>104</v>
      </c>
      <c r="E88" s="297"/>
      <c r="F88" s="297"/>
      <c r="G88" s="284"/>
      <c r="H88" s="284"/>
      <c r="I88" s="284"/>
      <c r="J88" s="284"/>
      <c r="K88" s="298"/>
      <c r="L88" s="284"/>
      <c r="M88" s="298"/>
      <c r="N88" s="299"/>
      <c r="O88" s="299"/>
      <c r="P88" s="299"/>
      <c r="Q88" s="299"/>
      <c r="R88" s="300"/>
      <c r="S88" s="115"/>
      <c r="T88" s="301"/>
      <c r="U88" s="302"/>
      <c r="V88" s="303"/>
      <c r="W88" s="303"/>
      <c r="X88" s="303"/>
      <c r="Y88" s="304"/>
      <c r="Z88" s="115"/>
      <c r="AA88" s="301"/>
      <c r="AB88" s="302"/>
      <c r="AC88" s="302"/>
      <c r="AD88" s="302"/>
      <c r="AE88" s="302"/>
      <c r="AF88" s="302"/>
      <c r="AG88" s="302"/>
      <c r="AH88" s="302"/>
      <c r="AI88" s="302"/>
      <c r="AJ88" s="305"/>
    </row>
    <row r="89" spans="2:36" ht="15.6" x14ac:dyDescent="0.3">
      <c r="B89" s="306" t="s">
        <v>521</v>
      </c>
      <c r="C89" s="148" t="s">
        <v>624</v>
      </c>
      <c r="D89" s="307" t="s">
        <v>104</v>
      </c>
      <c r="E89" s="308"/>
      <c r="F89" s="308"/>
      <c r="G89" s="309"/>
      <c r="H89" s="309"/>
      <c r="I89" s="309"/>
      <c r="J89" s="309"/>
      <c r="K89" s="310"/>
      <c r="L89" s="309"/>
      <c r="M89" s="310"/>
      <c r="N89" s="311"/>
      <c r="O89" s="311"/>
      <c r="P89" s="311"/>
      <c r="Q89" s="311"/>
      <c r="R89" s="312"/>
      <c r="S89" s="115"/>
      <c r="T89" s="313"/>
      <c r="U89" s="314"/>
      <c r="V89" s="315"/>
      <c r="W89" s="315"/>
      <c r="X89" s="315"/>
      <c r="Y89" s="316"/>
      <c r="Z89" s="115"/>
      <c r="AA89" s="313"/>
      <c r="AB89" s="314"/>
      <c r="AC89" s="314"/>
      <c r="AD89" s="314"/>
      <c r="AE89" s="314"/>
      <c r="AF89" s="314"/>
      <c r="AG89" s="314"/>
      <c r="AH89" s="314"/>
      <c r="AI89" s="314"/>
      <c r="AJ89" s="317"/>
    </row>
    <row r="90" spans="2:36" ht="15.6" x14ac:dyDescent="0.3">
      <c r="B90" s="283" t="s">
        <v>1435</v>
      </c>
      <c r="C90" s="176" t="s">
        <v>83</v>
      </c>
      <c r="D90" s="296" t="s">
        <v>228</v>
      </c>
      <c r="E90" s="297">
        <v>45473</v>
      </c>
      <c r="F90" s="297">
        <v>45473</v>
      </c>
      <c r="G90" s="284">
        <v>1807766</v>
      </c>
      <c r="H90" s="284">
        <v>177009</v>
      </c>
      <c r="I90" s="284">
        <v>113667</v>
      </c>
      <c r="J90" s="284">
        <v>63342</v>
      </c>
      <c r="K90" s="298">
        <v>1.5572593629</v>
      </c>
      <c r="L90" s="284">
        <v>0</v>
      </c>
      <c r="M90" s="298">
        <v>1.5572593629</v>
      </c>
      <c r="N90" s="299">
        <v>0</v>
      </c>
      <c r="O90" s="299">
        <v>10.541370474000001</v>
      </c>
      <c r="P90" s="299">
        <v>27.257504354000002</v>
      </c>
      <c r="Q90" s="299">
        <v>27.257504354000002</v>
      </c>
      <c r="R90" s="300">
        <v>16.716133880000001</v>
      </c>
      <c r="S90" s="115"/>
      <c r="T90" s="301">
        <v>1234575</v>
      </c>
      <c r="U90" s="302">
        <v>1118531</v>
      </c>
      <c r="V90" s="303">
        <v>0.68292854274000003</v>
      </c>
      <c r="W90" s="303">
        <v>2.7066415568000002</v>
      </c>
      <c r="X90" s="303">
        <v>0.11174209748</v>
      </c>
      <c r="Y90" s="304">
        <v>5.1056436426000003E-2</v>
      </c>
      <c r="Z90" s="115"/>
      <c r="AA90" s="301">
        <v>456128</v>
      </c>
      <c r="AB90" s="302">
        <v>0</v>
      </c>
      <c r="AC90" s="302">
        <v>287665</v>
      </c>
      <c r="AD90" s="302">
        <v>33384</v>
      </c>
      <c r="AE90" s="302">
        <v>134593</v>
      </c>
      <c r="AF90" s="302">
        <v>486</v>
      </c>
      <c r="AG90" s="302">
        <v>0</v>
      </c>
      <c r="AH90" s="302">
        <v>0</v>
      </c>
      <c r="AI90" s="302">
        <v>0</v>
      </c>
      <c r="AJ90" s="305">
        <v>0</v>
      </c>
    </row>
    <row r="91" spans="2:36" ht="15.6" x14ac:dyDescent="0.3">
      <c r="B91" s="306" t="s">
        <v>399</v>
      </c>
      <c r="C91" s="148" t="s">
        <v>84</v>
      </c>
      <c r="D91" s="307" t="s">
        <v>228</v>
      </c>
      <c r="E91" s="308">
        <v>45473</v>
      </c>
      <c r="F91" s="308">
        <v>45473</v>
      </c>
      <c r="G91" s="309">
        <v>27045562</v>
      </c>
      <c r="H91" s="309">
        <v>5305033</v>
      </c>
      <c r="I91" s="309">
        <v>4082269</v>
      </c>
      <c r="J91" s="309">
        <v>1222764</v>
      </c>
      <c r="K91" s="310">
        <v>1.2995304817</v>
      </c>
      <c r="L91" s="309">
        <v>0</v>
      </c>
      <c r="M91" s="310">
        <v>1.2995304817</v>
      </c>
      <c r="N91" s="311">
        <v>0</v>
      </c>
      <c r="O91" s="311">
        <v>21.608620752</v>
      </c>
      <c r="P91" s="311">
        <v>20.339230219000001</v>
      </c>
      <c r="Q91" s="311">
        <v>20.339230219000001</v>
      </c>
      <c r="R91" s="312">
        <v>-1.2693905324000001</v>
      </c>
      <c r="S91" s="115"/>
      <c r="T91" s="313">
        <v>18795100</v>
      </c>
      <c r="U91" s="314">
        <v>14267679</v>
      </c>
      <c r="V91" s="315">
        <v>0.69494211286999996</v>
      </c>
      <c r="W91" s="315">
        <v>5.0931848698</v>
      </c>
      <c r="X91" s="315">
        <v>9.1059531474000005E-2</v>
      </c>
      <c r="Y91" s="316">
        <v>0.14875589914000001</v>
      </c>
      <c r="Z91" s="115"/>
      <c r="AA91" s="313">
        <v>3431326</v>
      </c>
      <c r="AB91" s="314">
        <v>258919</v>
      </c>
      <c r="AC91" s="314">
        <v>2109396</v>
      </c>
      <c r="AD91" s="314">
        <v>535837</v>
      </c>
      <c r="AE91" s="314">
        <v>771760</v>
      </c>
      <c r="AF91" s="314">
        <v>14333</v>
      </c>
      <c r="AG91" s="314">
        <v>0</v>
      </c>
      <c r="AH91" s="314">
        <v>0</v>
      </c>
      <c r="AI91" s="314">
        <v>0</v>
      </c>
      <c r="AJ91" s="317">
        <v>0</v>
      </c>
    </row>
    <row r="92" spans="2:36" ht="15.6" x14ac:dyDescent="0.3">
      <c r="B92" s="283" t="s">
        <v>524</v>
      </c>
      <c r="C92" s="176" t="s">
        <v>625</v>
      </c>
      <c r="D92" s="296" t="s">
        <v>226</v>
      </c>
      <c r="E92" s="297"/>
      <c r="F92" s="297"/>
      <c r="G92" s="284"/>
      <c r="H92" s="284"/>
      <c r="I92" s="284"/>
      <c r="J92" s="284"/>
      <c r="K92" s="298"/>
      <c r="L92" s="284"/>
      <c r="M92" s="298"/>
      <c r="N92" s="299"/>
      <c r="O92" s="299"/>
      <c r="P92" s="299"/>
      <c r="Q92" s="299"/>
      <c r="R92" s="300"/>
      <c r="S92" s="115"/>
      <c r="T92" s="301"/>
      <c r="U92" s="302"/>
      <c r="V92" s="303"/>
      <c r="W92" s="303"/>
      <c r="X92" s="303"/>
      <c r="Y92" s="304"/>
      <c r="Z92" s="115"/>
      <c r="AA92" s="301"/>
      <c r="AB92" s="302"/>
      <c r="AC92" s="302"/>
      <c r="AD92" s="302"/>
      <c r="AE92" s="302"/>
      <c r="AF92" s="302"/>
      <c r="AG92" s="302"/>
      <c r="AH92" s="302"/>
      <c r="AI92" s="302"/>
      <c r="AJ92" s="305"/>
    </row>
    <row r="93" spans="2:36" ht="15.6" x14ac:dyDescent="0.3">
      <c r="B93" s="306" t="s">
        <v>261</v>
      </c>
      <c r="C93" s="148" t="s">
        <v>268</v>
      </c>
      <c r="D93" s="307" t="s">
        <v>226</v>
      </c>
      <c r="E93" s="308"/>
      <c r="F93" s="308"/>
      <c r="G93" s="309"/>
      <c r="H93" s="309"/>
      <c r="I93" s="309"/>
      <c r="J93" s="309"/>
      <c r="K93" s="310"/>
      <c r="L93" s="309"/>
      <c r="M93" s="310"/>
      <c r="N93" s="311"/>
      <c r="O93" s="311"/>
      <c r="P93" s="311"/>
      <c r="Q93" s="311"/>
      <c r="R93" s="312"/>
      <c r="S93" s="115"/>
      <c r="T93" s="313"/>
      <c r="U93" s="314"/>
      <c r="V93" s="315"/>
      <c r="W93" s="315"/>
      <c r="X93" s="315"/>
      <c r="Y93" s="316"/>
      <c r="Z93" s="115"/>
      <c r="AA93" s="313"/>
      <c r="AB93" s="314"/>
      <c r="AC93" s="314"/>
      <c r="AD93" s="314"/>
      <c r="AE93" s="314"/>
      <c r="AF93" s="314"/>
      <c r="AG93" s="314"/>
      <c r="AH93" s="314"/>
      <c r="AI93" s="314"/>
      <c r="AJ93" s="317"/>
    </row>
    <row r="94" spans="2:36" ht="15.6" x14ac:dyDescent="0.3">
      <c r="B94" s="283" t="s">
        <v>1436</v>
      </c>
      <c r="C94" s="176" t="s">
        <v>1908</v>
      </c>
      <c r="D94" s="296" t="s">
        <v>226</v>
      </c>
      <c r="E94" s="297"/>
      <c r="F94" s="297"/>
      <c r="G94" s="284"/>
      <c r="H94" s="284"/>
      <c r="I94" s="284"/>
      <c r="J94" s="284"/>
      <c r="K94" s="298"/>
      <c r="L94" s="284"/>
      <c r="M94" s="298"/>
      <c r="N94" s="299"/>
      <c r="O94" s="299"/>
      <c r="P94" s="299"/>
      <c r="Q94" s="299"/>
      <c r="R94" s="300"/>
      <c r="S94" s="115"/>
      <c r="T94" s="301"/>
      <c r="U94" s="302"/>
      <c r="V94" s="303"/>
      <c r="W94" s="303"/>
      <c r="X94" s="303"/>
      <c r="Y94" s="304"/>
      <c r="Z94" s="115"/>
      <c r="AA94" s="301"/>
      <c r="AB94" s="302"/>
      <c r="AC94" s="302"/>
      <c r="AD94" s="302"/>
      <c r="AE94" s="302"/>
      <c r="AF94" s="302"/>
      <c r="AG94" s="302"/>
      <c r="AH94" s="302"/>
      <c r="AI94" s="302"/>
      <c r="AJ94" s="305"/>
    </row>
    <row r="95" spans="2:36" ht="15.6" x14ac:dyDescent="0.3">
      <c r="B95" s="306" t="s">
        <v>525</v>
      </c>
      <c r="C95" s="148" t="s">
        <v>626</v>
      </c>
      <c r="D95" s="307" t="s">
        <v>226</v>
      </c>
      <c r="E95" s="308"/>
      <c r="F95" s="308"/>
      <c r="G95" s="309"/>
      <c r="H95" s="309"/>
      <c r="I95" s="309"/>
      <c r="J95" s="309"/>
      <c r="K95" s="310"/>
      <c r="L95" s="309"/>
      <c r="M95" s="310"/>
      <c r="N95" s="311"/>
      <c r="O95" s="311"/>
      <c r="P95" s="311"/>
      <c r="Q95" s="311"/>
      <c r="R95" s="312"/>
      <c r="S95" s="115"/>
      <c r="T95" s="313"/>
      <c r="U95" s="314"/>
      <c r="V95" s="315"/>
      <c r="W95" s="315"/>
      <c r="X95" s="315"/>
      <c r="Y95" s="316"/>
      <c r="Z95" s="115"/>
      <c r="AA95" s="313"/>
      <c r="AB95" s="314"/>
      <c r="AC95" s="314"/>
      <c r="AD95" s="314"/>
      <c r="AE95" s="314"/>
      <c r="AF95" s="314"/>
      <c r="AG95" s="314"/>
      <c r="AH95" s="314"/>
      <c r="AI95" s="314"/>
      <c r="AJ95" s="317"/>
    </row>
    <row r="96" spans="2:36" ht="15.6" x14ac:dyDescent="0.3">
      <c r="B96" s="283" t="s">
        <v>2263</v>
      </c>
      <c r="C96" s="176" t="s">
        <v>2801</v>
      </c>
      <c r="D96" s="296" t="s">
        <v>226</v>
      </c>
      <c r="E96" s="297"/>
      <c r="F96" s="297"/>
      <c r="G96" s="284"/>
      <c r="H96" s="284"/>
      <c r="I96" s="284"/>
      <c r="J96" s="284"/>
      <c r="K96" s="298"/>
      <c r="L96" s="284"/>
      <c r="M96" s="298"/>
      <c r="N96" s="299"/>
      <c r="O96" s="299"/>
      <c r="P96" s="299"/>
      <c r="Q96" s="299"/>
      <c r="R96" s="300"/>
      <c r="S96" s="115"/>
      <c r="T96" s="301"/>
      <c r="U96" s="302"/>
      <c r="V96" s="303"/>
      <c r="W96" s="303"/>
      <c r="X96" s="303"/>
      <c r="Y96" s="304"/>
      <c r="Z96" s="115"/>
      <c r="AA96" s="301"/>
      <c r="AB96" s="302"/>
      <c r="AC96" s="302"/>
      <c r="AD96" s="302"/>
      <c r="AE96" s="302"/>
      <c r="AF96" s="302"/>
      <c r="AG96" s="302"/>
      <c r="AH96" s="302"/>
      <c r="AI96" s="302"/>
      <c r="AJ96" s="305"/>
    </row>
    <row r="97" spans="2:36" ht="15.6" x14ac:dyDescent="0.3">
      <c r="B97" s="306" t="s">
        <v>526</v>
      </c>
      <c r="C97" s="148" t="s">
        <v>627</v>
      </c>
      <c r="D97" s="307" t="s">
        <v>226</v>
      </c>
      <c r="E97" s="308">
        <v>45473</v>
      </c>
      <c r="F97" s="308">
        <v>45473</v>
      </c>
      <c r="G97" s="309">
        <v>11901000</v>
      </c>
      <c r="H97" s="309">
        <v>3787000</v>
      </c>
      <c r="I97" s="309">
        <v>3575000</v>
      </c>
      <c r="J97" s="309">
        <v>212000</v>
      </c>
      <c r="K97" s="310">
        <v>1.0593006993</v>
      </c>
      <c r="L97" s="309">
        <v>0</v>
      </c>
      <c r="M97" s="310">
        <v>1.0593006993</v>
      </c>
      <c r="N97" s="311">
        <v>0</v>
      </c>
      <c r="O97" s="311">
        <v>41.866999688</v>
      </c>
      <c r="P97" s="311">
        <v>86.943699731999999</v>
      </c>
      <c r="Q97" s="311">
        <v>86.943699731999999</v>
      </c>
      <c r="R97" s="312">
        <v>45.076700043999999</v>
      </c>
      <c r="S97" s="115"/>
      <c r="T97" s="313">
        <v>6800000</v>
      </c>
      <c r="U97" s="314">
        <v>5518000</v>
      </c>
      <c r="V97" s="315">
        <v>0.57138055625999995</v>
      </c>
      <c r="W97" s="315">
        <v>2.9863855950999998</v>
      </c>
      <c r="X97" s="315">
        <v>0.15147058824000001</v>
      </c>
      <c r="Y97" s="316">
        <v>0.19367647059000001</v>
      </c>
      <c r="Z97" s="115"/>
      <c r="AA97" s="313">
        <v>2277000</v>
      </c>
      <c r="AB97" s="314">
        <v>0</v>
      </c>
      <c r="AC97" s="314">
        <v>952000</v>
      </c>
      <c r="AD97" s="314">
        <v>431000</v>
      </c>
      <c r="AE97" s="314">
        <v>171000</v>
      </c>
      <c r="AF97" s="314">
        <v>766000</v>
      </c>
      <c r="AG97" s="314">
        <v>0</v>
      </c>
      <c r="AH97" s="314">
        <v>0</v>
      </c>
      <c r="AI97" s="314">
        <v>0</v>
      </c>
      <c r="AJ97" s="317">
        <v>-43000</v>
      </c>
    </row>
    <row r="98" spans="2:36" ht="15.6" x14ac:dyDescent="0.3">
      <c r="B98" s="283" t="s">
        <v>528</v>
      </c>
      <c r="C98" s="176" t="s">
        <v>629</v>
      </c>
      <c r="D98" s="296" t="s">
        <v>226</v>
      </c>
      <c r="E98" s="297">
        <v>45473</v>
      </c>
      <c r="F98" s="297">
        <v>45473</v>
      </c>
      <c r="G98" s="284">
        <v>28498825</v>
      </c>
      <c r="H98" s="284">
        <v>6797296</v>
      </c>
      <c r="I98" s="284">
        <v>7388787</v>
      </c>
      <c r="J98" s="284">
        <v>-591490.99999000004</v>
      </c>
      <c r="K98" s="298">
        <v>0.91994748259000003</v>
      </c>
      <c r="L98" s="284">
        <v>27385</v>
      </c>
      <c r="M98" s="298">
        <v>0.91624119088</v>
      </c>
      <c r="N98" s="299">
        <v>0.67623573221</v>
      </c>
      <c r="O98" s="299">
        <v>61.674921206999997</v>
      </c>
      <c r="P98" s="299">
        <v>71.300826994999994</v>
      </c>
      <c r="Q98" s="299">
        <v>71.977062727000003</v>
      </c>
      <c r="R98" s="300">
        <v>10.302141519999999</v>
      </c>
      <c r="S98" s="115"/>
      <c r="T98" s="301">
        <v>7350449</v>
      </c>
      <c r="U98" s="302">
        <v>6763155</v>
      </c>
      <c r="V98" s="303">
        <v>0.25792112482000001</v>
      </c>
      <c r="W98" s="303">
        <v>1.4408627634</v>
      </c>
      <c r="X98" s="303">
        <v>0.23315174352000001</v>
      </c>
      <c r="Y98" s="304">
        <v>0.23929395334</v>
      </c>
      <c r="Z98" s="115"/>
      <c r="AA98" s="301">
        <v>5101422</v>
      </c>
      <c r="AB98" s="302">
        <v>0</v>
      </c>
      <c r="AC98" s="302">
        <v>4532525</v>
      </c>
      <c r="AD98" s="302">
        <v>-447528</v>
      </c>
      <c r="AE98" s="302">
        <v>2237488</v>
      </c>
      <c r="AF98" s="302">
        <v>2268430</v>
      </c>
      <c r="AG98" s="302">
        <v>0</v>
      </c>
      <c r="AH98" s="302">
        <v>521108</v>
      </c>
      <c r="AI98" s="302">
        <v>0</v>
      </c>
      <c r="AJ98" s="305">
        <v>-4010601</v>
      </c>
    </row>
    <row r="99" spans="2:36" ht="15.6" x14ac:dyDescent="0.3">
      <c r="B99" s="306" t="s">
        <v>2266</v>
      </c>
      <c r="C99" s="148" t="s">
        <v>2802</v>
      </c>
      <c r="D99" s="307" t="s">
        <v>231</v>
      </c>
      <c r="E99" s="308"/>
      <c r="F99" s="308"/>
      <c r="G99" s="309"/>
      <c r="H99" s="309"/>
      <c r="I99" s="309"/>
      <c r="J99" s="309"/>
      <c r="K99" s="310"/>
      <c r="L99" s="309"/>
      <c r="M99" s="310"/>
      <c r="N99" s="311"/>
      <c r="O99" s="311"/>
      <c r="P99" s="311"/>
      <c r="Q99" s="311"/>
      <c r="R99" s="312"/>
      <c r="S99" s="115"/>
      <c r="T99" s="313"/>
      <c r="U99" s="314"/>
      <c r="V99" s="315"/>
      <c r="W99" s="315"/>
      <c r="X99" s="315"/>
      <c r="Y99" s="316"/>
      <c r="Z99" s="115"/>
      <c r="AA99" s="313"/>
      <c r="AB99" s="314"/>
      <c r="AC99" s="314"/>
      <c r="AD99" s="314"/>
      <c r="AE99" s="314"/>
      <c r="AF99" s="314"/>
      <c r="AG99" s="314"/>
      <c r="AH99" s="314"/>
      <c r="AI99" s="314"/>
      <c r="AJ99" s="317"/>
    </row>
    <row r="100" spans="2:36" ht="15.6" x14ac:dyDescent="0.3">
      <c r="B100" s="283" t="s">
        <v>400</v>
      </c>
      <c r="C100" s="176" t="s">
        <v>407</v>
      </c>
      <c r="D100" s="296" t="s">
        <v>226</v>
      </c>
      <c r="E100" s="297"/>
      <c r="F100" s="297"/>
      <c r="G100" s="284"/>
      <c r="H100" s="284"/>
      <c r="I100" s="284"/>
      <c r="J100" s="284"/>
      <c r="K100" s="298"/>
      <c r="L100" s="284"/>
      <c r="M100" s="298"/>
      <c r="N100" s="299"/>
      <c r="O100" s="299"/>
      <c r="P100" s="299"/>
      <c r="Q100" s="299"/>
      <c r="R100" s="300"/>
      <c r="S100" s="115"/>
      <c r="T100" s="301"/>
      <c r="U100" s="302"/>
      <c r="V100" s="303"/>
      <c r="W100" s="303"/>
      <c r="X100" s="303"/>
      <c r="Y100" s="304"/>
      <c r="Z100" s="115"/>
      <c r="AA100" s="301"/>
      <c r="AB100" s="302"/>
      <c r="AC100" s="302"/>
      <c r="AD100" s="302"/>
      <c r="AE100" s="302"/>
      <c r="AF100" s="302"/>
      <c r="AG100" s="302"/>
      <c r="AH100" s="302"/>
      <c r="AI100" s="302"/>
      <c r="AJ100" s="305"/>
    </row>
    <row r="101" spans="2:36" ht="15.6" x14ac:dyDescent="0.3">
      <c r="B101" s="306" t="s">
        <v>1442</v>
      </c>
      <c r="C101" s="148" t="s">
        <v>1909</v>
      </c>
      <c r="D101" s="307" t="s">
        <v>233</v>
      </c>
      <c r="E101" s="308">
        <v>45473</v>
      </c>
      <c r="F101" s="308">
        <v>45473</v>
      </c>
      <c r="G101" s="309">
        <v>12848879</v>
      </c>
      <c r="H101" s="309">
        <v>5563309</v>
      </c>
      <c r="I101" s="309">
        <v>2218362</v>
      </c>
      <c r="J101" s="309">
        <v>3344947</v>
      </c>
      <c r="K101" s="310">
        <v>2.5078454283</v>
      </c>
      <c r="L101" s="309">
        <v>27419</v>
      </c>
      <c r="M101" s="310">
        <v>2.4954854076999999</v>
      </c>
      <c r="N101" s="311">
        <v>5.5432607099000002</v>
      </c>
      <c r="O101" s="311">
        <v>183.92570978000001</v>
      </c>
      <c r="P101" s="311">
        <v>7.8848404450999996E-4</v>
      </c>
      <c r="Q101" s="311">
        <v>5.5440491939000003</v>
      </c>
      <c r="R101" s="312">
        <v>-178.38166059</v>
      </c>
      <c r="S101" s="115"/>
      <c r="T101" s="313">
        <v>6202029</v>
      </c>
      <c r="U101" s="314">
        <v>1209895</v>
      </c>
      <c r="V101" s="315">
        <v>0.48269027983000001</v>
      </c>
      <c r="W101" s="315">
        <v>1.4856956349999999</v>
      </c>
      <c r="X101" s="315">
        <v>4.4614431825000002E-2</v>
      </c>
      <c r="Y101" s="316">
        <v>0.16552502415000001</v>
      </c>
      <c r="Z101" s="115"/>
      <c r="AA101" s="313">
        <v>4174495</v>
      </c>
      <c r="AB101" s="314">
        <v>0</v>
      </c>
      <c r="AC101" s="314">
        <v>2078116</v>
      </c>
      <c r="AD101" s="314">
        <v>-9886</v>
      </c>
      <c r="AE101" s="314">
        <v>1820070</v>
      </c>
      <c r="AF101" s="314">
        <v>14377</v>
      </c>
      <c r="AG101" s="314">
        <v>0</v>
      </c>
      <c r="AH101" s="314">
        <v>0</v>
      </c>
      <c r="AI101" s="314">
        <v>0</v>
      </c>
      <c r="AJ101" s="317">
        <v>271818</v>
      </c>
    </row>
    <row r="102" spans="2:36" ht="15.6" x14ac:dyDescent="0.3">
      <c r="B102" s="283" t="s">
        <v>530</v>
      </c>
      <c r="C102" s="176" t="s">
        <v>630</v>
      </c>
      <c r="D102" s="296" t="s">
        <v>226</v>
      </c>
      <c r="E102" s="297"/>
      <c r="F102" s="297"/>
      <c r="G102" s="284"/>
      <c r="H102" s="284"/>
      <c r="I102" s="284"/>
      <c r="J102" s="284"/>
      <c r="K102" s="298"/>
      <c r="L102" s="284"/>
      <c r="M102" s="298"/>
      <c r="N102" s="299"/>
      <c r="O102" s="299"/>
      <c r="P102" s="299"/>
      <c r="Q102" s="299"/>
      <c r="R102" s="300"/>
      <c r="S102" s="115"/>
      <c r="T102" s="301"/>
      <c r="U102" s="302"/>
      <c r="V102" s="303"/>
      <c r="W102" s="303"/>
      <c r="X102" s="303"/>
      <c r="Y102" s="304"/>
      <c r="Z102" s="115"/>
      <c r="AA102" s="301"/>
      <c r="AB102" s="302"/>
      <c r="AC102" s="302"/>
      <c r="AD102" s="302"/>
      <c r="AE102" s="302"/>
      <c r="AF102" s="302"/>
      <c r="AG102" s="302"/>
      <c r="AH102" s="302"/>
      <c r="AI102" s="302"/>
      <c r="AJ102" s="305"/>
    </row>
    <row r="103" spans="2:36" ht="15.6" x14ac:dyDescent="0.3">
      <c r="B103" s="306" t="s">
        <v>45</v>
      </c>
      <c r="C103" s="148" t="s">
        <v>18</v>
      </c>
      <c r="D103" s="307" t="s">
        <v>226</v>
      </c>
      <c r="E103" s="308">
        <v>45473</v>
      </c>
      <c r="F103" s="308">
        <v>45473</v>
      </c>
      <c r="G103" s="309">
        <v>73870578</v>
      </c>
      <c r="H103" s="309">
        <v>20274928</v>
      </c>
      <c r="I103" s="309">
        <v>16895453</v>
      </c>
      <c r="J103" s="309">
        <v>3379475</v>
      </c>
      <c r="K103" s="310">
        <v>1.2000227516999999</v>
      </c>
      <c r="L103" s="309">
        <v>186454</v>
      </c>
      <c r="M103" s="310">
        <v>1.1889870013999999</v>
      </c>
      <c r="N103" s="311">
        <v>3.0072088672000001</v>
      </c>
      <c r="O103" s="311">
        <v>37.459744802000003</v>
      </c>
      <c r="P103" s="311">
        <v>49.385259390999998</v>
      </c>
      <c r="Q103" s="311">
        <v>52.392468258000001</v>
      </c>
      <c r="R103" s="312">
        <v>14.932723456</v>
      </c>
      <c r="S103" s="115"/>
      <c r="T103" s="313">
        <v>34511276</v>
      </c>
      <c r="U103" s="314">
        <v>23524814</v>
      </c>
      <c r="V103" s="315">
        <v>0.46718567708999997</v>
      </c>
      <c r="W103" s="315">
        <v>1.7674801213</v>
      </c>
      <c r="X103" s="315">
        <v>9.8499400602000006E-2</v>
      </c>
      <c r="Y103" s="316">
        <v>0.26144312948999998</v>
      </c>
      <c r="Z103" s="115"/>
      <c r="AA103" s="313">
        <v>15775595</v>
      </c>
      <c r="AB103" s="314">
        <v>3750099</v>
      </c>
      <c r="AC103" s="314">
        <v>7540743</v>
      </c>
      <c r="AD103" s="314">
        <v>1407858</v>
      </c>
      <c r="AE103" s="314">
        <v>6248113</v>
      </c>
      <c r="AF103" s="314">
        <v>688268</v>
      </c>
      <c r="AG103" s="314">
        <v>0</v>
      </c>
      <c r="AH103" s="314">
        <v>0</v>
      </c>
      <c r="AI103" s="314">
        <v>0</v>
      </c>
      <c r="AJ103" s="317">
        <v>-109387</v>
      </c>
    </row>
    <row r="104" spans="2:36" ht="15.6" x14ac:dyDescent="0.3">
      <c r="B104" s="283" t="s">
        <v>2280</v>
      </c>
      <c r="C104" s="176" t="s">
        <v>2803</v>
      </c>
      <c r="D104" s="296" t="s">
        <v>226</v>
      </c>
      <c r="E104" s="297">
        <v>45473</v>
      </c>
      <c r="F104" s="297">
        <v>45473</v>
      </c>
      <c r="G104" s="284">
        <v>2771192</v>
      </c>
      <c r="H104" s="284">
        <v>950171</v>
      </c>
      <c r="I104" s="284">
        <v>935207</v>
      </c>
      <c r="J104" s="284">
        <v>14964.000001</v>
      </c>
      <c r="K104" s="298">
        <v>1.0160007357</v>
      </c>
      <c r="L104" s="284">
        <v>4824</v>
      </c>
      <c r="M104" s="298">
        <v>1.0108425193999999</v>
      </c>
      <c r="N104" s="299">
        <v>1.3984905732999999</v>
      </c>
      <c r="O104" s="299">
        <v>33.688142014</v>
      </c>
      <c r="P104" s="299">
        <v>42.523677663000001</v>
      </c>
      <c r="Q104" s="299">
        <v>43.922168235999997</v>
      </c>
      <c r="R104" s="300">
        <v>10.234026222000001</v>
      </c>
      <c r="S104" s="115"/>
      <c r="T104" s="301">
        <v>1264519</v>
      </c>
      <c r="U104" s="302">
        <v>741052</v>
      </c>
      <c r="V104" s="303">
        <v>0.45630869316</v>
      </c>
      <c r="W104" s="303">
        <v>1.5047706881</v>
      </c>
      <c r="X104" s="303">
        <v>0.17340743792999999</v>
      </c>
      <c r="Y104" s="304">
        <v>0.44829773218000002</v>
      </c>
      <c r="Z104" s="115"/>
      <c r="AA104" s="301">
        <v>840340</v>
      </c>
      <c r="AB104" s="302">
        <v>0</v>
      </c>
      <c r="AC104" s="302">
        <v>417604</v>
      </c>
      <c r="AD104" s="302">
        <v>145951</v>
      </c>
      <c r="AE104" s="302">
        <v>350314</v>
      </c>
      <c r="AF104" s="302">
        <v>10317</v>
      </c>
      <c r="AG104" s="302">
        <v>0</v>
      </c>
      <c r="AH104" s="302">
        <v>0</v>
      </c>
      <c r="AI104" s="302">
        <v>0</v>
      </c>
      <c r="AJ104" s="305">
        <v>-83846</v>
      </c>
    </row>
    <row r="105" spans="2:36" ht="15.6" x14ac:dyDescent="0.3">
      <c r="B105" s="306" t="s">
        <v>537</v>
      </c>
      <c r="C105" s="148" t="s">
        <v>632</v>
      </c>
      <c r="D105" s="307" t="s">
        <v>226</v>
      </c>
      <c r="E105" s="308">
        <v>45473</v>
      </c>
      <c r="F105" s="308">
        <v>45473</v>
      </c>
      <c r="G105" s="309">
        <v>3060456</v>
      </c>
      <c r="H105" s="309">
        <v>984958</v>
      </c>
      <c r="I105" s="309">
        <v>1078286</v>
      </c>
      <c r="J105" s="309">
        <v>-93327.999999000007</v>
      </c>
      <c r="K105" s="310">
        <v>0.91344782367999999</v>
      </c>
      <c r="L105" s="309">
        <v>7149</v>
      </c>
      <c r="M105" s="310">
        <v>0.90681785722999997</v>
      </c>
      <c r="N105" s="311">
        <v>1.4100174551</v>
      </c>
      <c r="O105" s="311">
        <v>50.482924568000001</v>
      </c>
      <c r="P105" s="311">
        <v>50.554604830000002</v>
      </c>
      <c r="Q105" s="311">
        <v>51.964622284999997</v>
      </c>
      <c r="R105" s="312">
        <v>1.4816977171000001</v>
      </c>
      <c r="S105" s="115"/>
      <c r="T105" s="313">
        <v>1395635</v>
      </c>
      <c r="U105" s="314">
        <v>1009007</v>
      </c>
      <c r="V105" s="315">
        <v>0.45602191307000001</v>
      </c>
      <c r="W105" s="315">
        <v>2.3593447556</v>
      </c>
      <c r="X105" s="315">
        <v>9.9142684154999994E-2</v>
      </c>
      <c r="Y105" s="316">
        <v>0.28787827763000001</v>
      </c>
      <c r="Z105" s="115"/>
      <c r="AA105" s="313">
        <v>591535</v>
      </c>
      <c r="AB105" s="314">
        <v>0</v>
      </c>
      <c r="AC105" s="314">
        <v>534717</v>
      </c>
      <c r="AD105" s="314">
        <v>59910</v>
      </c>
      <c r="AE105" s="314">
        <v>12663</v>
      </c>
      <c r="AF105" s="314">
        <v>1350</v>
      </c>
      <c r="AG105" s="314">
        <v>0</v>
      </c>
      <c r="AH105" s="314">
        <v>0</v>
      </c>
      <c r="AI105" s="314">
        <v>0</v>
      </c>
      <c r="AJ105" s="317">
        <v>-17105</v>
      </c>
    </row>
    <row r="106" spans="2:36" ht="15.6" x14ac:dyDescent="0.3">
      <c r="B106" s="283" t="s">
        <v>541</v>
      </c>
      <c r="C106" s="176" t="s">
        <v>634</v>
      </c>
      <c r="D106" s="296" t="s">
        <v>226</v>
      </c>
      <c r="E106" s="297">
        <v>45473</v>
      </c>
      <c r="F106" s="297">
        <v>45473</v>
      </c>
      <c r="G106" s="284">
        <v>9773696</v>
      </c>
      <c r="H106" s="284">
        <v>1488150</v>
      </c>
      <c r="I106" s="284">
        <v>837674</v>
      </c>
      <c r="J106" s="284">
        <v>650476</v>
      </c>
      <c r="K106" s="298">
        <v>1.7765264291</v>
      </c>
      <c r="L106" s="284">
        <v>0</v>
      </c>
      <c r="M106" s="298">
        <v>1.7765264291</v>
      </c>
      <c r="N106" s="299">
        <v>0</v>
      </c>
      <c r="O106" s="299">
        <v>53.280045182999999</v>
      </c>
      <c r="P106" s="299">
        <v>24.549808648999999</v>
      </c>
      <c r="Q106" s="299">
        <v>24.549808648999999</v>
      </c>
      <c r="R106" s="300">
        <v>-28.730236533999999</v>
      </c>
      <c r="S106" s="115"/>
      <c r="T106" s="301">
        <v>4477722</v>
      </c>
      <c r="U106" s="302">
        <v>3970948</v>
      </c>
      <c r="V106" s="303">
        <v>0.45814009357000002</v>
      </c>
      <c r="W106" s="303">
        <v>1.2994026380999999</v>
      </c>
      <c r="X106" s="303">
        <v>0.10893440905</v>
      </c>
      <c r="Y106" s="304">
        <v>0.13940392012</v>
      </c>
      <c r="Z106" s="115"/>
      <c r="AA106" s="301">
        <v>3252897</v>
      </c>
      <c r="AB106" s="302">
        <v>193088</v>
      </c>
      <c r="AC106" s="302">
        <v>1792197</v>
      </c>
      <c r="AD106" s="302">
        <v>208309</v>
      </c>
      <c r="AE106" s="302">
        <v>882217</v>
      </c>
      <c r="AF106" s="302">
        <v>370182</v>
      </c>
      <c r="AG106" s="302">
        <v>0</v>
      </c>
      <c r="AH106" s="302">
        <v>0</v>
      </c>
      <c r="AI106" s="302">
        <v>0</v>
      </c>
      <c r="AJ106" s="305">
        <v>-8</v>
      </c>
    </row>
    <row r="107" spans="2:36" ht="15.6" x14ac:dyDescent="0.3">
      <c r="B107" s="306" t="s">
        <v>544</v>
      </c>
      <c r="C107" s="148" t="s">
        <v>635</v>
      </c>
      <c r="D107" s="307" t="s">
        <v>226</v>
      </c>
      <c r="E107" s="308">
        <v>45473</v>
      </c>
      <c r="F107" s="308">
        <v>45473</v>
      </c>
      <c r="G107" s="309">
        <v>6772883</v>
      </c>
      <c r="H107" s="309">
        <v>2251853</v>
      </c>
      <c r="I107" s="309">
        <v>1566377</v>
      </c>
      <c r="J107" s="309">
        <v>685476</v>
      </c>
      <c r="K107" s="310">
        <v>1.4376187853</v>
      </c>
      <c r="L107" s="309">
        <v>16180</v>
      </c>
      <c r="M107" s="310">
        <v>1.4272892157999999</v>
      </c>
      <c r="N107" s="311">
        <v>2.0839788225000002</v>
      </c>
      <c r="O107" s="311">
        <v>40.555284043</v>
      </c>
      <c r="P107" s="311">
        <v>54.915328815000002</v>
      </c>
      <c r="Q107" s="311">
        <v>56.999307637999998</v>
      </c>
      <c r="R107" s="312">
        <v>16.444023595000001</v>
      </c>
      <c r="S107" s="115"/>
      <c r="T107" s="313">
        <v>4159287</v>
      </c>
      <c r="U107" s="314">
        <v>3106731</v>
      </c>
      <c r="V107" s="315">
        <v>0.61410879237000005</v>
      </c>
      <c r="W107" s="315">
        <v>3.3409591482000001</v>
      </c>
      <c r="X107" s="315">
        <v>0.14235612979000001</v>
      </c>
      <c r="Y107" s="316">
        <v>0.19395415609</v>
      </c>
      <c r="Z107" s="115"/>
      <c r="AA107" s="313">
        <v>1244938</v>
      </c>
      <c r="AB107" s="314">
        <v>0</v>
      </c>
      <c r="AC107" s="314">
        <v>616732</v>
      </c>
      <c r="AD107" s="314">
        <v>292157</v>
      </c>
      <c r="AE107" s="314">
        <v>225742</v>
      </c>
      <c r="AF107" s="314">
        <v>120750</v>
      </c>
      <c r="AG107" s="314">
        <v>0</v>
      </c>
      <c r="AH107" s="314">
        <v>0</v>
      </c>
      <c r="AI107" s="314">
        <v>0</v>
      </c>
      <c r="AJ107" s="317">
        <v>-10443</v>
      </c>
    </row>
    <row r="108" spans="2:36" ht="15.6" x14ac:dyDescent="0.3">
      <c r="B108" s="283" t="s">
        <v>545</v>
      </c>
      <c r="C108" s="176" t="s">
        <v>636</v>
      </c>
      <c r="D108" s="296" t="s">
        <v>226</v>
      </c>
      <c r="E108" s="297">
        <v>45473</v>
      </c>
      <c r="F108" s="297">
        <v>45473</v>
      </c>
      <c r="G108" s="284">
        <v>44522425</v>
      </c>
      <c r="H108" s="284">
        <v>5022944</v>
      </c>
      <c r="I108" s="284">
        <v>4344848</v>
      </c>
      <c r="J108" s="284">
        <v>678096.00000999996</v>
      </c>
      <c r="K108" s="298">
        <v>1.156068981</v>
      </c>
      <c r="L108" s="284">
        <v>761858</v>
      </c>
      <c r="M108" s="298">
        <v>0.98072153502000003</v>
      </c>
      <c r="N108" s="299">
        <v>65.527779476999996</v>
      </c>
      <c r="O108" s="299">
        <v>83.781613633000006</v>
      </c>
      <c r="P108" s="299">
        <v>50.341239661000003</v>
      </c>
      <c r="Q108" s="299">
        <v>115.86901913</v>
      </c>
      <c r="R108" s="300">
        <v>32.087405505</v>
      </c>
      <c r="S108" s="115"/>
      <c r="T108" s="301">
        <v>19528826</v>
      </c>
      <c r="U108" s="302">
        <v>17828730</v>
      </c>
      <c r="V108" s="303">
        <v>0.43862898302999997</v>
      </c>
      <c r="W108" s="303">
        <v>1.2045046866</v>
      </c>
      <c r="X108" s="303">
        <v>7.5116240986999996E-2</v>
      </c>
      <c r="Y108" s="304">
        <v>8.2024387948000002E-2</v>
      </c>
      <c r="Z108" s="115"/>
      <c r="AA108" s="301">
        <v>14970656</v>
      </c>
      <c r="AB108" s="302">
        <v>1242503</v>
      </c>
      <c r="AC108" s="302">
        <v>13078740</v>
      </c>
      <c r="AD108" s="302">
        <v>587505</v>
      </c>
      <c r="AE108" s="302">
        <v>0</v>
      </c>
      <c r="AF108" s="302">
        <v>1182323</v>
      </c>
      <c r="AG108" s="302">
        <v>0</v>
      </c>
      <c r="AH108" s="302">
        <v>122088</v>
      </c>
      <c r="AI108" s="302">
        <v>0</v>
      </c>
      <c r="AJ108" s="305">
        <v>0</v>
      </c>
    </row>
    <row r="109" spans="2:36" ht="15.6" x14ac:dyDescent="0.3">
      <c r="B109" s="306" t="s">
        <v>47</v>
      </c>
      <c r="C109" s="148" t="s">
        <v>19</v>
      </c>
      <c r="D109" s="307" t="s">
        <v>226</v>
      </c>
      <c r="E109" s="308">
        <v>45473</v>
      </c>
      <c r="F109" s="308">
        <v>45473</v>
      </c>
      <c r="G109" s="309">
        <v>46436727</v>
      </c>
      <c r="H109" s="309">
        <v>7630154</v>
      </c>
      <c r="I109" s="309">
        <v>6399887</v>
      </c>
      <c r="J109" s="309">
        <v>1230267</v>
      </c>
      <c r="K109" s="310">
        <v>1.1922326129</v>
      </c>
      <c r="L109" s="309">
        <v>0</v>
      </c>
      <c r="M109" s="310">
        <v>1.1922326129</v>
      </c>
      <c r="N109" s="311">
        <v>0</v>
      </c>
      <c r="O109" s="311">
        <v>87.879514442000001</v>
      </c>
      <c r="P109" s="311">
        <v>34.145469867999999</v>
      </c>
      <c r="Q109" s="311">
        <v>34.145469867999999</v>
      </c>
      <c r="R109" s="312">
        <v>-53.734044574000002</v>
      </c>
      <c r="S109" s="115"/>
      <c r="T109" s="313">
        <v>21262808</v>
      </c>
      <c r="U109" s="314">
        <v>17051666</v>
      </c>
      <c r="V109" s="315">
        <v>0.45788774045000002</v>
      </c>
      <c r="W109" s="315">
        <v>1.7623548714999999</v>
      </c>
      <c r="X109" s="315">
        <v>0.21702777920999999</v>
      </c>
      <c r="Y109" s="316">
        <v>9.8845599320999997E-2</v>
      </c>
      <c r="Z109" s="115"/>
      <c r="AA109" s="313">
        <v>11061451</v>
      </c>
      <c r="AB109" s="314">
        <v>1003547</v>
      </c>
      <c r="AC109" s="314">
        <v>4902648</v>
      </c>
      <c r="AD109" s="314">
        <v>2578254</v>
      </c>
      <c r="AE109" s="314">
        <v>3954593</v>
      </c>
      <c r="AF109" s="314">
        <v>-176543</v>
      </c>
      <c r="AG109" s="314">
        <v>0</v>
      </c>
      <c r="AH109" s="314">
        <v>232649</v>
      </c>
      <c r="AI109" s="314">
        <v>0</v>
      </c>
      <c r="AJ109" s="317">
        <v>-430150</v>
      </c>
    </row>
    <row r="110" spans="2:36" ht="15.6" x14ac:dyDescent="0.3">
      <c r="B110" s="283" t="s">
        <v>2287</v>
      </c>
      <c r="C110" s="176" t="s">
        <v>2804</v>
      </c>
      <c r="D110" s="296" t="s">
        <v>2780</v>
      </c>
      <c r="E110" s="297"/>
      <c r="F110" s="297"/>
      <c r="G110" s="284"/>
      <c r="H110" s="284"/>
      <c r="I110" s="284"/>
      <c r="J110" s="284"/>
      <c r="K110" s="298"/>
      <c r="L110" s="284"/>
      <c r="M110" s="298"/>
      <c r="N110" s="299"/>
      <c r="O110" s="299"/>
      <c r="P110" s="299"/>
      <c r="Q110" s="299"/>
      <c r="R110" s="300"/>
      <c r="S110" s="115"/>
      <c r="T110" s="301"/>
      <c r="U110" s="302"/>
      <c r="V110" s="303"/>
      <c r="W110" s="303"/>
      <c r="X110" s="303"/>
      <c r="Y110" s="304"/>
      <c r="Z110" s="115"/>
      <c r="AA110" s="301"/>
      <c r="AB110" s="302"/>
      <c r="AC110" s="302"/>
      <c r="AD110" s="302"/>
      <c r="AE110" s="302"/>
      <c r="AF110" s="302"/>
      <c r="AG110" s="302"/>
      <c r="AH110" s="302"/>
      <c r="AI110" s="302"/>
      <c r="AJ110" s="305"/>
    </row>
    <row r="111" spans="2:36" ht="15.6" x14ac:dyDescent="0.3">
      <c r="B111" s="306" t="s">
        <v>49</v>
      </c>
      <c r="C111" s="148" t="s">
        <v>85</v>
      </c>
      <c r="D111" s="307" t="s">
        <v>228</v>
      </c>
      <c r="E111" s="308">
        <v>45473</v>
      </c>
      <c r="F111" s="308">
        <v>45473</v>
      </c>
      <c r="G111" s="309">
        <v>3438601</v>
      </c>
      <c r="H111" s="309">
        <v>551888</v>
      </c>
      <c r="I111" s="309">
        <v>147315</v>
      </c>
      <c r="J111" s="309">
        <v>404573</v>
      </c>
      <c r="K111" s="310">
        <v>3.7463123238999998</v>
      </c>
      <c r="L111" s="309">
        <v>9362</v>
      </c>
      <c r="M111" s="310">
        <v>3.6827614296000002</v>
      </c>
      <c r="N111" s="311">
        <v>7.7383270269000004</v>
      </c>
      <c r="O111" s="311">
        <v>19.613625509999999</v>
      </c>
      <c r="P111" s="311">
        <v>24.375268547000001</v>
      </c>
      <c r="Q111" s="311">
        <v>32.113595574000001</v>
      </c>
      <c r="R111" s="312">
        <v>12.499970063999999</v>
      </c>
      <c r="S111" s="115"/>
      <c r="T111" s="313">
        <v>2955819</v>
      </c>
      <c r="U111" s="314">
        <v>2479282</v>
      </c>
      <c r="V111" s="315">
        <v>0.85959929633999999</v>
      </c>
      <c r="W111" s="315">
        <v>34.524545932000002</v>
      </c>
      <c r="X111" s="315">
        <v>5.9234005871000001E-2</v>
      </c>
      <c r="Y111" s="316">
        <v>1.5982710713999999E-2</v>
      </c>
      <c r="Z111" s="115"/>
      <c r="AA111" s="313">
        <v>85615</v>
      </c>
      <c r="AB111" s="314">
        <v>0</v>
      </c>
      <c r="AC111" s="314">
        <v>580628</v>
      </c>
      <c r="AD111" s="314">
        <v>-506522</v>
      </c>
      <c r="AE111" s="314">
        <v>11509</v>
      </c>
      <c r="AF111" s="314">
        <v>0</v>
      </c>
      <c r="AG111" s="314">
        <v>0</v>
      </c>
      <c r="AH111" s="314">
        <v>0</v>
      </c>
      <c r="AI111" s="314">
        <v>0</v>
      </c>
      <c r="AJ111" s="317">
        <v>0</v>
      </c>
    </row>
    <row r="112" spans="2:36" ht="15.6" x14ac:dyDescent="0.3">
      <c r="B112" s="283" t="s">
        <v>554</v>
      </c>
      <c r="C112" s="176" t="s">
        <v>637</v>
      </c>
      <c r="D112" s="296" t="s">
        <v>226</v>
      </c>
      <c r="E112" s="297"/>
      <c r="F112" s="297"/>
      <c r="G112" s="284"/>
      <c r="H112" s="284"/>
      <c r="I112" s="284"/>
      <c r="J112" s="284"/>
      <c r="K112" s="298"/>
      <c r="L112" s="284"/>
      <c r="M112" s="298"/>
      <c r="N112" s="299"/>
      <c r="O112" s="299"/>
      <c r="P112" s="299"/>
      <c r="Q112" s="299"/>
      <c r="R112" s="300"/>
      <c r="S112" s="115"/>
      <c r="T112" s="301"/>
      <c r="U112" s="302"/>
      <c r="V112" s="303"/>
      <c r="W112" s="303"/>
      <c r="X112" s="303"/>
      <c r="Y112" s="304"/>
      <c r="Z112" s="115"/>
      <c r="AA112" s="301"/>
      <c r="AB112" s="302"/>
      <c r="AC112" s="302"/>
      <c r="AD112" s="302"/>
      <c r="AE112" s="302"/>
      <c r="AF112" s="302"/>
      <c r="AG112" s="302"/>
      <c r="AH112" s="302"/>
      <c r="AI112" s="302"/>
      <c r="AJ112" s="305"/>
    </row>
    <row r="113" spans="2:36" ht="15.6" x14ac:dyDescent="0.3">
      <c r="B113" s="306" t="s">
        <v>1113</v>
      </c>
      <c r="C113" s="148" t="s">
        <v>1142</v>
      </c>
      <c r="D113" s="307" t="s">
        <v>226</v>
      </c>
      <c r="E113" s="308"/>
      <c r="F113" s="308"/>
      <c r="G113" s="309"/>
      <c r="H113" s="309"/>
      <c r="I113" s="309"/>
      <c r="J113" s="309"/>
      <c r="K113" s="310"/>
      <c r="L113" s="309"/>
      <c r="M113" s="310"/>
      <c r="N113" s="311"/>
      <c r="O113" s="311"/>
      <c r="P113" s="311"/>
      <c r="Q113" s="311"/>
      <c r="R113" s="312"/>
      <c r="S113" s="115"/>
      <c r="T113" s="313"/>
      <c r="U113" s="314"/>
      <c r="V113" s="315"/>
      <c r="W113" s="315"/>
      <c r="X113" s="315"/>
      <c r="Y113" s="316"/>
      <c r="Z113" s="115"/>
      <c r="AA113" s="313"/>
      <c r="AB113" s="314"/>
      <c r="AC113" s="314"/>
      <c r="AD113" s="314"/>
      <c r="AE113" s="314"/>
      <c r="AF113" s="314"/>
      <c r="AG113" s="314"/>
      <c r="AH113" s="314"/>
      <c r="AI113" s="314"/>
      <c r="AJ113" s="317"/>
    </row>
    <row r="114" spans="2:36" ht="15.6" x14ac:dyDescent="0.3">
      <c r="B114" s="283" t="s">
        <v>555</v>
      </c>
      <c r="C114" s="176" t="s">
        <v>638</v>
      </c>
      <c r="D114" s="296" t="s">
        <v>226</v>
      </c>
      <c r="E114" s="297"/>
      <c r="F114" s="297"/>
      <c r="G114" s="284"/>
      <c r="H114" s="284"/>
      <c r="I114" s="284"/>
      <c r="J114" s="284"/>
      <c r="K114" s="298"/>
      <c r="L114" s="284"/>
      <c r="M114" s="298"/>
      <c r="N114" s="299"/>
      <c r="O114" s="299"/>
      <c r="P114" s="299"/>
      <c r="Q114" s="299"/>
      <c r="R114" s="300"/>
      <c r="S114" s="115"/>
      <c r="T114" s="301"/>
      <c r="U114" s="302"/>
      <c r="V114" s="303"/>
      <c r="W114" s="303"/>
      <c r="X114" s="303"/>
      <c r="Y114" s="304"/>
      <c r="Z114" s="115"/>
      <c r="AA114" s="301"/>
      <c r="AB114" s="302"/>
      <c r="AC114" s="302"/>
      <c r="AD114" s="302"/>
      <c r="AE114" s="302"/>
      <c r="AF114" s="302"/>
      <c r="AG114" s="302"/>
      <c r="AH114" s="302"/>
      <c r="AI114" s="302"/>
      <c r="AJ114" s="305"/>
    </row>
    <row r="115" spans="2:36" ht="15.6" x14ac:dyDescent="0.3">
      <c r="B115" s="306" t="s">
        <v>556</v>
      </c>
      <c r="C115" s="148" t="s">
        <v>639</v>
      </c>
      <c r="D115" s="307" t="s">
        <v>226</v>
      </c>
      <c r="E115" s="308"/>
      <c r="F115" s="308"/>
      <c r="G115" s="309"/>
      <c r="H115" s="309"/>
      <c r="I115" s="309"/>
      <c r="J115" s="309"/>
      <c r="K115" s="310"/>
      <c r="L115" s="309"/>
      <c r="M115" s="310"/>
      <c r="N115" s="311"/>
      <c r="O115" s="311"/>
      <c r="P115" s="311"/>
      <c r="Q115" s="311"/>
      <c r="R115" s="312"/>
      <c r="S115" s="115"/>
      <c r="T115" s="313"/>
      <c r="U115" s="314"/>
      <c r="V115" s="315"/>
      <c r="W115" s="315"/>
      <c r="X115" s="315"/>
      <c r="Y115" s="316"/>
      <c r="Z115" s="115"/>
      <c r="AA115" s="313"/>
      <c r="AB115" s="314"/>
      <c r="AC115" s="314"/>
      <c r="AD115" s="314"/>
      <c r="AE115" s="314"/>
      <c r="AF115" s="314"/>
      <c r="AG115" s="314"/>
      <c r="AH115" s="314"/>
      <c r="AI115" s="314"/>
      <c r="AJ115" s="317"/>
    </row>
    <row r="116" spans="2:36" ht="15.6" x14ac:dyDescent="0.3">
      <c r="B116" s="283" t="s">
        <v>558</v>
      </c>
      <c r="C116" s="176" t="s">
        <v>640</v>
      </c>
      <c r="D116" s="296" t="s">
        <v>226</v>
      </c>
      <c r="E116" s="297"/>
      <c r="F116" s="297"/>
      <c r="G116" s="284"/>
      <c r="H116" s="284"/>
      <c r="I116" s="284"/>
      <c r="J116" s="284"/>
      <c r="K116" s="298"/>
      <c r="L116" s="284"/>
      <c r="M116" s="298"/>
      <c r="N116" s="299"/>
      <c r="O116" s="299"/>
      <c r="P116" s="299"/>
      <c r="Q116" s="299"/>
      <c r="R116" s="300"/>
      <c r="S116" s="115"/>
      <c r="T116" s="301"/>
      <c r="U116" s="302"/>
      <c r="V116" s="303"/>
      <c r="W116" s="303"/>
      <c r="X116" s="303"/>
      <c r="Y116" s="304"/>
      <c r="Z116" s="115"/>
      <c r="AA116" s="301"/>
      <c r="AB116" s="302"/>
      <c r="AC116" s="302"/>
      <c r="AD116" s="302"/>
      <c r="AE116" s="302"/>
      <c r="AF116" s="302"/>
      <c r="AG116" s="302"/>
      <c r="AH116" s="302"/>
      <c r="AI116" s="302"/>
      <c r="AJ116" s="305"/>
    </row>
    <row r="117" spans="2:36" ht="15.6" x14ac:dyDescent="0.3">
      <c r="B117" s="306" t="s">
        <v>559</v>
      </c>
      <c r="C117" s="148" t="s">
        <v>641</v>
      </c>
      <c r="D117" s="307" t="s">
        <v>226</v>
      </c>
      <c r="E117" s="308"/>
      <c r="F117" s="308"/>
      <c r="G117" s="309"/>
      <c r="H117" s="309"/>
      <c r="I117" s="309"/>
      <c r="J117" s="309"/>
      <c r="K117" s="310"/>
      <c r="L117" s="309"/>
      <c r="M117" s="310"/>
      <c r="N117" s="311"/>
      <c r="O117" s="311"/>
      <c r="P117" s="311"/>
      <c r="Q117" s="311"/>
      <c r="R117" s="312"/>
      <c r="S117" s="115"/>
      <c r="T117" s="313"/>
      <c r="U117" s="314"/>
      <c r="V117" s="315"/>
      <c r="W117" s="315"/>
      <c r="X117" s="315"/>
      <c r="Y117" s="316"/>
      <c r="Z117" s="115"/>
      <c r="AA117" s="313"/>
      <c r="AB117" s="314"/>
      <c r="AC117" s="314"/>
      <c r="AD117" s="314"/>
      <c r="AE117" s="314"/>
      <c r="AF117" s="314"/>
      <c r="AG117" s="314"/>
      <c r="AH117" s="314"/>
      <c r="AI117" s="314"/>
      <c r="AJ117" s="317"/>
    </row>
    <row r="118" spans="2:36" ht="15.6" x14ac:dyDescent="0.3">
      <c r="B118" s="283" t="s">
        <v>560</v>
      </c>
      <c r="C118" s="176" t="s">
        <v>642</v>
      </c>
      <c r="D118" s="296" t="s">
        <v>226</v>
      </c>
      <c r="E118" s="297">
        <v>45473</v>
      </c>
      <c r="F118" s="297">
        <v>45473</v>
      </c>
      <c r="G118" s="284">
        <v>1260394</v>
      </c>
      <c r="H118" s="284">
        <v>258866</v>
      </c>
      <c r="I118" s="284">
        <v>49976</v>
      </c>
      <c r="J118" s="284">
        <v>208890</v>
      </c>
      <c r="K118" s="298">
        <v>5.1798063069999998</v>
      </c>
      <c r="L118" s="284">
        <v>0</v>
      </c>
      <c r="M118" s="298">
        <v>5.1798063069999998</v>
      </c>
      <c r="N118" s="299">
        <v>0</v>
      </c>
      <c r="O118" s="299">
        <v>185.44982698999999</v>
      </c>
      <c r="P118" s="299">
        <v>43.866288580999999</v>
      </c>
      <c r="Q118" s="299">
        <v>43.866288580999999</v>
      </c>
      <c r="R118" s="300">
        <v>-141.58353840999999</v>
      </c>
      <c r="S118" s="115"/>
      <c r="T118" s="301">
        <v>413221</v>
      </c>
      <c r="U118" s="302">
        <v>328201</v>
      </c>
      <c r="V118" s="303">
        <v>0.32785065621999998</v>
      </c>
      <c r="W118" s="303">
        <v>0.77405692364000001</v>
      </c>
      <c r="X118" s="303">
        <v>0.17043664285999999</v>
      </c>
      <c r="Y118" s="304">
        <v>5.5379566865999999E-2</v>
      </c>
      <c r="Z118" s="115"/>
      <c r="AA118" s="301">
        <v>533838</v>
      </c>
      <c r="AB118" s="302">
        <v>0</v>
      </c>
      <c r="AC118" s="302">
        <v>146857</v>
      </c>
      <c r="AD118" s="302">
        <v>44180</v>
      </c>
      <c r="AE118" s="302">
        <v>342801</v>
      </c>
      <c r="AF118" s="302">
        <v>0</v>
      </c>
      <c r="AG118" s="302">
        <v>0</v>
      </c>
      <c r="AH118" s="302">
        <v>0</v>
      </c>
      <c r="AI118" s="302">
        <v>0</v>
      </c>
      <c r="AJ118" s="305">
        <v>0</v>
      </c>
    </row>
    <row r="119" spans="2:36" ht="15.6" x14ac:dyDescent="0.3">
      <c r="B119" s="306" t="s">
        <v>561</v>
      </c>
      <c r="C119" s="148" t="s">
        <v>643</v>
      </c>
      <c r="D119" s="307" t="s">
        <v>226</v>
      </c>
      <c r="E119" s="308">
        <v>45473</v>
      </c>
      <c r="F119" s="308">
        <v>45473</v>
      </c>
      <c r="G119" s="309">
        <v>1629989</v>
      </c>
      <c r="H119" s="309">
        <v>368332</v>
      </c>
      <c r="I119" s="309">
        <v>101136</v>
      </c>
      <c r="J119" s="309">
        <v>267196</v>
      </c>
      <c r="K119" s="310">
        <v>3.6419474767</v>
      </c>
      <c r="L119" s="309">
        <v>0</v>
      </c>
      <c r="M119" s="310">
        <v>3.6419474767</v>
      </c>
      <c r="N119" s="311">
        <v>0</v>
      </c>
      <c r="O119" s="311">
        <v>77.373792352999999</v>
      </c>
      <c r="P119" s="311">
        <v>46.237128509999998</v>
      </c>
      <c r="Q119" s="311">
        <v>46.237128509999998</v>
      </c>
      <c r="R119" s="312">
        <v>-31.136663843000001</v>
      </c>
      <c r="S119" s="115"/>
      <c r="T119" s="313">
        <v>656264</v>
      </c>
      <c r="U119" s="314">
        <v>551472</v>
      </c>
      <c r="V119" s="315">
        <v>0.40261866798000001</v>
      </c>
      <c r="W119" s="315">
        <v>1.1660302868000001</v>
      </c>
      <c r="X119" s="315">
        <v>0.1430003779</v>
      </c>
      <c r="Y119" s="316">
        <v>5.7336681579000001E-2</v>
      </c>
      <c r="Z119" s="115"/>
      <c r="AA119" s="313">
        <v>562819</v>
      </c>
      <c r="AB119" s="314">
        <v>0</v>
      </c>
      <c r="AC119" s="314">
        <v>171171</v>
      </c>
      <c r="AD119" s="314">
        <v>56348</v>
      </c>
      <c r="AE119" s="314">
        <v>335300</v>
      </c>
      <c r="AF119" s="314">
        <v>0</v>
      </c>
      <c r="AG119" s="314">
        <v>0</v>
      </c>
      <c r="AH119" s="314">
        <v>0</v>
      </c>
      <c r="AI119" s="314">
        <v>0</v>
      </c>
      <c r="AJ119" s="317">
        <v>0</v>
      </c>
    </row>
    <row r="120" spans="2:36" ht="15.6" x14ac:dyDescent="0.3">
      <c r="B120" s="283" t="s">
        <v>50</v>
      </c>
      <c r="C120" s="176" t="s">
        <v>86</v>
      </c>
      <c r="D120" s="296" t="s">
        <v>226</v>
      </c>
      <c r="E120" s="297">
        <v>45473</v>
      </c>
      <c r="F120" s="297">
        <v>45473</v>
      </c>
      <c r="G120" s="284">
        <v>1050431</v>
      </c>
      <c r="H120" s="284">
        <v>162183</v>
      </c>
      <c r="I120" s="284">
        <v>91078</v>
      </c>
      <c r="J120" s="284">
        <v>71105</v>
      </c>
      <c r="K120" s="298">
        <v>1.7807044511000001</v>
      </c>
      <c r="L120" s="284">
        <v>0</v>
      </c>
      <c r="M120" s="298">
        <v>1.7807044511000001</v>
      </c>
      <c r="N120" s="299">
        <v>0</v>
      </c>
      <c r="O120" s="299">
        <v>27.564268541000001</v>
      </c>
      <c r="P120" s="299">
        <v>36.574629455</v>
      </c>
      <c r="Q120" s="299">
        <v>36.574629455</v>
      </c>
      <c r="R120" s="300">
        <v>9.0103609144999997</v>
      </c>
      <c r="S120" s="115"/>
      <c r="T120" s="301">
        <v>317526</v>
      </c>
      <c r="U120" s="302">
        <v>279677</v>
      </c>
      <c r="V120" s="303">
        <v>0.30228163486999998</v>
      </c>
      <c r="W120" s="303">
        <v>0.68713698333999995</v>
      </c>
      <c r="X120" s="303">
        <v>0.17003332011</v>
      </c>
      <c r="Y120" s="304">
        <v>0.11931936282</v>
      </c>
      <c r="Z120" s="115"/>
      <c r="AA120" s="301">
        <v>462100</v>
      </c>
      <c r="AB120" s="302">
        <v>0</v>
      </c>
      <c r="AC120" s="302">
        <v>215600</v>
      </c>
      <c r="AD120" s="302">
        <v>30802</v>
      </c>
      <c r="AE120" s="302">
        <v>215698</v>
      </c>
      <c r="AF120" s="302">
        <v>0</v>
      </c>
      <c r="AG120" s="302">
        <v>0</v>
      </c>
      <c r="AH120" s="302">
        <v>0</v>
      </c>
      <c r="AI120" s="302">
        <v>0</v>
      </c>
      <c r="AJ120" s="305">
        <v>0</v>
      </c>
    </row>
    <row r="121" spans="2:36" ht="15.6" x14ac:dyDescent="0.3">
      <c r="B121" s="306" t="s">
        <v>450</v>
      </c>
      <c r="C121" s="148" t="s">
        <v>457</v>
      </c>
      <c r="D121" s="307" t="s">
        <v>226</v>
      </c>
      <c r="E121" s="308"/>
      <c r="F121" s="308"/>
      <c r="G121" s="309"/>
      <c r="H121" s="309"/>
      <c r="I121" s="309"/>
      <c r="J121" s="309"/>
      <c r="K121" s="310"/>
      <c r="L121" s="309"/>
      <c r="M121" s="310"/>
      <c r="N121" s="311"/>
      <c r="O121" s="311"/>
      <c r="P121" s="311"/>
      <c r="Q121" s="311"/>
      <c r="R121" s="312"/>
      <c r="S121" s="115"/>
      <c r="T121" s="313"/>
      <c r="U121" s="314"/>
      <c r="V121" s="315"/>
      <c r="W121" s="315"/>
      <c r="X121" s="315"/>
      <c r="Y121" s="316"/>
      <c r="Z121" s="115"/>
      <c r="AA121" s="313"/>
      <c r="AB121" s="314"/>
      <c r="AC121" s="314"/>
      <c r="AD121" s="314"/>
      <c r="AE121" s="314"/>
      <c r="AF121" s="314"/>
      <c r="AG121" s="314"/>
      <c r="AH121" s="314"/>
      <c r="AI121" s="314"/>
      <c r="AJ121" s="317"/>
    </row>
    <row r="122" spans="2:36" ht="15.6" x14ac:dyDescent="0.3">
      <c r="B122" s="283" t="s">
        <v>563</v>
      </c>
      <c r="C122" s="176" t="s">
        <v>644</v>
      </c>
      <c r="D122" s="296" t="s">
        <v>226</v>
      </c>
      <c r="E122" s="297"/>
      <c r="F122" s="297"/>
      <c r="G122" s="284"/>
      <c r="H122" s="284"/>
      <c r="I122" s="284"/>
      <c r="J122" s="284"/>
      <c r="K122" s="298"/>
      <c r="L122" s="284"/>
      <c r="M122" s="298"/>
      <c r="N122" s="299"/>
      <c r="O122" s="299"/>
      <c r="P122" s="299"/>
      <c r="Q122" s="299"/>
      <c r="R122" s="300"/>
      <c r="S122" s="115"/>
      <c r="T122" s="301"/>
      <c r="U122" s="302"/>
      <c r="V122" s="303"/>
      <c r="W122" s="303"/>
      <c r="X122" s="303"/>
      <c r="Y122" s="304"/>
      <c r="Z122" s="115"/>
      <c r="AA122" s="301"/>
      <c r="AB122" s="302"/>
      <c r="AC122" s="302"/>
      <c r="AD122" s="302"/>
      <c r="AE122" s="302"/>
      <c r="AF122" s="302"/>
      <c r="AG122" s="302"/>
      <c r="AH122" s="302"/>
      <c r="AI122" s="302"/>
      <c r="AJ122" s="305"/>
    </row>
    <row r="123" spans="2:36" ht="15.6" x14ac:dyDescent="0.3">
      <c r="B123" s="306" t="s">
        <v>451</v>
      </c>
      <c r="C123" s="148" t="s">
        <v>458</v>
      </c>
      <c r="D123" s="307" t="s">
        <v>226</v>
      </c>
      <c r="E123" s="308"/>
      <c r="F123" s="308"/>
      <c r="G123" s="309"/>
      <c r="H123" s="309"/>
      <c r="I123" s="309"/>
      <c r="J123" s="309"/>
      <c r="K123" s="310"/>
      <c r="L123" s="309"/>
      <c r="M123" s="310"/>
      <c r="N123" s="311"/>
      <c r="O123" s="311"/>
      <c r="P123" s="311"/>
      <c r="Q123" s="311"/>
      <c r="R123" s="312"/>
      <c r="S123" s="115"/>
      <c r="T123" s="313"/>
      <c r="U123" s="314"/>
      <c r="V123" s="315"/>
      <c r="W123" s="315"/>
      <c r="X123" s="315"/>
      <c r="Y123" s="316"/>
      <c r="Z123" s="115"/>
      <c r="AA123" s="313"/>
      <c r="AB123" s="314"/>
      <c r="AC123" s="314"/>
      <c r="AD123" s="314"/>
      <c r="AE123" s="314"/>
      <c r="AF123" s="314"/>
      <c r="AG123" s="314"/>
      <c r="AH123" s="314"/>
      <c r="AI123" s="314"/>
      <c r="AJ123" s="317"/>
    </row>
    <row r="124" spans="2:36" ht="15.6" x14ac:dyDescent="0.3">
      <c r="B124" s="283" t="s">
        <v>51</v>
      </c>
      <c r="C124" s="176" t="s">
        <v>87</v>
      </c>
      <c r="D124" s="296" t="s">
        <v>226</v>
      </c>
      <c r="E124" s="297"/>
      <c r="F124" s="297"/>
      <c r="G124" s="284"/>
      <c r="H124" s="284"/>
      <c r="I124" s="284"/>
      <c r="J124" s="284"/>
      <c r="K124" s="298"/>
      <c r="L124" s="284"/>
      <c r="M124" s="298"/>
      <c r="N124" s="299"/>
      <c r="O124" s="299"/>
      <c r="P124" s="299"/>
      <c r="Q124" s="299"/>
      <c r="R124" s="300"/>
      <c r="S124" s="115"/>
      <c r="T124" s="301"/>
      <c r="U124" s="302"/>
      <c r="V124" s="303"/>
      <c r="W124" s="303"/>
      <c r="X124" s="303"/>
      <c r="Y124" s="304"/>
      <c r="Z124" s="115"/>
      <c r="AA124" s="301"/>
      <c r="AB124" s="302"/>
      <c r="AC124" s="302"/>
      <c r="AD124" s="302"/>
      <c r="AE124" s="302"/>
      <c r="AF124" s="302"/>
      <c r="AG124" s="302"/>
      <c r="AH124" s="302"/>
      <c r="AI124" s="302"/>
      <c r="AJ124" s="305"/>
    </row>
    <row r="125" spans="2:36" ht="15.6" x14ac:dyDescent="0.3">
      <c r="B125" s="306" t="s">
        <v>52</v>
      </c>
      <c r="C125" s="148" t="s">
        <v>88</v>
      </c>
      <c r="D125" s="307" t="s">
        <v>226</v>
      </c>
      <c r="E125" s="308">
        <v>45473</v>
      </c>
      <c r="F125" s="308">
        <v>45473</v>
      </c>
      <c r="G125" s="309">
        <v>1493848</v>
      </c>
      <c r="H125" s="309">
        <v>211114</v>
      </c>
      <c r="I125" s="309">
        <v>127339</v>
      </c>
      <c r="J125" s="309">
        <v>83775</v>
      </c>
      <c r="K125" s="310">
        <v>1.6578895704000001</v>
      </c>
      <c r="L125" s="309">
        <v>0</v>
      </c>
      <c r="M125" s="310">
        <v>1.6578895704000001</v>
      </c>
      <c r="N125" s="311">
        <v>0</v>
      </c>
      <c r="O125" s="311">
        <v>59.232063582999999</v>
      </c>
      <c r="P125" s="311">
        <v>43.360714571000003</v>
      </c>
      <c r="Q125" s="311">
        <v>43.360714571000003</v>
      </c>
      <c r="R125" s="312">
        <v>-15.871349012</v>
      </c>
      <c r="S125" s="115"/>
      <c r="T125" s="313">
        <v>380397</v>
      </c>
      <c r="U125" s="314">
        <v>205134</v>
      </c>
      <c r="V125" s="315">
        <v>0.25464237325</v>
      </c>
      <c r="W125" s="315">
        <v>0.36106863491000002</v>
      </c>
      <c r="X125" s="315">
        <v>0.14266148261</v>
      </c>
      <c r="Y125" s="316">
        <v>0.23739409090999999</v>
      </c>
      <c r="Z125" s="115"/>
      <c r="AA125" s="313">
        <v>1053531</v>
      </c>
      <c r="AB125" s="314">
        <v>0</v>
      </c>
      <c r="AC125" s="314">
        <v>818858</v>
      </c>
      <c r="AD125" s="314">
        <v>33338</v>
      </c>
      <c r="AE125" s="314">
        <v>201335</v>
      </c>
      <c r="AF125" s="314">
        <v>0</v>
      </c>
      <c r="AG125" s="314">
        <v>0</v>
      </c>
      <c r="AH125" s="314">
        <v>0</v>
      </c>
      <c r="AI125" s="314">
        <v>0</v>
      </c>
      <c r="AJ125" s="317">
        <v>0</v>
      </c>
    </row>
    <row r="126" spans="2:36" ht="15.6" x14ac:dyDescent="0.3">
      <c r="B126" s="283" t="s">
        <v>2289</v>
      </c>
      <c r="C126" s="176" t="s">
        <v>2805</v>
      </c>
      <c r="D126" s="296" t="s">
        <v>227</v>
      </c>
      <c r="E126" s="297"/>
      <c r="F126" s="297"/>
      <c r="G126" s="284"/>
      <c r="H126" s="284"/>
      <c r="I126" s="284"/>
      <c r="J126" s="284"/>
      <c r="K126" s="298"/>
      <c r="L126" s="284"/>
      <c r="M126" s="298"/>
      <c r="N126" s="299"/>
      <c r="O126" s="299"/>
      <c r="P126" s="299"/>
      <c r="Q126" s="299"/>
      <c r="R126" s="300"/>
      <c r="S126" s="115"/>
      <c r="T126" s="301"/>
      <c r="U126" s="302"/>
      <c r="V126" s="303"/>
      <c r="W126" s="303"/>
      <c r="X126" s="303"/>
      <c r="Y126" s="304"/>
      <c r="Z126" s="115"/>
      <c r="AA126" s="301"/>
      <c r="AB126" s="302"/>
      <c r="AC126" s="302"/>
      <c r="AD126" s="302"/>
      <c r="AE126" s="302"/>
      <c r="AF126" s="302"/>
      <c r="AG126" s="302"/>
      <c r="AH126" s="302"/>
      <c r="AI126" s="302"/>
      <c r="AJ126" s="305"/>
    </row>
    <row r="127" spans="2:36" ht="15.6" x14ac:dyDescent="0.3">
      <c r="B127" s="306" t="s">
        <v>564</v>
      </c>
      <c r="C127" s="148" t="s">
        <v>645</v>
      </c>
      <c r="D127" s="307" t="s">
        <v>226</v>
      </c>
      <c r="E127" s="308"/>
      <c r="F127" s="308"/>
      <c r="G127" s="309"/>
      <c r="H127" s="309"/>
      <c r="I127" s="309"/>
      <c r="J127" s="309"/>
      <c r="K127" s="310"/>
      <c r="L127" s="309"/>
      <c r="M127" s="310"/>
      <c r="N127" s="311"/>
      <c r="O127" s="311"/>
      <c r="P127" s="311"/>
      <c r="Q127" s="311"/>
      <c r="R127" s="312"/>
      <c r="S127" s="115"/>
      <c r="T127" s="313"/>
      <c r="U127" s="314"/>
      <c r="V127" s="315"/>
      <c r="W127" s="315"/>
      <c r="X127" s="315"/>
      <c r="Y127" s="316"/>
      <c r="Z127" s="115"/>
      <c r="AA127" s="313"/>
      <c r="AB127" s="314"/>
      <c r="AC127" s="314"/>
      <c r="AD127" s="314"/>
      <c r="AE127" s="314"/>
      <c r="AF127" s="314"/>
      <c r="AG127" s="314"/>
      <c r="AH127" s="314"/>
      <c r="AI127" s="314"/>
      <c r="AJ127" s="317"/>
    </row>
    <row r="128" spans="2:36" ht="15.6" x14ac:dyDescent="0.3">
      <c r="B128" s="283" t="s">
        <v>1459</v>
      </c>
      <c r="C128" s="176" t="s">
        <v>1911</v>
      </c>
      <c r="D128" s="296" t="s">
        <v>104</v>
      </c>
      <c r="E128" s="297"/>
      <c r="F128" s="297"/>
      <c r="G128" s="284"/>
      <c r="H128" s="284"/>
      <c r="I128" s="284"/>
      <c r="J128" s="284"/>
      <c r="K128" s="298"/>
      <c r="L128" s="284"/>
      <c r="M128" s="298"/>
      <c r="N128" s="299"/>
      <c r="O128" s="299"/>
      <c r="P128" s="299"/>
      <c r="Q128" s="299"/>
      <c r="R128" s="300"/>
      <c r="S128" s="115"/>
      <c r="T128" s="301"/>
      <c r="U128" s="302"/>
      <c r="V128" s="303"/>
      <c r="W128" s="303"/>
      <c r="X128" s="303"/>
      <c r="Y128" s="304"/>
      <c r="Z128" s="115"/>
      <c r="AA128" s="301"/>
      <c r="AB128" s="302"/>
      <c r="AC128" s="302"/>
      <c r="AD128" s="302"/>
      <c r="AE128" s="302"/>
      <c r="AF128" s="302"/>
      <c r="AG128" s="302"/>
      <c r="AH128" s="302"/>
      <c r="AI128" s="302"/>
      <c r="AJ128" s="305"/>
    </row>
    <row r="129" spans="2:36" ht="15.6" x14ac:dyDescent="0.3">
      <c r="B129" s="306" t="s">
        <v>264</v>
      </c>
      <c r="C129" s="148" t="s">
        <v>89</v>
      </c>
      <c r="D129" s="307" t="s">
        <v>226</v>
      </c>
      <c r="E129" s="308">
        <v>45473</v>
      </c>
      <c r="F129" s="308">
        <v>45473</v>
      </c>
      <c r="G129" s="309">
        <v>3219051</v>
      </c>
      <c r="H129" s="309">
        <v>316829</v>
      </c>
      <c r="I129" s="309">
        <v>916919</v>
      </c>
      <c r="J129" s="309">
        <v>-600090</v>
      </c>
      <c r="K129" s="310">
        <v>0.34553651957999998</v>
      </c>
      <c r="L129" s="309">
        <v>0</v>
      </c>
      <c r="M129" s="310">
        <v>0.34553651957999998</v>
      </c>
      <c r="N129" s="311">
        <v>0</v>
      </c>
      <c r="O129" s="311">
        <v>210.10227465</v>
      </c>
      <c r="P129" s="311">
        <v>33.846635044999999</v>
      </c>
      <c r="Q129" s="311">
        <v>33.846635044999999</v>
      </c>
      <c r="R129" s="312">
        <v>-176.25563961</v>
      </c>
      <c r="S129" s="115"/>
      <c r="T129" s="313">
        <v>449304</v>
      </c>
      <c r="U129" s="314">
        <v>266692</v>
      </c>
      <c r="V129" s="315">
        <v>0.13957653979000001</v>
      </c>
      <c r="W129" s="315">
        <v>0.22918411589000001</v>
      </c>
      <c r="X129" s="315">
        <v>0.52066529565999997</v>
      </c>
      <c r="Y129" s="316">
        <v>0.64432099425</v>
      </c>
      <c r="Z129" s="115"/>
      <c r="AA129" s="313">
        <v>1960450</v>
      </c>
      <c r="AB129" s="314">
        <v>0</v>
      </c>
      <c r="AC129" s="314">
        <v>839138</v>
      </c>
      <c r="AD129" s="314">
        <v>166328</v>
      </c>
      <c r="AE129" s="314">
        <v>639199</v>
      </c>
      <c r="AF129" s="314">
        <v>115084</v>
      </c>
      <c r="AG129" s="314">
        <v>0</v>
      </c>
      <c r="AH129" s="314">
        <v>200701</v>
      </c>
      <c r="AI129" s="314">
        <v>0</v>
      </c>
      <c r="AJ129" s="317">
        <v>0</v>
      </c>
    </row>
    <row r="130" spans="2:36" ht="15.6" x14ac:dyDescent="0.3">
      <c r="B130" s="283" t="s">
        <v>1114</v>
      </c>
      <c r="C130" s="176" t="s">
        <v>1143</v>
      </c>
      <c r="D130" s="296" t="s">
        <v>1147</v>
      </c>
      <c r="E130" s="297">
        <v>40268</v>
      </c>
      <c r="F130" s="297"/>
      <c r="G130" s="284"/>
      <c r="H130" s="284"/>
      <c r="I130" s="284"/>
      <c r="J130" s="284"/>
      <c r="K130" s="298"/>
      <c r="L130" s="284"/>
      <c r="M130" s="298"/>
      <c r="N130" s="299"/>
      <c r="O130" s="299"/>
      <c r="P130" s="299"/>
      <c r="Q130" s="299"/>
      <c r="R130" s="300"/>
      <c r="S130" s="115"/>
      <c r="T130" s="301"/>
      <c r="U130" s="302"/>
      <c r="V130" s="303"/>
      <c r="W130" s="303"/>
      <c r="X130" s="303"/>
      <c r="Y130" s="304"/>
      <c r="Z130" s="115"/>
      <c r="AA130" s="301"/>
      <c r="AB130" s="302"/>
      <c r="AC130" s="302"/>
      <c r="AD130" s="302"/>
      <c r="AE130" s="302"/>
      <c r="AF130" s="302"/>
      <c r="AG130" s="302"/>
      <c r="AH130" s="302"/>
      <c r="AI130" s="302"/>
      <c r="AJ130" s="305"/>
    </row>
    <row r="131" spans="2:36" ht="15.6" x14ac:dyDescent="0.3">
      <c r="B131" s="306" t="s">
        <v>1460</v>
      </c>
      <c r="C131" s="148" t="s">
        <v>2806</v>
      </c>
      <c r="D131" s="307" t="s">
        <v>226</v>
      </c>
      <c r="E131" s="308">
        <v>45473</v>
      </c>
      <c r="F131" s="308">
        <v>45473</v>
      </c>
      <c r="G131" s="309">
        <v>2734129</v>
      </c>
      <c r="H131" s="309">
        <v>88074</v>
      </c>
      <c r="I131" s="309">
        <v>81822</v>
      </c>
      <c r="J131" s="309">
        <v>6252</v>
      </c>
      <c r="K131" s="310">
        <v>1.0764097674999999</v>
      </c>
      <c r="L131" s="309">
        <v>0</v>
      </c>
      <c r="M131" s="310">
        <v>1.0764097674999999</v>
      </c>
      <c r="N131" s="311">
        <v>0</v>
      </c>
      <c r="O131" s="311">
        <v>15.171266956</v>
      </c>
      <c r="P131" s="311">
        <v>28.970639178999999</v>
      </c>
      <c r="Q131" s="311">
        <v>28.970639178999999</v>
      </c>
      <c r="R131" s="312">
        <v>13.799372222000001</v>
      </c>
      <c r="S131" s="115"/>
      <c r="T131" s="313">
        <v>1482411</v>
      </c>
      <c r="U131" s="314">
        <v>1446733</v>
      </c>
      <c r="V131" s="315">
        <v>0.54218765830000004</v>
      </c>
      <c r="W131" s="315">
        <v>1.2669226588</v>
      </c>
      <c r="X131" s="315">
        <v>2.6547968141000002E-2</v>
      </c>
      <c r="Y131" s="316">
        <v>4.3816458459E-2</v>
      </c>
      <c r="Z131" s="115"/>
      <c r="AA131" s="313">
        <v>1068388</v>
      </c>
      <c r="AB131" s="314">
        <v>101700</v>
      </c>
      <c r="AC131" s="314">
        <v>943531</v>
      </c>
      <c r="AD131" s="314">
        <v>107683</v>
      </c>
      <c r="AE131" s="314">
        <v>0</v>
      </c>
      <c r="AF131" s="314">
        <v>17174</v>
      </c>
      <c r="AG131" s="314">
        <v>0</v>
      </c>
      <c r="AH131" s="314">
        <v>0</v>
      </c>
      <c r="AI131" s="314">
        <v>0</v>
      </c>
      <c r="AJ131" s="317">
        <v>0</v>
      </c>
    </row>
    <row r="132" spans="2:36" ht="15.6" x14ac:dyDescent="0.3">
      <c r="B132" s="283" t="s">
        <v>1461</v>
      </c>
      <c r="C132" s="176" t="s">
        <v>1912</v>
      </c>
      <c r="D132" s="296" t="s">
        <v>1956</v>
      </c>
      <c r="E132" s="297">
        <v>45473</v>
      </c>
      <c r="F132" s="297">
        <v>45473</v>
      </c>
      <c r="G132" s="284">
        <v>6583628</v>
      </c>
      <c r="H132" s="284">
        <v>1372315</v>
      </c>
      <c r="I132" s="284">
        <v>1668330</v>
      </c>
      <c r="J132" s="284">
        <v>-296015</v>
      </c>
      <c r="K132" s="298">
        <v>0.82256807706000001</v>
      </c>
      <c r="L132" s="284">
        <v>123576</v>
      </c>
      <c r="M132" s="298">
        <v>0.74849640059</v>
      </c>
      <c r="N132" s="299">
        <v>33.914873114999999</v>
      </c>
      <c r="O132" s="299">
        <v>43.745509767000001</v>
      </c>
      <c r="P132" s="299">
        <v>0</v>
      </c>
      <c r="Q132" s="299">
        <v>33.914873114999999</v>
      </c>
      <c r="R132" s="300">
        <v>-9.8306366524000008</v>
      </c>
      <c r="S132" s="115"/>
      <c r="T132" s="301">
        <v>4693518</v>
      </c>
      <c r="U132" s="302">
        <v>3862747</v>
      </c>
      <c r="V132" s="303">
        <v>0.71290753366000004</v>
      </c>
      <c r="W132" s="303">
        <v>3.4646435715999999</v>
      </c>
      <c r="X132" s="303">
        <v>1.1931348723E-4</v>
      </c>
      <c r="Y132" s="304">
        <v>0.26335426859</v>
      </c>
      <c r="Z132" s="115"/>
      <c r="AA132" s="301">
        <v>1354690</v>
      </c>
      <c r="AB132" s="302">
        <v>0</v>
      </c>
      <c r="AC132" s="302">
        <v>1334584</v>
      </c>
      <c r="AD132" s="302">
        <v>-453719</v>
      </c>
      <c r="AE132" s="302">
        <v>0</v>
      </c>
      <c r="AF132" s="302">
        <v>47945</v>
      </c>
      <c r="AG132" s="302">
        <v>0</v>
      </c>
      <c r="AH132" s="302">
        <v>-163607</v>
      </c>
      <c r="AI132" s="302">
        <v>589487</v>
      </c>
      <c r="AJ132" s="305">
        <v>0</v>
      </c>
    </row>
    <row r="133" spans="2:36" ht="15.6" x14ac:dyDescent="0.3">
      <c r="B133" s="306" t="s">
        <v>1463</v>
      </c>
      <c r="C133" s="148" t="s">
        <v>1913</v>
      </c>
      <c r="D133" s="307" t="s">
        <v>228</v>
      </c>
      <c r="E133" s="308">
        <v>45473</v>
      </c>
      <c r="F133" s="308">
        <v>45473</v>
      </c>
      <c r="G133" s="309">
        <v>5060576</v>
      </c>
      <c r="H133" s="309">
        <v>345919</v>
      </c>
      <c r="I133" s="309">
        <v>252790</v>
      </c>
      <c r="J133" s="309">
        <v>93129</v>
      </c>
      <c r="K133" s="310">
        <v>1.3684046046</v>
      </c>
      <c r="L133" s="309">
        <v>0</v>
      </c>
      <c r="M133" s="310">
        <v>1.3684046046</v>
      </c>
      <c r="N133" s="311">
        <v>0</v>
      </c>
      <c r="O133" s="311">
        <v>19.178840905000001</v>
      </c>
      <c r="P133" s="311">
        <v>20.800690808999999</v>
      </c>
      <c r="Q133" s="311">
        <v>20.800690808999999</v>
      </c>
      <c r="R133" s="312">
        <v>1.6218499035</v>
      </c>
      <c r="S133" s="115"/>
      <c r="T133" s="313">
        <v>2774728</v>
      </c>
      <c r="U133" s="314">
        <v>2521552</v>
      </c>
      <c r="V133" s="315">
        <v>0.54830280190000003</v>
      </c>
      <c r="W133" s="315">
        <v>3.750833713</v>
      </c>
      <c r="X133" s="315">
        <v>4.9584680011999997E-2</v>
      </c>
      <c r="Y133" s="316">
        <v>4.7923976691999999E-2</v>
      </c>
      <c r="Z133" s="115"/>
      <c r="AA133" s="313">
        <v>739763</v>
      </c>
      <c r="AB133" s="314">
        <v>0</v>
      </c>
      <c r="AC133" s="314">
        <v>686150</v>
      </c>
      <c r="AD133" s="314">
        <v>30412</v>
      </c>
      <c r="AE133" s="314">
        <v>23201</v>
      </c>
      <c r="AF133" s="314">
        <v>0</v>
      </c>
      <c r="AG133" s="314">
        <v>0</v>
      </c>
      <c r="AH133" s="314">
        <v>0</v>
      </c>
      <c r="AI133" s="314">
        <v>0</v>
      </c>
      <c r="AJ133" s="317">
        <v>0</v>
      </c>
    </row>
    <row r="134" spans="2:36" ht="15.6" x14ac:dyDescent="0.3">
      <c r="B134" s="283" t="s">
        <v>1464</v>
      </c>
      <c r="C134" s="176" t="s">
        <v>1914</v>
      </c>
      <c r="D134" s="296" t="s">
        <v>231</v>
      </c>
      <c r="E134" s="297">
        <v>45473</v>
      </c>
      <c r="F134" s="297">
        <v>45473</v>
      </c>
      <c r="G134" s="284">
        <v>9557464</v>
      </c>
      <c r="H134" s="284">
        <v>1482868</v>
      </c>
      <c r="I134" s="284">
        <v>2034558</v>
      </c>
      <c r="J134" s="284">
        <v>-551690</v>
      </c>
      <c r="K134" s="298">
        <v>0.72884036729000001</v>
      </c>
      <c r="L134" s="284">
        <v>0</v>
      </c>
      <c r="M134" s="298">
        <v>0.72884036729000001</v>
      </c>
      <c r="N134" s="299">
        <v>0</v>
      </c>
      <c r="O134" s="299">
        <v>619.15178780999997</v>
      </c>
      <c r="P134" s="299">
        <v>47.008407022</v>
      </c>
      <c r="Q134" s="299">
        <v>47.008407022</v>
      </c>
      <c r="R134" s="300">
        <v>-572.14338079000004</v>
      </c>
      <c r="S134" s="115"/>
      <c r="T134" s="301">
        <v>6620217</v>
      </c>
      <c r="U134" s="302">
        <v>5402964</v>
      </c>
      <c r="V134" s="303">
        <v>0.69267506527</v>
      </c>
      <c r="W134" s="303">
        <v>8.5817691346</v>
      </c>
      <c r="X134" s="303">
        <v>2.4942837975999999E-2</v>
      </c>
      <c r="Y134" s="304">
        <v>2.472728613E-4</v>
      </c>
      <c r="Z134" s="115"/>
      <c r="AA134" s="301">
        <v>771428</v>
      </c>
      <c r="AB134" s="302">
        <v>0</v>
      </c>
      <c r="AC134" s="302">
        <v>2063283</v>
      </c>
      <c r="AD134" s="302">
        <v>-1291855</v>
      </c>
      <c r="AE134" s="302">
        <v>0</v>
      </c>
      <c r="AF134" s="302">
        <v>0</v>
      </c>
      <c r="AG134" s="302">
        <v>0</v>
      </c>
      <c r="AH134" s="302">
        <v>0</v>
      </c>
      <c r="AI134" s="302">
        <v>0</v>
      </c>
      <c r="AJ134" s="305">
        <v>0</v>
      </c>
    </row>
    <row r="135" spans="2:36" ht="15.6" x14ac:dyDescent="0.3">
      <c r="B135" s="306" t="s">
        <v>2291</v>
      </c>
      <c r="C135" s="148" t="s">
        <v>2807</v>
      </c>
      <c r="D135" s="307" t="s">
        <v>226</v>
      </c>
      <c r="E135" s="308"/>
      <c r="F135" s="308"/>
      <c r="G135" s="309"/>
      <c r="H135" s="309"/>
      <c r="I135" s="309"/>
      <c r="J135" s="309"/>
      <c r="K135" s="310"/>
      <c r="L135" s="309"/>
      <c r="M135" s="310"/>
      <c r="N135" s="311"/>
      <c r="O135" s="311"/>
      <c r="P135" s="311"/>
      <c r="Q135" s="311"/>
      <c r="R135" s="312"/>
      <c r="S135" s="115"/>
      <c r="T135" s="313"/>
      <c r="U135" s="314"/>
      <c r="V135" s="315"/>
      <c r="W135" s="315"/>
      <c r="X135" s="315"/>
      <c r="Y135" s="316"/>
      <c r="Z135" s="115"/>
      <c r="AA135" s="313"/>
      <c r="AB135" s="314"/>
      <c r="AC135" s="314"/>
      <c r="AD135" s="314"/>
      <c r="AE135" s="314"/>
      <c r="AF135" s="314"/>
      <c r="AG135" s="314"/>
      <c r="AH135" s="314"/>
      <c r="AI135" s="314"/>
      <c r="AJ135" s="317"/>
    </row>
    <row r="136" spans="2:36" ht="15.6" x14ac:dyDescent="0.3">
      <c r="B136" s="283" t="s">
        <v>1465</v>
      </c>
      <c r="C136" s="176" t="s">
        <v>1915</v>
      </c>
      <c r="D136" s="296" t="s">
        <v>226</v>
      </c>
      <c r="E136" s="297"/>
      <c r="F136" s="297"/>
      <c r="G136" s="284"/>
      <c r="H136" s="284"/>
      <c r="I136" s="284"/>
      <c r="J136" s="284"/>
      <c r="K136" s="298"/>
      <c r="L136" s="284"/>
      <c r="M136" s="298"/>
      <c r="N136" s="299"/>
      <c r="O136" s="299"/>
      <c r="P136" s="299"/>
      <c r="Q136" s="299"/>
      <c r="R136" s="300"/>
      <c r="S136" s="115"/>
      <c r="T136" s="301"/>
      <c r="U136" s="302"/>
      <c r="V136" s="303"/>
      <c r="W136" s="303"/>
      <c r="X136" s="303"/>
      <c r="Y136" s="304"/>
      <c r="Z136" s="115"/>
      <c r="AA136" s="301"/>
      <c r="AB136" s="302"/>
      <c r="AC136" s="302"/>
      <c r="AD136" s="302"/>
      <c r="AE136" s="302"/>
      <c r="AF136" s="302"/>
      <c r="AG136" s="302"/>
      <c r="AH136" s="302"/>
      <c r="AI136" s="302"/>
      <c r="AJ136" s="305"/>
    </row>
    <row r="137" spans="2:36" ht="15.6" x14ac:dyDescent="0.3">
      <c r="B137" s="306" t="s">
        <v>1467</v>
      </c>
      <c r="C137" s="148" t="s">
        <v>1917</v>
      </c>
      <c r="D137" s="307" t="s">
        <v>1958</v>
      </c>
      <c r="E137" s="308"/>
      <c r="F137" s="308"/>
      <c r="G137" s="309"/>
      <c r="H137" s="309"/>
      <c r="I137" s="309"/>
      <c r="J137" s="309"/>
      <c r="K137" s="310"/>
      <c r="L137" s="309"/>
      <c r="M137" s="310"/>
      <c r="N137" s="311"/>
      <c r="O137" s="311"/>
      <c r="P137" s="311"/>
      <c r="Q137" s="311"/>
      <c r="R137" s="312"/>
      <c r="S137" s="115"/>
      <c r="T137" s="313"/>
      <c r="U137" s="314"/>
      <c r="V137" s="315"/>
      <c r="W137" s="315"/>
      <c r="X137" s="315"/>
      <c r="Y137" s="316"/>
      <c r="Z137" s="115"/>
      <c r="AA137" s="313"/>
      <c r="AB137" s="314"/>
      <c r="AC137" s="314"/>
      <c r="AD137" s="314"/>
      <c r="AE137" s="314"/>
      <c r="AF137" s="314"/>
      <c r="AG137" s="314"/>
      <c r="AH137" s="314"/>
      <c r="AI137" s="314"/>
      <c r="AJ137" s="317"/>
    </row>
    <row r="138" spans="2:36" ht="15.6" x14ac:dyDescent="0.3">
      <c r="B138" s="283" t="s">
        <v>265</v>
      </c>
      <c r="C138" s="176" t="s">
        <v>269</v>
      </c>
      <c r="D138" s="296" t="s">
        <v>226</v>
      </c>
      <c r="E138" s="297"/>
      <c r="F138" s="297"/>
      <c r="G138" s="284"/>
      <c r="H138" s="284"/>
      <c r="I138" s="284"/>
      <c r="J138" s="284"/>
      <c r="K138" s="298"/>
      <c r="L138" s="284"/>
      <c r="M138" s="298"/>
      <c r="N138" s="299"/>
      <c r="O138" s="299"/>
      <c r="P138" s="299"/>
      <c r="Q138" s="299"/>
      <c r="R138" s="300"/>
      <c r="S138" s="115"/>
      <c r="T138" s="301"/>
      <c r="U138" s="302"/>
      <c r="V138" s="303"/>
      <c r="W138" s="303"/>
      <c r="X138" s="303"/>
      <c r="Y138" s="304"/>
      <c r="Z138" s="115"/>
      <c r="AA138" s="301"/>
      <c r="AB138" s="302"/>
      <c r="AC138" s="302"/>
      <c r="AD138" s="302"/>
      <c r="AE138" s="302"/>
      <c r="AF138" s="302"/>
      <c r="AG138" s="302"/>
      <c r="AH138" s="302"/>
      <c r="AI138" s="302"/>
      <c r="AJ138" s="305"/>
    </row>
    <row r="139" spans="2:36" ht="15.6" x14ac:dyDescent="0.3">
      <c r="B139" s="306" t="s">
        <v>1468</v>
      </c>
      <c r="C139" s="148" t="s">
        <v>1918</v>
      </c>
      <c r="D139" s="307" t="s">
        <v>1959</v>
      </c>
      <c r="E139" s="308">
        <v>45473</v>
      </c>
      <c r="F139" s="308">
        <v>45473</v>
      </c>
      <c r="G139" s="309">
        <v>7215464</v>
      </c>
      <c r="H139" s="309">
        <v>2633886</v>
      </c>
      <c r="I139" s="309">
        <v>831784</v>
      </c>
      <c r="J139" s="309">
        <v>1802102</v>
      </c>
      <c r="K139" s="310">
        <v>3.1665504506</v>
      </c>
      <c r="L139" s="309">
        <v>490879</v>
      </c>
      <c r="M139" s="310">
        <v>2.5763984400000002</v>
      </c>
      <c r="N139" s="311">
        <v>191.9729112</v>
      </c>
      <c r="O139" s="311">
        <v>62.803130377000002</v>
      </c>
      <c r="P139" s="311">
        <v>16.286746014999999</v>
      </c>
      <c r="Q139" s="311">
        <v>208.25965721</v>
      </c>
      <c r="R139" s="312">
        <v>145.45652684000001</v>
      </c>
      <c r="S139" s="115"/>
      <c r="T139" s="313">
        <v>4405101</v>
      </c>
      <c r="U139" s="314">
        <v>3089448</v>
      </c>
      <c r="V139" s="315">
        <v>0.61050834707000001</v>
      </c>
      <c r="W139" s="315">
        <v>2.1256241615999998</v>
      </c>
      <c r="X139" s="315">
        <v>3.4166753498000003E-2</v>
      </c>
      <c r="Y139" s="316">
        <v>7.9742098989000004E-2</v>
      </c>
      <c r="Z139" s="115"/>
      <c r="AA139" s="313">
        <v>2072380</v>
      </c>
      <c r="AB139" s="314">
        <v>0</v>
      </c>
      <c r="AC139" s="314">
        <v>1039266</v>
      </c>
      <c r="AD139" s="314">
        <v>-2011</v>
      </c>
      <c r="AE139" s="314">
        <v>1022800</v>
      </c>
      <c r="AF139" s="314">
        <v>0</v>
      </c>
      <c r="AG139" s="314">
        <v>0</v>
      </c>
      <c r="AH139" s="314">
        <v>12325</v>
      </c>
      <c r="AI139" s="314">
        <v>0</v>
      </c>
      <c r="AJ139" s="317">
        <v>0</v>
      </c>
    </row>
    <row r="140" spans="2:36" ht="15.6" x14ac:dyDescent="0.3">
      <c r="B140" s="283" t="s">
        <v>566</v>
      </c>
      <c r="C140" s="176" t="s">
        <v>647</v>
      </c>
      <c r="D140" s="296" t="s">
        <v>226</v>
      </c>
      <c r="E140" s="297"/>
      <c r="F140" s="297"/>
      <c r="G140" s="284"/>
      <c r="H140" s="284"/>
      <c r="I140" s="284"/>
      <c r="J140" s="284"/>
      <c r="K140" s="298"/>
      <c r="L140" s="284"/>
      <c r="M140" s="298"/>
      <c r="N140" s="299"/>
      <c r="O140" s="299"/>
      <c r="P140" s="299"/>
      <c r="Q140" s="299"/>
      <c r="R140" s="300"/>
      <c r="S140" s="115"/>
      <c r="T140" s="301"/>
      <c r="U140" s="302"/>
      <c r="V140" s="303"/>
      <c r="W140" s="303"/>
      <c r="X140" s="303"/>
      <c r="Y140" s="304"/>
      <c r="Z140" s="115"/>
      <c r="AA140" s="301"/>
      <c r="AB140" s="302"/>
      <c r="AC140" s="302"/>
      <c r="AD140" s="302"/>
      <c r="AE140" s="302"/>
      <c r="AF140" s="302"/>
      <c r="AG140" s="302"/>
      <c r="AH140" s="302"/>
      <c r="AI140" s="302"/>
      <c r="AJ140" s="305"/>
    </row>
    <row r="141" spans="2:36" ht="15.6" x14ac:dyDescent="0.3">
      <c r="B141" s="306" t="s">
        <v>2295</v>
      </c>
      <c r="C141" s="148" t="s">
        <v>2808</v>
      </c>
      <c r="D141" s="307" t="s">
        <v>104</v>
      </c>
      <c r="E141" s="308"/>
      <c r="F141" s="308"/>
      <c r="G141" s="309"/>
      <c r="H141" s="309"/>
      <c r="I141" s="309"/>
      <c r="J141" s="309"/>
      <c r="K141" s="310"/>
      <c r="L141" s="309"/>
      <c r="M141" s="310"/>
      <c r="N141" s="311"/>
      <c r="O141" s="311"/>
      <c r="P141" s="311"/>
      <c r="Q141" s="311"/>
      <c r="R141" s="312"/>
      <c r="S141" s="115"/>
      <c r="T141" s="313"/>
      <c r="U141" s="314"/>
      <c r="V141" s="315"/>
      <c r="W141" s="315"/>
      <c r="X141" s="315"/>
      <c r="Y141" s="316"/>
      <c r="Z141" s="115"/>
      <c r="AA141" s="313"/>
      <c r="AB141" s="314"/>
      <c r="AC141" s="314"/>
      <c r="AD141" s="314"/>
      <c r="AE141" s="314"/>
      <c r="AF141" s="314"/>
      <c r="AG141" s="314"/>
      <c r="AH141" s="314"/>
      <c r="AI141" s="314"/>
      <c r="AJ141" s="317"/>
    </row>
    <row r="142" spans="2:36" ht="15.6" x14ac:dyDescent="0.3">
      <c r="B142" s="283" t="s">
        <v>1472</v>
      </c>
      <c r="C142" s="176" t="s">
        <v>1919</v>
      </c>
      <c r="D142" s="296" t="s">
        <v>227</v>
      </c>
      <c r="E142" s="297">
        <v>45473</v>
      </c>
      <c r="F142" s="297">
        <v>45473</v>
      </c>
      <c r="G142" s="284">
        <v>2522426</v>
      </c>
      <c r="H142" s="284">
        <v>569890</v>
      </c>
      <c r="I142" s="284">
        <v>469010</v>
      </c>
      <c r="J142" s="284">
        <v>100880</v>
      </c>
      <c r="K142" s="298">
        <v>1.2150913627</v>
      </c>
      <c r="L142" s="284">
        <v>12053</v>
      </c>
      <c r="M142" s="298">
        <v>1.1893925503</v>
      </c>
      <c r="N142" s="299">
        <v>16.048199188000002</v>
      </c>
      <c r="O142" s="299">
        <v>184.56294521000001</v>
      </c>
      <c r="P142" s="299">
        <v>66.835761789000003</v>
      </c>
      <c r="Q142" s="299">
        <v>82.883960977000001</v>
      </c>
      <c r="R142" s="300">
        <v>-101.67898423</v>
      </c>
      <c r="S142" s="115"/>
      <c r="T142" s="301">
        <v>1352408</v>
      </c>
      <c r="U142" s="302">
        <v>952299</v>
      </c>
      <c r="V142" s="303">
        <v>0.53615368696999999</v>
      </c>
      <c r="W142" s="303">
        <v>1.7730429322000001</v>
      </c>
      <c r="X142" s="303">
        <v>3.6744828484E-2</v>
      </c>
      <c r="Y142" s="304">
        <v>0.16832420394</v>
      </c>
      <c r="Z142" s="115"/>
      <c r="AA142" s="301">
        <v>762761</v>
      </c>
      <c r="AB142" s="302">
        <v>0</v>
      </c>
      <c r="AC142" s="302">
        <v>1057131</v>
      </c>
      <c r="AD142" s="302">
        <v>-327574</v>
      </c>
      <c r="AE142" s="302">
        <v>0</v>
      </c>
      <c r="AF142" s="302">
        <v>0</v>
      </c>
      <c r="AG142" s="302">
        <v>0</v>
      </c>
      <c r="AH142" s="302">
        <v>33204</v>
      </c>
      <c r="AI142" s="302">
        <v>0</v>
      </c>
      <c r="AJ142" s="305">
        <v>0</v>
      </c>
    </row>
    <row r="143" spans="2:36" ht="15.6" x14ac:dyDescent="0.3">
      <c r="B143" s="306" t="s">
        <v>401</v>
      </c>
      <c r="C143" s="148" t="s">
        <v>90</v>
      </c>
      <c r="D143" s="307" t="s">
        <v>226</v>
      </c>
      <c r="E143" s="308">
        <v>45473</v>
      </c>
      <c r="F143" s="308">
        <v>45473</v>
      </c>
      <c r="G143" s="309">
        <v>20188322</v>
      </c>
      <c r="H143" s="309">
        <v>3875752</v>
      </c>
      <c r="I143" s="309">
        <v>13593541</v>
      </c>
      <c r="J143" s="309">
        <v>-9717789</v>
      </c>
      <c r="K143" s="310">
        <v>0.28511717440000001</v>
      </c>
      <c r="L143" s="309">
        <v>58621</v>
      </c>
      <c r="M143" s="310">
        <v>0.28080475866999999</v>
      </c>
      <c r="N143" s="311">
        <v>1.8535359852</v>
      </c>
      <c r="O143" s="311">
        <v>47.701145871999998</v>
      </c>
      <c r="P143" s="311">
        <v>32.055498475</v>
      </c>
      <c r="Q143" s="311">
        <v>33.909034460999997</v>
      </c>
      <c r="R143" s="312">
        <v>-13.79211141</v>
      </c>
      <c r="S143" s="115"/>
      <c r="T143" s="313">
        <v>9827016</v>
      </c>
      <c r="U143" s="314">
        <v>8743026</v>
      </c>
      <c r="V143" s="315">
        <v>0.48676734995999998</v>
      </c>
      <c r="W143" s="315">
        <v>13.589725647</v>
      </c>
      <c r="X143" s="315">
        <v>4.5626159558E-2</v>
      </c>
      <c r="Y143" s="316">
        <v>1</v>
      </c>
      <c r="Z143" s="115"/>
      <c r="AA143" s="313">
        <v>723121</v>
      </c>
      <c r="AB143" s="314">
        <v>0</v>
      </c>
      <c r="AC143" s="314">
        <v>5544284</v>
      </c>
      <c r="AD143" s="314">
        <v>-4528319</v>
      </c>
      <c r="AE143" s="314">
        <v>0</v>
      </c>
      <c r="AF143" s="314">
        <v>7277</v>
      </c>
      <c r="AG143" s="314">
        <v>0</v>
      </c>
      <c r="AH143" s="314">
        <v>0</v>
      </c>
      <c r="AI143" s="314">
        <v>0</v>
      </c>
      <c r="AJ143" s="317">
        <v>-300121</v>
      </c>
    </row>
    <row r="144" spans="2:36" ht="15.6" x14ac:dyDescent="0.3">
      <c r="B144" s="283" t="s">
        <v>1473</v>
      </c>
      <c r="C144" s="176" t="s">
        <v>1920</v>
      </c>
      <c r="D144" s="296" t="s">
        <v>226</v>
      </c>
      <c r="E144" s="297"/>
      <c r="F144" s="297"/>
      <c r="G144" s="284"/>
      <c r="H144" s="284"/>
      <c r="I144" s="284"/>
      <c r="J144" s="284"/>
      <c r="K144" s="298"/>
      <c r="L144" s="284"/>
      <c r="M144" s="298"/>
      <c r="N144" s="299"/>
      <c r="O144" s="299"/>
      <c r="P144" s="299"/>
      <c r="Q144" s="299"/>
      <c r="R144" s="300"/>
      <c r="S144" s="115"/>
      <c r="T144" s="301"/>
      <c r="U144" s="302"/>
      <c r="V144" s="303"/>
      <c r="W144" s="303"/>
      <c r="X144" s="303"/>
      <c r="Y144" s="304"/>
      <c r="Z144" s="115"/>
      <c r="AA144" s="301"/>
      <c r="AB144" s="302"/>
      <c r="AC144" s="302"/>
      <c r="AD144" s="302"/>
      <c r="AE144" s="302"/>
      <c r="AF144" s="302"/>
      <c r="AG144" s="302"/>
      <c r="AH144" s="302"/>
      <c r="AI144" s="302"/>
      <c r="AJ144" s="305"/>
    </row>
    <row r="145" spans="2:36" ht="15.6" x14ac:dyDescent="0.3">
      <c r="B145" s="306" t="s">
        <v>571</v>
      </c>
      <c r="C145" s="148" t="s">
        <v>649</v>
      </c>
      <c r="D145" s="307" t="s">
        <v>231</v>
      </c>
      <c r="E145" s="308"/>
      <c r="F145" s="308"/>
      <c r="G145" s="309"/>
      <c r="H145" s="309"/>
      <c r="I145" s="309"/>
      <c r="J145" s="309"/>
      <c r="K145" s="310"/>
      <c r="L145" s="309"/>
      <c r="M145" s="310"/>
      <c r="N145" s="311"/>
      <c r="O145" s="311"/>
      <c r="P145" s="311"/>
      <c r="Q145" s="311"/>
      <c r="R145" s="312"/>
      <c r="S145" s="115"/>
      <c r="T145" s="313"/>
      <c r="U145" s="314"/>
      <c r="V145" s="315"/>
      <c r="W145" s="315"/>
      <c r="X145" s="315"/>
      <c r="Y145" s="316"/>
      <c r="Z145" s="115"/>
      <c r="AA145" s="313"/>
      <c r="AB145" s="314"/>
      <c r="AC145" s="314"/>
      <c r="AD145" s="314"/>
      <c r="AE145" s="314"/>
      <c r="AF145" s="314"/>
      <c r="AG145" s="314"/>
      <c r="AH145" s="314"/>
      <c r="AI145" s="314"/>
      <c r="AJ145" s="317"/>
    </row>
    <row r="146" spans="2:36" ht="15.6" x14ac:dyDescent="0.3">
      <c r="B146" s="283" t="s">
        <v>572</v>
      </c>
      <c r="C146" s="176" t="s">
        <v>650</v>
      </c>
      <c r="D146" s="296" t="s">
        <v>226</v>
      </c>
      <c r="E146" s="297"/>
      <c r="F146" s="297"/>
      <c r="G146" s="284"/>
      <c r="H146" s="284"/>
      <c r="I146" s="284"/>
      <c r="J146" s="284"/>
      <c r="K146" s="298"/>
      <c r="L146" s="284"/>
      <c r="M146" s="298"/>
      <c r="N146" s="299"/>
      <c r="O146" s="299"/>
      <c r="P146" s="299"/>
      <c r="Q146" s="299"/>
      <c r="R146" s="300"/>
      <c r="S146" s="115"/>
      <c r="T146" s="301"/>
      <c r="U146" s="302"/>
      <c r="V146" s="303"/>
      <c r="W146" s="303"/>
      <c r="X146" s="303"/>
      <c r="Y146" s="304"/>
      <c r="Z146" s="115"/>
      <c r="AA146" s="301"/>
      <c r="AB146" s="302"/>
      <c r="AC146" s="302"/>
      <c r="AD146" s="302"/>
      <c r="AE146" s="302"/>
      <c r="AF146" s="302"/>
      <c r="AG146" s="302"/>
      <c r="AH146" s="302"/>
      <c r="AI146" s="302"/>
      <c r="AJ146" s="305"/>
    </row>
    <row r="147" spans="2:36" s="35" customFormat="1" ht="15.6" x14ac:dyDescent="0.3">
      <c r="B147" s="306" t="s">
        <v>53</v>
      </c>
      <c r="C147" s="148" t="s">
        <v>91</v>
      </c>
      <c r="D147" s="307" t="s">
        <v>226</v>
      </c>
      <c r="E147" s="308"/>
      <c r="F147" s="308"/>
      <c r="G147" s="309"/>
      <c r="H147" s="309"/>
      <c r="I147" s="309"/>
      <c r="J147" s="309"/>
      <c r="K147" s="310"/>
      <c r="L147" s="309"/>
      <c r="M147" s="310"/>
      <c r="N147" s="311"/>
      <c r="O147" s="311"/>
      <c r="P147" s="311"/>
      <c r="Q147" s="311"/>
      <c r="R147" s="312"/>
      <c r="S147" s="115"/>
      <c r="T147" s="313"/>
      <c r="U147" s="314"/>
      <c r="V147" s="315"/>
      <c r="W147" s="315"/>
      <c r="X147" s="315"/>
      <c r="Y147" s="316"/>
      <c r="Z147" s="115"/>
      <c r="AA147" s="313"/>
      <c r="AB147" s="314"/>
      <c r="AC147" s="314"/>
      <c r="AD147" s="314"/>
      <c r="AE147" s="314"/>
      <c r="AF147" s="314"/>
      <c r="AG147" s="314"/>
      <c r="AH147" s="314"/>
      <c r="AI147" s="314"/>
      <c r="AJ147" s="317"/>
    </row>
    <row r="148" spans="2:36" s="36" customFormat="1" ht="15.6" x14ac:dyDescent="0.3">
      <c r="B148" s="283" t="s">
        <v>1479</v>
      </c>
      <c r="C148" s="176" t="s">
        <v>1921</v>
      </c>
      <c r="D148" s="296" t="s">
        <v>226</v>
      </c>
      <c r="E148" s="297"/>
      <c r="F148" s="297"/>
      <c r="G148" s="284"/>
      <c r="H148" s="284"/>
      <c r="I148" s="284"/>
      <c r="J148" s="284"/>
      <c r="K148" s="298"/>
      <c r="L148" s="284"/>
      <c r="M148" s="298"/>
      <c r="N148" s="299"/>
      <c r="O148" s="299"/>
      <c r="P148" s="299"/>
      <c r="Q148" s="299"/>
      <c r="R148" s="300"/>
      <c r="S148" s="115"/>
      <c r="T148" s="301"/>
      <c r="U148" s="302"/>
      <c r="V148" s="303"/>
      <c r="W148" s="303"/>
      <c r="X148" s="303"/>
      <c r="Y148" s="304"/>
      <c r="Z148" s="115"/>
      <c r="AA148" s="301"/>
      <c r="AB148" s="302"/>
      <c r="AC148" s="302"/>
      <c r="AD148" s="302"/>
      <c r="AE148" s="302"/>
      <c r="AF148" s="302"/>
      <c r="AG148" s="302"/>
      <c r="AH148" s="302"/>
      <c r="AI148" s="302"/>
      <c r="AJ148" s="305"/>
    </row>
    <row r="149" spans="2:36" s="36" customFormat="1" ht="15.6" x14ac:dyDescent="0.3">
      <c r="B149" s="306" t="s">
        <v>54</v>
      </c>
      <c r="C149" s="148" t="s">
        <v>92</v>
      </c>
      <c r="D149" s="307" t="s">
        <v>232</v>
      </c>
      <c r="E149" s="308">
        <v>45473</v>
      </c>
      <c r="F149" s="308">
        <v>45473</v>
      </c>
      <c r="G149" s="309">
        <v>17509909</v>
      </c>
      <c r="H149" s="309">
        <v>3709971</v>
      </c>
      <c r="I149" s="309">
        <v>2553500</v>
      </c>
      <c r="J149" s="309">
        <v>1156471</v>
      </c>
      <c r="K149" s="310">
        <v>1.4528964167</v>
      </c>
      <c r="L149" s="309">
        <v>322750</v>
      </c>
      <c r="M149" s="310">
        <v>1.3265012728000001</v>
      </c>
      <c r="N149" s="311">
        <v>32.114463366000003</v>
      </c>
      <c r="O149" s="311">
        <v>68.388433817999996</v>
      </c>
      <c r="P149" s="311">
        <v>12.324703773</v>
      </c>
      <c r="Q149" s="311">
        <v>44.439167138999998</v>
      </c>
      <c r="R149" s="312">
        <v>-23.949266679000001</v>
      </c>
      <c r="S149" s="115"/>
      <c r="T149" s="313">
        <v>5996828</v>
      </c>
      <c r="U149" s="314">
        <v>3371451</v>
      </c>
      <c r="V149" s="315">
        <v>0.34248196264000003</v>
      </c>
      <c r="W149" s="315">
        <v>0.84984373735999996</v>
      </c>
      <c r="X149" s="315">
        <v>0.22409680584</v>
      </c>
      <c r="Y149" s="316">
        <v>6.4033352298999993E-2</v>
      </c>
      <c r="Z149" s="115"/>
      <c r="AA149" s="313">
        <v>7056389</v>
      </c>
      <c r="AB149" s="314">
        <v>0</v>
      </c>
      <c r="AC149" s="314">
        <v>4036872</v>
      </c>
      <c r="AD149" s="314">
        <v>670566</v>
      </c>
      <c r="AE149" s="314">
        <v>2337895</v>
      </c>
      <c r="AF149" s="314">
        <v>0</v>
      </c>
      <c r="AG149" s="314">
        <v>0</v>
      </c>
      <c r="AH149" s="314">
        <v>0</v>
      </c>
      <c r="AI149" s="314">
        <v>0</v>
      </c>
      <c r="AJ149" s="317">
        <v>11056</v>
      </c>
    </row>
    <row r="150" spans="2:36" s="36" customFormat="1" ht="15.6" x14ac:dyDescent="0.3">
      <c r="B150" s="283" t="s">
        <v>1483</v>
      </c>
      <c r="C150" s="176" t="s">
        <v>1923</v>
      </c>
      <c r="D150" s="296" t="s">
        <v>1960</v>
      </c>
      <c r="E150" s="297"/>
      <c r="F150" s="297"/>
      <c r="G150" s="284"/>
      <c r="H150" s="284"/>
      <c r="I150" s="284"/>
      <c r="J150" s="284"/>
      <c r="K150" s="298"/>
      <c r="L150" s="284"/>
      <c r="M150" s="298"/>
      <c r="N150" s="299"/>
      <c r="O150" s="299"/>
      <c r="P150" s="299"/>
      <c r="Q150" s="299"/>
      <c r="R150" s="300"/>
      <c r="S150" s="115"/>
      <c r="T150" s="301"/>
      <c r="U150" s="302"/>
      <c r="V150" s="303"/>
      <c r="W150" s="303"/>
      <c r="X150" s="303"/>
      <c r="Y150" s="304"/>
      <c r="Z150" s="115"/>
      <c r="AA150" s="301"/>
      <c r="AB150" s="302"/>
      <c r="AC150" s="302"/>
      <c r="AD150" s="302"/>
      <c r="AE150" s="302"/>
      <c r="AF150" s="302"/>
      <c r="AG150" s="302"/>
      <c r="AH150" s="302"/>
      <c r="AI150" s="302"/>
      <c r="AJ150" s="305"/>
    </row>
    <row r="151" spans="2:36" s="36" customFormat="1" ht="15.6" x14ac:dyDescent="0.3">
      <c r="B151" s="306" t="s">
        <v>573</v>
      </c>
      <c r="C151" s="148" t="s">
        <v>651</v>
      </c>
      <c r="D151" s="307" t="s">
        <v>226</v>
      </c>
      <c r="E151" s="308">
        <v>45473</v>
      </c>
      <c r="F151" s="308">
        <v>45473</v>
      </c>
      <c r="G151" s="309">
        <v>105729000</v>
      </c>
      <c r="H151" s="309">
        <v>24975000</v>
      </c>
      <c r="I151" s="309">
        <v>20102000</v>
      </c>
      <c r="J151" s="309">
        <v>4873000</v>
      </c>
      <c r="K151" s="310">
        <v>1.2424136902</v>
      </c>
      <c r="L151" s="309">
        <v>0</v>
      </c>
      <c r="M151" s="310">
        <v>1.2424136902</v>
      </c>
      <c r="N151" s="311">
        <v>0</v>
      </c>
      <c r="O151" s="311">
        <v>41.821581518999999</v>
      </c>
      <c r="P151" s="311">
        <v>71.677486367</v>
      </c>
      <c r="Q151" s="311">
        <v>71.677486367</v>
      </c>
      <c r="R151" s="312">
        <v>29.855904848000002</v>
      </c>
      <c r="S151" s="115"/>
      <c r="T151" s="313">
        <v>51109000</v>
      </c>
      <c r="U151" s="314">
        <v>41670000</v>
      </c>
      <c r="V151" s="315">
        <v>0.48339622997999998</v>
      </c>
      <c r="W151" s="315">
        <v>1.6058882674999999</v>
      </c>
      <c r="X151" s="315">
        <v>9.9728032245000001E-2</v>
      </c>
      <c r="Y151" s="316">
        <v>0.17200493064</v>
      </c>
      <c r="Z151" s="115"/>
      <c r="AA151" s="313">
        <v>31610000</v>
      </c>
      <c r="AB151" s="314">
        <v>216000</v>
      </c>
      <c r="AC151" s="314">
        <v>16920000</v>
      </c>
      <c r="AD151" s="314">
        <v>1742000</v>
      </c>
      <c r="AE151" s="314">
        <v>15429000</v>
      </c>
      <c r="AF151" s="314">
        <v>114000</v>
      </c>
      <c r="AG151" s="314">
        <v>0</v>
      </c>
      <c r="AH151" s="314">
        <v>-1731000</v>
      </c>
      <c r="AI151" s="314">
        <v>0</v>
      </c>
      <c r="AJ151" s="317">
        <v>-864000</v>
      </c>
    </row>
    <row r="152" spans="2:36" s="36" customFormat="1" ht="15.6" x14ac:dyDescent="0.3">
      <c r="B152" s="283" t="s">
        <v>55</v>
      </c>
      <c r="C152" s="176" t="s">
        <v>93</v>
      </c>
      <c r="D152" s="296" t="s">
        <v>226</v>
      </c>
      <c r="E152" s="297">
        <v>45473</v>
      </c>
      <c r="F152" s="297">
        <v>45473</v>
      </c>
      <c r="G152" s="284">
        <v>4402966</v>
      </c>
      <c r="H152" s="284">
        <v>822011</v>
      </c>
      <c r="I152" s="284">
        <v>160945</v>
      </c>
      <c r="J152" s="284">
        <v>661066</v>
      </c>
      <c r="K152" s="298">
        <v>5.1074031500999997</v>
      </c>
      <c r="L152" s="284">
        <v>0</v>
      </c>
      <c r="M152" s="298">
        <v>5.1074031500999997</v>
      </c>
      <c r="N152" s="299">
        <v>0</v>
      </c>
      <c r="O152" s="299">
        <v>275.71566987</v>
      </c>
      <c r="P152" s="299">
        <v>60.558867051</v>
      </c>
      <c r="Q152" s="299">
        <v>60.558867051</v>
      </c>
      <c r="R152" s="300">
        <v>-215.15680282</v>
      </c>
      <c r="S152" s="115"/>
      <c r="T152" s="301">
        <v>1273100</v>
      </c>
      <c r="U152" s="302">
        <v>898406</v>
      </c>
      <c r="V152" s="303">
        <v>0.28914599839999999</v>
      </c>
      <c r="W152" s="303">
        <v>0.66513622466</v>
      </c>
      <c r="X152" s="303">
        <v>0.15033854370999999</v>
      </c>
      <c r="Y152" s="304">
        <v>9.2775901342999997E-2</v>
      </c>
      <c r="Z152" s="115"/>
      <c r="AA152" s="301">
        <v>1914044</v>
      </c>
      <c r="AB152" s="302">
        <v>0</v>
      </c>
      <c r="AC152" s="302">
        <v>1687300</v>
      </c>
      <c r="AD152" s="302">
        <v>107603</v>
      </c>
      <c r="AE152" s="302">
        <v>119141</v>
      </c>
      <c r="AF152" s="302">
        <v>0</v>
      </c>
      <c r="AG152" s="302">
        <v>0</v>
      </c>
      <c r="AH152" s="302">
        <v>0</v>
      </c>
      <c r="AI152" s="302">
        <v>0</v>
      </c>
      <c r="AJ152" s="305">
        <v>0</v>
      </c>
    </row>
    <row r="153" spans="2:36" s="36" customFormat="1" ht="15.6" x14ac:dyDescent="0.3">
      <c r="B153" s="306" t="s">
        <v>575</v>
      </c>
      <c r="C153" s="148" t="s">
        <v>652</v>
      </c>
      <c r="D153" s="307" t="s">
        <v>226</v>
      </c>
      <c r="E153" s="308">
        <v>45473</v>
      </c>
      <c r="F153" s="308">
        <v>45473</v>
      </c>
      <c r="G153" s="309">
        <v>41795659</v>
      </c>
      <c r="H153" s="309">
        <v>1693426</v>
      </c>
      <c r="I153" s="309">
        <v>2033824</v>
      </c>
      <c r="J153" s="309">
        <v>-340398</v>
      </c>
      <c r="K153" s="310">
        <v>0.83263153547000002</v>
      </c>
      <c r="L153" s="309">
        <v>2590</v>
      </c>
      <c r="M153" s="310">
        <v>0.83135807228000003</v>
      </c>
      <c r="N153" s="311">
        <v>0.22153625078</v>
      </c>
      <c r="O153" s="311">
        <v>23.920355294</v>
      </c>
      <c r="P153" s="311">
        <v>46.613506059000002</v>
      </c>
      <c r="Q153" s="311">
        <v>46.835042309000002</v>
      </c>
      <c r="R153" s="312">
        <v>22.914687014999998</v>
      </c>
      <c r="S153" s="115"/>
      <c r="T153" s="313">
        <v>28558205</v>
      </c>
      <c r="U153" s="314">
        <v>27761267</v>
      </c>
      <c r="V153" s="315">
        <v>0.68328160586999998</v>
      </c>
      <c r="W153" s="315">
        <v>2.6563684063999999</v>
      </c>
      <c r="X153" s="315">
        <v>1.9760800793000001E-2</v>
      </c>
      <c r="Y153" s="316">
        <v>3.5190236920999998E-2</v>
      </c>
      <c r="Z153" s="115"/>
      <c r="AA153" s="313">
        <v>10750845</v>
      </c>
      <c r="AB153" s="314">
        <v>0</v>
      </c>
      <c r="AC153" s="314">
        <v>13381028</v>
      </c>
      <c r="AD153" s="314">
        <v>-2630183</v>
      </c>
      <c r="AE153" s="314">
        <v>0</v>
      </c>
      <c r="AF153" s="314">
        <v>0</v>
      </c>
      <c r="AG153" s="314">
        <v>0</v>
      </c>
      <c r="AH153" s="314">
        <v>0</v>
      </c>
      <c r="AI153" s="314">
        <v>0</v>
      </c>
      <c r="AJ153" s="317">
        <v>0</v>
      </c>
    </row>
    <row r="154" spans="2:36" s="36" customFormat="1" ht="15.6" x14ac:dyDescent="0.3">
      <c r="B154" s="283" t="s">
        <v>57</v>
      </c>
      <c r="C154" s="176" t="s">
        <v>94</v>
      </c>
      <c r="D154" s="296" t="s">
        <v>104</v>
      </c>
      <c r="E154" s="297"/>
      <c r="F154" s="297"/>
      <c r="G154" s="284"/>
      <c r="H154" s="284"/>
      <c r="I154" s="284"/>
      <c r="J154" s="284"/>
      <c r="K154" s="298"/>
      <c r="L154" s="284"/>
      <c r="M154" s="298"/>
      <c r="N154" s="299"/>
      <c r="O154" s="299"/>
      <c r="P154" s="299"/>
      <c r="Q154" s="299"/>
      <c r="R154" s="300"/>
      <c r="S154" s="115"/>
      <c r="T154" s="301"/>
      <c r="U154" s="302"/>
      <c r="V154" s="303"/>
      <c r="W154" s="303"/>
      <c r="X154" s="303"/>
      <c r="Y154" s="304"/>
      <c r="Z154" s="115"/>
      <c r="AA154" s="301"/>
      <c r="AB154" s="302"/>
      <c r="AC154" s="302"/>
      <c r="AD154" s="302"/>
      <c r="AE154" s="302"/>
      <c r="AF154" s="302"/>
      <c r="AG154" s="302"/>
      <c r="AH154" s="302"/>
      <c r="AI154" s="302"/>
      <c r="AJ154" s="305"/>
    </row>
    <row r="155" spans="2:36" s="36" customFormat="1" ht="15.6" x14ac:dyDescent="0.3">
      <c r="B155" s="306" t="s">
        <v>402</v>
      </c>
      <c r="C155" s="148" t="s">
        <v>1924</v>
      </c>
      <c r="D155" s="307" t="s">
        <v>226</v>
      </c>
      <c r="E155" s="308">
        <v>45473</v>
      </c>
      <c r="F155" s="308">
        <v>45473</v>
      </c>
      <c r="G155" s="309">
        <v>1076756</v>
      </c>
      <c r="H155" s="309">
        <v>154294</v>
      </c>
      <c r="I155" s="309">
        <v>70944</v>
      </c>
      <c r="J155" s="309">
        <v>83350</v>
      </c>
      <c r="K155" s="310">
        <v>2.1748703203000002</v>
      </c>
      <c r="L155" s="309">
        <v>0</v>
      </c>
      <c r="M155" s="310">
        <v>2.1748703203000002</v>
      </c>
      <c r="N155" s="311">
        <v>0</v>
      </c>
      <c r="O155" s="311">
        <v>1.1674697970000001</v>
      </c>
      <c r="P155" s="311">
        <v>21.223945921999999</v>
      </c>
      <c r="Q155" s="311">
        <v>21.223945921999999</v>
      </c>
      <c r="R155" s="312">
        <v>20.056476125</v>
      </c>
      <c r="S155" s="115"/>
      <c r="T155" s="313">
        <v>418798</v>
      </c>
      <c r="U155" s="314">
        <v>383641</v>
      </c>
      <c r="V155" s="315">
        <v>0.38894419906</v>
      </c>
      <c r="W155" s="315">
        <v>0.95087572712000001</v>
      </c>
      <c r="X155" s="315">
        <v>0.13662672697</v>
      </c>
      <c r="Y155" s="316">
        <v>9.7359586243999999E-2</v>
      </c>
      <c r="Z155" s="115"/>
      <c r="AA155" s="313">
        <v>440434</v>
      </c>
      <c r="AB155" s="314">
        <v>0</v>
      </c>
      <c r="AC155" s="314">
        <v>251285</v>
      </c>
      <c r="AD155" s="314">
        <v>28408</v>
      </c>
      <c r="AE155" s="314">
        <v>160741</v>
      </c>
      <c r="AF155" s="314">
        <v>0</v>
      </c>
      <c r="AG155" s="314">
        <v>0</v>
      </c>
      <c r="AH155" s="314">
        <v>0</v>
      </c>
      <c r="AI155" s="314">
        <v>0</v>
      </c>
      <c r="AJ155" s="317">
        <v>0</v>
      </c>
    </row>
    <row r="156" spans="2:36" s="36" customFormat="1" ht="15.6" x14ac:dyDescent="0.3">
      <c r="B156" s="283" t="s">
        <v>58</v>
      </c>
      <c r="C156" s="176" t="s">
        <v>95</v>
      </c>
      <c r="D156" s="296" t="s">
        <v>226</v>
      </c>
      <c r="E156" s="297"/>
      <c r="F156" s="297"/>
      <c r="G156" s="284"/>
      <c r="H156" s="284"/>
      <c r="I156" s="284"/>
      <c r="J156" s="284"/>
      <c r="K156" s="298"/>
      <c r="L156" s="284"/>
      <c r="M156" s="298"/>
      <c r="N156" s="299"/>
      <c r="O156" s="299"/>
      <c r="P156" s="299"/>
      <c r="Q156" s="299"/>
      <c r="R156" s="300"/>
      <c r="S156" s="115"/>
      <c r="T156" s="301"/>
      <c r="U156" s="302"/>
      <c r="V156" s="303"/>
      <c r="W156" s="303"/>
      <c r="X156" s="303"/>
      <c r="Y156" s="304"/>
      <c r="Z156" s="115"/>
      <c r="AA156" s="301"/>
      <c r="AB156" s="302"/>
      <c r="AC156" s="302"/>
      <c r="AD156" s="302"/>
      <c r="AE156" s="302"/>
      <c r="AF156" s="302"/>
      <c r="AG156" s="302"/>
      <c r="AH156" s="302"/>
      <c r="AI156" s="302"/>
      <c r="AJ156" s="305"/>
    </row>
    <row r="157" spans="2:36" s="36" customFormat="1" ht="15.6" x14ac:dyDescent="0.3">
      <c r="B157" s="306" t="s">
        <v>2300</v>
      </c>
      <c r="C157" s="148" t="s">
        <v>2809</v>
      </c>
      <c r="D157" s="307" t="s">
        <v>233</v>
      </c>
      <c r="E157" s="308">
        <v>45473</v>
      </c>
      <c r="F157" s="308">
        <v>45473</v>
      </c>
      <c r="G157" s="309">
        <v>4715663</v>
      </c>
      <c r="H157" s="309">
        <v>1591555</v>
      </c>
      <c r="I157" s="309">
        <v>680933</v>
      </c>
      <c r="J157" s="309">
        <v>910622</v>
      </c>
      <c r="K157" s="310">
        <v>2.3373151249999999</v>
      </c>
      <c r="L157" s="309">
        <v>153038</v>
      </c>
      <c r="M157" s="310">
        <v>2.1125676094000001</v>
      </c>
      <c r="N157" s="311">
        <v>62.152178622000001</v>
      </c>
      <c r="O157" s="311">
        <v>62.224062308000001</v>
      </c>
      <c r="P157" s="311">
        <v>33.914405928999997</v>
      </c>
      <c r="Q157" s="311">
        <v>96.066584550000002</v>
      </c>
      <c r="R157" s="312">
        <v>33.842522242000001</v>
      </c>
      <c r="S157" s="115"/>
      <c r="T157" s="313">
        <v>2888851</v>
      </c>
      <c r="U157" s="314">
        <v>1740516</v>
      </c>
      <c r="V157" s="315">
        <v>0.61260760152000004</v>
      </c>
      <c r="W157" s="315">
        <v>2.3015102000000001</v>
      </c>
      <c r="X157" s="315">
        <v>5.6761321369999999E-2</v>
      </c>
      <c r="Y157" s="316">
        <v>0.10181314301</v>
      </c>
      <c r="Z157" s="115"/>
      <c r="AA157" s="313">
        <v>1255198</v>
      </c>
      <c r="AB157" s="314">
        <v>0</v>
      </c>
      <c r="AC157" s="314">
        <v>1054281</v>
      </c>
      <c r="AD157" s="314">
        <v>-200493</v>
      </c>
      <c r="AE157" s="314">
        <v>402287</v>
      </c>
      <c r="AF157" s="314">
        <v>0</v>
      </c>
      <c r="AG157" s="314">
        <v>0</v>
      </c>
      <c r="AH157" s="314">
        <v>0</v>
      </c>
      <c r="AI157" s="314">
        <v>0</v>
      </c>
      <c r="AJ157" s="317">
        <v>-877</v>
      </c>
    </row>
    <row r="158" spans="2:36" s="36" customFormat="1" ht="15.6" x14ac:dyDescent="0.3">
      <c r="B158" s="283" t="s">
        <v>1484</v>
      </c>
      <c r="C158" s="176" t="s">
        <v>1925</v>
      </c>
      <c r="D158" s="296" t="s">
        <v>1961</v>
      </c>
      <c r="E158" s="297">
        <v>45473</v>
      </c>
      <c r="F158" s="297">
        <v>45473</v>
      </c>
      <c r="G158" s="284">
        <v>2758760</v>
      </c>
      <c r="H158" s="284">
        <v>632354</v>
      </c>
      <c r="I158" s="284">
        <v>342448</v>
      </c>
      <c r="J158" s="284">
        <v>289906</v>
      </c>
      <c r="K158" s="298">
        <v>1.8465694062</v>
      </c>
      <c r="L158" s="284">
        <v>0</v>
      </c>
      <c r="M158" s="298">
        <v>1.8465694062</v>
      </c>
      <c r="N158" s="299">
        <v>0</v>
      </c>
      <c r="O158" s="299">
        <v>43.01522731</v>
      </c>
      <c r="P158" s="299">
        <v>95.469852899000003</v>
      </c>
      <c r="Q158" s="299">
        <v>95.469852899000003</v>
      </c>
      <c r="R158" s="300">
        <v>52.454625589000003</v>
      </c>
      <c r="S158" s="115"/>
      <c r="T158" s="301">
        <v>1275870</v>
      </c>
      <c r="U158" s="302">
        <v>1005730</v>
      </c>
      <c r="V158" s="303">
        <v>0.46247951978000001</v>
      </c>
      <c r="W158" s="303">
        <v>1.6736386855000001</v>
      </c>
      <c r="X158" s="303">
        <v>8.2390839192000007E-2</v>
      </c>
      <c r="Y158" s="304">
        <v>0.11087728373</v>
      </c>
      <c r="Z158" s="115"/>
      <c r="AA158" s="301">
        <v>746866</v>
      </c>
      <c r="AB158" s="302">
        <v>15467</v>
      </c>
      <c r="AC158" s="302">
        <v>806843</v>
      </c>
      <c r="AD158" s="302">
        <v>-241391</v>
      </c>
      <c r="AE158" s="302">
        <v>0</v>
      </c>
      <c r="AF158" s="302">
        <v>171055</v>
      </c>
      <c r="AG158" s="302">
        <v>0</v>
      </c>
      <c r="AH158" s="302">
        <v>10359</v>
      </c>
      <c r="AI158" s="302">
        <v>0</v>
      </c>
      <c r="AJ158" s="305">
        <v>0</v>
      </c>
    </row>
    <row r="159" spans="2:36" s="36" customFormat="1" ht="15.6" x14ac:dyDescent="0.3">
      <c r="B159" s="306" t="s">
        <v>1118</v>
      </c>
      <c r="C159" s="148" t="s">
        <v>1144</v>
      </c>
      <c r="D159" s="307" t="s">
        <v>231</v>
      </c>
      <c r="E159" s="308"/>
      <c r="F159" s="308"/>
      <c r="G159" s="309"/>
      <c r="H159" s="309"/>
      <c r="I159" s="309"/>
      <c r="J159" s="309"/>
      <c r="K159" s="310"/>
      <c r="L159" s="309"/>
      <c r="M159" s="310"/>
      <c r="N159" s="311"/>
      <c r="O159" s="311"/>
      <c r="P159" s="311"/>
      <c r="Q159" s="311"/>
      <c r="R159" s="312"/>
      <c r="S159" s="115"/>
      <c r="T159" s="313"/>
      <c r="U159" s="314"/>
      <c r="V159" s="315"/>
      <c r="W159" s="315"/>
      <c r="X159" s="315"/>
      <c r="Y159" s="316"/>
      <c r="Z159" s="115"/>
      <c r="AA159" s="313"/>
      <c r="AB159" s="314"/>
      <c r="AC159" s="314"/>
      <c r="AD159" s="314"/>
      <c r="AE159" s="314"/>
      <c r="AF159" s="314"/>
      <c r="AG159" s="314"/>
      <c r="AH159" s="314"/>
      <c r="AI159" s="314"/>
      <c r="AJ159" s="317"/>
    </row>
    <row r="160" spans="2:36" s="36" customFormat="1" ht="15.6" x14ac:dyDescent="0.3">
      <c r="B160" s="283" t="s">
        <v>59</v>
      </c>
      <c r="C160" s="176" t="s">
        <v>96</v>
      </c>
      <c r="D160" s="296" t="s">
        <v>226</v>
      </c>
      <c r="E160" s="297"/>
      <c r="F160" s="297"/>
      <c r="G160" s="284"/>
      <c r="H160" s="284"/>
      <c r="I160" s="284"/>
      <c r="J160" s="284"/>
      <c r="K160" s="298"/>
      <c r="L160" s="284"/>
      <c r="M160" s="298"/>
      <c r="N160" s="299"/>
      <c r="O160" s="299"/>
      <c r="P160" s="299"/>
      <c r="Q160" s="299"/>
      <c r="R160" s="300"/>
      <c r="S160" s="115"/>
      <c r="T160" s="301"/>
      <c r="U160" s="302"/>
      <c r="V160" s="303"/>
      <c r="W160" s="303"/>
      <c r="X160" s="303"/>
      <c r="Y160" s="304"/>
      <c r="Z160" s="115"/>
      <c r="AA160" s="301"/>
      <c r="AB160" s="302"/>
      <c r="AC160" s="302"/>
      <c r="AD160" s="302"/>
      <c r="AE160" s="302"/>
      <c r="AF160" s="302"/>
      <c r="AG160" s="302"/>
      <c r="AH160" s="302"/>
      <c r="AI160" s="302"/>
      <c r="AJ160" s="305"/>
    </row>
    <row r="161" spans="2:36" s="36" customFormat="1" ht="15.6" x14ac:dyDescent="0.3">
      <c r="B161" s="306" t="s">
        <v>1485</v>
      </c>
      <c r="C161" s="148" t="s">
        <v>1926</v>
      </c>
      <c r="D161" s="307" t="s">
        <v>226</v>
      </c>
      <c r="E161" s="308"/>
      <c r="F161" s="308"/>
      <c r="G161" s="309"/>
      <c r="H161" s="309"/>
      <c r="I161" s="309"/>
      <c r="J161" s="309"/>
      <c r="K161" s="310"/>
      <c r="L161" s="309"/>
      <c r="M161" s="310"/>
      <c r="N161" s="311"/>
      <c r="O161" s="311"/>
      <c r="P161" s="311"/>
      <c r="Q161" s="311"/>
      <c r="R161" s="312"/>
      <c r="S161" s="115"/>
      <c r="T161" s="313"/>
      <c r="U161" s="314"/>
      <c r="V161" s="315"/>
      <c r="W161" s="315"/>
      <c r="X161" s="315"/>
      <c r="Y161" s="316"/>
      <c r="Z161" s="115"/>
      <c r="AA161" s="313"/>
      <c r="AB161" s="314"/>
      <c r="AC161" s="314"/>
      <c r="AD161" s="314"/>
      <c r="AE161" s="314"/>
      <c r="AF161" s="314"/>
      <c r="AG161" s="314"/>
      <c r="AH161" s="314"/>
      <c r="AI161" s="314"/>
      <c r="AJ161" s="317"/>
    </row>
    <row r="162" spans="2:36" s="36" customFormat="1" ht="15.6" x14ac:dyDescent="0.3">
      <c r="B162" s="283" t="s">
        <v>60</v>
      </c>
      <c r="C162" s="176" t="s">
        <v>97</v>
      </c>
      <c r="D162" s="296" t="s">
        <v>226</v>
      </c>
      <c r="E162" s="297">
        <v>45473</v>
      </c>
      <c r="F162" s="297">
        <v>45473</v>
      </c>
      <c r="G162" s="284">
        <v>20415097</v>
      </c>
      <c r="H162" s="284">
        <v>5283640</v>
      </c>
      <c r="I162" s="284">
        <v>4988161</v>
      </c>
      <c r="J162" s="284">
        <v>295478.99998999998</v>
      </c>
      <c r="K162" s="298">
        <v>1.0592360591000001</v>
      </c>
      <c r="L162" s="284">
        <v>15150</v>
      </c>
      <c r="M162" s="298">
        <v>1.0561988677</v>
      </c>
      <c r="N162" s="299">
        <v>0.50357144241999996</v>
      </c>
      <c r="O162" s="299">
        <v>50.656295593999999</v>
      </c>
      <c r="P162" s="299">
        <v>55.193221377999997</v>
      </c>
      <c r="Q162" s="299">
        <v>55.696792819999999</v>
      </c>
      <c r="R162" s="300">
        <v>5.0404972264000003</v>
      </c>
      <c r="S162" s="115"/>
      <c r="T162" s="301">
        <v>9445209</v>
      </c>
      <c r="U162" s="302">
        <v>8653822</v>
      </c>
      <c r="V162" s="303">
        <v>0.46265805154</v>
      </c>
      <c r="W162" s="303">
        <v>3.4563537500999999</v>
      </c>
      <c r="X162" s="303">
        <v>0.17314799492999999</v>
      </c>
      <c r="Y162" s="304">
        <v>0.12804163465000001</v>
      </c>
      <c r="Z162" s="115"/>
      <c r="AA162" s="301">
        <v>2732709</v>
      </c>
      <c r="AB162" s="302">
        <v>0</v>
      </c>
      <c r="AC162" s="302">
        <v>1395747</v>
      </c>
      <c r="AD162" s="302">
        <v>762020</v>
      </c>
      <c r="AE162" s="302">
        <v>1686610</v>
      </c>
      <c r="AF162" s="302">
        <v>56868</v>
      </c>
      <c r="AG162" s="302">
        <v>0</v>
      </c>
      <c r="AH162" s="302">
        <v>0</v>
      </c>
      <c r="AI162" s="302">
        <v>0</v>
      </c>
      <c r="AJ162" s="305">
        <v>-1168536</v>
      </c>
    </row>
    <row r="163" spans="2:36" s="36" customFormat="1" ht="15.6" x14ac:dyDescent="0.3">
      <c r="B163" s="306" t="s">
        <v>1486</v>
      </c>
      <c r="C163" s="148" t="s">
        <v>1927</v>
      </c>
      <c r="D163" s="307" t="s">
        <v>233</v>
      </c>
      <c r="E163" s="308">
        <v>45473</v>
      </c>
      <c r="F163" s="308">
        <v>45473</v>
      </c>
      <c r="G163" s="309">
        <v>27603329</v>
      </c>
      <c r="H163" s="309">
        <v>2880310</v>
      </c>
      <c r="I163" s="309">
        <v>3891116</v>
      </c>
      <c r="J163" s="309">
        <v>-1010806</v>
      </c>
      <c r="K163" s="310">
        <v>0.74022722529999996</v>
      </c>
      <c r="L163" s="309">
        <v>614103</v>
      </c>
      <c r="M163" s="310">
        <v>0.58240540760000004</v>
      </c>
      <c r="N163" s="311">
        <v>57.473224475999999</v>
      </c>
      <c r="O163" s="311">
        <v>54.948383122000003</v>
      </c>
      <c r="P163" s="311">
        <v>0.19829439673999999</v>
      </c>
      <c r="Q163" s="311">
        <v>57.671518872</v>
      </c>
      <c r="R163" s="312">
        <v>2.7231357506</v>
      </c>
      <c r="S163" s="115"/>
      <c r="T163" s="313">
        <v>7240146</v>
      </c>
      <c r="U163" s="314">
        <v>5478265</v>
      </c>
      <c r="V163" s="315">
        <v>0.26229249378000002</v>
      </c>
      <c r="W163" s="315">
        <v>0.93722844871</v>
      </c>
      <c r="X163" s="315">
        <v>0.28349469748</v>
      </c>
      <c r="Y163" s="316">
        <v>0.18116195447</v>
      </c>
      <c r="Z163" s="115"/>
      <c r="AA163" s="313">
        <v>7725060</v>
      </c>
      <c r="AB163" s="314">
        <v>0</v>
      </c>
      <c r="AC163" s="314">
        <v>5461656</v>
      </c>
      <c r="AD163" s="314">
        <v>548650</v>
      </c>
      <c r="AE163" s="314">
        <v>1678956</v>
      </c>
      <c r="AF163" s="314">
        <v>0</v>
      </c>
      <c r="AG163" s="314">
        <v>0</v>
      </c>
      <c r="AH163" s="314">
        <v>-632433</v>
      </c>
      <c r="AI163" s="314">
        <v>668231</v>
      </c>
      <c r="AJ163" s="317">
        <v>0</v>
      </c>
    </row>
    <row r="164" spans="2:36" s="36" customFormat="1" ht="15.6" x14ac:dyDescent="0.3">
      <c r="B164" s="283" t="s">
        <v>2305</v>
      </c>
      <c r="C164" s="176" t="s">
        <v>2810</v>
      </c>
      <c r="D164" s="296" t="s">
        <v>233</v>
      </c>
      <c r="E164" s="297">
        <v>45473</v>
      </c>
      <c r="F164" s="297">
        <v>45473</v>
      </c>
      <c r="G164" s="284">
        <v>7872736</v>
      </c>
      <c r="H164" s="284">
        <v>2119942</v>
      </c>
      <c r="I164" s="284">
        <v>1072597</v>
      </c>
      <c r="J164" s="284">
        <v>1047345</v>
      </c>
      <c r="K164" s="298">
        <v>1.9764571409</v>
      </c>
      <c r="L164" s="284">
        <v>7793</v>
      </c>
      <c r="M164" s="298">
        <v>1.9691915976000001</v>
      </c>
      <c r="N164" s="299">
        <v>1.4345834488</v>
      </c>
      <c r="O164" s="299">
        <v>42.960739535999998</v>
      </c>
      <c r="P164" s="299">
        <v>43.220697281</v>
      </c>
      <c r="Q164" s="299">
        <v>44.655280728999998</v>
      </c>
      <c r="R164" s="300">
        <v>1.6945411937999999</v>
      </c>
      <c r="S164" s="115"/>
      <c r="T164" s="301">
        <v>2096390</v>
      </c>
      <c r="U164" s="302">
        <v>469728</v>
      </c>
      <c r="V164" s="303">
        <v>0.26628480873999999</v>
      </c>
      <c r="W164" s="303">
        <v>0.47781491398999998</v>
      </c>
      <c r="X164" s="303">
        <v>0.2235228178</v>
      </c>
      <c r="Y164" s="304">
        <v>9.7392183706000002E-2</v>
      </c>
      <c r="Z164" s="115"/>
      <c r="AA164" s="301">
        <v>4387452</v>
      </c>
      <c r="AB164" s="302">
        <v>0</v>
      </c>
      <c r="AC164" s="302">
        <v>2832275</v>
      </c>
      <c r="AD164" s="302">
        <v>-164668</v>
      </c>
      <c r="AE164" s="302">
        <v>1671360</v>
      </c>
      <c r="AF164" s="302">
        <v>43999</v>
      </c>
      <c r="AG164" s="302">
        <v>0</v>
      </c>
      <c r="AH164" s="302">
        <v>-29995</v>
      </c>
      <c r="AI164" s="302">
        <v>0</v>
      </c>
      <c r="AJ164" s="305">
        <v>34481</v>
      </c>
    </row>
    <row r="165" spans="2:36" s="36" customFormat="1" ht="15.6" x14ac:dyDescent="0.3">
      <c r="B165" s="306" t="s">
        <v>1487</v>
      </c>
      <c r="C165" s="148" t="s">
        <v>1928</v>
      </c>
      <c r="D165" s="307" t="s">
        <v>226</v>
      </c>
      <c r="E165" s="308"/>
      <c r="F165" s="308"/>
      <c r="G165" s="309"/>
      <c r="H165" s="309"/>
      <c r="I165" s="309"/>
      <c r="J165" s="309"/>
      <c r="K165" s="310"/>
      <c r="L165" s="309"/>
      <c r="M165" s="310"/>
      <c r="N165" s="311"/>
      <c r="O165" s="311"/>
      <c r="P165" s="311"/>
      <c r="Q165" s="311"/>
      <c r="R165" s="312"/>
      <c r="S165" s="115"/>
      <c r="T165" s="313"/>
      <c r="U165" s="314"/>
      <c r="V165" s="315"/>
      <c r="W165" s="315"/>
      <c r="X165" s="315"/>
      <c r="Y165" s="316"/>
      <c r="Z165" s="115"/>
      <c r="AA165" s="313"/>
      <c r="AB165" s="314"/>
      <c r="AC165" s="314"/>
      <c r="AD165" s="314"/>
      <c r="AE165" s="314"/>
      <c r="AF165" s="314"/>
      <c r="AG165" s="314"/>
      <c r="AH165" s="314"/>
      <c r="AI165" s="314"/>
      <c r="AJ165" s="317"/>
    </row>
    <row r="166" spans="2:36" s="36" customFormat="1" ht="15.6" x14ac:dyDescent="0.3">
      <c r="B166" s="283" t="s">
        <v>454</v>
      </c>
      <c r="C166" s="176" t="s">
        <v>459</v>
      </c>
      <c r="D166" s="296" t="s">
        <v>226</v>
      </c>
      <c r="E166" s="297"/>
      <c r="F166" s="297"/>
      <c r="G166" s="284"/>
      <c r="H166" s="284"/>
      <c r="I166" s="284"/>
      <c r="J166" s="284"/>
      <c r="K166" s="298"/>
      <c r="L166" s="284"/>
      <c r="M166" s="298"/>
      <c r="N166" s="299"/>
      <c r="O166" s="299"/>
      <c r="P166" s="299"/>
      <c r="Q166" s="299"/>
      <c r="R166" s="300"/>
      <c r="S166" s="115"/>
      <c r="T166" s="301"/>
      <c r="U166" s="302"/>
      <c r="V166" s="303"/>
      <c r="W166" s="303"/>
      <c r="X166" s="303"/>
      <c r="Y166" s="304"/>
      <c r="Z166" s="115"/>
      <c r="AA166" s="301"/>
      <c r="AB166" s="302"/>
      <c r="AC166" s="302"/>
      <c r="AD166" s="302"/>
      <c r="AE166" s="302"/>
      <c r="AF166" s="302"/>
      <c r="AG166" s="302"/>
      <c r="AH166" s="302"/>
      <c r="AI166" s="302"/>
      <c r="AJ166" s="305"/>
    </row>
    <row r="167" spans="2:36" s="36" customFormat="1" ht="15.6" x14ac:dyDescent="0.3">
      <c r="B167" s="306" t="s">
        <v>581</v>
      </c>
      <c r="C167" s="148" t="s">
        <v>987</v>
      </c>
      <c r="D167" s="307" t="s">
        <v>226</v>
      </c>
      <c r="E167" s="308"/>
      <c r="F167" s="308"/>
      <c r="G167" s="309"/>
      <c r="H167" s="309"/>
      <c r="I167" s="309"/>
      <c r="J167" s="309"/>
      <c r="K167" s="310"/>
      <c r="L167" s="309"/>
      <c r="M167" s="310"/>
      <c r="N167" s="311"/>
      <c r="O167" s="311"/>
      <c r="P167" s="311"/>
      <c r="Q167" s="311"/>
      <c r="R167" s="312"/>
      <c r="S167" s="115"/>
      <c r="T167" s="313"/>
      <c r="U167" s="314"/>
      <c r="V167" s="315"/>
      <c r="W167" s="315"/>
      <c r="X167" s="315"/>
      <c r="Y167" s="316"/>
      <c r="Z167" s="115"/>
      <c r="AA167" s="313"/>
      <c r="AB167" s="314"/>
      <c r="AC167" s="314"/>
      <c r="AD167" s="314"/>
      <c r="AE167" s="314"/>
      <c r="AF167" s="314"/>
      <c r="AG167" s="314"/>
      <c r="AH167" s="314"/>
      <c r="AI167" s="314"/>
      <c r="AJ167" s="317"/>
    </row>
    <row r="168" spans="2:36" s="36" customFormat="1" ht="15.6" x14ac:dyDescent="0.3">
      <c r="B168" s="283" t="s">
        <v>582</v>
      </c>
      <c r="C168" s="176" t="s">
        <v>98</v>
      </c>
      <c r="D168" s="296" t="s">
        <v>226</v>
      </c>
      <c r="E168" s="297">
        <v>45473</v>
      </c>
      <c r="F168" s="297">
        <v>45473</v>
      </c>
      <c r="G168" s="284">
        <v>105938459</v>
      </c>
      <c r="H168" s="284">
        <v>50705653</v>
      </c>
      <c r="I168" s="284">
        <v>39792074</v>
      </c>
      <c r="J168" s="284">
        <v>10913578.999</v>
      </c>
      <c r="K168" s="298">
        <v>1.2742651464000001</v>
      </c>
      <c r="L168" s="284">
        <v>9629580</v>
      </c>
      <c r="M168" s="298">
        <v>1.0322677074</v>
      </c>
      <c r="N168" s="299">
        <v>51.974409027999997</v>
      </c>
      <c r="O168" s="299">
        <v>64.744910984000001</v>
      </c>
      <c r="P168" s="299">
        <v>34.167102481000001</v>
      </c>
      <c r="Q168" s="299">
        <v>86.141511508999997</v>
      </c>
      <c r="R168" s="300">
        <v>21.396600525</v>
      </c>
      <c r="S168" s="115"/>
      <c r="T168" s="301">
        <v>36682989</v>
      </c>
      <c r="U168" s="302">
        <v>29476761</v>
      </c>
      <c r="V168" s="303">
        <v>0.34626696807000001</v>
      </c>
      <c r="W168" s="303">
        <v>1.9634959219999999</v>
      </c>
      <c r="X168" s="303">
        <v>1.7029691883000001E-3</v>
      </c>
      <c r="Y168" s="304">
        <v>0.25288116515999998</v>
      </c>
      <c r="Z168" s="115"/>
      <c r="AA168" s="301">
        <v>18686162</v>
      </c>
      <c r="AB168" s="302">
        <v>-3674</v>
      </c>
      <c r="AC168" s="302">
        <v>19531609</v>
      </c>
      <c r="AD168" s="302">
        <v>-962587</v>
      </c>
      <c r="AE168" s="302">
        <v>396488</v>
      </c>
      <c r="AF168" s="302">
        <v>243111</v>
      </c>
      <c r="AG168" s="302">
        <v>0</v>
      </c>
      <c r="AH168" s="302">
        <v>-522459</v>
      </c>
      <c r="AI168" s="302">
        <v>0</v>
      </c>
      <c r="AJ168" s="305">
        <v>0</v>
      </c>
    </row>
    <row r="169" spans="2:36" s="36" customFormat="1" ht="15.6" x14ac:dyDescent="0.3">
      <c r="B169" s="306" t="s">
        <v>1490</v>
      </c>
      <c r="C169" s="148" t="s">
        <v>1929</v>
      </c>
      <c r="D169" s="307" t="s">
        <v>104</v>
      </c>
      <c r="E169" s="308"/>
      <c r="F169" s="308"/>
      <c r="G169" s="309"/>
      <c r="H169" s="309"/>
      <c r="I169" s="309"/>
      <c r="J169" s="309"/>
      <c r="K169" s="310"/>
      <c r="L169" s="309"/>
      <c r="M169" s="310"/>
      <c r="N169" s="311"/>
      <c r="O169" s="311"/>
      <c r="P169" s="311"/>
      <c r="Q169" s="311"/>
      <c r="R169" s="312"/>
      <c r="S169" s="115"/>
      <c r="T169" s="313"/>
      <c r="U169" s="314"/>
      <c r="V169" s="315"/>
      <c r="W169" s="315"/>
      <c r="X169" s="315"/>
      <c r="Y169" s="316"/>
      <c r="Z169" s="115"/>
      <c r="AA169" s="313"/>
      <c r="AB169" s="314"/>
      <c r="AC169" s="314"/>
      <c r="AD169" s="314"/>
      <c r="AE169" s="314"/>
      <c r="AF169" s="314"/>
      <c r="AG169" s="314"/>
      <c r="AH169" s="314"/>
      <c r="AI169" s="314"/>
      <c r="AJ169" s="317"/>
    </row>
    <row r="170" spans="2:36" s="36" customFormat="1" ht="15.6" x14ac:dyDescent="0.3">
      <c r="B170" s="283" t="s">
        <v>61</v>
      </c>
      <c r="C170" s="176" t="s">
        <v>99</v>
      </c>
      <c r="D170" s="296" t="s">
        <v>226</v>
      </c>
      <c r="E170" s="297"/>
      <c r="F170" s="297"/>
      <c r="G170" s="284"/>
      <c r="H170" s="284"/>
      <c r="I170" s="284"/>
      <c r="J170" s="284"/>
      <c r="K170" s="298"/>
      <c r="L170" s="284"/>
      <c r="M170" s="298"/>
      <c r="N170" s="299"/>
      <c r="O170" s="299"/>
      <c r="P170" s="299"/>
      <c r="Q170" s="299"/>
      <c r="R170" s="300"/>
      <c r="S170" s="115"/>
      <c r="T170" s="301"/>
      <c r="U170" s="302"/>
      <c r="V170" s="303"/>
      <c r="W170" s="303"/>
      <c r="X170" s="303"/>
      <c r="Y170" s="304"/>
      <c r="Z170" s="115"/>
      <c r="AA170" s="301"/>
      <c r="AB170" s="302"/>
      <c r="AC170" s="302"/>
      <c r="AD170" s="302"/>
      <c r="AE170" s="302"/>
      <c r="AF170" s="302"/>
      <c r="AG170" s="302"/>
      <c r="AH170" s="302"/>
      <c r="AI170" s="302"/>
      <c r="AJ170" s="305"/>
    </row>
    <row r="171" spans="2:36" s="36" customFormat="1" ht="15.6" x14ac:dyDescent="0.3">
      <c r="B171" s="306" t="s">
        <v>2306</v>
      </c>
      <c r="C171" s="148" t="s">
        <v>2811</v>
      </c>
      <c r="D171" s="307" t="s">
        <v>231</v>
      </c>
      <c r="E171" s="308">
        <v>45473</v>
      </c>
      <c r="F171" s="308">
        <v>45473</v>
      </c>
      <c r="G171" s="309">
        <v>3564632</v>
      </c>
      <c r="H171" s="309">
        <v>632250</v>
      </c>
      <c r="I171" s="309">
        <v>137118</v>
      </c>
      <c r="J171" s="309">
        <v>495132</v>
      </c>
      <c r="K171" s="310">
        <v>4.6109919922999998</v>
      </c>
      <c r="L171" s="309">
        <v>3398</v>
      </c>
      <c r="M171" s="310">
        <v>4.5862104173000002</v>
      </c>
      <c r="N171" s="311">
        <v>1.572028159</v>
      </c>
      <c r="O171" s="311">
        <v>46.925827021000003</v>
      </c>
      <c r="P171" s="311">
        <v>114.36401906</v>
      </c>
      <c r="Q171" s="311">
        <v>115.93604722000001</v>
      </c>
      <c r="R171" s="312">
        <v>69.010220206</v>
      </c>
      <c r="S171" s="115"/>
      <c r="T171" s="313">
        <v>2494741</v>
      </c>
      <c r="U171" s="314">
        <v>2241830</v>
      </c>
      <c r="V171" s="315">
        <v>0.69985934031999997</v>
      </c>
      <c r="W171" s="315">
        <v>5.7886516726000004</v>
      </c>
      <c r="X171" s="315">
        <v>-8.6766522056000005E-3</v>
      </c>
      <c r="Y171" s="316">
        <v>0</v>
      </c>
      <c r="Z171" s="115"/>
      <c r="AA171" s="313">
        <v>430971</v>
      </c>
      <c r="AB171" s="314">
        <v>0</v>
      </c>
      <c r="AC171" s="314">
        <v>675003</v>
      </c>
      <c r="AD171" s="314">
        <v>-244032</v>
      </c>
      <c r="AE171" s="314">
        <v>0</v>
      </c>
      <c r="AF171" s="314">
        <v>0</v>
      </c>
      <c r="AG171" s="314">
        <v>0</v>
      </c>
      <c r="AH171" s="314">
        <v>0</v>
      </c>
      <c r="AI171" s="314">
        <v>0</v>
      </c>
      <c r="AJ171" s="317">
        <v>0</v>
      </c>
    </row>
    <row r="172" spans="2:36" s="36" customFormat="1" ht="15.6" x14ac:dyDescent="0.3">
      <c r="B172" s="283" t="s">
        <v>2307</v>
      </c>
      <c r="C172" s="176" t="s">
        <v>2812</v>
      </c>
      <c r="D172" s="296" t="s">
        <v>104</v>
      </c>
      <c r="E172" s="297">
        <v>45382</v>
      </c>
      <c r="F172" s="297"/>
      <c r="G172" s="284"/>
      <c r="H172" s="284"/>
      <c r="I172" s="284"/>
      <c r="J172" s="284"/>
      <c r="K172" s="298"/>
      <c r="L172" s="284"/>
      <c r="M172" s="298"/>
      <c r="N172" s="299"/>
      <c r="O172" s="299"/>
      <c r="P172" s="299"/>
      <c r="Q172" s="299"/>
      <c r="R172" s="300"/>
      <c r="S172" s="115"/>
      <c r="T172" s="301"/>
      <c r="U172" s="302"/>
      <c r="V172" s="303"/>
      <c r="W172" s="303"/>
      <c r="X172" s="303"/>
      <c r="Y172" s="304"/>
      <c r="Z172" s="115"/>
      <c r="AA172" s="301"/>
      <c r="AB172" s="302"/>
      <c r="AC172" s="302"/>
      <c r="AD172" s="302"/>
      <c r="AE172" s="302"/>
      <c r="AF172" s="302"/>
      <c r="AG172" s="302"/>
      <c r="AH172" s="302"/>
      <c r="AI172" s="302"/>
      <c r="AJ172" s="305"/>
    </row>
    <row r="173" spans="2:36" s="36" customFormat="1" ht="15.6" x14ac:dyDescent="0.3">
      <c r="B173" s="306" t="s">
        <v>1119</v>
      </c>
      <c r="C173" s="148" t="s">
        <v>1145</v>
      </c>
      <c r="D173" s="307" t="s">
        <v>226</v>
      </c>
      <c r="E173" s="308">
        <v>45473</v>
      </c>
      <c r="F173" s="308">
        <v>45473</v>
      </c>
      <c r="G173" s="309">
        <v>20095991</v>
      </c>
      <c r="H173" s="309">
        <v>2240562</v>
      </c>
      <c r="I173" s="309">
        <v>1543321</v>
      </c>
      <c r="J173" s="309">
        <v>697241</v>
      </c>
      <c r="K173" s="310">
        <v>1.4517796363</v>
      </c>
      <c r="L173" s="309">
        <v>0</v>
      </c>
      <c r="M173" s="310">
        <v>1.4517796363</v>
      </c>
      <c r="N173" s="311">
        <v>0</v>
      </c>
      <c r="O173" s="311">
        <v>46.716667272000002</v>
      </c>
      <c r="P173" s="311">
        <v>34.703810408000002</v>
      </c>
      <c r="Q173" s="311">
        <v>34.703810408000002</v>
      </c>
      <c r="R173" s="312">
        <v>-12.012856863</v>
      </c>
      <c r="S173" s="115"/>
      <c r="T173" s="313">
        <v>1735695</v>
      </c>
      <c r="U173" s="314">
        <v>1209968</v>
      </c>
      <c r="V173" s="315">
        <v>8.6370211850000003E-2</v>
      </c>
      <c r="W173" s="315">
        <v>0.1328700793</v>
      </c>
      <c r="X173" s="315">
        <v>0.90179726277000005</v>
      </c>
      <c r="Y173" s="316">
        <v>9.4848461278999999E-2</v>
      </c>
      <c r="Z173" s="115"/>
      <c r="AA173" s="313">
        <v>13063099</v>
      </c>
      <c r="AB173" s="314">
        <v>0</v>
      </c>
      <c r="AC173" s="314">
        <v>6649017</v>
      </c>
      <c r="AD173" s="314">
        <v>820240</v>
      </c>
      <c r="AE173" s="314">
        <v>5593842</v>
      </c>
      <c r="AF173" s="314">
        <v>0</v>
      </c>
      <c r="AG173" s="314">
        <v>0</v>
      </c>
      <c r="AH173" s="314">
        <v>0</v>
      </c>
      <c r="AI173" s="314">
        <v>0</v>
      </c>
      <c r="AJ173" s="317">
        <v>0</v>
      </c>
    </row>
    <row r="174" spans="2:36" s="36" customFormat="1" ht="15.6" x14ac:dyDescent="0.3">
      <c r="B174" s="283" t="s">
        <v>1492</v>
      </c>
      <c r="C174" s="176" t="s">
        <v>1930</v>
      </c>
      <c r="D174" s="296" t="s">
        <v>232</v>
      </c>
      <c r="E174" s="297">
        <v>45473</v>
      </c>
      <c r="F174" s="297">
        <v>45473</v>
      </c>
      <c r="G174" s="284">
        <v>18643991</v>
      </c>
      <c r="H174" s="284">
        <v>4765589</v>
      </c>
      <c r="I174" s="284">
        <v>1872625</v>
      </c>
      <c r="J174" s="284">
        <v>2892964</v>
      </c>
      <c r="K174" s="298">
        <v>2.5448709698999998</v>
      </c>
      <c r="L174" s="284">
        <v>119959</v>
      </c>
      <c r="M174" s="298">
        <v>2.4808116947999999</v>
      </c>
      <c r="N174" s="299">
        <v>15.547065748</v>
      </c>
      <c r="O174" s="299">
        <v>76.226877536000003</v>
      </c>
      <c r="P174" s="299">
        <v>62.893120875000001</v>
      </c>
      <c r="Q174" s="299">
        <v>78.440186623000002</v>
      </c>
      <c r="R174" s="300">
        <v>2.2133090872999999</v>
      </c>
      <c r="S174" s="115"/>
      <c r="T174" s="301">
        <v>5877976</v>
      </c>
      <c r="U174" s="302">
        <v>2341762</v>
      </c>
      <c r="V174" s="303">
        <v>0.31527455683</v>
      </c>
      <c r="W174" s="303">
        <v>0.77999127117</v>
      </c>
      <c r="X174" s="303">
        <v>0.11998449806</v>
      </c>
      <c r="Y174" s="304">
        <v>4.2233585166000003E-2</v>
      </c>
      <c r="Z174" s="115"/>
      <c r="AA174" s="301">
        <v>7535951</v>
      </c>
      <c r="AB174" s="302">
        <v>0</v>
      </c>
      <c r="AC174" s="302">
        <v>10143595</v>
      </c>
      <c r="AD174" s="302">
        <v>-2684768</v>
      </c>
      <c r="AE174" s="302">
        <v>0</v>
      </c>
      <c r="AF174" s="302">
        <v>77089</v>
      </c>
      <c r="AG174" s="302">
        <v>0</v>
      </c>
      <c r="AH174" s="302">
        <v>35</v>
      </c>
      <c r="AI174" s="302">
        <v>0</v>
      </c>
      <c r="AJ174" s="305">
        <v>0</v>
      </c>
    </row>
    <row r="175" spans="2:36" s="36" customFormat="1" ht="15.6" x14ac:dyDescent="0.3">
      <c r="B175" s="306" t="s">
        <v>584</v>
      </c>
      <c r="C175" s="148" t="s">
        <v>988</v>
      </c>
      <c r="D175" s="307" t="s">
        <v>232</v>
      </c>
      <c r="E175" s="308">
        <v>45473</v>
      </c>
      <c r="F175" s="308">
        <v>45473</v>
      </c>
      <c r="G175" s="309">
        <v>49207112</v>
      </c>
      <c r="H175" s="309">
        <v>11946181</v>
      </c>
      <c r="I175" s="309">
        <v>5629250</v>
      </c>
      <c r="J175" s="309">
        <v>6316931</v>
      </c>
      <c r="K175" s="310">
        <v>2.1221620997000001</v>
      </c>
      <c r="L175" s="309">
        <v>267700</v>
      </c>
      <c r="M175" s="310">
        <v>2.0746069191999998</v>
      </c>
      <c r="N175" s="311">
        <v>13.261272329000001</v>
      </c>
      <c r="O175" s="311">
        <v>49.829986228000003</v>
      </c>
      <c r="P175" s="311">
        <v>19.630255717000001</v>
      </c>
      <c r="Q175" s="311">
        <v>32.891528045999998</v>
      </c>
      <c r="R175" s="312">
        <v>-16.938458182000002</v>
      </c>
      <c r="S175" s="115"/>
      <c r="T175" s="313">
        <v>19625258</v>
      </c>
      <c r="U175" s="314">
        <v>11596341</v>
      </c>
      <c r="V175" s="315">
        <v>0.39882970574999999</v>
      </c>
      <c r="W175" s="315">
        <v>1.3526416106000001</v>
      </c>
      <c r="X175" s="315">
        <v>1.2710202332000001E-2</v>
      </c>
      <c r="Y175" s="316">
        <v>7.6955574291000001E-2</v>
      </c>
      <c r="Z175" s="115"/>
      <c r="AA175" s="313">
        <v>14309342</v>
      </c>
      <c r="AB175" s="314">
        <v>199496</v>
      </c>
      <c r="AC175" s="314">
        <v>12560952</v>
      </c>
      <c r="AD175" s="314">
        <v>-1375348</v>
      </c>
      <c r="AE175" s="314">
        <v>-109536</v>
      </c>
      <c r="AF175" s="314">
        <v>3196346</v>
      </c>
      <c r="AG175" s="314">
        <v>0</v>
      </c>
      <c r="AH175" s="314">
        <v>36928</v>
      </c>
      <c r="AI175" s="314">
        <v>0</v>
      </c>
      <c r="AJ175" s="317">
        <v>0</v>
      </c>
    </row>
    <row r="176" spans="2:36" s="36" customFormat="1" ht="15.6" x14ac:dyDescent="0.3">
      <c r="B176" s="283" t="s">
        <v>1493</v>
      </c>
      <c r="C176" s="176" t="s">
        <v>1931</v>
      </c>
      <c r="D176" s="296" t="s">
        <v>1962</v>
      </c>
      <c r="E176" s="297"/>
      <c r="F176" s="297"/>
      <c r="G176" s="284"/>
      <c r="H176" s="284"/>
      <c r="I176" s="284"/>
      <c r="J176" s="284"/>
      <c r="K176" s="298"/>
      <c r="L176" s="284"/>
      <c r="M176" s="298"/>
      <c r="N176" s="299"/>
      <c r="O176" s="299"/>
      <c r="P176" s="299"/>
      <c r="Q176" s="299"/>
      <c r="R176" s="300"/>
      <c r="S176" s="115"/>
      <c r="T176" s="301"/>
      <c r="U176" s="302"/>
      <c r="V176" s="303"/>
      <c r="W176" s="303"/>
      <c r="X176" s="303"/>
      <c r="Y176" s="304"/>
      <c r="Z176" s="115"/>
      <c r="AA176" s="301"/>
      <c r="AB176" s="302"/>
      <c r="AC176" s="302"/>
      <c r="AD176" s="302"/>
      <c r="AE176" s="302"/>
      <c r="AF176" s="302"/>
      <c r="AG176" s="302"/>
      <c r="AH176" s="302"/>
      <c r="AI176" s="302"/>
      <c r="AJ176" s="305"/>
    </row>
    <row r="177" spans="2:36" s="36" customFormat="1" ht="15.6" x14ac:dyDescent="0.3">
      <c r="B177" s="306" t="s">
        <v>403</v>
      </c>
      <c r="C177" s="148" t="s">
        <v>21</v>
      </c>
      <c r="D177" s="307" t="s">
        <v>231</v>
      </c>
      <c r="E177" s="308">
        <v>45473</v>
      </c>
      <c r="F177" s="308">
        <v>45473</v>
      </c>
      <c r="G177" s="309">
        <v>64679143</v>
      </c>
      <c r="H177" s="309">
        <v>9770283</v>
      </c>
      <c r="I177" s="309">
        <v>7167622</v>
      </c>
      <c r="J177" s="309">
        <v>2602661</v>
      </c>
      <c r="K177" s="310">
        <v>1.3631135961</v>
      </c>
      <c r="L177" s="309">
        <v>116088</v>
      </c>
      <c r="M177" s="310">
        <v>1.3469174294999999</v>
      </c>
      <c r="N177" s="311">
        <v>2.665124923</v>
      </c>
      <c r="O177" s="311">
        <v>11.428851294999999</v>
      </c>
      <c r="P177" s="311">
        <v>49.650230583000003</v>
      </c>
      <c r="Q177" s="311">
        <v>52.315355506000003</v>
      </c>
      <c r="R177" s="312">
        <v>40.886504211000002</v>
      </c>
      <c r="S177" s="115"/>
      <c r="T177" s="313">
        <v>21776808</v>
      </c>
      <c r="U177" s="314">
        <v>16623283</v>
      </c>
      <c r="V177" s="315">
        <v>0.33668980432000001</v>
      </c>
      <c r="W177" s="315">
        <v>0.68486797643999997</v>
      </c>
      <c r="X177" s="315">
        <v>0.17810980378999999</v>
      </c>
      <c r="Y177" s="316">
        <v>0.11110168212</v>
      </c>
      <c r="Z177" s="115"/>
      <c r="AA177" s="313">
        <v>31797089</v>
      </c>
      <c r="AB177" s="314">
        <v>0</v>
      </c>
      <c r="AC177" s="314">
        <v>15000000</v>
      </c>
      <c r="AD177" s="314">
        <v>2032761</v>
      </c>
      <c r="AE177" s="314">
        <v>14617966</v>
      </c>
      <c r="AF177" s="314">
        <v>0</v>
      </c>
      <c r="AG177" s="314">
        <v>0</v>
      </c>
      <c r="AH177" s="314">
        <v>146362</v>
      </c>
      <c r="AI177" s="314">
        <v>0</v>
      </c>
      <c r="AJ177" s="317">
        <v>0</v>
      </c>
    </row>
    <row r="178" spans="2:36" s="36" customFormat="1" ht="15.6" x14ac:dyDescent="0.3">
      <c r="B178" s="283" t="s">
        <v>2314</v>
      </c>
      <c r="C178" s="176" t="s">
        <v>2813</v>
      </c>
      <c r="D178" s="296" t="s">
        <v>2781</v>
      </c>
      <c r="E178" s="297">
        <v>45473</v>
      </c>
      <c r="F178" s="297">
        <v>45473</v>
      </c>
      <c r="G178" s="284">
        <v>123919</v>
      </c>
      <c r="H178" s="284">
        <v>102397</v>
      </c>
      <c r="I178" s="284">
        <v>97254</v>
      </c>
      <c r="J178" s="284">
        <v>5143</v>
      </c>
      <c r="K178" s="298">
        <v>1.0528821437</v>
      </c>
      <c r="L178" s="284">
        <v>0</v>
      </c>
      <c r="M178" s="298">
        <v>1.0528821437</v>
      </c>
      <c r="N178" s="299">
        <v>0</v>
      </c>
      <c r="O178" s="299">
        <v>0</v>
      </c>
      <c r="P178" s="299">
        <v>356.25701108999999</v>
      </c>
      <c r="Q178" s="299">
        <v>356.25701108999999</v>
      </c>
      <c r="R178" s="300">
        <v>356.25701108999999</v>
      </c>
      <c r="S178" s="115"/>
      <c r="T178" s="301">
        <v>95629</v>
      </c>
      <c r="U178" s="302">
        <v>89448</v>
      </c>
      <c r="V178" s="303">
        <v>0.77170571098999996</v>
      </c>
      <c r="W178" s="303">
        <v>3.6138235961</v>
      </c>
      <c r="X178" s="303">
        <v>0.20694559182</v>
      </c>
      <c r="Y178" s="304">
        <v>1</v>
      </c>
      <c r="Z178" s="115"/>
      <c r="AA178" s="301">
        <v>26462</v>
      </c>
      <c r="AB178" s="302">
        <v>0</v>
      </c>
      <c r="AC178" s="302">
        <v>20512</v>
      </c>
      <c r="AD178" s="302">
        <v>5950</v>
      </c>
      <c r="AE178" s="302">
        <v>0</v>
      </c>
      <c r="AF178" s="302">
        <v>0</v>
      </c>
      <c r="AG178" s="302">
        <v>0</v>
      </c>
      <c r="AH178" s="302">
        <v>0</v>
      </c>
      <c r="AI178" s="302">
        <v>0</v>
      </c>
      <c r="AJ178" s="305">
        <v>0</v>
      </c>
    </row>
    <row r="179" spans="2:36" s="36" customFormat="1" ht="15.6" x14ac:dyDescent="0.3">
      <c r="B179" s="306" t="s">
        <v>404</v>
      </c>
      <c r="C179" s="148" t="s">
        <v>408</v>
      </c>
      <c r="D179" s="307" t="s">
        <v>226</v>
      </c>
      <c r="E179" s="308"/>
      <c r="F179" s="308"/>
      <c r="G179" s="309"/>
      <c r="H179" s="309"/>
      <c r="I179" s="309"/>
      <c r="J179" s="309"/>
      <c r="K179" s="310"/>
      <c r="L179" s="309"/>
      <c r="M179" s="310"/>
      <c r="N179" s="311"/>
      <c r="O179" s="311"/>
      <c r="P179" s="311"/>
      <c r="Q179" s="311"/>
      <c r="R179" s="312"/>
      <c r="S179" s="115"/>
      <c r="T179" s="313"/>
      <c r="U179" s="314"/>
      <c r="V179" s="315"/>
      <c r="W179" s="315"/>
      <c r="X179" s="315"/>
      <c r="Y179" s="316"/>
      <c r="Z179" s="115"/>
      <c r="AA179" s="313"/>
      <c r="AB179" s="314"/>
      <c r="AC179" s="314"/>
      <c r="AD179" s="314"/>
      <c r="AE179" s="314"/>
      <c r="AF179" s="314"/>
      <c r="AG179" s="314"/>
      <c r="AH179" s="314"/>
      <c r="AI179" s="314"/>
      <c r="AJ179" s="317"/>
    </row>
    <row r="180" spans="2:36" s="36" customFormat="1" ht="15.6" x14ac:dyDescent="0.3">
      <c r="B180" s="283" t="s">
        <v>1498</v>
      </c>
      <c r="C180" s="176" t="s">
        <v>1932</v>
      </c>
      <c r="D180" s="296" t="s">
        <v>1959</v>
      </c>
      <c r="E180" s="297">
        <v>45473</v>
      </c>
      <c r="F180" s="297">
        <v>45473</v>
      </c>
      <c r="G180" s="284">
        <v>21645461</v>
      </c>
      <c r="H180" s="284">
        <v>6948811</v>
      </c>
      <c r="I180" s="284">
        <v>3868157</v>
      </c>
      <c r="J180" s="284">
        <v>3080654</v>
      </c>
      <c r="K180" s="298">
        <v>1.7964138994000001</v>
      </c>
      <c r="L180" s="284">
        <v>1136959</v>
      </c>
      <c r="M180" s="298">
        <v>1.5024860677</v>
      </c>
      <c r="N180" s="299">
        <v>90.431094289000001</v>
      </c>
      <c r="O180" s="299">
        <v>53.715620938000001</v>
      </c>
      <c r="P180" s="299">
        <v>32.616649297000002</v>
      </c>
      <c r="Q180" s="299">
        <v>123.04774358</v>
      </c>
      <c r="R180" s="300">
        <v>69.332122647999995</v>
      </c>
      <c r="S180" s="115"/>
      <c r="T180" s="301">
        <v>10460281</v>
      </c>
      <c r="U180" s="302">
        <v>7032184</v>
      </c>
      <c r="V180" s="303">
        <v>0.48325517298999998</v>
      </c>
      <c r="W180" s="303">
        <v>1.6145010091000001</v>
      </c>
      <c r="X180" s="303">
        <v>3.4761876855999997E-2</v>
      </c>
      <c r="Y180" s="304">
        <v>0.2048486078</v>
      </c>
      <c r="Z180" s="115"/>
      <c r="AA180" s="301">
        <v>6478956</v>
      </c>
      <c r="AB180" s="302">
        <v>0</v>
      </c>
      <c r="AC180" s="302">
        <v>3941717</v>
      </c>
      <c r="AD180" s="302">
        <v>-42509</v>
      </c>
      <c r="AE180" s="302">
        <v>1818821</v>
      </c>
      <c r="AF180" s="302">
        <v>-285744</v>
      </c>
      <c r="AG180" s="302">
        <v>0</v>
      </c>
      <c r="AH180" s="302">
        <v>1046671</v>
      </c>
      <c r="AI180" s="302">
        <v>0</v>
      </c>
      <c r="AJ180" s="305">
        <v>0</v>
      </c>
    </row>
    <row r="181" spans="2:36" s="36" customFormat="1" ht="15.6" x14ac:dyDescent="0.3">
      <c r="B181" s="306" t="s">
        <v>1499</v>
      </c>
      <c r="C181" s="148" t="s">
        <v>1933</v>
      </c>
      <c r="D181" s="307" t="s">
        <v>226</v>
      </c>
      <c r="E181" s="308"/>
      <c r="F181" s="308"/>
      <c r="G181" s="309"/>
      <c r="H181" s="309"/>
      <c r="I181" s="309"/>
      <c r="J181" s="309"/>
      <c r="K181" s="310"/>
      <c r="L181" s="309"/>
      <c r="M181" s="310"/>
      <c r="N181" s="311"/>
      <c r="O181" s="311"/>
      <c r="P181" s="311"/>
      <c r="Q181" s="311"/>
      <c r="R181" s="312"/>
      <c r="S181" s="115"/>
      <c r="T181" s="313"/>
      <c r="U181" s="314"/>
      <c r="V181" s="315"/>
      <c r="W181" s="315"/>
      <c r="X181" s="315"/>
      <c r="Y181" s="316"/>
      <c r="Z181" s="115"/>
      <c r="AA181" s="313"/>
      <c r="AB181" s="314"/>
      <c r="AC181" s="314"/>
      <c r="AD181" s="314"/>
      <c r="AE181" s="314"/>
      <c r="AF181" s="314"/>
      <c r="AG181" s="314"/>
      <c r="AH181" s="314"/>
      <c r="AI181" s="314"/>
      <c r="AJ181" s="317"/>
    </row>
    <row r="182" spans="2:36" s="36" customFormat="1" ht="15.6" x14ac:dyDescent="0.3">
      <c r="B182" s="283" t="s">
        <v>455</v>
      </c>
      <c r="C182" s="176" t="s">
        <v>460</v>
      </c>
      <c r="D182" s="296" t="s">
        <v>226</v>
      </c>
      <c r="E182" s="297"/>
      <c r="F182" s="297"/>
      <c r="G182" s="284"/>
      <c r="H182" s="284"/>
      <c r="I182" s="284"/>
      <c r="J182" s="284"/>
      <c r="K182" s="298"/>
      <c r="L182" s="284"/>
      <c r="M182" s="298"/>
      <c r="N182" s="299"/>
      <c r="O182" s="299"/>
      <c r="P182" s="299"/>
      <c r="Q182" s="299"/>
      <c r="R182" s="300"/>
      <c r="S182" s="115"/>
      <c r="T182" s="301"/>
      <c r="U182" s="302"/>
      <c r="V182" s="303"/>
      <c r="W182" s="303"/>
      <c r="X182" s="303"/>
      <c r="Y182" s="304"/>
      <c r="Z182" s="115"/>
      <c r="AA182" s="301"/>
      <c r="AB182" s="302"/>
      <c r="AC182" s="302"/>
      <c r="AD182" s="302"/>
      <c r="AE182" s="302"/>
      <c r="AF182" s="302"/>
      <c r="AG182" s="302"/>
      <c r="AH182" s="302"/>
      <c r="AI182" s="302"/>
      <c r="AJ182" s="305"/>
    </row>
    <row r="183" spans="2:36" s="36" customFormat="1" ht="15.6" x14ac:dyDescent="0.3">
      <c r="B183" s="306" t="s">
        <v>2317</v>
      </c>
      <c r="C183" s="148" t="s">
        <v>2814</v>
      </c>
      <c r="D183" s="307" t="s">
        <v>2782</v>
      </c>
      <c r="E183" s="308"/>
      <c r="F183" s="308"/>
      <c r="G183" s="309"/>
      <c r="H183" s="309"/>
      <c r="I183" s="309"/>
      <c r="J183" s="309"/>
      <c r="K183" s="310"/>
      <c r="L183" s="309"/>
      <c r="M183" s="310"/>
      <c r="N183" s="311"/>
      <c r="O183" s="311"/>
      <c r="P183" s="311"/>
      <c r="Q183" s="311"/>
      <c r="R183" s="312"/>
      <c r="S183" s="115"/>
      <c r="T183" s="313"/>
      <c r="U183" s="314"/>
      <c r="V183" s="315"/>
      <c r="W183" s="315"/>
      <c r="X183" s="315"/>
      <c r="Y183" s="316"/>
      <c r="Z183" s="115"/>
      <c r="AA183" s="313"/>
      <c r="AB183" s="314"/>
      <c r="AC183" s="314"/>
      <c r="AD183" s="314"/>
      <c r="AE183" s="314"/>
      <c r="AF183" s="314"/>
      <c r="AG183" s="314"/>
      <c r="AH183" s="314"/>
      <c r="AI183" s="314"/>
      <c r="AJ183" s="317"/>
    </row>
    <row r="184" spans="2:36" s="36" customFormat="1" ht="15.6" x14ac:dyDescent="0.3">
      <c r="B184" s="283" t="s">
        <v>62</v>
      </c>
      <c r="C184" s="176" t="s">
        <v>22</v>
      </c>
      <c r="D184" s="296" t="s">
        <v>226</v>
      </c>
      <c r="E184" s="297">
        <v>45473</v>
      </c>
      <c r="F184" s="297">
        <v>45473</v>
      </c>
      <c r="G184" s="284">
        <v>19812108</v>
      </c>
      <c r="H184" s="284">
        <v>3281999</v>
      </c>
      <c r="I184" s="284">
        <v>1708327</v>
      </c>
      <c r="J184" s="284">
        <v>1573672</v>
      </c>
      <c r="K184" s="298">
        <v>1.9211772687999999</v>
      </c>
      <c r="L184" s="284">
        <v>0</v>
      </c>
      <c r="M184" s="298">
        <v>1.9211772687999999</v>
      </c>
      <c r="N184" s="299">
        <v>0</v>
      </c>
      <c r="O184" s="299">
        <v>48.847647223999999</v>
      </c>
      <c r="P184" s="299">
        <v>26.11548758</v>
      </c>
      <c r="Q184" s="299">
        <v>26.11548758</v>
      </c>
      <c r="R184" s="300">
        <v>-22.732159643999999</v>
      </c>
      <c r="S184" s="115"/>
      <c r="T184" s="301">
        <v>10140554</v>
      </c>
      <c r="U184" s="302">
        <v>9057107</v>
      </c>
      <c r="V184" s="303">
        <v>0.51183619632999999</v>
      </c>
      <c r="W184" s="303">
        <v>1.4982576688</v>
      </c>
      <c r="X184" s="303">
        <v>0.13366725329000001</v>
      </c>
      <c r="Y184" s="304">
        <v>0.13702377601999999</v>
      </c>
      <c r="Z184" s="115"/>
      <c r="AA184" s="301">
        <v>6768231</v>
      </c>
      <c r="AB184" s="302">
        <v>0</v>
      </c>
      <c r="AC184" s="302">
        <v>3042035</v>
      </c>
      <c r="AD184" s="302">
        <v>777839</v>
      </c>
      <c r="AE184" s="302">
        <v>2534797</v>
      </c>
      <c r="AF184" s="302">
        <v>598736</v>
      </c>
      <c r="AG184" s="302">
        <v>0</v>
      </c>
      <c r="AH184" s="302">
        <v>-144893</v>
      </c>
      <c r="AI184" s="302">
        <v>0</v>
      </c>
      <c r="AJ184" s="305">
        <v>-40283</v>
      </c>
    </row>
    <row r="185" spans="2:36" s="36" customFormat="1" ht="15.6" x14ac:dyDescent="0.3">
      <c r="B185" s="306" t="s">
        <v>1511</v>
      </c>
      <c r="C185" s="148" t="s">
        <v>1937</v>
      </c>
      <c r="D185" s="307" t="s">
        <v>104</v>
      </c>
      <c r="E185" s="308"/>
      <c r="F185" s="308"/>
      <c r="G185" s="309"/>
      <c r="H185" s="309"/>
      <c r="I185" s="309"/>
      <c r="J185" s="309"/>
      <c r="K185" s="310"/>
      <c r="L185" s="309"/>
      <c r="M185" s="310"/>
      <c r="N185" s="311"/>
      <c r="O185" s="311"/>
      <c r="P185" s="311"/>
      <c r="Q185" s="311"/>
      <c r="R185" s="312"/>
      <c r="S185" s="115"/>
      <c r="T185" s="313"/>
      <c r="U185" s="314"/>
      <c r="V185" s="315"/>
      <c r="W185" s="315"/>
      <c r="X185" s="315"/>
      <c r="Y185" s="316"/>
      <c r="Z185" s="115"/>
      <c r="AA185" s="313"/>
      <c r="AB185" s="314"/>
      <c r="AC185" s="314"/>
      <c r="AD185" s="314"/>
      <c r="AE185" s="314"/>
      <c r="AF185" s="314"/>
      <c r="AG185" s="314"/>
      <c r="AH185" s="314"/>
      <c r="AI185" s="314"/>
      <c r="AJ185" s="317"/>
    </row>
    <row r="186" spans="2:36" s="36" customFormat="1" ht="15.6" x14ac:dyDescent="0.3">
      <c r="B186" s="283" t="s">
        <v>596</v>
      </c>
      <c r="C186" s="176" t="s">
        <v>989</v>
      </c>
      <c r="D186" s="296" t="s">
        <v>226</v>
      </c>
      <c r="E186" s="297"/>
      <c r="F186" s="297"/>
      <c r="G186" s="284"/>
      <c r="H186" s="284"/>
      <c r="I186" s="284"/>
      <c r="J186" s="284"/>
      <c r="K186" s="298"/>
      <c r="L186" s="284"/>
      <c r="M186" s="298"/>
      <c r="N186" s="299"/>
      <c r="O186" s="299"/>
      <c r="P186" s="299"/>
      <c r="Q186" s="299"/>
      <c r="R186" s="300"/>
      <c r="S186" s="115"/>
      <c r="T186" s="301"/>
      <c r="U186" s="302"/>
      <c r="V186" s="303"/>
      <c r="W186" s="303"/>
      <c r="X186" s="303"/>
      <c r="Y186" s="304"/>
      <c r="Z186" s="115"/>
      <c r="AA186" s="301"/>
      <c r="AB186" s="302"/>
      <c r="AC186" s="302"/>
      <c r="AD186" s="302"/>
      <c r="AE186" s="302"/>
      <c r="AF186" s="302"/>
      <c r="AG186" s="302"/>
      <c r="AH186" s="302"/>
      <c r="AI186" s="302"/>
      <c r="AJ186" s="305"/>
    </row>
    <row r="187" spans="2:36" s="36" customFormat="1" ht="15.6" x14ac:dyDescent="0.3">
      <c r="B187" s="306" t="s">
        <v>1512</v>
      </c>
      <c r="C187" s="148" t="s">
        <v>1938</v>
      </c>
      <c r="D187" s="307" t="s">
        <v>227</v>
      </c>
      <c r="E187" s="308">
        <v>45473</v>
      </c>
      <c r="F187" s="308">
        <v>45473</v>
      </c>
      <c r="G187" s="309">
        <v>54034661</v>
      </c>
      <c r="H187" s="309">
        <v>10397339</v>
      </c>
      <c r="I187" s="309">
        <v>11757757</v>
      </c>
      <c r="J187" s="309">
        <v>-1360418</v>
      </c>
      <c r="K187" s="310">
        <v>0.88429612892999998</v>
      </c>
      <c r="L187" s="309">
        <v>415896</v>
      </c>
      <c r="M187" s="310">
        <v>0.84892407624999999</v>
      </c>
      <c r="N187" s="311">
        <v>12.757315563000001</v>
      </c>
      <c r="O187" s="311">
        <v>111.93101488000001</v>
      </c>
      <c r="P187" s="311">
        <v>61.884186964999998</v>
      </c>
      <c r="Q187" s="311">
        <v>74.641502528000004</v>
      </c>
      <c r="R187" s="312">
        <v>-37.289512352000003</v>
      </c>
      <c r="S187" s="115"/>
      <c r="T187" s="313">
        <v>3096145</v>
      </c>
      <c r="U187" s="314">
        <v>-215655</v>
      </c>
      <c r="V187" s="315">
        <v>5.7299239834000003E-2</v>
      </c>
      <c r="W187" s="315">
        <v>0.12153330319</v>
      </c>
      <c r="X187" s="315">
        <v>0.80330378583999995</v>
      </c>
      <c r="Y187" s="316">
        <v>0.12240931868</v>
      </c>
      <c r="Z187" s="115"/>
      <c r="AA187" s="313">
        <v>25475692</v>
      </c>
      <c r="AB187" s="314">
        <v>0</v>
      </c>
      <c r="AC187" s="314">
        <v>13477891</v>
      </c>
      <c r="AD187" s="314">
        <v>800643</v>
      </c>
      <c r="AE187" s="314">
        <v>10850035</v>
      </c>
      <c r="AF187" s="314">
        <v>350436</v>
      </c>
      <c r="AG187" s="314">
        <v>0</v>
      </c>
      <c r="AH187" s="314">
        <v>0</v>
      </c>
      <c r="AI187" s="314">
        <v>0</v>
      </c>
      <c r="AJ187" s="317">
        <v>-3313</v>
      </c>
    </row>
    <row r="188" spans="2:36" s="36" customFormat="1" ht="15.6" x14ac:dyDescent="0.3">
      <c r="B188" s="283" t="s">
        <v>456</v>
      </c>
      <c r="C188" s="176" t="s">
        <v>461</v>
      </c>
      <c r="D188" s="296" t="s">
        <v>226</v>
      </c>
      <c r="E188" s="297"/>
      <c r="F188" s="297"/>
      <c r="G188" s="284"/>
      <c r="H188" s="284"/>
      <c r="I188" s="284"/>
      <c r="J188" s="284"/>
      <c r="K188" s="298"/>
      <c r="L188" s="284"/>
      <c r="M188" s="298"/>
      <c r="N188" s="299"/>
      <c r="O188" s="299"/>
      <c r="P188" s="299"/>
      <c r="Q188" s="299"/>
      <c r="R188" s="300"/>
      <c r="S188" s="115"/>
      <c r="T188" s="301"/>
      <c r="U188" s="302"/>
      <c r="V188" s="303"/>
      <c r="W188" s="303"/>
      <c r="X188" s="303"/>
      <c r="Y188" s="304"/>
      <c r="Z188" s="115"/>
      <c r="AA188" s="301"/>
      <c r="AB188" s="302"/>
      <c r="AC188" s="302"/>
      <c r="AD188" s="302"/>
      <c r="AE188" s="302"/>
      <c r="AF188" s="302"/>
      <c r="AG188" s="302"/>
      <c r="AH188" s="302"/>
      <c r="AI188" s="302"/>
      <c r="AJ188" s="305"/>
    </row>
    <row r="189" spans="2:36" s="36" customFormat="1" ht="15.6" x14ac:dyDescent="0.3">
      <c r="B189" s="306" t="s">
        <v>63</v>
      </c>
      <c r="C189" s="148" t="s">
        <v>23</v>
      </c>
      <c r="D189" s="307" t="s">
        <v>226</v>
      </c>
      <c r="E189" s="308">
        <v>45473</v>
      </c>
      <c r="F189" s="308">
        <v>45473</v>
      </c>
      <c r="G189" s="309">
        <v>38556190</v>
      </c>
      <c r="H189" s="309">
        <v>6495217</v>
      </c>
      <c r="I189" s="309">
        <v>1969138</v>
      </c>
      <c r="J189" s="309">
        <v>4526079</v>
      </c>
      <c r="K189" s="310">
        <v>3.2985077734999999</v>
      </c>
      <c r="L189" s="309">
        <v>135191</v>
      </c>
      <c r="M189" s="310">
        <v>3.2298528594999998</v>
      </c>
      <c r="N189" s="311">
        <v>13.829401026999999</v>
      </c>
      <c r="O189" s="311">
        <v>15.494768164</v>
      </c>
      <c r="P189" s="311">
        <v>149.23319856000001</v>
      </c>
      <c r="Q189" s="311">
        <v>163.06259958999999</v>
      </c>
      <c r="R189" s="312">
        <v>147.56783143000001</v>
      </c>
      <c r="S189" s="115"/>
      <c r="T189" s="313">
        <v>11452842</v>
      </c>
      <c r="U189" s="314">
        <v>8833318</v>
      </c>
      <c r="V189" s="315">
        <v>0.29704288728</v>
      </c>
      <c r="W189" s="315">
        <v>0.59984683347000001</v>
      </c>
      <c r="X189" s="315">
        <v>0.17746992406000001</v>
      </c>
      <c r="Y189" s="316">
        <v>0.10170514881000001</v>
      </c>
      <c r="Z189" s="115"/>
      <c r="AA189" s="313">
        <v>18604578</v>
      </c>
      <c r="AB189" s="314">
        <v>488366</v>
      </c>
      <c r="AC189" s="314">
        <v>3590020</v>
      </c>
      <c r="AD189" s="314">
        <v>1179609</v>
      </c>
      <c r="AE189" s="314">
        <v>13997026</v>
      </c>
      <c r="AF189" s="314">
        <v>666</v>
      </c>
      <c r="AG189" s="314">
        <v>0</v>
      </c>
      <c r="AH189" s="314">
        <v>0</v>
      </c>
      <c r="AI189" s="314">
        <v>0</v>
      </c>
      <c r="AJ189" s="317">
        <v>-162743</v>
      </c>
    </row>
    <row r="190" spans="2:36" s="36" customFormat="1" ht="15.6" x14ac:dyDescent="0.3">
      <c r="B190" s="283" t="s">
        <v>1515</v>
      </c>
      <c r="C190" s="176" t="s">
        <v>1939</v>
      </c>
      <c r="D190" s="296" t="s">
        <v>228</v>
      </c>
      <c r="E190" s="297">
        <v>45473</v>
      </c>
      <c r="F190" s="297">
        <v>45473</v>
      </c>
      <c r="G190" s="284">
        <v>713899</v>
      </c>
      <c r="H190" s="284">
        <v>39778</v>
      </c>
      <c r="I190" s="284">
        <v>70341</v>
      </c>
      <c r="J190" s="284">
        <v>-30563</v>
      </c>
      <c r="K190" s="298">
        <v>0.56550233860999999</v>
      </c>
      <c r="L190" s="284">
        <v>0</v>
      </c>
      <c r="M190" s="298">
        <v>0.56550233860999999</v>
      </c>
      <c r="N190" s="299">
        <v>0</v>
      </c>
      <c r="O190" s="299">
        <v>56.032347934000001</v>
      </c>
      <c r="P190" s="299">
        <v>21.601149609</v>
      </c>
      <c r="Q190" s="299">
        <v>21.601149609</v>
      </c>
      <c r="R190" s="300">
        <v>-34.431198324999997</v>
      </c>
      <c r="S190" s="115"/>
      <c r="T190" s="301">
        <v>317110</v>
      </c>
      <c r="U190" s="302">
        <v>300376</v>
      </c>
      <c r="V190" s="303">
        <v>0.44419448690000002</v>
      </c>
      <c r="W190" s="303">
        <v>1.0633745905</v>
      </c>
      <c r="X190" s="303">
        <v>9.8789063731999999E-2</v>
      </c>
      <c r="Y190" s="304">
        <v>6.3747595470999993E-2</v>
      </c>
      <c r="Z190" s="115"/>
      <c r="AA190" s="301">
        <v>298211</v>
      </c>
      <c r="AB190" s="302">
        <v>0</v>
      </c>
      <c r="AC190" s="302">
        <v>220535</v>
      </c>
      <c r="AD190" s="302">
        <v>14255</v>
      </c>
      <c r="AE190" s="302">
        <v>0</v>
      </c>
      <c r="AF190" s="302">
        <v>63421</v>
      </c>
      <c r="AG190" s="302">
        <v>0</v>
      </c>
      <c r="AH190" s="302">
        <v>0</v>
      </c>
      <c r="AI190" s="302">
        <v>0</v>
      </c>
      <c r="AJ190" s="305">
        <v>0</v>
      </c>
    </row>
    <row r="191" spans="2:36" s="36" customFormat="1" ht="15.6" x14ac:dyDescent="0.3">
      <c r="B191" s="306" t="s">
        <v>1516</v>
      </c>
      <c r="C191" s="148" t="s">
        <v>1940</v>
      </c>
      <c r="D191" s="307" t="s">
        <v>226</v>
      </c>
      <c r="E191" s="308"/>
      <c r="F191" s="308"/>
      <c r="G191" s="309"/>
      <c r="H191" s="309"/>
      <c r="I191" s="309"/>
      <c r="J191" s="309"/>
      <c r="K191" s="310"/>
      <c r="L191" s="309"/>
      <c r="M191" s="310"/>
      <c r="N191" s="311"/>
      <c r="O191" s="311"/>
      <c r="P191" s="311"/>
      <c r="Q191" s="311"/>
      <c r="R191" s="312"/>
      <c r="S191" s="115"/>
      <c r="T191" s="313"/>
      <c r="U191" s="314"/>
      <c r="V191" s="315"/>
      <c r="W191" s="315"/>
      <c r="X191" s="315"/>
      <c r="Y191" s="316"/>
      <c r="Z191" s="115"/>
      <c r="AA191" s="313"/>
      <c r="AB191" s="314"/>
      <c r="AC191" s="314"/>
      <c r="AD191" s="314"/>
      <c r="AE191" s="314"/>
      <c r="AF191" s="314"/>
      <c r="AG191" s="314"/>
      <c r="AH191" s="314"/>
      <c r="AI191" s="314"/>
      <c r="AJ191" s="317"/>
    </row>
    <row r="192" spans="2:36" s="36" customFormat="1" ht="15.6" x14ac:dyDescent="0.3">
      <c r="B192" s="283" t="s">
        <v>2324</v>
      </c>
      <c r="C192" s="176" t="s">
        <v>2815</v>
      </c>
      <c r="D192" s="296" t="s">
        <v>2783</v>
      </c>
      <c r="E192" s="297"/>
      <c r="F192" s="297"/>
      <c r="G192" s="284"/>
      <c r="H192" s="284"/>
      <c r="I192" s="284"/>
      <c r="J192" s="284"/>
      <c r="K192" s="298"/>
      <c r="L192" s="284"/>
      <c r="M192" s="298"/>
      <c r="N192" s="299"/>
      <c r="O192" s="299"/>
      <c r="P192" s="299"/>
      <c r="Q192" s="299"/>
      <c r="R192" s="300"/>
      <c r="S192" s="115"/>
      <c r="T192" s="301"/>
      <c r="U192" s="302"/>
      <c r="V192" s="303"/>
      <c r="W192" s="303"/>
      <c r="X192" s="303"/>
      <c r="Y192" s="304"/>
      <c r="Z192" s="115"/>
      <c r="AA192" s="301"/>
      <c r="AB192" s="302"/>
      <c r="AC192" s="302"/>
      <c r="AD192" s="302"/>
      <c r="AE192" s="302"/>
      <c r="AF192" s="302"/>
      <c r="AG192" s="302"/>
      <c r="AH192" s="302"/>
      <c r="AI192" s="302"/>
      <c r="AJ192" s="305"/>
    </row>
    <row r="193" spans="2:36" s="36" customFormat="1" ht="15.6" x14ac:dyDescent="0.3">
      <c r="B193" s="306" t="s">
        <v>1517</v>
      </c>
      <c r="C193" s="148" t="s">
        <v>1941</v>
      </c>
      <c r="D193" s="307" t="s">
        <v>227</v>
      </c>
      <c r="E193" s="308">
        <v>45473</v>
      </c>
      <c r="F193" s="308">
        <v>45473</v>
      </c>
      <c r="G193" s="309">
        <v>2074475</v>
      </c>
      <c r="H193" s="309">
        <v>232248</v>
      </c>
      <c r="I193" s="309">
        <v>302678</v>
      </c>
      <c r="J193" s="309">
        <v>-70430</v>
      </c>
      <c r="K193" s="310">
        <v>0.76731047515999995</v>
      </c>
      <c r="L193" s="309">
        <v>19</v>
      </c>
      <c r="M193" s="310">
        <v>0.76724770218000005</v>
      </c>
      <c r="N193" s="311">
        <v>1.996672213E-2</v>
      </c>
      <c r="O193" s="311">
        <v>72.442420526999996</v>
      </c>
      <c r="P193" s="311">
        <v>42.658452560000001</v>
      </c>
      <c r="Q193" s="311">
        <v>42.678419282</v>
      </c>
      <c r="R193" s="312">
        <v>-29.764001244999999</v>
      </c>
      <c r="S193" s="115"/>
      <c r="T193" s="313">
        <v>977322</v>
      </c>
      <c r="U193" s="314">
        <v>874038</v>
      </c>
      <c r="V193" s="315">
        <v>0.47111775268</v>
      </c>
      <c r="W193" s="315">
        <v>2.4838539152000001</v>
      </c>
      <c r="X193" s="315">
        <v>4.0902588911000001E-2</v>
      </c>
      <c r="Y193" s="316">
        <v>0.10558546722000001</v>
      </c>
      <c r="Z193" s="115"/>
      <c r="AA193" s="313">
        <v>393470</v>
      </c>
      <c r="AB193" s="314">
        <v>0</v>
      </c>
      <c r="AC193" s="314">
        <v>764672</v>
      </c>
      <c r="AD193" s="314">
        <v>-387169</v>
      </c>
      <c r="AE193" s="314">
        <v>0</v>
      </c>
      <c r="AF193" s="314">
        <v>51719</v>
      </c>
      <c r="AG193" s="314">
        <v>0</v>
      </c>
      <c r="AH193" s="314">
        <v>-35752</v>
      </c>
      <c r="AI193" s="314">
        <v>0</v>
      </c>
      <c r="AJ193" s="317">
        <v>0</v>
      </c>
    </row>
    <row r="194" spans="2:36" s="36" customFormat="1" ht="15.6" x14ac:dyDescent="0.3">
      <c r="B194" s="283" t="s">
        <v>1518</v>
      </c>
      <c r="C194" s="176" t="s">
        <v>1942</v>
      </c>
      <c r="D194" s="296" t="s">
        <v>104</v>
      </c>
      <c r="E194" s="297"/>
      <c r="F194" s="297"/>
      <c r="G194" s="284"/>
      <c r="H194" s="284"/>
      <c r="I194" s="284"/>
      <c r="J194" s="284"/>
      <c r="K194" s="298"/>
      <c r="L194" s="284"/>
      <c r="M194" s="298"/>
      <c r="N194" s="299"/>
      <c r="O194" s="299"/>
      <c r="P194" s="299"/>
      <c r="Q194" s="299"/>
      <c r="R194" s="300"/>
      <c r="S194" s="115"/>
      <c r="T194" s="301"/>
      <c r="U194" s="302"/>
      <c r="V194" s="303"/>
      <c r="W194" s="303"/>
      <c r="X194" s="303"/>
      <c r="Y194" s="304"/>
      <c r="Z194" s="115"/>
      <c r="AA194" s="301"/>
      <c r="AB194" s="302"/>
      <c r="AC194" s="302"/>
      <c r="AD194" s="302"/>
      <c r="AE194" s="302"/>
      <c r="AF194" s="302"/>
      <c r="AG194" s="302"/>
      <c r="AH194" s="302"/>
      <c r="AI194" s="302"/>
      <c r="AJ194" s="305"/>
    </row>
    <row r="195" spans="2:36" s="36" customFormat="1" ht="15.6" x14ac:dyDescent="0.3">
      <c r="B195" s="306" t="s">
        <v>1519</v>
      </c>
      <c r="C195" s="148" t="s">
        <v>1943</v>
      </c>
      <c r="D195" s="307" t="s">
        <v>1958</v>
      </c>
      <c r="E195" s="308"/>
      <c r="F195" s="308"/>
      <c r="G195" s="309"/>
      <c r="H195" s="309"/>
      <c r="I195" s="309"/>
      <c r="J195" s="309"/>
      <c r="K195" s="310"/>
      <c r="L195" s="309"/>
      <c r="M195" s="310"/>
      <c r="N195" s="311"/>
      <c r="O195" s="311"/>
      <c r="P195" s="311"/>
      <c r="Q195" s="311"/>
      <c r="R195" s="312"/>
      <c r="S195" s="115"/>
      <c r="T195" s="313"/>
      <c r="U195" s="314"/>
      <c r="V195" s="315"/>
      <c r="W195" s="315"/>
      <c r="X195" s="315"/>
      <c r="Y195" s="316"/>
      <c r="Z195" s="115"/>
      <c r="AA195" s="313"/>
      <c r="AB195" s="314"/>
      <c r="AC195" s="314"/>
      <c r="AD195" s="314"/>
      <c r="AE195" s="314"/>
      <c r="AF195" s="314"/>
      <c r="AG195" s="314"/>
      <c r="AH195" s="314"/>
      <c r="AI195" s="314"/>
      <c r="AJ195" s="317"/>
    </row>
    <row r="196" spans="2:36" s="36" customFormat="1" ht="15.6" x14ac:dyDescent="0.3">
      <c r="B196" s="283" t="s">
        <v>1520</v>
      </c>
      <c r="C196" s="176" t="s">
        <v>1944</v>
      </c>
      <c r="D196" s="296" t="s">
        <v>226</v>
      </c>
      <c r="E196" s="297"/>
      <c r="F196" s="297"/>
      <c r="G196" s="284"/>
      <c r="H196" s="284"/>
      <c r="I196" s="284"/>
      <c r="J196" s="284"/>
      <c r="K196" s="298"/>
      <c r="L196" s="284"/>
      <c r="M196" s="298"/>
      <c r="N196" s="299"/>
      <c r="O196" s="299"/>
      <c r="P196" s="299"/>
      <c r="Q196" s="299"/>
      <c r="R196" s="300"/>
      <c r="S196" s="115"/>
      <c r="T196" s="301"/>
      <c r="U196" s="302"/>
      <c r="V196" s="303"/>
      <c r="W196" s="303"/>
      <c r="X196" s="303"/>
      <c r="Y196" s="304"/>
      <c r="Z196" s="115"/>
      <c r="AA196" s="301"/>
      <c r="AB196" s="302"/>
      <c r="AC196" s="302"/>
      <c r="AD196" s="302"/>
      <c r="AE196" s="302"/>
      <c r="AF196" s="302"/>
      <c r="AG196" s="302"/>
      <c r="AH196" s="302"/>
      <c r="AI196" s="302"/>
      <c r="AJ196" s="305"/>
    </row>
    <row r="197" spans="2:36" s="36" customFormat="1" ht="15.6" x14ac:dyDescent="0.3">
      <c r="B197" s="306" t="s">
        <v>1521</v>
      </c>
      <c r="C197" s="148" t="s">
        <v>1945</v>
      </c>
      <c r="D197" s="307" t="s">
        <v>1965</v>
      </c>
      <c r="E197" s="308">
        <v>45473</v>
      </c>
      <c r="F197" s="308">
        <v>45473</v>
      </c>
      <c r="G197" s="309">
        <v>2225497</v>
      </c>
      <c r="H197" s="309">
        <v>731151</v>
      </c>
      <c r="I197" s="309">
        <v>449231</v>
      </c>
      <c r="J197" s="309">
        <v>281920</v>
      </c>
      <c r="K197" s="310">
        <v>1.6275613215</v>
      </c>
      <c r="L197" s="309">
        <v>10964</v>
      </c>
      <c r="M197" s="310">
        <v>1.6031551695999999</v>
      </c>
      <c r="N197" s="311">
        <v>7.9384719350999999</v>
      </c>
      <c r="O197" s="311">
        <v>38.539673856</v>
      </c>
      <c r="P197" s="311">
        <v>36.150818749000003</v>
      </c>
      <c r="Q197" s="311">
        <v>44.089290683999998</v>
      </c>
      <c r="R197" s="312">
        <v>5.5496168279000004</v>
      </c>
      <c r="S197" s="115"/>
      <c r="T197" s="313">
        <v>572215</v>
      </c>
      <c r="U197" s="314">
        <v>30829</v>
      </c>
      <c r="V197" s="315">
        <v>0.25711784828000001</v>
      </c>
      <c r="W197" s="315">
        <v>0.51029662777999996</v>
      </c>
      <c r="X197" s="315">
        <v>0.22033850913</v>
      </c>
      <c r="Y197" s="316">
        <v>0.19246437090999999</v>
      </c>
      <c r="Z197" s="115"/>
      <c r="AA197" s="313">
        <v>1121338</v>
      </c>
      <c r="AB197" s="314">
        <v>0</v>
      </c>
      <c r="AC197" s="314">
        <v>885477</v>
      </c>
      <c r="AD197" s="314">
        <v>78546</v>
      </c>
      <c r="AE197" s="314">
        <v>206321</v>
      </c>
      <c r="AF197" s="314">
        <v>-49006</v>
      </c>
      <c r="AG197" s="314">
        <v>0</v>
      </c>
      <c r="AH197" s="314">
        <v>0</v>
      </c>
      <c r="AI197" s="314">
        <v>0</v>
      </c>
      <c r="AJ197" s="317">
        <v>0</v>
      </c>
    </row>
    <row r="198" spans="2:36" s="36" customFormat="1" ht="15.6" x14ac:dyDescent="0.3">
      <c r="B198" s="283" t="s">
        <v>1522</v>
      </c>
      <c r="C198" s="176" t="s">
        <v>1946</v>
      </c>
      <c r="D198" s="296" t="s">
        <v>1966</v>
      </c>
      <c r="E198" s="297"/>
      <c r="F198" s="297"/>
      <c r="G198" s="284"/>
      <c r="H198" s="284"/>
      <c r="I198" s="284"/>
      <c r="J198" s="284"/>
      <c r="K198" s="298"/>
      <c r="L198" s="284"/>
      <c r="M198" s="298"/>
      <c r="N198" s="299"/>
      <c r="O198" s="299"/>
      <c r="P198" s="299"/>
      <c r="Q198" s="299"/>
      <c r="R198" s="300"/>
      <c r="S198" s="115"/>
      <c r="T198" s="301"/>
      <c r="U198" s="302"/>
      <c r="V198" s="303"/>
      <c r="W198" s="303"/>
      <c r="X198" s="303"/>
      <c r="Y198" s="304"/>
      <c r="Z198" s="115"/>
      <c r="AA198" s="301"/>
      <c r="AB198" s="302"/>
      <c r="AC198" s="302"/>
      <c r="AD198" s="302"/>
      <c r="AE198" s="302"/>
      <c r="AF198" s="302"/>
      <c r="AG198" s="302"/>
      <c r="AH198" s="302"/>
      <c r="AI198" s="302"/>
      <c r="AJ198" s="305"/>
    </row>
    <row r="199" spans="2:36" s="36" customFormat="1" ht="15.6" x14ac:dyDescent="0.3">
      <c r="B199" s="306" t="s">
        <v>601</v>
      </c>
      <c r="C199" s="148" t="s">
        <v>990</v>
      </c>
      <c r="D199" s="307" t="s">
        <v>226</v>
      </c>
      <c r="E199" s="308">
        <v>45473</v>
      </c>
      <c r="F199" s="308">
        <v>45473</v>
      </c>
      <c r="G199" s="309">
        <v>3093727</v>
      </c>
      <c r="H199" s="309">
        <v>379277</v>
      </c>
      <c r="I199" s="309">
        <v>275685</v>
      </c>
      <c r="J199" s="309">
        <v>103592</v>
      </c>
      <c r="K199" s="310">
        <v>1.3757621924000001</v>
      </c>
      <c r="L199" s="309">
        <v>116501</v>
      </c>
      <c r="M199" s="310">
        <v>0.95317481909000001</v>
      </c>
      <c r="N199" s="311">
        <v>63.941273326000001</v>
      </c>
      <c r="O199" s="311">
        <v>64.350164653999997</v>
      </c>
      <c r="P199" s="311">
        <v>35.536123516000004</v>
      </c>
      <c r="Q199" s="311">
        <v>99.477396842000005</v>
      </c>
      <c r="R199" s="312">
        <v>35.127232188000001</v>
      </c>
      <c r="S199" s="115"/>
      <c r="T199" s="313">
        <v>1786976</v>
      </c>
      <c r="U199" s="314">
        <v>1694725</v>
      </c>
      <c r="V199" s="315">
        <v>0.57761269821000005</v>
      </c>
      <c r="W199" s="315">
        <v>1.5577472596999999</v>
      </c>
      <c r="X199" s="315">
        <v>4.2355913006000001E-2</v>
      </c>
      <c r="Y199" s="316">
        <v>6.4971213939000003E-2</v>
      </c>
      <c r="Z199" s="115"/>
      <c r="AA199" s="313">
        <v>1147154</v>
      </c>
      <c r="AB199" s="314">
        <v>0</v>
      </c>
      <c r="AC199" s="314">
        <v>1268041</v>
      </c>
      <c r="AD199" s="314">
        <v>-120887</v>
      </c>
      <c r="AE199" s="314">
        <v>0</v>
      </c>
      <c r="AF199" s="314">
        <v>0</v>
      </c>
      <c r="AG199" s="314">
        <v>0</v>
      </c>
      <c r="AH199" s="314">
        <v>0</v>
      </c>
      <c r="AI199" s="314">
        <v>0</v>
      </c>
      <c r="AJ199" s="317">
        <v>0</v>
      </c>
    </row>
    <row r="200" spans="2:36" s="36" customFormat="1" ht="15.6" x14ac:dyDescent="0.3">
      <c r="B200" s="283" t="s">
        <v>1125</v>
      </c>
      <c r="C200" s="176" t="s">
        <v>1146</v>
      </c>
      <c r="D200" s="296" t="s">
        <v>226</v>
      </c>
      <c r="E200" s="297"/>
      <c r="F200" s="297"/>
      <c r="G200" s="284"/>
      <c r="H200" s="284"/>
      <c r="I200" s="284"/>
      <c r="J200" s="284"/>
      <c r="K200" s="298"/>
      <c r="L200" s="284"/>
      <c r="M200" s="298"/>
      <c r="N200" s="299"/>
      <c r="O200" s="299"/>
      <c r="P200" s="299"/>
      <c r="Q200" s="299"/>
      <c r="R200" s="300"/>
      <c r="S200" s="115"/>
      <c r="T200" s="301"/>
      <c r="U200" s="302"/>
      <c r="V200" s="303"/>
      <c r="W200" s="303"/>
      <c r="X200" s="303"/>
      <c r="Y200" s="304"/>
      <c r="Z200" s="115"/>
      <c r="AA200" s="301"/>
      <c r="AB200" s="302"/>
      <c r="AC200" s="302"/>
      <c r="AD200" s="302"/>
      <c r="AE200" s="302"/>
      <c r="AF200" s="302"/>
      <c r="AG200" s="302"/>
      <c r="AH200" s="302"/>
      <c r="AI200" s="302"/>
      <c r="AJ200" s="305"/>
    </row>
    <row r="201" spans="2:36" s="36" customFormat="1" ht="15.6" x14ac:dyDescent="0.3">
      <c r="B201" s="306" t="s">
        <v>64</v>
      </c>
      <c r="C201" s="148" t="s">
        <v>24</v>
      </c>
      <c r="D201" s="307" t="s">
        <v>234</v>
      </c>
      <c r="E201" s="308"/>
      <c r="F201" s="308"/>
      <c r="G201" s="309">
        <v>481483000</v>
      </c>
      <c r="H201" s="309">
        <v>82438000</v>
      </c>
      <c r="I201" s="309">
        <v>76389000</v>
      </c>
      <c r="J201" s="309">
        <v>6049000</v>
      </c>
      <c r="K201" s="310">
        <v>1.0791867938999999</v>
      </c>
      <c r="L201" s="309">
        <v>26646000</v>
      </c>
      <c r="M201" s="310">
        <v>0.73036693765000005</v>
      </c>
      <c r="N201" s="311">
        <v>80.302035896000007</v>
      </c>
      <c r="O201" s="311">
        <v>79.901218858999997</v>
      </c>
      <c r="P201" s="311">
        <v>24.925768482999999</v>
      </c>
      <c r="Q201" s="311">
        <v>105.22780437</v>
      </c>
      <c r="R201" s="312">
        <v>25.326585519999998</v>
      </c>
      <c r="S201" s="115"/>
      <c r="T201" s="313">
        <v>84111000</v>
      </c>
      <c r="U201" s="314">
        <v>47755000</v>
      </c>
      <c r="V201" s="315">
        <v>0.17469152597000001</v>
      </c>
      <c r="W201" s="315">
        <v>0.39432083486000002</v>
      </c>
      <c r="X201" s="315">
        <v>0.40053025169000001</v>
      </c>
      <c r="Y201" s="316">
        <v>7.1881204599000006E-2</v>
      </c>
      <c r="Z201" s="115"/>
      <c r="AA201" s="313">
        <v>205451000</v>
      </c>
      <c r="AB201" s="314">
        <v>7855000</v>
      </c>
      <c r="AC201" s="314">
        <v>77300000</v>
      </c>
      <c r="AD201" s="314">
        <v>22883000</v>
      </c>
      <c r="AE201" s="314">
        <v>94459000</v>
      </c>
      <c r="AF201" s="314">
        <v>-16039000</v>
      </c>
      <c r="AG201" s="314">
        <v>0</v>
      </c>
      <c r="AH201" s="314">
        <v>-593000</v>
      </c>
      <c r="AI201" s="314">
        <v>27826000</v>
      </c>
      <c r="AJ201" s="317">
        <v>-385000</v>
      </c>
    </row>
    <row r="202" spans="2:36" ht="15.6" x14ac:dyDescent="0.3">
      <c r="B202" s="283" t="s">
        <v>603</v>
      </c>
      <c r="C202" s="176" t="s">
        <v>991</v>
      </c>
      <c r="D202" s="296" t="s">
        <v>226</v>
      </c>
      <c r="E202" s="297"/>
      <c r="F202" s="297"/>
      <c r="G202" s="284"/>
      <c r="H202" s="284"/>
      <c r="I202" s="284"/>
      <c r="J202" s="284"/>
      <c r="K202" s="298"/>
      <c r="L202" s="284"/>
      <c r="M202" s="298"/>
      <c r="N202" s="299"/>
      <c r="O202" s="299"/>
      <c r="P202" s="299"/>
      <c r="Q202" s="299"/>
      <c r="R202" s="300"/>
      <c r="S202" s="115"/>
      <c r="T202" s="301"/>
      <c r="U202" s="302"/>
      <c r="V202" s="303"/>
      <c r="W202" s="303"/>
      <c r="X202" s="303"/>
      <c r="Y202" s="304"/>
      <c r="Z202" s="115"/>
      <c r="AA202" s="301"/>
      <c r="AB202" s="302"/>
      <c r="AC202" s="302"/>
      <c r="AD202" s="302"/>
      <c r="AE202" s="302"/>
      <c r="AF202" s="302"/>
      <c r="AG202" s="302"/>
      <c r="AH202" s="302"/>
      <c r="AI202" s="302"/>
      <c r="AJ202" s="305"/>
    </row>
    <row r="203" spans="2:36" ht="15.6" x14ac:dyDescent="0.3">
      <c r="B203" s="306" t="s">
        <v>1524</v>
      </c>
      <c r="C203" s="148" t="s">
        <v>1947</v>
      </c>
      <c r="D203" s="307" t="s">
        <v>226</v>
      </c>
      <c r="E203" s="308"/>
      <c r="F203" s="308"/>
      <c r="G203" s="309"/>
      <c r="H203" s="309"/>
      <c r="I203" s="309"/>
      <c r="J203" s="309"/>
      <c r="K203" s="310"/>
      <c r="L203" s="309"/>
      <c r="M203" s="310"/>
      <c r="N203" s="311"/>
      <c r="O203" s="311"/>
      <c r="P203" s="311"/>
      <c r="Q203" s="311"/>
      <c r="R203" s="312"/>
      <c r="S203" s="115"/>
      <c r="T203" s="313"/>
      <c r="U203" s="314"/>
      <c r="V203" s="315"/>
      <c r="W203" s="315"/>
      <c r="X203" s="315"/>
      <c r="Y203" s="316"/>
      <c r="Z203" s="115"/>
      <c r="AA203" s="313"/>
      <c r="AB203" s="314"/>
      <c r="AC203" s="314"/>
      <c r="AD203" s="314"/>
      <c r="AE203" s="314"/>
      <c r="AF203" s="314"/>
      <c r="AG203" s="314"/>
      <c r="AH203" s="314"/>
      <c r="AI203" s="314"/>
      <c r="AJ203" s="317"/>
    </row>
    <row r="204" spans="2:36" ht="15.6" x14ac:dyDescent="0.3">
      <c r="B204" s="283" t="s">
        <v>66</v>
      </c>
      <c r="C204" s="176" t="s">
        <v>100</v>
      </c>
      <c r="D204" s="296" t="s">
        <v>226</v>
      </c>
      <c r="E204" s="297"/>
      <c r="F204" s="297"/>
      <c r="G204" s="284"/>
      <c r="H204" s="284"/>
      <c r="I204" s="284"/>
      <c r="J204" s="284"/>
      <c r="K204" s="298"/>
      <c r="L204" s="284"/>
      <c r="M204" s="298"/>
      <c r="N204" s="299"/>
      <c r="O204" s="299"/>
      <c r="P204" s="299"/>
      <c r="Q204" s="299"/>
      <c r="R204" s="300"/>
      <c r="S204" s="115"/>
      <c r="T204" s="301"/>
      <c r="U204" s="302"/>
      <c r="V204" s="303"/>
      <c r="W204" s="303"/>
      <c r="X204" s="303"/>
      <c r="Y204" s="304"/>
      <c r="Z204" s="115"/>
      <c r="AA204" s="301"/>
      <c r="AB204" s="302"/>
      <c r="AC204" s="302"/>
      <c r="AD204" s="302"/>
      <c r="AE204" s="302"/>
      <c r="AF204" s="302"/>
      <c r="AG204" s="302"/>
      <c r="AH204" s="302"/>
      <c r="AI204" s="302"/>
      <c r="AJ204" s="305"/>
    </row>
    <row r="205" spans="2:36" ht="15.6" x14ac:dyDescent="0.3">
      <c r="B205" s="306" t="s">
        <v>67</v>
      </c>
      <c r="C205" s="148" t="s">
        <v>101</v>
      </c>
      <c r="D205" s="307" t="s">
        <v>103</v>
      </c>
      <c r="E205" s="308"/>
      <c r="F205" s="308"/>
      <c r="G205" s="309"/>
      <c r="H205" s="309"/>
      <c r="I205" s="309"/>
      <c r="J205" s="309"/>
      <c r="K205" s="310"/>
      <c r="L205" s="309"/>
      <c r="M205" s="310"/>
      <c r="N205" s="311"/>
      <c r="O205" s="311"/>
      <c r="P205" s="311"/>
      <c r="Q205" s="311"/>
      <c r="R205" s="312"/>
      <c r="S205" s="115"/>
      <c r="T205" s="313"/>
      <c r="U205" s="314"/>
      <c r="V205" s="315"/>
      <c r="W205" s="315"/>
      <c r="X205" s="315"/>
      <c r="Y205" s="316"/>
      <c r="Z205" s="115"/>
      <c r="AA205" s="313"/>
      <c r="AB205" s="314"/>
      <c r="AC205" s="314"/>
      <c r="AD205" s="314"/>
      <c r="AE205" s="314"/>
      <c r="AF205" s="314"/>
      <c r="AG205" s="314"/>
      <c r="AH205" s="314"/>
      <c r="AI205" s="314"/>
      <c r="AJ205" s="317"/>
    </row>
    <row r="206" spans="2:36" ht="15.6" x14ac:dyDescent="0.3">
      <c r="B206" s="283" t="s">
        <v>1525</v>
      </c>
      <c r="C206" s="176" t="s">
        <v>1948</v>
      </c>
      <c r="D206" s="296" t="s">
        <v>226</v>
      </c>
      <c r="E206" s="297"/>
      <c r="F206" s="297"/>
      <c r="G206" s="284"/>
      <c r="H206" s="284"/>
      <c r="I206" s="284"/>
      <c r="J206" s="284"/>
      <c r="K206" s="298"/>
      <c r="L206" s="284"/>
      <c r="M206" s="298"/>
      <c r="N206" s="299"/>
      <c r="O206" s="299"/>
      <c r="P206" s="299"/>
      <c r="Q206" s="299"/>
      <c r="R206" s="300"/>
      <c r="S206" s="115"/>
      <c r="T206" s="301"/>
      <c r="U206" s="302"/>
      <c r="V206" s="303"/>
      <c r="W206" s="303"/>
      <c r="X206" s="303"/>
      <c r="Y206" s="304"/>
      <c r="Z206" s="115"/>
      <c r="AA206" s="301"/>
      <c r="AB206" s="302"/>
      <c r="AC206" s="302"/>
      <c r="AD206" s="302"/>
      <c r="AE206" s="302"/>
      <c r="AF206" s="302"/>
      <c r="AG206" s="302"/>
      <c r="AH206" s="302"/>
      <c r="AI206" s="302"/>
      <c r="AJ206" s="305"/>
    </row>
    <row r="207" spans="2:36" ht="15.6" x14ac:dyDescent="0.3">
      <c r="B207" s="306" t="s">
        <v>1526</v>
      </c>
      <c r="C207" s="148" t="s">
        <v>1949</v>
      </c>
      <c r="D207" s="307" t="s">
        <v>227</v>
      </c>
      <c r="E207" s="308"/>
      <c r="F207" s="308"/>
      <c r="G207" s="309">
        <v>7046027</v>
      </c>
      <c r="H207" s="309">
        <v>1112767</v>
      </c>
      <c r="I207" s="309">
        <v>1026236</v>
      </c>
      <c r="J207" s="309">
        <v>86531</v>
      </c>
      <c r="K207" s="310">
        <v>1.0843188117</v>
      </c>
      <c r="L207" s="309">
        <v>56391</v>
      </c>
      <c r="M207" s="310">
        <v>1.0293694628000001</v>
      </c>
      <c r="N207" s="311">
        <v>30.096245077999999</v>
      </c>
      <c r="O207" s="311">
        <v>148.50971346</v>
      </c>
      <c r="P207" s="311">
        <v>56.899691357999998</v>
      </c>
      <c r="Q207" s="311">
        <v>86.995936435999994</v>
      </c>
      <c r="R207" s="312">
        <v>-61.513777023000003</v>
      </c>
      <c r="S207" s="115"/>
      <c r="T207" s="313">
        <v>2807439</v>
      </c>
      <c r="U207" s="314">
        <v>2085713</v>
      </c>
      <c r="V207" s="315">
        <v>0.39844283877999997</v>
      </c>
      <c r="W207" s="315">
        <v>0.89896588657999998</v>
      </c>
      <c r="X207" s="315">
        <v>6.0719395862000002E-2</v>
      </c>
      <c r="Y207" s="316">
        <v>0.14024133739</v>
      </c>
      <c r="Z207" s="115"/>
      <c r="AA207" s="313">
        <v>3098120</v>
      </c>
      <c r="AB207" s="314">
        <v>24845</v>
      </c>
      <c r="AC207" s="314">
        <v>922148</v>
      </c>
      <c r="AD207" s="314">
        <v>0</v>
      </c>
      <c r="AE207" s="314">
        <v>72790</v>
      </c>
      <c r="AF207" s="314">
        <v>2103182</v>
      </c>
      <c r="AG207" s="314">
        <v>0</v>
      </c>
      <c r="AH207" s="314">
        <v>0</v>
      </c>
      <c r="AI207" s="314">
        <v>0</v>
      </c>
      <c r="AJ207" s="317">
        <v>0</v>
      </c>
    </row>
    <row r="208" spans="2:36" ht="15.6" x14ac:dyDescent="0.3">
      <c r="B208" s="283" t="s">
        <v>1527</v>
      </c>
      <c r="C208" s="176" t="s">
        <v>1950</v>
      </c>
      <c r="D208" s="296" t="s">
        <v>228</v>
      </c>
      <c r="E208" s="297"/>
      <c r="F208" s="297"/>
      <c r="G208" s="284">
        <v>1075348</v>
      </c>
      <c r="H208" s="284">
        <v>33496</v>
      </c>
      <c r="I208" s="284">
        <v>159865</v>
      </c>
      <c r="J208" s="284">
        <v>-126369</v>
      </c>
      <c r="K208" s="298">
        <v>0.20952678823000001</v>
      </c>
      <c r="L208" s="284">
        <v>0</v>
      </c>
      <c r="M208" s="298">
        <v>0.20952678823000001</v>
      </c>
      <c r="N208" s="299">
        <v>0</v>
      </c>
      <c r="O208" s="299">
        <v>27.147934250999999</v>
      </c>
      <c r="P208" s="299">
        <v>8.7882751067000004</v>
      </c>
      <c r="Q208" s="299">
        <v>8.7882751067000004</v>
      </c>
      <c r="R208" s="300">
        <v>-18.359659144999998</v>
      </c>
      <c r="S208" s="115"/>
      <c r="T208" s="301">
        <v>925289</v>
      </c>
      <c r="U208" s="302">
        <v>916776</v>
      </c>
      <c r="V208" s="303">
        <v>0.86045540606000004</v>
      </c>
      <c r="W208" s="303">
        <v>-16.571845617000001</v>
      </c>
      <c r="X208" s="303">
        <v>-0.26652861971000003</v>
      </c>
      <c r="Y208" s="304">
        <v>2.0736224033999998E-2</v>
      </c>
      <c r="Z208" s="115"/>
      <c r="AA208" s="301">
        <v>-55835</v>
      </c>
      <c r="AB208" s="302">
        <v>0</v>
      </c>
      <c r="AC208" s="302">
        <v>407185</v>
      </c>
      <c r="AD208" s="302">
        <v>-463020</v>
      </c>
      <c r="AE208" s="302">
        <v>0</v>
      </c>
      <c r="AF208" s="302">
        <v>0</v>
      </c>
      <c r="AG208" s="302">
        <v>0</v>
      </c>
      <c r="AH208" s="302">
        <v>0</v>
      </c>
      <c r="AI208" s="302">
        <v>0</v>
      </c>
      <c r="AJ208" s="305">
        <v>0</v>
      </c>
    </row>
    <row r="209" spans="2:36" ht="15.6" x14ac:dyDescent="0.3">
      <c r="B209" s="306" t="s">
        <v>1528</v>
      </c>
      <c r="C209" s="148" t="s">
        <v>1951</v>
      </c>
      <c r="D209" s="307" t="s">
        <v>228</v>
      </c>
      <c r="E209" s="308"/>
      <c r="F209" s="308"/>
      <c r="G209" s="309"/>
      <c r="H209" s="309"/>
      <c r="I209" s="309"/>
      <c r="J209" s="309"/>
      <c r="K209" s="310"/>
      <c r="L209" s="309"/>
      <c r="M209" s="310"/>
      <c r="N209" s="311"/>
      <c r="O209" s="311"/>
      <c r="P209" s="311"/>
      <c r="Q209" s="311"/>
      <c r="R209" s="312"/>
      <c r="S209" s="115"/>
      <c r="T209" s="313"/>
      <c r="U209" s="314"/>
      <c r="V209" s="315"/>
      <c r="W209" s="315"/>
      <c r="X209" s="315"/>
      <c r="Y209" s="316"/>
      <c r="Z209" s="115"/>
      <c r="AA209" s="313"/>
      <c r="AB209" s="314"/>
      <c r="AC209" s="314"/>
      <c r="AD209" s="314"/>
      <c r="AE209" s="314"/>
      <c r="AF209" s="314"/>
      <c r="AG209" s="314"/>
      <c r="AH209" s="314"/>
      <c r="AI209" s="314"/>
      <c r="AJ209" s="317"/>
    </row>
    <row r="210" spans="2:36" ht="15.6" x14ac:dyDescent="0.3">
      <c r="B210" s="283" t="s">
        <v>604</v>
      </c>
      <c r="C210" s="176" t="s">
        <v>992</v>
      </c>
      <c r="D210" s="296" t="s">
        <v>228</v>
      </c>
      <c r="E210" s="297"/>
      <c r="F210" s="297"/>
      <c r="G210" s="284">
        <v>4027961</v>
      </c>
      <c r="H210" s="284">
        <v>279532</v>
      </c>
      <c r="I210" s="284">
        <v>342797</v>
      </c>
      <c r="J210" s="284">
        <v>-63265</v>
      </c>
      <c r="K210" s="298">
        <v>0.81544470926000001</v>
      </c>
      <c r="L210" s="284">
        <v>0</v>
      </c>
      <c r="M210" s="298">
        <v>0.81544470926000001</v>
      </c>
      <c r="N210" s="299">
        <v>0</v>
      </c>
      <c r="O210" s="299">
        <v>18.211831747000002</v>
      </c>
      <c r="P210" s="299">
        <v>19.260953112999999</v>
      </c>
      <c r="Q210" s="299">
        <v>19.260953112999999</v>
      </c>
      <c r="R210" s="300">
        <v>1.0491213663000001</v>
      </c>
      <c r="S210" s="115"/>
      <c r="T210" s="301">
        <v>1757814</v>
      </c>
      <c r="U210" s="302">
        <v>1532515</v>
      </c>
      <c r="V210" s="303">
        <v>0.43640293439</v>
      </c>
      <c r="W210" s="303">
        <v>1.0938699463999999</v>
      </c>
      <c r="X210" s="303">
        <v>8.3057706901999998E-2</v>
      </c>
      <c r="Y210" s="304">
        <v>0.10168197545</v>
      </c>
      <c r="Z210" s="115"/>
      <c r="AA210" s="301">
        <v>1606968</v>
      </c>
      <c r="AB210" s="302">
        <v>0</v>
      </c>
      <c r="AC210" s="302">
        <v>1441386</v>
      </c>
      <c r="AD210" s="302">
        <v>47799</v>
      </c>
      <c r="AE210" s="302">
        <v>117783</v>
      </c>
      <c r="AF210" s="302">
        <v>0</v>
      </c>
      <c r="AG210" s="302">
        <v>0</v>
      </c>
      <c r="AH210" s="302">
        <v>0</v>
      </c>
      <c r="AI210" s="302">
        <v>0</v>
      </c>
      <c r="AJ210" s="305">
        <v>0</v>
      </c>
    </row>
    <row r="211" spans="2:36" ht="15.6" x14ac:dyDescent="0.3">
      <c r="B211" s="306" t="s">
        <v>605</v>
      </c>
      <c r="C211" s="148" t="s">
        <v>993</v>
      </c>
      <c r="D211" s="307" t="s">
        <v>228</v>
      </c>
      <c r="E211" s="308"/>
      <c r="F211" s="308"/>
      <c r="G211" s="309">
        <v>1536357</v>
      </c>
      <c r="H211" s="309">
        <v>89808</v>
      </c>
      <c r="I211" s="309">
        <v>215285</v>
      </c>
      <c r="J211" s="309">
        <v>-125477</v>
      </c>
      <c r="K211" s="310">
        <v>0.41715865015999998</v>
      </c>
      <c r="L211" s="309">
        <v>0</v>
      </c>
      <c r="M211" s="310">
        <v>0.41715865015999998</v>
      </c>
      <c r="N211" s="311">
        <v>0</v>
      </c>
      <c r="O211" s="311">
        <v>73.827281439999993</v>
      </c>
      <c r="P211" s="311">
        <v>21.948930049000001</v>
      </c>
      <c r="Q211" s="311">
        <v>21.948930049000001</v>
      </c>
      <c r="R211" s="312">
        <v>-51.878351391000002</v>
      </c>
      <c r="S211" s="115"/>
      <c r="T211" s="313">
        <v>881070</v>
      </c>
      <c r="U211" s="314">
        <v>826875</v>
      </c>
      <c r="V211" s="315">
        <v>0.57347999194999999</v>
      </c>
      <c r="W211" s="315">
        <v>2.5923125357000001</v>
      </c>
      <c r="X211" s="315">
        <v>8.8915750166999999E-2</v>
      </c>
      <c r="Y211" s="316">
        <v>0.10166502094</v>
      </c>
      <c r="Z211" s="115"/>
      <c r="AA211" s="313">
        <v>339878</v>
      </c>
      <c r="AB211" s="314">
        <v>0</v>
      </c>
      <c r="AC211" s="314">
        <v>402651</v>
      </c>
      <c r="AD211" s="314">
        <v>-62773</v>
      </c>
      <c r="AE211" s="314">
        <v>0</v>
      </c>
      <c r="AF211" s="314">
        <v>0</v>
      </c>
      <c r="AG211" s="314">
        <v>0</v>
      </c>
      <c r="AH211" s="314">
        <v>0</v>
      </c>
      <c r="AI211" s="314">
        <v>0</v>
      </c>
      <c r="AJ211" s="317">
        <v>0</v>
      </c>
    </row>
    <row r="212" spans="2:36" ht="15.6" x14ac:dyDescent="0.3">
      <c r="B212" s="283" t="s">
        <v>1529</v>
      </c>
      <c r="C212" s="176" t="s">
        <v>1952</v>
      </c>
      <c r="D212" s="296" t="s">
        <v>1967</v>
      </c>
      <c r="E212" s="297"/>
      <c r="F212" s="297"/>
      <c r="G212" s="284"/>
      <c r="H212" s="284"/>
      <c r="I212" s="284"/>
      <c r="J212" s="284"/>
      <c r="K212" s="298"/>
      <c r="L212" s="284"/>
      <c r="M212" s="298"/>
      <c r="N212" s="299"/>
      <c r="O212" s="299"/>
      <c r="P212" s="299"/>
      <c r="Q212" s="299"/>
      <c r="R212" s="300"/>
      <c r="S212" s="115"/>
      <c r="T212" s="301"/>
      <c r="U212" s="302"/>
      <c r="V212" s="303"/>
      <c r="W212" s="303"/>
      <c r="X212" s="303"/>
      <c r="Y212" s="304"/>
      <c r="Z212" s="115"/>
      <c r="AA212" s="301"/>
      <c r="AB212" s="302"/>
      <c r="AC212" s="302"/>
      <c r="AD212" s="302"/>
      <c r="AE212" s="302"/>
      <c r="AF212" s="302"/>
      <c r="AG212" s="302"/>
      <c r="AH212" s="302"/>
      <c r="AI212" s="302"/>
      <c r="AJ212" s="305"/>
    </row>
    <row r="213" spans="2:36" ht="15.6" x14ac:dyDescent="0.3">
      <c r="B213" s="306" t="s">
        <v>1530</v>
      </c>
      <c r="C213" s="148" t="s">
        <v>1953</v>
      </c>
      <c r="D213" s="307" t="s">
        <v>104</v>
      </c>
      <c r="E213" s="308"/>
      <c r="F213" s="308"/>
      <c r="G213" s="309"/>
      <c r="H213" s="309"/>
      <c r="I213" s="309"/>
      <c r="J213" s="309"/>
      <c r="K213" s="310"/>
      <c r="L213" s="309"/>
      <c r="M213" s="310"/>
      <c r="N213" s="311"/>
      <c r="O213" s="311"/>
      <c r="P213" s="311"/>
      <c r="Q213" s="311"/>
      <c r="R213" s="312"/>
      <c r="S213" s="115"/>
      <c r="T213" s="313"/>
      <c r="U213" s="314"/>
      <c r="V213" s="315"/>
      <c r="W213" s="315"/>
      <c r="X213" s="315"/>
      <c r="Y213" s="316"/>
      <c r="Z213" s="115"/>
      <c r="AA213" s="313"/>
      <c r="AB213" s="314"/>
      <c r="AC213" s="314"/>
      <c r="AD213" s="314"/>
      <c r="AE213" s="314"/>
      <c r="AF213" s="314"/>
      <c r="AG213" s="314"/>
      <c r="AH213" s="314"/>
      <c r="AI213" s="314"/>
      <c r="AJ213" s="317"/>
    </row>
    <row r="214" spans="2:36" ht="15.6" x14ac:dyDescent="0.3">
      <c r="B214" s="283" t="s">
        <v>1531</v>
      </c>
      <c r="C214" s="176" t="s">
        <v>1954</v>
      </c>
      <c r="D214" s="296" t="s">
        <v>226</v>
      </c>
      <c r="E214" s="297"/>
      <c r="F214" s="297"/>
      <c r="G214" s="284"/>
      <c r="H214" s="284"/>
      <c r="I214" s="284"/>
      <c r="J214" s="284"/>
      <c r="K214" s="298"/>
      <c r="L214" s="284"/>
      <c r="M214" s="298"/>
      <c r="N214" s="299"/>
      <c r="O214" s="299"/>
      <c r="P214" s="299"/>
      <c r="Q214" s="299"/>
      <c r="R214" s="300"/>
      <c r="S214" s="115"/>
      <c r="T214" s="301"/>
      <c r="U214" s="302"/>
      <c r="V214" s="303"/>
      <c r="W214" s="303"/>
      <c r="X214" s="303"/>
      <c r="Y214" s="304"/>
      <c r="Z214" s="115"/>
      <c r="AA214" s="301"/>
      <c r="AB214" s="302"/>
      <c r="AC214" s="302"/>
      <c r="AD214" s="302"/>
      <c r="AE214" s="302"/>
      <c r="AF214" s="302"/>
      <c r="AG214" s="302"/>
      <c r="AH214" s="302"/>
      <c r="AI214" s="302"/>
      <c r="AJ214" s="305"/>
    </row>
    <row r="215" spans="2:36" ht="15.6" x14ac:dyDescent="0.3">
      <c r="B215" s="306"/>
      <c r="C215" s="148"/>
      <c r="D215" s="307"/>
      <c r="E215" s="308"/>
      <c r="F215" s="308"/>
      <c r="G215" s="309"/>
      <c r="H215" s="309"/>
      <c r="I215" s="309"/>
      <c r="J215" s="309"/>
      <c r="K215" s="310"/>
      <c r="L215" s="309"/>
      <c r="M215" s="310"/>
      <c r="N215" s="311"/>
      <c r="O215" s="311"/>
      <c r="P215" s="311"/>
      <c r="Q215" s="311"/>
      <c r="R215" s="312"/>
      <c r="S215" s="115"/>
      <c r="T215" s="313"/>
      <c r="U215" s="314"/>
      <c r="V215" s="315"/>
      <c r="W215" s="315"/>
      <c r="X215" s="315"/>
      <c r="Y215" s="316"/>
      <c r="Z215" s="115"/>
      <c r="AA215" s="313"/>
      <c r="AB215" s="314"/>
      <c r="AC215" s="314"/>
      <c r="AD215" s="314"/>
      <c r="AE215" s="314"/>
      <c r="AF215" s="314"/>
      <c r="AG215" s="314"/>
      <c r="AH215" s="314"/>
      <c r="AI215" s="314"/>
      <c r="AJ215" s="317"/>
    </row>
    <row r="216" spans="2:36" ht="15.6" x14ac:dyDescent="0.3">
      <c r="B216" s="283"/>
      <c r="C216" s="176"/>
      <c r="D216" s="296"/>
      <c r="E216" s="297"/>
      <c r="F216" s="297"/>
      <c r="G216" s="284"/>
      <c r="H216" s="284"/>
      <c r="I216" s="284"/>
      <c r="J216" s="284"/>
      <c r="K216" s="298"/>
      <c r="L216" s="284"/>
      <c r="M216" s="298"/>
      <c r="N216" s="299"/>
      <c r="O216" s="299"/>
      <c r="P216" s="299"/>
      <c r="Q216" s="299"/>
      <c r="R216" s="300"/>
      <c r="S216" s="115"/>
      <c r="T216" s="301"/>
      <c r="U216" s="302"/>
      <c r="V216" s="303"/>
      <c r="W216" s="303"/>
      <c r="X216" s="303"/>
      <c r="Y216" s="304"/>
      <c r="Z216" s="115"/>
      <c r="AA216" s="301"/>
      <c r="AB216" s="302"/>
      <c r="AC216" s="302"/>
      <c r="AD216" s="302"/>
      <c r="AE216" s="302"/>
      <c r="AF216" s="302"/>
      <c r="AG216" s="302"/>
      <c r="AH216" s="302"/>
      <c r="AI216" s="302"/>
      <c r="AJ216" s="305"/>
    </row>
    <row r="217" spans="2:36" ht="15.6" x14ac:dyDescent="0.3">
      <c r="B217" s="306"/>
      <c r="C217" s="148"/>
      <c r="D217" s="307"/>
      <c r="E217" s="308"/>
      <c r="F217" s="308"/>
      <c r="G217" s="309"/>
      <c r="H217" s="309"/>
      <c r="I217" s="309"/>
      <c r="J217" s="309"/>
      <c r="K217" s="310"/>
      <c r="L217" s="309"/>
      <c r="M217" s="310"/>
      <c r="N217" s="311"/>
      <c r="O217" s="311"/>
      <c r="P217" s="311"/>
      <c r="Q217" s="311"/>
      <c r="R217" s="312"/>
      <c r="S217" s="115"/>
      <c r="T217" s="313"/>
      <c r="U217" s="314"/>
      <c r="V217" s="315"/>
      <c r="W217" s="315"/>
      <c r="X217" s="315"/>
      <c r="Y217" s="316"/>
      <c r="Z217" s="115"/>
      <c r="AA217" s="313"/>
      <c r="AB217" s="314"/>
      <c r="AC217" s="314"/>
      <c r="AD217" s="314"/>
      <c r="AE217" s="314"/>
      <c r="AF217" s="314"/>
      <c r="AG217" s="314"/>
      <c r="AH217" s="314"/>
      <c r="AI217" s="314"/>
      <c r="AJ217" s="317"/>
    </row>
    <row r="218" spans="2:36" ht="15.6" x14ac:dyDescent="0.3">
      <c r="B218" s="283"/>
      <c r="C218" s="176"/>
      <c r="D218" s="296"/>
      <c r="E218" s="297"/>
      <c r="F218" s="297"/>
      <c r="G218" s="284"/>
      <c r="H218" s="284"/>
      <c r="I218" s="284"/>
      <c r="J218" s="284"/>
      <c r="K218" s="298"/>
      <c r="L218" s="284"/>
      <c r="M218" s="298"/>
      <c r="N218" s="299"/>
      <c r="O218" s="299"/>
      <c r="P218" s="299"/>
      <c r="Q218" s="299"/>
      <c r="R218" s="300"/>
      <c r="S218" s="115"/>
      <c r="T218" s="301"/>
      <c r="U218" s="302"/>
      <c r="V218" s="303"/>
      <c r="W218" s="303"/>
      <c r="X218" s="303"/>
      <c r="Y218" s="304"/>
      <c r="Z218" s="115"/>
      <c r="AA218" s="301"/>
      <c r="AB218" s="302"/>
      <c r="AC218" s="302"/>
      <c r="AD218" s="302"/>
      <c r="AE218" s="302"/>
      <c r="AF218" s="302"/>
      <c r="AG218" s="302"/>
      <c r="AH218" s="302"/>
      <c r="AI218" s="302"/>
      <c r="AJ218" s="305"/>
    </row>
    <row r="219" spans="2:36" ht="15.6" x14ac:dyDescent="0.3">
      <c r="B219" s="306"/>
      <c r="C219" s="148"/>
      <c r="D219" s="307"/>
      <c r="E219" s="308"/>
      <c r="F219" s="308"/>
      <c r="G219" s="309"/>
      <c r="H219" s="309"/>
      <c r="I219" s="309"/>
      <c r="J219" s="309"/>
      <c r="K219" s="310"/>
      <c r="L219" s="309"/>
      <c r="M219" s="310"/>
      <c r="N219" s="311"/>
      <c r="O219" s="311"/>
      <c r="P219" s="311"/>
      <c r="Q219" s="311"/>
      <c r="R219" s="312"/>
      <c r="S219" s="115"/>
      <c r="T219" s="313"/>
      <c r="U219" s="314"/>
      <c r="V219" s="315"/>
      <c r="W219" s="315"/>
      <c r="X219" s="315"/>
      <c r="Y219" s="316"/>
      <c r="Z219" s="115"/>
      <c r="AA219" s="313"/>
      <c r="AB219" s="314"/>
      <c r="AC219" s="314"/>
      <c r="AD219" s="314"/>
      <c r="AE219" s="314"/>
      <c r="AF219" s="314"/>
      <c r="AG219" s="314"/>
      <c r="AH219" s="314"/>
      <c r="AI219" s="314"/>
      <c r="AJ219" s="317"/>
    </row>
    <row r="220" spans="2:36" ht="15.6" x14ac:dyDescent="0.3">
      <c r="B220" s="283"/>
      <c r="C220" s="176"/>
      <c r="D220" s="296"/>
      <c r="E220" s="297"/>
      <c r="F220" s="297"/>
      <c r="G220" s="284"/>
      <c r="H220" s="284"/>
      <c r="I220" s="284"/>
      <c r="J220" s="284"/>
      <c r="K220" s="298"/>
      <c r="L220" s="284"/>
      <c r="M220" s="298"/>
      <c r="N220" s="299"/>
      <c r="O220" s="299"/>
      <c r="P220" s="299"/>
      <c r="Q220" s="299"/>
      <c r="R220" s="300"/>
      <c r="S220" s="115"/>
      <c r="T220" s="301"/>
      <c r="U220" s="302"/>
      <c r="V220" s="303"/>
      <c r="W220" s="303"/>
      <c r="X220" s="303"/>
      <c r="Y220" s="304"/>
      <c r="Z220" s="115"/>
      <c r="AA220" s="301"/>
      <c r="AB220" s="302"/>
      <c r="AC220" s="302"/>
      <c r="AD220" s="302"/>
      <c r="AE220" s="302"/>
      <c r="AF220" s="302"/>
      <c r="AG220" s="302"/>
      <c r="AH220" s="302"/>
      <c r="AI220" s="302"/>
      <c r="AJ220" s="305"/>
    </row>
    <row r="221" spans="2:36" ht="15.6" x14ac:dyDescent="0.3">
      <c r="B221" s="306"/>
      <c r="C221" s="148"/>
      <c r="D221" s="307"/>
      <c r="E221" s="308"/>
      <c r="F221" s="308"/>
      <c r="G221" s="309"/>
      <c r="H221" s="309"/>
      <c r="I221" s="309"/>
      <c r="J221" s="309"/>
      <c r="K221" s="310"/>
      <c r="L221" s="309"/>
      <c r="M221" s="310"/>
      <c r="N221" s="311"/>
      <c r="O221" s="311"/>
      <c r="P221" s="311"/>
      <c r="Q221" s="311"/>
      <c r="R221" s="312"/>
      <c r="S221" s="115"/>
      <c r="T221" s="313"/>
      <c r="U221" s="314"/>
      <c r="V221" s="315"/>
      <c r="W221" s="315"/>
      <c r="X221" s="315"/>
      <c r="Y221" s="316"/>
      <c r="Z221" s="115"/>
      <c r="AA221" s="313"/>
      <c r="AB221" s="314"/>
      <c r="AC221" s="314"/>
      <c r="AD221" s="314"/>
      <c r="AE221" s="314"/>
      <c r="AF221" s="314"/>
      <c r="AG221" s="314"/>
      <c r="AH221" s="314"/>
      <c r="AI221" s="314"/>
      <c r="AJ221" s="317"/>
    </row>
    <row r="222" spans="2:36" ht="15.6" x14ac:dyDescent="0.3">
      <c r="B222" s="283"/>
      <c r="C222" s="176"/>
      <c r="D222" s="296"/>
      <c r="E222" s="297"/>
      <c r="F222" s="297"/>
      <c r="G222" s="284"/>
      <c r="H222" s="284"/>
      <c r="I222" s="284"/>
      <c r="J222" s="284"/>
      <c r="K222" s="298"/>
      <c r="L222" s="284"/>
      <c r="M222" s="298"/>
      <c r="N222" s="299"/>
      <c r="O222" s="299"/>
      <c r="P222" s="299"/>
      <c r="Q222" s="299"/>
      <c r="R222" s="300"/>
      <c r="S222" s="115"/>
      <c r="T222" s="301"/>
      <c r="U222" s="302"/>
      <c r="V222" s="303"/>
      <c r="W222" s="303"/>
      <c r="X222" s="303"/>
      <c r="Y222" s="304"/>
      <c r="Z222" s="115"/>
      <c r="AA222" s="301"/>
      <c r="AB222" s="302"/>
      <c r="AC222" s="302"/>
      <c r="AD222" s="302"/>
      <c r="AE222" s="302"/>
      <c r="AF222" s="302"/>
      <c r="AG222" s="302"/>
      <c r="AH222" s="302"/>
      <c r="AI222" s="302"/>
      <c r="AJ222" s="305"/>
    </row>
    <row r="223" spans="2:36" ht="15.6" x14ac:dyDescent="0.3">
      <c r="B223" s="306"/>
      <c r="C223" s="148"/>
      <c r="D223" s="307"/>
      <c r="E223" s="308"/>
      <c r="F223" s="308"/>
      <c r="G223" s="309"/>
      <c r="H223" s="309"/>
      <c r="I223" s="309"/>
      <c r="J223" s="309"/>
      <c r="K223" s="310"/>
      <c r="L223" s="309"/>
      <c r="M223" s="310"/>
      <c r="N223" s="311"/>
      <c r="O223" s="311"/>
      <c r="P223" s="311"/>
      <c r="Q223" s="311"/>
      <c r="R223" s="312"/>
      <c r="S223" s="115"/>
      <c r="T223" s="313"/>
      <c r="U223" s="314"/>
      <c r="V223" s="315"/>
      <c r="W223" s="315"/>
      <c r="X223" s="315"/>
      <c r="Y223" s="316"/>
      <c r="Z223" s="115"/>
      <c r="AA223" s="313"/>
      <c r="AB223" s="314"/>
      <c r="AC223" s="314"/>
      <c r="AD223" s="314"/>
      <c r="AE223" s="314"/>
      <c r="AF223" s="314"/>
      <c r="AG223" s="314"/>
      <c r="AH223" s="314"/>
      <c r="AI223" s="314"/>
      <c r="AJ223" s="317"/>
    </row>
    <row r="224" spans="2:36" ht="15.6" x14ac:dyDescent="0.3">
      <c r="B224" s="283"/>
      <c r="C224" s="176"/>
      <c r="D224" s="296"/>
      <c r="E224" s="297"/>
      <c r="F224" s="297"/>
      <c r="G224" s="284"/>
      <c r="H224" s="284"/>
      <c r="I224" s="284"/>
      <c r="J224" s="284"/>
      <c r="K224" s="298"/>
      <c r="L224" s="284"/>
      <c r="M224" s="298"/>
      <c r="N224" s="299"/>
      <c r="O224" s="299"/>
      <c r="P224" s="299"/>
      <c r="Q224" s="299"/>
      <c r="R224" s="300"/>
      <c r="S224" s="115"/>
      <c r="T224" s="301"/>
      <c r="U224" s="302"/>
      <c r="V224" s="303"/>
      <c r="W224" s="303"/>
      <c r="X224" s="303"/>
      <c r="Y224" s="304"/>
      <c r="Z224" s="115"/>
      <c r="AA224" s="301"/>
      <c r="AB224" s="302"/>
      <c r="AC224" s="302"/>
      <c r="AD224" s="302"/>
      <c r="AE224" s="302"/>
      <c r="AF224" s="302"/>
      <c r="AG224" s="302"/>
      <c r="AH224" s="302"/>
      <c r="AI224" s="302"/>
      <c r="AJ224" s="305"/>
    </row>
    <row r="225" spans="2:36" ht="15.6" x14ac:dyDescent="0.3">
      <c r="B225" s="306"/>
      <c r="C225" s="148"/>
      <c r="D225" s="307"/>
      <c r="E225" s="308"/>
      <c r="F225" s="308"/>
      <c r="G225" s="309"/>
      <c r="H225" s="309"/>
      <c r="I225" s="309"/>
      <c r="J225" s="309"/>
      <c r="K225" s="310"/>
      <c r="L225" s="309"/>
      <c r="M225" s="310"/>
      <c r="N225" s="311"/>
      <c r="O225" s="311"/>
      <c r="P225" s="311"/>
      <c r="Q225" s="311"/>
      <c r="R225" s="312"/>
      <c r="S225" s="115"/>
      <c r="T225" s="313"/>
      <c r="U225" s="314"/>
      <c r="V225" s="315"/>
      <c r="W225" s="315"/>
      <c r="X225" s="315"/>
      <c r="Y225" s="316"/>
      <c r="Z225" s="115"/>
      <c r="AA225" s="313"/>
      <c r="AB225" s="314"/>
      <c r="AC225" s="314"/>
      <c r="AD225" s="314"/>
      <c r="AE225" s="314"/>
      <c r="AF225" s="314"/>
      <c r="AG225" s="314"/>
      <c r="AH225" s="314"/>
      <c r="AI225" s="314"/>
      <c r="AJ225" s="317"/>
    </row>
    <row r="226" spans="2:36" ht="15.6" x14ac:dyDescent="0.3">
      <c r="B226" s="283"/>
      <c r="C226" s="176"/>
      <c r="D226" s="296"/>
      <c r="E226" s="297"/>
      <c r="F226" s="297"/>
      <c r="G226" s="284"/>
      <c r="H226" s="284"/>
      <c r="I226" s="284"/>
      <c r="J226" s="284"/>
      <c r="K226" s="298"/>
      <c r="L226" s="284"/>
      <c r="M226" s="298"/>
      <c r="N226" s="299"/>
      <c r="O226" s="299"/>
      <c r="P226" s="299"/>
      <c r="Q226" s="299"/>
      <c r="R226" s="300"/>
      <c r="S226" s="115"/>
      <c r="T226" s="301"/>
      <c r="U226" s="302"/>
      <c r="V226" s="303"/>
      <c r="W226" s="303"/>
      <c r="X226" s="303"/>
      <c r="Y226" s="304"/>
      <c r="Z226" s="115"/>
      <c r="AA226" s="301"/>
      <c r="AB226" s="302"/>
      <c r="AC226" s="302"/>
      <c r="AD226" s="302"/>
      <c r="AE226" s="302"/>
      <c r="AF226" s="302"/>
      <c r="AG226" s="302"/>
      <c r="AH226" s="302"/>
      <c r="AI226" s="302"/>
      <c r="AJ226" s="305"/>
    </row>
    <row r="227" spans="2:36" ht="15.6" x14ac:dyDescent="0.3">
      <c r="B227" s="306"/>
      <c r="C227" s="148"/>
      <c r="D227" s="307"/>
      <c r="E227" s="308"/>
      <c r="F227" s="308"/>
      <c r="G227" s="309"/>
      <c r="H227" s="309"/>
      <c r="I227" s="309"/>
      <c r="J227" s="309"/>
      <c r="K227" s="310"/>
      <c r="L227" s="309"/>
      <c r="M227" s="310"/>
      <c r="N227" s="311"/>
      <c r="O227" s="311"/>
      <c r="P227" s="311"/>
      <c r="Q227" s="311"/>
      <c r="R227" s="312"/>
      <c r="S227" s="115"/>
      <c r="T227" s="313"/>
      <c r="U227" s="314"/>
      <c r="V227" s="315"/>
      <c r="W227" s="315"/>
      <c r="X227" s="315"/>
      <c r="Y227" s="316"/>
      <c r="Z227" s="115"/>
      <c r="AA227" s="313"/>
      <c r="AB227" s="314"/>
      <c r="AC227" s="314"/>
      <c r="AD227" s="314"/>
      <c r="AE227" s="314"/>
      <c r="AF227" s="314"/>
      <c r="AG227" s="314"/>
      <c r="AH227" s="314"/>
      <c r="AI227" s="314"/>
      <c r="AJ227" s="317"/>
    </row>
    <row r="228" spans="2:36" ht="15.6" x14ac:dyDescent="0.3">
      <c r="B228" s="283"/>
      <c r="C228" s="176"/>
      <c r="D228" s="296"/>
      <c r="E228" s="297"/>
      <c r="F228" s="297"/>
      <c r="G228" s="284"/>
      <c r="H228" s="284"/>
      <c r="I228" s="284"/>
      <c r="J228" s="284"/>
      <c r="K228" s="298"/>
      <c r="L228" s="284"/>
      <c r="M228" s="298"/>
      <c r="N228" s="299"/>
      <c r="O228" s="299"/>
      <c r="P228" s="299"/>
      <c r="Q228" s="299"/>
      <c r="R228" s="300"/>
      <c r="S228" s="115"/>
      <c r="T228" s="301"/>
      <c r="U228" s="302"/>
      <c r="V228" s="303"/>
      <c r="W228" s="303"/>
      <c r="X228" s="303"/>
      <c r="Y228" s="304"/>
      <c r="Z228" s="115"/>
      <c r="AA228" s="301"/>
      <c r="AB228" s="302"/>
      <c r="AC228" s="302"/>
      <c r="AD228" s="302"/>
      <c r="AE228" s="302"/>
      <c r="AF228" s="302"/>
      <c r="AG228" s="302"/>
      <c r="AH228" s="302"/>
      <c r="AI228" s="302"/>
      <c r="AJ228" s="305"/>
    </row>
    <row r="229" spans="2:36" ht="15.6" x14ac:dyDescent="0.3">
      <c r="B229" s="306"/>
      <c r="C229" s="148"/>
      <c r="D229" s="307"/>
      <c r="E229" s="308"/>
      <c r="F229" s="308"/>
      <c r="G229" s="309"/>
      <c r="H229" s="309"/>
      <c r="I229" s="309"/>
      <c r="J229" s="309"/>
      <c r="K229" s="310"/>
      <c r="L229" s="309"/>
      <c r="M229" s="310"/>
      <c r="N229" s="311"/>
      <c r="O229" s="311"/>
      <c r="P229" s="311"/>
      <c r="Q229" s="311"/>
      <c r="R229" s="312"/>
      <c r="S229" s="115"/>
      <c r="T229" s="313"/>
      <c r="U229" s="314"/>
      <c r="V229" s="315"/>
      <c r="W229" s="315"/>
      <c r="X229" s="315"/>
      <c r="Y229" s="316"/>
      <c r="Z229" s="115"/>
      <c r="AA229" s="313"/>
      <c r="AB229" s="314"/>
      <c r="AC229" s="314"/>
      <c r="AD229" s="314"/>
      <c r="AE229" s="314"/>
      <c r="AF229" s="314"/>
      <c r="AG229" s="314"/>
      <c r="AH229" s="314"/>
      <c r="AI229" s="314"/>
      <c r="AJ229" s="317"/>
    </row>
    <row r="230" spans="2:36" ht="15.6" x14ac:dyDescent="0.3">
      <c r="B230" s="283"/>
      <c r="C230" s="176"/>
      <c r="D230" s="296"/>
      <c r="E230" s="297"/>
      <c r="F230" s="297"/>
      <c r="G230" s="284"/>
      <c r="H230" s="284"/>
      <c r="I230" s="284"/>
      <c r="J230" s="284"/>
      <c r="K230" s="298"/>
      <c r="L230" s="284"/>
      <c r="M230" s="298"/>
      <c r="N230" s="299"/>
      <c r="O230" s="299"/>
      <c r="P230" s="299"/>
      <c r="Q230" s="299"/>
      <c r="R230" s="300"/>
      <c r="S230" s="115"/>
      <c r="T230" s="301"/>
      <c r="U230" s="302"/>
      <c r="V230" s="303"/>
      <c r="W230" s="303"/>
      <c r="X230" s="303"/>
      <c r="Y230" s="304"/>
      <c r="Z230" s="115"/>
      <c r="AA230" s="301"/>
      <c r="AB230" s="302"/>
      <c r="AC230" s="302"/>
      <c r="AD230" s="302"/>
      <c r="AE230" s="302"/>
      <c r="AF230" s="302"/>
      <c r="AG230" s="302"/>
      <c r="AH230" s="302"/>
      <c r="AI230" s="302"/>
      <c r="AJ230" s="305"/>
    </row>
    <row r="231" spans="2:36" ht="15.6" x14ac:dyDescent="0.3">
      <c r="B231" s="306"/>
      <c r="C231" s="148"/>
      <c r="D231" s="307"/>
      <c r="E231" s="308"/>
      <c r="F231" s="308"/>
      <c r="G231" s="309"/>
      <c r="H231" s="309"/>
      <c r="I231" s="309"/>
      <c r="J231" s="309"/>
      <c r="K231" s="310"/>
      <c r="L231" s="309"/>
      <c r="M231" s="310"/>
      <c r="N231" s="311"/>
      <c r="O231" s="311"/>
      <c r="P231" s="311"/>
      <c r="Q231" s="311"/>
      <c r="R231" s="312"/>
      <c r="S231" s="115"/>
      <c r="T231" s="313"/>
      <c r="U231" s="314"/>
      <c r="V231" s="315"/>
      <c r="W231" s="315"/>
      <c r="X231" s="315"/>
      <c r="Y231" s="316"/>
      <c r="Z231" s="115"/>
      <c r="AA231" s="313"/>
      <c r="AB231" s="314"/>
      <c r="AC231" s="314"/>
      <c r="AD231" s="314"/>
      <c r="AE231" s="314"/>
      <c r="AF231" s="314"/>
      <c r="AG231" s="314"/>
      <c r="AH231" s="314"/>
      <c r="AI231" s="314"/>
      <c r="AJ231" s="317"/>
    </row>
    <row r="232" spans="2:36" ht="15.6" x14ac:dyDescent="0.3">
      <c r="B232" s="283"/>
      <c r="C232" s="176"/>
      <c r="D232" s="296"/>
      <c r="E232" s="297"/>
      <c r="F232" s="297"/>
      <c r="G232" s="284"/>
      <c r="H232" s="284"/>
      <c r="I232" s="284"/>
      <c r="J232" s="284"/>
      <c r="K232" s="298"/>
      <c r="L232" s="284"/>
      <c r="M232" s="298"/>
      <c r="N232" s="299"/>
      <c r="O232" s="299"/>
      <c r="P232" s="299"/>
      <c r="Q232" s="299"/>
      <c r="R232" s="300"/>
      <c r="S232" s="115"/>
      <c r="T232" s="301"/>
      <c r="U232" s="302"/>
      <c r="V232" s="303"/>
      <c r="W232" s="303"/>
      <c r="X232" s="303"/>
      <c r="Y232" s="304"/>
      <c r="Z232" s="115"/>
      <c r="AA232" s="301"/>
      <c r="AB232" s="302"/>
      <c r="AC232" s="302"/>
      <c r="AD232" s="302"/>
      <c r="AE232" s="302"/>
      <c r="AF232" s="302"/>
      <c r="AG232" s="302"/>
      <c r="AH232" s="302"/>
      <c r="AI232" s="302"/>
      <c r="AJ232" s="305"/>
    </row>
    <row r="233" spans="2:36" ht="15.6" x14ac:dyDescent="0.3">
      <c r="B233" s="306"/>
      <c r="C233" s="148"/>
      <c r="D233" s="307"/>
      <c r="E233" s="308"/>
      <c r="F233" s="308"/>
      <c r="G233" s="309"/>
      <c r="H233" s="309"/>
      <c r="I233" s="309"/>
      <c r="J233" s="309"/>
      <c r="K233" s="310"/>
      <c r="L233" s="309"/>
      <c r="M233" s="310"/>
      <c r="N233" s="311"/>
      <c r="O233" s="311"/>
      <c r="P233" s="311"/>
      <c r="Q233" s="311"/>
      <c r="R233" s="312"/>
      <c r="S233" s="115"/>
      <c r="T233" s="313"/>
      <c r="U233" s="314"/>
      <c r="V233" s="315"/>
      <c r="W233" s="315"/>
      <c r="X233" s="315"/>
      <c r="Y233" s="316"/>
      <c r="Z233" s="115"/>
      <c r="AA233" s="313"/>
      <c r="AB233" s="314"/>
      <c r="AC233" s="314"/>
      <c r="AD233" s="314"/>
      <c r="AE233" s="314"/>
      <c r="AF233" s="314"/>
      <c r="AG233" s="314"/>
      <c r="AH233" s="314"/>
      <c r="AI233" s="314"/>
      <c r="AJ233" s="317"/>
    </row>
    <row r="234" spans="2:36" ht="15.6" x14ac:dyDescent="0.3">
      <c r="B234" s="283"/>
      <c r="C234" s="176"/>
      <c r="D234" s="296"/>
      <c r="E234" s="297"/>
      <c r="F234" s="297"/>
      <c r="G234" s="284"/>
      <c r="H234" s="284"/>
      <c r="I234" s="284"/>
      <c r="J234" s="284"/>
      <c r="K234" s="298"/>
      <c r="L234" s="284"/>
      <c r="M234" s="298"/>
      <c r="N234" s="299"/>
      <c r="O234" s="299"/>
      <c r="P234" s="299"/>
      <c r="Q234" s="299"/>
      <c r="R234" s="300"/>
      <c r="S234" s="115"/>
      <c r="T234" s="301"/>
      <c r="U234" s="302"/>
      <c r="V234" s="303"/>
      <c r="W234" s="303"/>
      <c r="X234" s="303"/>
      <c r="Y234" s="304"/>
      <c r="Z234" s="115"/>
      <c r="AA234" s="301"/>
      <c r="AB234" s="302"/>
      <c r="AC234" s="302"/>
      <c r="AD234" s="302"/>
      <c r="AE234" s="302"/>
      <c r="AF234" s="302"/>
      <c r="AG234" s="302"/>
      <c r="AH234" s="302"/>
      <c r="AI234" s="302"/>
      <c r="AJ234" s="305"/>
    </row>
    <row r="235" spans="2:36" ht="15.6" x14ac:dyDescent="0.3">
      <c r="B235" s="306"/>
      <c r="C235" s="148"/>
      <c r="D235" s="307"/>
      <c r="E235" s="308"/>
      <c r="F235" s="308"/>
      <c r="G235" s="309"/>
      <c r="H235" s="309"/>
      <c r="I235" s="309"/>
      <c r="J235" s="309"/>
      <c r="K235" s="310"/>
      <c r="L235" s="309"/>
      <c r="M235" s="310"/>
      <c r="N235" s="311"/>
      <c r="O235" s="311"/>
      <c r="P235" s="311"/>
      <c r="Q235" s="311"/>
      <c r="R235" s="312"/>
      <c r="S235" s="115"/>
      <c r="T235" s="313"/>
      <c r="U235" s="314"/>
      <c r="V235" s="315"/>
      <c r="W235" s="315"/>
      <c r="X235" s="315"/>
      <c r="Y235" s="316"/>
      <c r="Z235" s="115"/>
      <c r="AA235" s="313"/>
      <c r="AB235" s="314"/>
      <c r="AC235" s="314"/>
      <c r="AD235" s="314"/>
      <c r="AE235" s="314"/>
      <c r="AF235" s="314"/>
      <c r="AG235" s="314"/>
      <c r="AH235" s="314"/>
      <c r="AI235" s="314"/>
      <c r="AJ235" s="317"/>
    </row>
    <row r="236" spans="2:36" ht="15.6" x14ac:dyDescent="0.3">
      <c r="B236" s="283"/>
      <c r="C236" s="176"/>
      <c r="D236" s="296"/>
      <c r="E236" s="297"/>
      <c r="F236" s="297"/>
      <c r="G236" s="284"/>
      <c r="H236" s="284"/>
      <c r="I236" s="284"/>
      <c r="J236" s="284"/>
      <c r="K236" s="298"/>
      <c r="L236" s="284"/>
      <c r="M236" s="298"/>
      <c r="N236" s="299"/>
      <c r="O236" s="299"/>
      <c r="P236" s="299"/>
      <c r="Q236" s="299"/>
      <c r="R236" s="300"/>
      <c r="S236" s="115"/>
      <c r="T236" s="301"/>
      <c r="U236" s="302"/>
      <c r="V236" s="303"/>
      <c r="W236" s="303"/>
      <c r="X236" s="303"/>
      <c r="Y236" s="304"/>
      <c r="Z236" s="115"/>
      <c r="AA236" s="301"/>
      <c r="AB236" s="302"/>
      <c r="AC236" s="302"/>
      <c r="AD236" s="302"/>
      <c r="AE236" s="302"/>
      <c r="AF236" s="302"/>
      <c r="AG236" s="302"/>
      <c r="AH236" s="302"/>
      <c r="AI236" s="302"/>
      <c r="AJ236" s="305"/>
    </row>
    <row r="237" spans="2:36" ht="15.6" x14ac:dyDescent="0.3">
      <c r="B237" s="306"/>
      <c r="C237" s="148"/>
      <c r="D237" s="307"/>
      <c r="E237" s="308"/>
      <c r="F237" s="308"/>
      <c r="G237" s="309"/>
      <c r="H237" s="309"/>
      <c r="I237" s="309"/>
      <c r="J237" s="309"/>
      <c r="K237" s="310"/>
      <c r="L237" s="309"/>
      <c r="M237" s="310"/>
      <c r="N237" s="311"/>
      <c r="O237" s="311"/>
      <c r="P237" s="311"/>
      <c r="Q237" s="311"/>
      <c r="R237" s="312"/>
      <c r="S237" s="115"/>
      <c r="T237" s="313"/>
      <c r="U237" s="314"/>
      <c r="V237" s="315"/>
      <c r="W237" s="315"/>
      <c r="X237" s="315"/>
      <c r="Y237" s="316"/>
      <c r="Z237" s="115"/>
      <c r="AA237" s="313"/>
      <c r="AB237" s="314"/>
      <c r="AC237" s="314"/>
      <c r="AD237" s="314"/>
      <c r="AE237" s="314"/>
      <c r="AF237" s="314"/>
      <c r="AG237" s="314"/>
      <c r="AH237" s="314"/>
      <c r="AI237" s="314"/>
      <c r="AJ237" s="317"/>
    </row>
    <row r="238" spans="2:36" ht="15.6" x14ac:dyDescent="0.3">
      <c r="B238" s="283"/>
      <c r="C238" s="176"/>
      <c r="D238" s="296"/>
      <c r="E238" s="297"/>
      <c r="F238" s="297"/>
      <c r="G238" s="284"/>
      <c r="H238" s="284"/>
      <c r="I238" s="284"/>
      <c r="J238" s="284"/>
      <c r="K238" s="298"/>
      <c r="L238" s="284"/>
      <c r="M238" s="298"/>
      <c r="N238" s="299"/>
      <c r="O238" s="299"/>
      <c r="P238" s="299"/>
      <c r="Q238" s="299"/>
      <c r="R238" s="300"/>
      <c r="S238" s="115"/>
      <c r="T238" s="301"/>
      <c r="U238" s="302"/>
      <c r="V238" s="303"/>
      <c r="W238" s="303"/>
      <c r="X238" s="303"/>
      <c r="Y238" s="304"/>
      <c r="Z238" s="115"/>
      <c r="AA238" s="301"/>
      <c r="AB238" s="302"/>
      <c r="AC238" s="302"/>
      <c r="AD238" s="302"/>
      <c r="AE238" s="302"/>
      <c r="AF238" s="302"/>
      <c r="AG238" s="302"/>
      <c r="AH238" s="302"/>
      <c r="AI238" s="302"/>
      <c r="AJ238" s="305"/>
    </row>
    <row r="239" spans="2:36" ht="15.6" x14ac:dyDescent="0.3">
      <c r="B239" s="306"/>
      <c r="C239" s="148"/>
      <c r="D239" s="307"/>
      <c r="E239" s="308"/>
      <c r="F239" s="308"/>
      <c r="G239" s="309"/>
      <c r="H239" s="309"/>
      <c r="I239" s="309"/>
      <c r="J239" s="309"/>
      <c r="K239" s="310"/>
      <c r="L239" s="309"/>
      <c r="M239" s="310"/>
      <c r="N239" s="311"/>
      <c r="O239" s="311"/>
      <c r="P239" s="311"/>
      <c r="Q239" s="311"/>
      <c r="R239" s="312"/>
      <c r="S239" s="115"/>
      <c r="T239" s="313"/>
      <c r="U239" s="314"/>
      <c r="V239" s="315"/>
      <c r="W239" s="315"/>
      <c r="X239" s="315"/>
      <c r="Y239" s="316"/>
      <c r="Z239" s="115"/>
      <c r="AA239" s="313"/>
      <c r="AB239" s="314"/>
      <c r="AC239" s="314"/>
      <c r="AD239" s="314"/>
      <c r="AE239" s="314"/>
      <c r="AF239" s="314"/>
      <c r="AG239" s="314"/>
      <c r="AH239" s="314"/>
      <c r="AI239" s="314"/>
      <c r="AJ239" s="317"/>
    </row>
    <row r="240" spans="2:36" ht="15.6" x14ac:dyDescent="0.3">
      <c r="B240" s="283"/>
      <c r="C240" s="176"/>
      <c r="D240" s="296"/>
      <c r="E240" s="297"/>
      <c r="F240" s="297"/>
      <c r="G240" s="284"/>
      <c r="H240" s="284"/>
      <c r="I240" s="284"/>
      <c r="J240" s="284"/>
      <c r="K240" s="298"/>
      <c r="L240" s="284"/>
      <c r="M240" s="298"/>
      <c r="N240" s="299"/>
      <c r="O240" s="299"/>
      <c r="P240" s="299"/>
      <c r="Q240" s="299"/>
      <c r="R240" s="300"/>
      <c r="S240" s="115"/>
      <c r="T240" s="301"/>
      <c r="U240" s="302"/>
      <c r="V240" s="303"/>
      <c r="W240" s="303"/>
      <c r="X240" s="303"/>
      <c r="Y240" s="304"/>
      <c r="Z240" s="115"/>
      <c r="AA240" s="301"/>
      <c r="AB240" s="302"/>
      <c r="AC240" s="302"/>
      <c r="AD240" s="302"/>
      <c r="AE240" s="302"/>
      <c r="AF240" s="302"/>
      <c r="AG240" s="302"/>
      <c r="AH240" s="302"/>
      <c r="AI240" s="302"/>
      <c r="AJ240" s="305"/>
    </row>
    <row r="241" spans="2:36" ht="15.6" x14ac:dyDescent="0.3">
      <c r="B241" s="306"/>
      <c r="C241" s="148"/>
      <c r="D241" s="307"/>
      <c r="E241" s="308"/>
      <c r="F241" s="308"/>
      <c r="G241" s="309"/>
      <c r="H241" s="309"/>
      <c r="I241" s="309"/>
      <c r="J241" s="309"/>
      <c r="K241" s="310"/>
      <c r="L241" s="309"/>
      <c r="M241" s="310"/>
      <c r="N241" s="311"/>
      <c r="O241" s="311"/>
      <c r="P241" s="311"/>
      <c r="Q241" s="311"/>
      <c r="R241" s="312"/>
      <c r="S241" s="115"/>
      <c r="T241" s="313"/>
      <c r="U241" s="314"/>
      <c r="V241" s="315"/>
      <c r="W241" s="315"/>
      <c r="X241" s="315"/>
      <c r="Y241" s="316"/>
      <c r="Z241" s="115"/>
      <c r="AA241" s="313"/>
      <c r="AB241" s="314"/>
      <c r="AC241" s="314"/>
      <c r="AD241" s="314"/>
      <c r="AE241" s="314"/>
      <c r="AF241" s="314"/>
      <c r="AG241" s="314"/>
      <c r="AH241" s="314"/>
      <c r="AI241" s="314"/>
      <c r="AJ241" s="317"/>
    </row>
    <row r="242" spans="2:36" ht="15.6" x14ac:dyDescent="0.3">
      <c r="B242" s="283"/>
      <c r="C242" s="176"/>
      <c r="D242" s="296"/>
      <c r="E242" s="297"/>
      <c r="F242" s="297"/>
      <c r="G242" s="284"/>
      <c r="H242" s="284"/>
      <c r="I242" s="284"/>
      <c r="J242" s="284"/>
      <c r="K242" s="298"/>
      <c r="L242" s="284"/>
      <c r="M242" s="298"/>
      <c r="N242" s="299"/>
      <c r="O242" s="299"/>
      <c r="P242" s="299"/>
      <c r="Q242" s="299"/>
      <c r="R242" s="300"/>
      <c r="S242" s="115"/>
      <c r="T242" s="301"/>
      <c r="U242" s="302"/>
      <c r="V242" s="303"/>
      <c r="W242" s="303"/>
      <c r="X242" s="303"/>
      <c r="Y242" s="304"/>
      <c r="Z242" s="115"/>
      <c r="AA242" s="301"/>
      <c r="AB242" s="302"/>
      <c r="AC242" s="302"/>
      <c r="AD242" s="302"/>
      <c r="AE242" s="302"/>
      <c r="AF242" s="302"/>
      <c r="AG242" s="302"/>
      <c r="AH242" s="302"/>
      <c r="AI242" s="302"/>
      <c r="AJ242" s="305"/>
    </row>
    <row r="243" spans="2:36" ht="15.6" x14ac:dyDescent="0.3">
      <c r="B243" s="306"/>
      <c r="C243" s="148"/>
      <c r="D243" s="307"/>
      <c r="E243" s="308"/>
      <c r="F243" s="308"/>
      <c r="G243" s="309"/>
      <c r="H243" s="309"/>
      <c r="I243" s="309"/>
      <c r="J243" s="309"/>
      <c r="K243" s="310"/>
      <c r="L243" s="309"/>
      <c r="M243" s="310"/>
      <c r="N243" s="311"/>
      <c r="O243" s="311"/>
      <c r="P243" s="311"/>
      <c r="Q243" s="311"/>
      <c r="R243" s="312"/>
      <c r="S243" s="115"/>
      <c r="T243" s="313"/>
      <c r="U243" s="314"/>
      <c r="V243" s="315"/>
      <c r="W243" s="315"/>
      <c r="X243" s="315"/>
      <c r="Y243" s="316"/>
      <c r="Z243" s="115"/>
      <c r="AA243" s="313"/>
      <c r="AB243" s="314"/>
      <c r="AC243" s="314"/>
      <c r="AD243" s="314"/>
      <c r="AE243" s="314"/>
      <c r="AF243" s="314"/>
      <c r="AG243" s="314"/>
      <c r="AH243" s="314"/>
      <c r="AI243" s="314"/>
      <c r="AJ243" s="317"/>
    </row>
    <row r="244" spans="2:36" ht="15.6" x14ac:dyDescent="0.3">
      <c r="B244" s="283"/>
      <c r="C244" s="176"/>
      <c r="D244" s="296"/>
      <c r="E244" s="297"/>
      <c r="F244" s="297"/>
      <c r="G244" s="284"/>
      <c r="H244" s="284"/>
      <c r="I244" s="284"/>
      <c r="J244" s="284"/>
      <c r="K244" s="298"/>
      <c r="L244" s="284"/>
      <c r="M244" s="298"/>
      <c r="N244" s="299"/>
      <c r="O244" s="299"/>
      <c r="P244" s="299"/>
      <c r="Q244" s="299"/>
      <c r="R244" s="300"/>
      <c r="S244" s="115"/>
      <c r="T244" s="301"/>
      <c r="U244" s="302"/>
      <c r="V244" s="303"/>
      <c r="W244" s="303"/>
      <c r="X244" s="303"/>
      <c r="Y244" s="304"/>
      <c r="Z244" s="115"/>
      <c r="AA244" s="301"/>
      <c r="AB244" s="302"/>
      <c r="AC244" s="302"/>
      <c r="AD244" s="302"/>
      <c r="AE244" s="302"/>
      <c r="AF244" s="302"/>
      <c r="AG244" s="302"/>
      <c r="AH244" s="302"/>
      <c r="AI244" s="302"/>
      <c r="AJ244" s="305"/>
    </row>
    <row r="245" spans="2:36" ht="15.6" x14ac:dyDescent="0.3">
      <c r="B245" s="306"/>
      <c r="C245" s="148"/>
      <c r="D245" s="307"/>
      <c r="E245" s="308"/>
      <c r="F245" s="308"/>
      <c r="G245" s="309"/>
      <c r="H245" s="309"/>
      <c r="I245" s="309"/>
      <c r="J245" s="309"/>
      <c r="K245" s="310"/>
      <c r="L245" s="309"/>
      <c r="M245" s="310"/>
      <c r="N245" s="311"/>
      <c r="O245" s="311"/>
      <c r="P245" s="311"/>
      <c r="Q245" s="311"/>
      <c r="R245" s="312"/>
      <c r="S245" s="115"/>
      <c r="T245" s="313"/>
      <c r="U245" s="314"/>
      <c r="V245" s="315"/>
      <c r="W245" s="315"/>
      <c r="X245" s="315"/>
      <c r="Y245" s="316"/>
      <c r="Z245" s="115"/>
      <c r="AA245" s="313"/>
      <c r="AB245" s="314"/>
      <c r="AC245" s="314"/>
      <c r="AD245" s="314"/>
      <c r="AE245" s="314"/>
      <c r="AF245" s="314"/>
      <c r="AG245" s="314"/>
      <c r="AH245" s="314"/>
      <c r="AI245" s="314"/>
      <c r="AJ245" s="317"/>
    </row>
    <row r="246" spans="2:36" ht="15.6" x14ac:dyDescent="0.3">
      <c r="B246" s="283"/>
      <c r="C246" s="176"/>
      <c r="D246" s="296"/>
      <c r="E246" s="297"/>
      <c r="F246" s="297"/>
      <c r="G246" s="284"/>
      <c r="H246" s="284"/>
      <c r="I246" s="284"/>
      <c r="J246" s="284"/>
      <c r="K246" s="298"/>
      <c r="L246" s="284"/>
      <c r="M246" s="298"/>
      <c r="N246" s="299"/>
      <c r="O246" s="299"/>
      <c r="P246" s="299"/>
      <c r="Q246" s="299"/>
      <c r="R246" s="300"/>
      <c r="S246" s="115"/>
      <c r="T246" s="301"/>
      <c r="U246" s="302"/>
      <c r="V246" s="303"/>
      <c r="W246" s="303"/>
      <c r="X246" s="303"/>
      <c r="Y246" s="304"/>
      <c r="Z246" s="115"/>
      <c r="AA246" s="301"/>
      <c r="AB246" s="302"/>
      <c r="AC246" s="302"/>
      <c r="AD246" s="302"/>
      <c r="AE246" s="302"/>
      <c r="AF246" s="302"/>
      <c r="AG246" s="302"/>
      <c r="AH246" s="302"/>
      <c r="AI246" s="302"/>
      <c r="AJ246" s="305"/>
    </row>
    <row r="247" spans="2:36" ht="15.6" x14ac:dyDescent="0.3">
      <c r="B247" s="306"/>
      <c r="C247" s="148"/>
      <c r="D247" s="307"/>
      <c r="E247" s="308"/>
      <c r="F247" s="308"/>
      <c r="G247" s="309"/>
      <c r="H247" s="309"/>
      <c r="I247" s="309"/>
      <c r="J247" s="309"/>
      <c r="K247" s="310"/>
      <c r="L247" s="309"/>
      <c r="M247" s="310"/>
      <c r="N247" s="311"/>
      <c r="O247" s="311"/>
      <c r="P247" s="311"/>
      <c r="Q247" s="311"/>
      <c r="R247" s="312"/>
      <c r="S247" s="115"/>
      <c r="T247" s="313"/>
      <c r="U247" s="314"/>
      <c r="V247" s="315"/>
      <c r="W247" s="315"/>
      <c r="X247" s="315"/>
      <c r="Y247" s="316"/>
      <c r="Z247" s="115"/>
      <c r="AA247" s="313"/>
      <c r="AB247" s="314"/>
      <c r="AC247" s="314"/>
      <c r="AD247" s="314"/>
      <c r="AE247" s="314"/>
      <c r="AF247" s="314"/>
      <c r="AG247" s="314"/>
      <c r="AH247" s="314"/>
      <c r="AI247" s="314"/>
      <c r="AJ247" s="317"/>
    </row>
    <row r="248" spans="2:36" ht="15.6" x14ac:dyDescent="0.3">
      <c r="B248" s="283"/>
      <c r="C248" s="176"/>
      <c r="D248" s="296"/>
      <c r="E248" s="297"/>
      <c r="F248" s="297"/>
      <c r="G248" s="284"/>
      <c r="H248" s="284"/>
      <c r="I248" s="284"/>
      <c r="J248" s="284"/>
      <c r="K248" s="298"/>
      <c r="L248" s="284"/>
      <c r="M248" s="298"/>
      <c r="N248" s="299"/>
      <c r="O248" s="299"/>
      <c r="P248" s="299"/>
      <c r="Q248" s="299"/>
      <c r="R248" s="300"/>
      <c r="S248" s="115"/>
      <c r="T248" s="301"/>
      <c r="U248" s="302"/>
      <c r="V248" s="303"/>
      <c r="W248" s="303"/>
      <c r="X248" s="303"/>
      <c r="Y248" s="304"/>
      <c r="Z248" s="115"/>
      <c r="AA248" s="301"/>
      <c r="AB248" s="302"/>
      <c r="AC248" s="302"/>
      <c r="AD248" s="302"/>
      <c r="AE248" s="302"/>
      <c r="AF248" s="302"/>
      <c r="AG248" s="302"/>
      <c r="AH248" s="302"/>
      <c r="AI248" s="302"/>
      <c r="AJ248" s="305"/>
    </row>
    <row r="249" spans="2:36" ht="15.6" x14ac:dyDescent="0.3">
      <c r="B249" s="306"/>
      <c r="C249" s="148"/>
      <c r="D249" s="307"/>
      <c r="E249" s="308"/>
      <c r="F249" s="308"/>
      <c r="G249" s="309"/>
      <c r="H249" s="309"/>
      <c r="I249" s="309"/>
      <c r="J249" s="309"/>
      <c r="K249" s="310"/>
      <c r="L249" s="309"/>
      <c r="M249" s="310"/>
      <c r="N249" s="311"/>
      <c r="O249" s="311"/>
      <c r="P249" s="311"/>
      <c r="Q249" s="311"/>
      <c r="R249" s="312"/>
      <c r="S249" s="115"/>
      <c r="T249" s="313"/>
      <c r="U249" s="314"/>
      <c r="V249" s="315"/>
      <c r="W249" s="315"/>
      <c r="X249" s="315"/>
      <c r="Y249" s="316"/>
      <c r="Z249" s="115"/>
      <c r="AA249" s="313"/>
      <c r="AB249" s="314"/>
      <c r="AC249" s="314"/>
      <c r="AD249" s="314"/>
      <c r="AE249" s="314"/>
      <c r="AF249" s="314"/>
      <c r="AG249" s="314"/>
      <c r="AH249" s="314"/>
      <c r="AI249" s="314"/>
      <c r="AJ249" s="317"/>
    </row>
    <row r="250" spans="2:36" ht="15.6" x14ac:dyDescent="0.3">
      <c r="B250" s="283"/>
      <c r="C250" s="176"/>
      <c r="D250" s="296"/>
      <c r="E250" s="297"/>
      <c r="F250" s="297"/>
      <c r="G250" s="284"/>
      <c r="H250" s="284"/>
      <c r="I250" s="284"/>
      <c r="J250" s="284"/>
      <c r="K250" s="298"/>
      <c r="L250" s="284"/>
      <c r="M250" s="298"/>
      <c r="N250" s="299"/>
      <c r="O250" s="299"/>
      <c r="P250" s="299"/>
      <c r="Q250" s="299"/>
      <c r="R250" s="300"/>
      <c r="S250" s="115"/>
      <c r="T250" s="301"/>
      <c r="U250" s="302"/>
      <c r="V250" s="303"/>
      <c r="W250" s="303"/>
      <c r="X250" s="303"/>
      <c r="Y250" s="304"/>
      <c r="Z250" s="115"/>
      <c r="AA250" s="301"/>
      <c r="AB250" s="302"/>
      <c r="AC250" s="302"/>
      <c r="AD250" s="302"/>
      <c r="AE250" s="302"/>
      <c r="AF250" s="302"/>
      <c r="AG250" s="302"/>
      <c r="AH250" s="302"/>
      <c r="AI250" s="302"/>
      <c r="AJ250" s="305"/>
    </row>
    <row r="251" spans="2:36" ht="15.6" x14ac:dyDescent="0.3">
      <c r="B251" s="306"/>
      <c r="C251" s="148"/>
      <c r="D251" s="307"/>
      <c r="E251" s="308"/>
      <c r="F251" s="308"/>
      <c r="G251" s="309"/>
      <c r="H251" s="309"/>
      <c r="I251" s="309"/>
      <c r="J251" s="309"/>
      <c r="K251" s="310"/>
      <c r="L251" s="309"/>
      <c r="M251" s="310"/>
      <c r="N251" s="311"/>
      <c r="O251" s="311"/>
      <c r="P251" s="311"/>
      <c r="Q251" s="311"/>
      <c r="R251" s="312"/>
      <c r="S251" s="115"/>
      <c r="T251" s="313"/>
      <c r="U251" s="314"/>
      <c r="V251" s="315"/>
      <c r="W251" s="315"/>
      <c r="X251" s="315"/>
      <c r="Y251" s="316"/>
      <c r="Z251" s="115"/>
      <c r="AA251" s="313"/>
      <c r="AB251" s="314"/>
      <c r="AC251" s="314"/>
      <c r="AD251" s="314"/>
      <c r="AE251" s="314"/>
      <c r="AF251" s="314"/>
      <c r="AG251" s="314"/>
      <c r="AH251" s="314"/>
      <c r="AI251" s="314"/>
      <c r="AJ251" s="317"/>
    </row>
    <row r="252" spans="2:36" ht="15.6" x14ac:dyDescent="0.3">
      <c r="B252" s="283"/>
      <c r="C252" s="176"/>
      <c r="D252" s="296"/>
      <c r="E252" s="297"/>
      <c r="F252" s="297"/>
      <c r="G252" s="284"/>
      <c r="H252" s="284"/>
      <c r="I252" s="284"/>
      <c r="J252" s="284"/>
      <c r="K252" s="298"/>
      <c r="L252" s="284"/>
      <c r="M252" s="298"/>
      <c r="N252" s="299"/>
      <c r="O252" s="299"/>
      <c r="P252" s="299"/>
      <c r="Q252" s="299"/>
      <c r="R252" s="300"/>
      <c r="S252" s="115"/>
      <c r="T252" s="301"/>
      <c r="U252" s="302"/>
      <c r="V252" s="303"/>
      <c r="W252" s="303"/>
      <c r="X252" s="303"/>
      <c r="Y252" s="304"/>
      <c r="Z252" s="115"/>
      <c r="AA252" s="301"/>
      <c r="AB252" s="302"/>
      <c r="AC252" s="302"/>
      <c r="AD252" s="302"/>
      <c r="AE252" s="302"/>
      <c r="AF252" s="302"/>
      <c r="AG252" s="302"/>
      <c r="AH252" s="302"/>
      <c r="AI252" s="302"/>
      <c r="AJ252" s="305"/>
    </row>
    <row r="253" spans="2:36" ht="15.6" x14ac:dyDescent="0.3">
      <c r="B253" s="306"/>
      <c r="C253" s="148"/>
      <c r="D253" s="307"/>
      <c r="E253" s="308"/>
      <c r="F253" s="308"/>
      <c r="G253" s="309"/>
      <c r="H253" s="309"/>
      <c r="I253" s="309"/>
      <c r="J253" s="309"/>
      <c r="K253" s="310"/>
      <c r="L253" s="309"/>
      <c r="M253" s="310"/>
      <c r="N253" s="311"/>
      <c r="O253" s="311"/>
      <c r="P253" s="311"/>
      <c r="Q253" s="311"/>
      <c r="R253" s="312"/>
      <c r="S253" s="115"/>
      <c r="T253" s="313"/>
      <c r="U253" s="314"/>
      <c r="V253" s="315"/>
      <c r="W253" s="315"/>
      <c r="X253" s="315"/>
      <c r="Y253" s="316"/>
      <c r="Z253" s="115"/>
      <c r="AA253" s="313"/>
      <c r="AB253" s="314"/>
      <c r="AC253" s="314"/>
      <c r="AD253" s="314"/>
      <c r="AE253" s="314"/>
      <c r="AF253" s="314"/>
      <c r="AG253" s="314"/>
      <c r="AH253" s="314"/>
      <c r="AI253" s="314"/>
      <c r="AJ253" s="317"/>
    </row>
    <row r="254" spans="2:36" ht="15.6" x14ac:dyDescent="0.3">
      <c r="B254" s="283"/>
      <c r="C254" s="176"/>
      <c r="D254" s="296"/>
      <c r="E254" s="297"/>
      <c r="F254" s="297"/>
      <c r="G254" s="284"/>
      <c r="H254" s="284"/>
      <c r="I254" s="284"/>
      <c r="J254" s="284"/>
      <c r="K254" s="298"/>
      <c r="L254" s="284"/>
      <c r="M254" s="298"/>
      <c r="N254" s="299"/>
      <c r="O254" s="299"/>
      <c r="P254" s="299"/>
      <c r="Q254" s="299"/>
      <c r="R254" s="300"/>
      <c r="S254" s="115"/>
      <c r="T254" s="301"/>
      <c r="U254" s="302"/>
      <c r="V254" s="303"/>
      <c r="W254" s="303"/>
      <c r="X254" s="303"/>
      <c r="Y254" s="304"/>
      <c r="Z254" s="115"/>
      <c r="AA254" s="301"/>
      <c r="AB254" s="302"/>
      <c r="AC254" s="302"/>
      <c r="AD254" s="302"/>
      <c r="AE254" s="302"/>
      <c r="AF254" s="302"/>
      <c r="AG254" s="302"/>
      <c r="AH254" s="302"/>
      <c r="AI254" s="302"/>
      <c r="AJ254" s="305"/>
    </row>
    <row r="255" spans="2:36" ht="15.6" x14ac:dyDescent="0.3">
      <c r="B255" s="306"/>
      <c r="C255" s="148"/>
      <c r="D255" s="307"/>
      <c r="E255" s="308"/>
      <c r="F255" s="308"/>
      <c r="G255" s="309"/>
      <c r="H255" s="309"/>
      <c r="I255" s="309"/>
      <c r="J255" s="309"/>
      <c r="K255" s="310"/>
      <c r="L255" s="309"/>
      <c r="M255" s="310"/>
      <c r="N255" s="311"/>
      <c r="O255" s="311"/>
      <c r="P255" s="311"/>
      <c r="Q255" s="311"/>
      <c r="R255" s="312"/>
      <c r="S255" s="115"/>
      <c r="T255" s="313"/>
      <c r="U255" s="314"/>
      <c r="V255" s="315"/>
      <c r="W255" s="315"/>
      <c r="X255" s="315"/>
      <c r="Y255" s="316"/>
      <c r="Z255" s="115"/>
      <c r="AA255" s="313"/>
      <c r="AB255" s="314"/>
      <c r="AC255" s="314"/>
      <c r="AD255" s="314"/>
      <c r="AE255" s="314"/>
      <c r="AF255" s="314"/>
      <c r="AG255" s="314"/>
      <c r="AH255" s="314"/>
      <c r="AI255" s="314"/>
      <c r="AJ255" s="317"/>
    </row>
    <row r="256" spans="2:36" ht="15.6" x14ac:dyDescent="0.3">
      <c r="B256" s="283"/>
      <c r="C256" s="176"/>
      <c r="D256" s="296"/>
      <c r="E256" s="297"/>
      <c r="F256" s="297"/>
      <c r="G256" s="284"/>
      <c r="H256" s="284"/>
      <c r="I256" s="284"/>
      <c r="J256" s="284"/>
      <c r="K256" s="298"/>
      <c r="L256" s="284"/>
      <c r="M256" s="298"/>
      <c r="N256" s="299"/>
      <c r="O256" s="299"/>
      <c r="P256" s="299"/>
      <c r="Q256" s="299"/>
      <c r="R256" s="300"/>
      <c r="S256" s="115"/>
      <c r="T256" s="301"/>
      <c r="U256" s="302"/>
      <c r="V256" s="303"/>
      <c r="W256" s="303"/>
      <c r="X256" s="303"/>
      <c r="Y256" s="304"/>
      <c r="Z256" s="115"/>
      <c r="AA256" s="301"/>
      <c r="AB256" s="302"/>
      <c r="AC256" s="302"/>
      <c r="AD256" s="302"/>
      <c r="AE256" s="302"/>
      <c r="AF256" s="302"/>
      <c r="AG256" s="302"/>
      <c r="AH256" s="302"/>
      <c r="AI256" s="302"/>
      <c r="AJ256" s="305"/>
    </row>
    <row r="257" spans="2:36" ht="15.6" x14ac:dyDescent="0.3">
      <c r="B257" s="306"/>
      <c r="C257" s="148"/>
      <c r="D257" s="307"/>
      <c r="E257" s="308"/>
      <c r="F257" s="308"/>
      <c r="G257" s="309"/>
      <c r="H257" s="309"/>
      <c r="I257" s="309"/>
      <c r="J257" s="309"/>
      <c r="K257" s="310"/>
      <c r="L257" s="309"/>
      <c r="M257" s="310"/>
      <c r="N257" s="311"/>
      <c r="O257" s="311"/>
      <c r="P257" s="311"/>
      <c r="Q257" s="311"/>
      <c r="R257" s="312"/>
      <c r="S257" s="115"/>
      <c r="T257" s="313"/>
      <c r="U257" s="314"/>
      <c r="V257" s="315"/>
      <c r="W257" s="315"/>
      <c r="X257" s="315"/>
      <c r="Y257" s="316"/>
      <c r="Z257" s="115"/>
      <c r="AA257" s="313"/>
      <c r="AB257" s="314"/>
      <c r="AC257" s="314"/>
      <c r="AD257" s="314"/>
      <c r="AE257" s="314"/>
      <c r="AF257" s="314"/>
      <c r="AG257" s="314"/>
      <c r="AH257" s="314"/>
      <c r="AI257" s="314"/>
      <c r="AJ257" s="317"/>
    </row>
    <row r="258" spans="2:36" ht="15.6" x14ac:dyDescent="0.3">
      <c r="B258" s="283"/>
      <c r="C258" s="176"/>
      <c r="D258" s="296"/>
      <c r="E258" s="297"/>
      <c r="F258" s="297"/>
      <c r="G258" s="284"/>
      <c r="H258" s="284"/>
      <c r="I258" s="284"/>
      <c r="J258" s="284"/>
      <c r="K258" s="298"/>
      <c r="L258" s="284"/>
      <c r="M258" s="298"/>
      <c r="N258" s="299"/>
      <c r="O258" s="299"/>
      <c r="P258" s="299"/>
      <c r="Q258" s="299"/>
      <c r="R258" s="300"/>
      <c r="S258" s="115"/>
      <c r="T258" s="301"/>
      <c r="U258" s="302"/>
      <c r="V258" s="303"/>
      <c r="W258" s="303"/>
      <c r="X258" s="303"/>
      <c r="Y258" s="304"/>
      <c r="Z258" s="115"/>
      <c r="AA258" s="301"/>
      <c r="AB258" s="302"/>
      <c r="AC258" s="302"/>
      <c r="AD258" s="302"/>
      <c r="AE258" s="302"/>
      <c r="AF258" s="302"/>
      <c r="AG258" s="302"/>
      <c r="AH258" s="302"/>
      <c r="AI258" s="302"/>
      <c r="AJ258" s="305"/>
    </row>
    <row r="259" spans="2:36" ht="15.6" x14ac:dyDescent="0.3">
      <c r="B259" s="306"/>
      <c r="C259" s="148"/>
      <c r="D259" s="307"/>
      <c r="E259" s="308"/>
      <c r="F259" s="308"/>
      <c r="G259" s="309"/>
      <c r="H259" s="309"/>
      <c r="I259" s="309"/>
      <c r="J259" s="309"/>
      <c r="K259" s="310"/>
      <c r="L259" s="309"/>
      <c r="M259" s="310"/>
      <c r="N259" s="311"/>
      <c r="O259" s="311"/>
      <c r="P259" s="311"/>
      <c r="Q259" s="311"/>
      <c r="R259" s="312"/>
      <c r="S259" s="115"/>
      <c r="T259" s="313"/>
      <c r="U259" s="314"/>
      <c r="V259" s="315"/>
      <c r="W259" s="315"/>
      <c r="X259" s="315"/>
      <c r="Y259" s="316"/>
      <c r="Z259" s="115"/>
      <c r="AA259" s="313"/>
      <c r="AB259" s="314"/>
      <c r="AC259" s="314"/>
      <c r="AD259" s="314"/>
      <c r="AE259" s="314"/>
      <c r="AF259" s="314"/>
      <c r="AG259" s="314"/>
      <c r="AH259" s="314"/>
      <c r="AI259" s="314"/>
      <c r="AJ259" s="317"/>
    </row>
    <row r="260" spans="2:36" ht="15.6" x14ac:dyDescent="0.3">
      <c r="B260" s="283"/>
      <c r="C260" s="176"/>
      <c r="D260" s="296"/>
      <c r="E260" s="297"/>
      <c r="F260" s="297"/>
      <c r="G260" s="284"/>
      <c r="H260" s="284"/>
      <c r="I260" s="284"/>
      <c r="J260" s="284"/>
      <c r="K260" s="298"/>
      <c r="L260" s="284"/>
      <c r="M260" s="298"/>
      <c r="N260" s="299"/>
      <c r="O260" s="299"/>
      <c r="P260" s="299"/>
      <c r="Q260" s="299"/>
      <c r="R260" s="300"/>
      <c r="S260" s="115"/>
      <c r="T260" s="301"/>
      <c r="U260" s="302"/>
      <c r="V260" s="303"/>
      <c r="W260" s="303"/>
      <c r="X260" s="303"/>
      <c r="Y260" s="304"/>
      <c r="Z260" s="115"/>
      <c r="AA260" s="301"/>
      <c r="AB260" s="302"/>
      <c r="AC260" s="302"/>
      <c r="AD260" s="302"/>
      <c r="AE260" s="302"/>
      <c r="AF260" s="302"/>
      <c r="AG260" s="302"/>
      <c r="AH260" s="302"/>
      <c r="AI260" s="302"/>
      <c r="AJ260" s="305"/>
    </row>
    <row r="261" spans="2:36" ht="15.6" x14ac:dyDescent="0.3">
      <c r="B261" s="306"/>
      <c r="C261" s="148"/>
      <c r="D261" s="307"/>
      <c r="E261" s="308"/>
      <c r="F261" s="308"/>
      <c r="G261" s="309"/>
      <c r="H261" s="309"/>
      <c r="I261" s="309"/>
      <c r="J261" s="309"/>
      <c r="K261" s="310"/>
      <c r="L261" s="309"/>
      <c r="M261" s="310"/>
      <c r="N261" s="311"/>
      <c r="O261" s="311"/>
      <c r="P261" s="311"/>
      <c r="Q261" s="311"/>
      <c r="R261" s="312"/>
      <c r="S261" s="115"/>
      <c r="T261" s="313"/>
      <c r="U261" s="314"/>
      <c r="V261" s="315"/>
      <c r="W261" s="315"/>
      <c r="X261" s="315"/>
      <c r="Y261" s="316"/>
      <c r="Z261" s="115"/>
      <c r="AA261" s="313"/>
      <c r="AB261" s="314"/>
      <c r="AC261" s="314"/>
      <c r="AD261" s="314"/>
      <c r="AE261" s="314"/>
      <c r="AF261" s="314"/>
      <c r="AG261" s="314"/>
      <c r="AH261" s="314"/>
      <c r="AI261" s="314"/>
      <c r="AJ261" s="317"/>
    </row>
    <row r="262" spans="2:36" ht="15.6" x14ac:dyDescent="0.3">
      <c r="B262" s="283"/>
      <c r="C262" s="176"/>
      <c r="D262" s="296"/>
      <c r="E262" s="297"/>
      <c r="F262" s="297"/>
      <c r="G262" s="284"/>
      <c r="H262" s="284"/>
      <c r="I262" s="284"/>
      <c r="J262" s="284"/>
      <c r="K262" s="298"/>
      <c r="L262" s="284"/>
      <c r="M262" s="298"/>
      <c r="N262" s="299"/>
      <c r="O262" s="299"/>
      <c r="P262" s="299"/>
      <c r="Q262" s="299"/>
      <c r="R262" s="300"/>
      <c r="S262" s="115"/>
      <c r="T262" s="301"/>
      <c r="U262" s="302"/>
      <c r="V262" s="303"/>
      <c r="W262" s="303"/>
      <c r="X262" s="303"/>
      <c r="Y262" s="304"/>
      <c r="Z262" s="115"/>
      <c r="AA262" s="301"/>
      <c r="AB262" s="302"/>
      <c r="AC262" s="302"/>
      <c r="AD262" s="302"/>
      <c r="AE262" s="302"/>
      <c r="AF262" s="302"/>
      <c r="AG262" s="302"/>
      <c r="AH262" s="302"/>
      <c r="AI262" s="302"/>
      <c r="AJ262" s="305"/>
    </row>
    <row r="263" spans="2:36" ht="15.6" x14ac:dyDescent="0.3">
      <c r="B263" s="306"/>
      <c r="C263" s="148"/>
      <c r="D263" s="307"/>
      <c r="E263" s="308"/>
      <c r="F263" s="308"/>
      <c r="G263" s="309"/>
      <c r="H263" s="309"/>
      <c r="I263" s="309"/>
      <c r="J263" s="309"/>
      <c r="K263" s="310"/>
      <c r="L263" s="309"/>
      <c r="M263" s="310"/>
      <c r="N263" s="311"/>
      <c r="O263" s="311"/>
      <c r="P263" s="311"/>
      <c r="Q263" s="311"/>
      <c r="R263" s="312"/>
      <c r="S263" s="115"/>
      <c r="T263" s="313"/>
      <c r="U263" s="314"/>
      <c r="V263" s="315"/>
      <c r="W263" s="315"/>
      <c r="X263" s="315"/>
      <c r="Y263" s="316"/>
      <c r="Z263" s="115"/>
      <c r="AA263" s="313"/>
      <c r="AB263" s="314"/>
      <c r="AC263" s="314"/>
      <c r="AD263" s="314"/>
      <c r="AE263" s="314"/>
      <c r="AF263" s="314"/>
      <c r="AG263" s="314"/>
      <c r="AH263" s="314"/>
      <c r="AI263" s="314"/>
      <c r="AJ263" s="317"/>
    </row>
    <row r="264" spans="2:36" ht="15.6" x14ac:dyDescent="0.3">
      <c r="B264" s="283"/>
      <c r="C264" s="176"/>
      <c r="D264" s="296"/>
      <c r="E264" s="297"/>
      <c r="F264" s="297"/>
      <c r="G264" s="284"/>
      <c r="H264" s="284"/>
      <c r="I264" s="284"/>
      <c r="J264" s="284"/>
      <c r="K264" s="298"/>
      <c r="L264" s="284"/>
      <c r="M264" s="298"/>
      <c r="N264" s="299"/>
      <c r="O264" s="299"/>
      <c r="P264" s="299"/>
      <c r="Q264" s="299"/>
      <c r="R264" s="300"/>
      <c r="S264" s="115"/>
      <c r="T264" s="301"/>
      <c r="U264" s="302"/>
      <c r="V264" s="303"/>
      <c r="W264" s="303"/>
      <c r="X264" s="303"/>
      <c r="Y264" s="304"/>
      <c r="Z264" s="115"/>
      <c r="AA264" s="301"/>
      <c r="AB264" s="302"/>
      <c r="AC264" s="302"/>
      <c r="AD264" s="302"/>
      <c r="AE264" s="302"/>
      <c r="AF264" s="302"/>
      <c r="AG264" s="302"/>
      <c r="AH264" s="302"/>
      <c r="AI264" s="302"/>
      <c r="AJ264" s="305"/>
    </row>
    <row r="265" spans="2:36" ht="15.6" x14ac:dyDescent="0.3">
      <c r="B265" s="306"/>
      <c r="C265" s="148"/>
      <c r="D265" s="307"/>
      <c r="E265" s="308"/>
      <c r="F265" s="308"/>
      <c r="G265" s="309"/>
      <c r="H265" s="309"/>
      <c r="I265" s="309"/>
      <c r="J265" s="309"/>
      <c r="K265" s="310"/>
      <c r="L265" s="309"/>
      <c r="M265" s="310"/>
      <c r="N265" s="311"/>
      <c r="O265" s="311"/>
      <c r="P265" s="311"/>
      <c r="Q265" s="311"/>
      <c r="R265" s="312"/>
      <c r="S265" s="115"/>
      <c r="T265" s="313"/>
      <c r="U265" s="314"/>
      <c r="V265" s="315"/>
      <c r="W265" s="315"/>
      <c r="X265" s="315"/>
      <c r="Y265" s="316"/>
      <c r="Z265" s="115"/>
      <c r="AA265" s="313"/>
      <c r="AB265" s="314"/>
      <c r="AC265" s="314"/>
      <c r="AD265" s="314"/>
      <c r="AE265" s="314"/>
      <c r="AF265" s="314"/>
      <c r="AG265" s="314"/>
      <c r="AH265" s="314"/>
      <c r="AI265" s="314"/>
      <c r="AJ265" s="317"/>
    </row>
    <row r="266" spans="2:36" ht="15.6" x14ac:dyDescent="0.3">
      <c r="B266" s="283"/>
      <c r="C266" s="176"/>
      <c r="D266" s="296"/>
      <c r="E266" s="297"/>
      <c r="F266" s="297"/>
      <c r="G266" s="284"/>
      <c r="H266" s="284"/>
      <c r="I266" s="284"/>
      <c r="J266" s="284"/>
      <c r="K266" s="298"/>
      <c r="L266" s="284"/>
      <c r="M266" s="298"/>
      <c r="N266" s="299"/>
      <c r="O266" s="299"/>
      <c r="P266" s="299"/>
      <c r="Q266" s="299"/>
      <c r="R266" s="300"/>
      <c r="S266" s="115"/>
      <c r="T266" s="301"/>
      <c r="U266" s="302"/>
      <c r="V266" s="303"/>
      <c r="W266" s="303"/>
      <c r="X266" s="303"/>
      <c r="Y266" s="304"/>
      <c r="Z266" s="115"/>
      <c r="AA266" s="301"/>
      <c r="AB266" s="302"/>
      <c r="AC266" s="302"/>
      <c r="AD266" s="302"/>
      <c r="AE266" s="302"/>
      <c r="AF266" s="302"/>
      <c r="AG266" s="302"/>
      <c r="AH266" s="302"/>
      <c r="AI266" s="302"/>
      <c r="AJ266" s="305"/>
    </row>
    <row r="267" spans="2:36" ht="15.6" x14ac:dyDescent="0.3">
      <c r="B267" s="306"/>
      <c r="C267" s="148"/>
      <c r="D267" s="307"/>
      <c r="E267" s="308"/>
      <c r="F267" s="308"/>
      <c r="G267" s="309"/>
      <c r="H267" s="309"/>
      <c r="I267" s="309"/>
      <c r="J267" s="309"/>
      <c r="K267" s="310"/>
      <c r="L267" s="309"/>
      <c r="M267" s="310"/>
      <c r="N267" s="311"/>
      <c r="O267" s="311"/>
      <c r="P267" s="311"/>
      <c r="Q267" s="311"/>
      <c r="R267" s="312"/>
      <c r="S267" s="115"/>
      <c r="T267" s="313"/>
      <c r="U267" s="314"/>
      <c r="V267" s="315"/>
      <c r="W267" s="315"/>
      <c r="X267" s="315"/>
      <c r="Y267" s="316"/>
      <c r="Z267" s="115"/>
      <c r="AA267" s="313"/>
      <c r="AB267" s="314"/>
      <c r="AC267" s="314"/>
      <c r="AD267" s="314"/>
      <c r="AE267" s="314"/>
      <c r="AF267" s="314"/>
      <c r="AG267" s="314"/>
      <c r="AH267" s="314"/>
      <c r="AI267" s="314"/>
      <c r="AJ267" s="317"/>
    </row>
    <row r="268" spans="2:36" ht="15.6" x14ac:dyDescent="0.3">
      <c r="B268" s="283"/>
      <c r="C268" s="176"/>
      <c r="D268" s="296"/>
      <c r="E268" s="297"/>
      <c r="F268" s="297"/>
      <c r="G268" s="284"/>
      <c r="H268" s="284"/>
      <c r="I268" s="284"/>
      <c r="J268" s="284"/>
      <c r="K268" s="298"/>
      <c r="L268" s="284"/>
      <c r="M268" s="298"/>
      <c r="N268" s="299"/>
      <c r="O268" s="299"/>
      <c r="P268" s="299"/>
      <c r="Q268" s="299"/>
      <c r="R268" s="300"/>
      <c r="S268" s="115"/>
      <c r="T268" s="301"/>
      <c r="U268" s="302"/>
      <c r="V268" s="303"/>
      <c r="W268" s="303"/>
      <c r="X268" s="303"/>
      <c r="Y268" s="304"/>
      <c r="Z268" s="115"/>
      <c r="AA268" s="301"/>
      <c r="AB268" s="302"/>
      <c r="AC268" s="302"/>
      <c r="AD268" s="302"/>
      <c r="AE268" s="302"/>
      <c r="AF268" s="302"/>
      <c r="AG268" s="302"/>
      <c r="AH268" s="302"/>
      <c r="AI268" s="302"/>
      <c r="AJ268" s="305"/>
    </row>
    <row r="269" spans="2:36" ht="15.6" x14ac:dyDescent="0.3">
      <c r="B269" s="306"/>
      <c r="C269" s="148"/>
      <c r="D269" s="307"/>
      <c r="E269" s="308"/>
      <c r="F269" s="308"/>
      <c r="G269" s="309"/>
      <c r="H269" s="309"/>
      <c r="I269" s="309"/>
      <c r="J269" s="309"/>
      <c r="K269" s="310"/>
      <c r="L269" s="309"/>
      <c r="M269" s="310"/>
      <c r="N269" s="311"/>
      <c r="O269" s="311"/>
      <c r="P269" s="311"/>
      <c r="Q269" s="311"/>
      <c r="R269" s="312"/>
      <c r="S269" s="115"/>
      <c r="T269" s="313"/>
      <c r="U269" s="314"/>
      <c r="V269" s="315"/>
      <c r="W269" s="315"/>
      <c r="X269" s="315"/>
      <c r="Y269" s="316"/>
      <c r="Z269" s="115"/>
      <c r="AA269" s="313"/>
      <c r="AB269" s="314"/>
      <c r="AC269" s="314"/>
      <c r="AD269" s="314"/>
      <c r="AE269" s="314"/>
      <c r="AF269" s="314"/>
      <c r="AG269" s="314"/>
      <c r="AH269" s="314"/>
      <c r="AI269" s="314"/>
      <c r="AJ269" s="317"/>
    </row>
    <row r="270" spans="2:36" ht="15.6" x14ac:dyDescent="0.3">
      <c r="B270" s="283"/>
      <c r="C270" s="176"/>
      <c r="D270" s="296"/>
      <c r="E270" s="297"/>
      <c r="F270" s="297"/>
      <c r="G270" s="284"/>
      <c r="H270" s="284"/>
      <c r="I270" s="284"/>
      <c r="J270" s="284"/>
      <c r="K270" s="298"/>
      <c r="L270" s="284"/>
      <c r="M270" s="298"/>
      <c r="N270" s="299"/>
      <c r="O270" s="299"/>
      <c r="P270" s="299"/>
      <c r="Q270" s="299"/>
      <c r="R270" s="300"/>
      <c r="S270" s="115"/>
      <c r="T270" s="301"/>
      <c r="U270" s="302"/>
      <c r="V270" s="303"/>
      <c r="W270" s="303"/>
      <c r="X270" s="303"/>
      <c r="Y270" s="304"/>
      <c r="Z270" s="115"/>
      <c r="AA270" s="301"/>
      <c r="AB270" s="302"/>
      <c r="AC270" s="302"/>
      <c r="AD270" s="302"/>
      <c r="AE270" s="302"/>
      <c r="AF270" s="302"/>
      <c r="AG270" s="302"/>
      <c r="AH270" s="302"/>
      <c r="AI270" s="302"/>
      <c r="AJ270" s="305"/>
    </row>
    <row r="271" spans="2:36" ht="15.6" x14ac:dyDescent="0.3">
      <c r="B271" s="306"/>
      <c r="C271" s="148"/>
      <c r="D271" s="307"/>
      <c r="E271" s="308"/>
      <c r="F271" s="308"/>
      <c r="G271" s="309"/>
      <c r="H271" s="309"/>
      <c r="I271" s="309"/>
      <c r="J271" s="309"/>
      <c r="K271" s="310"/>
      <c r="L271" s="309"/>
      <c r="M271" s="310"/>
      <c r="N271" s="311"/>
      <c r="O271" s="311"/>
      <c r="P271" s="311"/>
      <c r="Q271" s="311"/>
      <c r="R271" s="312"/>
      <c r="S271" s="115"/>
      <c r="T271" s="313"/>
      <c r="U271" s="314"/>
      <c r="V271" s="315"/>
      <c r="W271" s="315"/>
      <c r="X271" s="315"/>
      <c r="Y271" s="316"/>
      <c r="Z271" s="115"/>
      <c r="AA271" s="313"/>
      <c r="AB271" s="314"/>
      <c r="AC271" s="314"/>
      <c r="AD271" s="314"/>
      <c r="AE271" s="314"/>
      <c r="AF271" s="314"/>
      <c r="AG271" s="314"/>
      <c r="AH271" s="314"/>
      <c r="AI271" s="314"/>
      <c r="AJ271" s="317"/>
    </row>
    <row r="272" spans="2:36" ht="15.6" x14ac:dyDescent="0.3">
      <c r="B272" s="283"/>
      <c r="C272" s="176"/>
      <c r="D272" s="296"/>
      <c r="E272" s="297"/>
      <c r="F272" s="297"/>
      <c r="G272" s="284"/>
      <c r="H272" s="284"/>
      <c r="I272" s="284"/>
      <c r="J272" s="284"/>
      <c r="K272" s="298"/>
      <c r="L272" s="284"/>
      <c r="M272" s="298"/>
      <c r="N272" s="299"/>
      <c r="O272" s="299"/>
      <c r="P272" s="299"/>
      <c r="Q272" s="299"/>
      <c r="R272" s="300"/>
      <c r="S272" s="115"/>
      <c r="T272" s="301"/>
      <c r="U272" s="302"/>
      <c r="V272" s="303"/>
      <c r="W272" s="303"/>
      <c r="X272" s="303"/>
      <c r="Y272" s="304"/>
      <c r="Z272" s="115"/>
      <c r="AA272" s="301"/>
      <c r="AB272" s="302"/>
      <c r="AC272" s="302"/>
      <c r="AD272" s="302"/>
      <c r="AE272" s="302"/>
      <c r="AF272" s="302"/>
      <c r="AG272" s="302"/>
      <c r="AH272" s="302"/>
      <c r="AI272" s="302"/>
      <c r="AJ272" s="305"/>
    </row>
    <row r="273" spans="2:36" ht="15.6" x14ac:dyDescent="0.3">
      <c r="B273" s="306"/>
      <c r="C273" s="148"/>
      <c r="D273" s="307"/>
      <c r="E273" s="308"/>
      <c r="F273" s="308"/>
      <c r="G273" s="309"/>
      <c r="H273" s="309"/>
      <c r="I273" s="309"/>
      <c r="J273" s="309"/>
      <c r="K273" s="310"/>
      <c r="L273" s="309"/>
      <c r="M273" s="310"/>
      <c r="N273" s="311"/>
      <c r="O273" s="311"/>
      <c r="P273" s="311"/>
      <c r="Q273" s="311"/>
      <c r="R273" s="312"/>
      <c r="S273" s="115"/>
      <c r="T273" s="313"/>
      <c r="U273" s="314"/>
      <c r="V273" s="315"/>
      <c r="W273" s="315"/>
      <c r="X273" s="315"/>
      <c r="Y273" s="316"/>
      <c r="Z273" s="115"/>
      <c r="AA273" s="313"/>
      <c r="AB273" s="314"/>
      <c r="AC273" s="314"/>
      <c r="AD273" s="314"/>
      <c r="AE273" s="314"/>
      <c r="AF273" s="314"/>
      <c r="AG273" s="314"/>
      <c r="AH273" s="314"/>
      <c r="AI273" s="314"/>
      <c r="AJ273" s="317"/>
    </row>
    <row r="274" spans="2:36" ht="15.6" x14ac:dyDescent="0.3">
      <c r="B274" s="283"/>
      <c r="C274" s="176"/>
      <c r="D274" s="296"/>
      <c r="E274" s="297"/>
      <c r="F274" s="297"/>
      <c r="G274" s="284"/>
      <c r="H274" s="284"/>
      <c r="I274" s="284"/>
      <c r="J274" s="284"/>
      <c r="K274" s="298"/>
      <c r="L274" s="284"/>
      <c r="M274" s="298"/>
      <c r="N274" s="299"/>
      <c r="O274" s="299"/>
      <c r="P274" s="299"/>
      <c r="Q274" s="299"/>
      <c r="R274" s="300"/>
      <c r="S274" s="115"/>
      <c r="T274" s="301"/>
      <c r="U274" s="302"/>
      <c r="V274" s="303"/>
      <c r="W274" s="303"/>
      <c r="X274" s="303"/>
      <c r="Y274" s="304"/>
      <c r="Z274" s="115"/>
      <c r="AA274" s="301"/>
      <c r="AB274" s="302"/>
      <c r="AC274" s="302"/>
      <c r="AD274" s="302"/>
      <c r="AE274" s="302"/>
      <c r="AF274" s="302"/>
      <c r="AG274" s="302"/>
      <c r="AH274" s="302"/>
      <c r="AI274" s="302"/>
      <c r="AJ274" s="305"/>
    </row>
    <row r="275" spans="2:36" ht="15.6" x14ac:dyDescent="0.3">
      <c r="B275" s="306"/>
      <c r="C275" s="148"/>
      <c r="D275" s="307"/>
      <c r="E275" s="308"/>
      <c r="F275" s="308"/>
      <c r="G275" s="309"/>
      <c r="H275" s="309"/>
      <c r="I275" s="309"/>
      <c r="J275" s="309"/>
      <c r="K275" s="310"/>
      <c r="L275" s="309"/>
      <c r="M275" s="310"/>
      <c r="N275" s="311"/>
      <c r="O275" s="311"/>
      <c r="P275" s="311"/>
      <c r="Q275" s="311"/>
      <c r="R275" s="312"/>
      <c r="S275" s="115"/>
      <c r="T275" s="313"/>
      <c r="U275" s="314"/>
      <c r="V275" s="315"/>
      <c r="W275" s="315"/>
      <c r="X275" s="315"/>
      <c r="Y275" s="316"/>
      <c r="Z275" s="115"/>
      <c r="AA275" s="313"/>
      <c r="AB275" s="314"/>
      <c r="AC275" s="314"/>
      <c r="AD275" s="314"/>
      <c r="AE275" s="314"/>
      <c r="AF275" s="314"/>
      <c r="AG275" s="314"/>
      <c r="AH275" s="314"/>
      <c r="AI275" s="314"/>
      <c r="AJ275" s="317"/>
    </row>
    <row r="276" spans="2:36" ht="15.6" x14ac:dyDescent="0.3">
      <c r="B276" s="283"/>
      <c r="C276" s="176"/>
      <c r="D276" s="296"/>
      <c r="E276" s="297"/>
      <c r="F276" s="297"/>
      <c r="G276" s="284"/>
      <c r="H276" s="284"/>
      <c r="I276" s="284"/>
      <c r="J276" s="284"/>
      <c r="K276" s="298"/>
      <c r="L276" s="284"/>
      <c r="M276" s="298"/>
      <c r="N276" s="299"/>
      <c r="O276" s="299"/>
      <c r="P276" s="299"/>
      <c r="Q276" s="299"/>
      <c r="R276" s="300"/>
      <c r="S276" s="115"/>
      <c r="T276" s="301"/>
      <c r="U276" s="302"/>
      <c r="V276" s="303"/>
      <c r="W276" s="303"/>
      <c r="X276" s="303"/>
      <c r="Y276" s="304"/>
      <c r="Z276" s="115"/>
      <c r="AA276" s="301"/>
      <c r="AB276" s="302"/>
      <c r="AC276" s="302"/>
      <c r="AD276" s="302"/>
      <c r="AE276" s="302"/>
      <c r="AF276" s="302"/>
      <c r="AG276" s="302"/>
      <c r="AH276" s="302"/>
      <c r="AI276" s="302"/>
      <c r="AJ276" s="305"/>
    </row>
    <row r="277" spans="2:36" ht="15.6" x14ac:dyDescent="0.3">
      <c r="B277" s="306"/>
      <c r="C277" s="148"/>
      <c r="D277" s="307"/>
      <c r="E277" s="308"/>
      <c r="F277" s="308"/>
      <c r="G277" s="309"/>
      <c r="H277" s="309"/>
      <c r="I277" s="309"/>
      <c r="J277" s="309"/>
      <c r="K277" s="310"/>
      <c r="L277" s="309"/>
      <c r="M277" s="310"/>
      <c r="N277" s="311"/>
      <c r="O277" s="311"/>
      <c r="P277" s="311"/>
      <c r="Q277" s="311"/>
      <c r="R277" s="312"/>
      <c r="S277" s="115"/>
      <c r="T277" s="313"/>
      <c r="U277" s="314"/>
      <c r="V277" s="315"/>
      <c r="W277" s="315"/>
      <c r="X277" s="315"/>
      <c r="Y277" s="316"/>
      <c r="Z277" s="115"/>
      <c r="AA277" s="313"/>
      <c r="AB277" s="314"/>
      <c r="AC277" s="314"/>
      <c r="AD277" s="314"/>
      <c r="AE277" s="314"/>
      <c r="AF277" s="314"/>
      <c r="AG277" s="314"/>
      <c r="AH277" s="314"/>
      <c r="AI277" s="314"/>
      <c r="AJ277" s="317"/>
    </row>
    <row r="278" spans="2:36" ht="15.6" x14ac:dyDescent="0.3">
      <c r="B278" s="283"/>
      <c r="C278" s="176"/>
      <c r="D278" s="296"/>
      <c r="E278" s="297"/>
      <c r="F278" s="297"/>
      <c r="G278" s="284"/>
      <c r="H278" s="284"/>
      <c r="I278" s="284"/>
      <c r="J278" s="284"/>
      <c r="K278" s="298"/>
      <c r="L278" s="284"/>
      <c r="M278" s="298"/>
      <c r="N278" s="299"/>
      <c r="O278" s="299"/>
      <c r="P278" s="299"/>
      <c r="Q278" s="299"/>
      <c r="R278" s="300"/>
      <c r="S278" s="115"/>
      <c r="T278" s="301"/>
      <c r="U278" s="302"/>
      <c r="V278" s="303"/>
      <c r="W278" s="303"/>
      <c r="X278" s="303"/>
      <c r="Y278" s="304"/>
      <c r="Z278" s="115"/>
      <c r="AA278" s="301"/>
      <c r="AB278" s="302"/>
      <c r="AC278" s="302"/>
      <c r="AD278" s="302"/>
      <c r="AE278" s="302"/>
      <c r="AF278" s="302"/>
      <c r="AG278" s="302"/>
      <c r="AH278" s="302"/>
      <c r="AI278" s="302"/>
      <c r="AJ278" s="305"/>
    </row>
    <row r="279" spans="2:36" ht="15.6" x14ac:dyDescent="0.3">
      <c r="B279" s="306"/>
      <c r="C279" s="148"/>
      <c r="D279" s="307"/>
      <c r="E279" s="308"/>
      <c r="F279" s="308"/>
      <c r="G279" s="309"/>
      <c r="H279" s="309"/>
      <c r="I279" s="309"/>
      <c r="J279" s="309"/>
      <c r="K279" s="310"/>
      <c r="L279" s="309"/>
      <c r="M279" s="310"/>
      <c r="N279" s="311"/>
      <c r="O279" s="311"/>
      <c r="P279" s="311"/>
      <c r="Q279" s="311"/>
      <c r="R279" s="312"/>
      <c r="S279" s="115"/>
      <c r="T279" s="313"/>
      <c r="U279" s="314"/>
      <c r="V279" s="315"/>
      <c r="W279" s="315"/>
      <c r="X279" s="315"/>
      <c r="Y279" s="316"/>
      <c r="Z279" s="115"/>
      <c r="AA279" s="313"/>
      <c r="AB279" s="314"/>
      <c r="AC279" s="314"/>
      <c r="AD279" s="314"/>
      <c r="AE279" s="314"/>
      <c r="AF279" s="314"/>
      <c r="AG279" s="314"/>
      <c r="AH279" s="314"/>
      <c r="AI279" s="314"/>
      <c r="AJ279" s="317"/>
    </row>
    <row r="280" spans="2:36" ht="15.6" x14ac:dyDescent="0.3">
      <c r="B280" s="283"/>
      <c r="C280" s="176"/>
      <c r="D280" s="296"/>
      <c r="E280" s="297"/>
      <c r="F280" s="297"/>
      <c r="G280" s="284"/>
      <c r="H280" s="284"/>
      <c r="I280" s="284"/>
      <c r="J280" s="284"/>
      <c r="K280" s="298"/>
      <c r="L280" s="284"/>
      <c r="M280" s="298"/>
      <c r="N280" s="299"/>
      <c r="O280" s="299"/>
      <c r="P280" s="299"/>
      <c r="Q280" s="299"/>
      <c r="R280" s="300"/>
      <c r="S280" s="115"/>
      <c r="T280" s="301"/>
      <c r="U280" s="302"/>
      <c r="V280" s="303"/>
      <c r="W280" s="303"/>
      <c r="X280" s="303"/>
      <c r="Y280" s="304"/>
      <c r="Z280" s="115"/>
      <c r="AA280" s="301"/>
      <c r="AB280" s="302"/>
      <c r="AC280" s="302"/>
      <c r="AD280" s="302"/>
      <c r="AE280" s="302"/>
      <c r="AF280" s="302"/>
      <c r="AG280" s="302"/>
      <c r="AH280" s="302"/>
      <c r="AI280" s="302"/>
      <c r="AJ280" s="305"/>
    </row>
    <row r="281" spans="2:36" ht="15.6" x14ac:dyDescent="0.3">
      <c r="B281" s="306"/>
      <c r="C281" s="148"/>
      <c r="D281" s="307"/>
      <c r="E281" s="308"/>
      <c r="F281" s="308"/>
      <c r="G281" s="309"/>
      <c r="H281" s="309"/>
      <c r="I281" s="309"/>
      <c r="J281" s="309"/>
      <c r="K281" s="310"/>
      <c r="L281" s="309"/>
      <c r="M281" s="310"/>
      <c r="N281" s="311"/>
      <c r="O281" s="311"/>
      <c r="P281" s="311"/>
      <c r="Q281" s="311"/>
      <c r="R281" s="312"/>
      <c r="S281" s="115"/>
      <c r="T281" s="313"/>
      <c r="U281" s="314"/>
      <c r="V281" s="315"/>
      <c r="W281" s="315"/>
      <c r="X281" s="315"/>
      <c r="Y281" s="316"/>
      <c r="Z281" s="115"/>
      <c r="AA281" s="313"/>
      <c r="AB281" s="314"/>
      <c r="AC281" s="314"/>
      <c r="AD281" s="314"/>
      <c r="AE281" s="314"/>
      <c r="AF281" s="314"/>
      <c r="AG281" s="314"/>
      <c r="AH281" s="314"/>
      <c r="AI281" s="314"/>
      <c r="AJ281" s="317"/>
    </row>
    <row r="282" spans="2:36" ht="15.6" x14ac:dyDescent="0.3">
      <c r="B282" s="283"/>
      <c r="C282" s="176"/>
      <c r="D282" s="296"/>
      <c r="E282" s="297"/>
      <c r="F282" s="297"/>
      <c r="G282" s="284"/>
      <c r="H282" s="284"/>
      <c r="I282" s="284"/>
      <c r="J282" s="284"/>
      <c r="K282" s="298"/>
      <c r="L282" s="284"/>
      <c r="M282" s="298"/>
      <c r="N282" s="299"/>
      <c r="O282" s="299"/>
      <c r="P282" s="299"/>
      <c r="Q282" s="299"/>
      <c r="R282" s="300"/>
      <c r="S282" s="115"/>
      <c r="T282" s="301"/>
      <c r="U282" s="302"/>
      <c r="V282" s="303"/>
      <c r="W282" s="303"/>
      <c r="X282" s="303"/>
      <c r="Y282" s="304"/>
      <c r="Z282" s="115"/>
      <c r="AA282" s="301"/>
      <c r="AB282" s="302"/>
      <c r="AC282" s="302"/>
      <c r="AD282" s="302"/>
      <c r="AE282" s="302"/>
      <c r="AF282" s="302"/>
      <c r="AG282" s="302"/>
      <c r="AH282" s="302"/>
      <c r="AI282" s="302"/>
      <c r="AJ282" s="305"/>
    </row>
    <row r="283" spans="2:36" ht="15.6" x14ac:dyDescent="0.3">
      <c r="B283" s="306"/>
      <c r="C283" s="148"/>
      <c r="D283" s="307"/>
      <c r="E283" s="308"/>
      <c r="F283" s="308"/>
      <c r="G283" s="309"/>
      <c r="H283" s="309"/>
      <c r="I283" s="309"/>
      <c r="J283" s="309"/>
      <c r="K283" s="310"/>
      <c r="L283" s="309"/>
      <c r="M283" s="310"/>
      <c r="N283" s="311"/>
      <c r="O283" s="311"/>
      <c r="P283" s="311"/>
      <c r="Q283" s="311"/>
      <c r="R283" s="312"/>
      <c r="S283" s="115"/>
      <c r="T283" s="313"/>
      <c r="U283" s="314"/>
      <c r="V283" s="315"/>
      <c r="W283" s="315"/>
      <c r="X283" s="315"/>
      <c r="Y283" s="316"/>
      <c r="Z283" s="115"/>
      <c r="AA283" s="313"/>
      <c r="AB283" s="314"/>
      <c r="AC283" s="314"/>
      <c r="AD283" s="314"/>
      <c r="AE283" s="314"/>
      <c r="AF283" s="314"/>
      <c r="AG283" s="314"/>
      <c r="AH283" s="314"/>
      <c r="AI283" s="314"/>
      <c r="AJ283" s="317"/>
    </row>
    <row r="284" spans="2:36" ht="15.6" x14ac:dyDescent="0.3">
      <c r="B284" s="283"/>
      <c r="C284" s="176"/>
      <c r="D284" s="296"/>
      <c r="E284" s="297"/>
      <c r="F284" s="297"/>
      <c r="G284" s="284"/>
      <c r="H284" s="284"/>
      <c r="I284" s="284"/>
      <c r="J284" s="284"/>
      <c r="K284" s="298"/>
      <c r="L284" s="284"/>
      <c r="M284" s="298"/>
      <c r="N284" s="299"/>
      <c r="O284" s="299"/>
      <c r="P284" s="299"/>
      <c r="Q284" s="299"/>
      <c r="R284" s="300"/>
      <c r="S284" s="115"/>
      <c r="T284" s="301"/>
      <c r="U284" s="302"/>
      <c r="V284" s="303"/>
      <c r="W284" s="303"/>
      <c r="X284" s="303"/>
      <c r="Y284" s="304"/>
      <c r="Z284" s="115"/>
      <c r="AA284" s="301"/>
      <c r="AB284" s="302"/>
      <c r="AC284" s="302"/>
      <c r="AD284" s="302"/>
      <c r="AE284" s="302"/>
      <c r="AF284" s="302"/>
      <c r="AG284" s="302"/>
      <c r="AH284" s="302"/>
      <c r="AI284" s="302"/>
      <c r="AJ284" s="305"/>
    </row>
    <row r="285" spans="2:36" ht="15.6" x14ac:dyDescent="0.3">
      <c r="B285" s="306"/>
      <c r="C285" s="148"/>
      <c r="D285" s="307"/>
      <c r="E285" s="308"/>
      <c r="F285" s="308"/>
      <c r="G285" s="309"/>
      <c r="H285" s="309"/>
      <c r="I285" s="309"/>
      <c r="J285" s="309"/>
      <c r="K285" s="310"/>
      <c r="L285" s="309"/>
      <c r="M285" s="310"/>
      <c r="N285" s="311"/>
      <c r="O285" s="311"/>
      <c r="P285" s="311"/>
      <c r="Q285" s="311"/>
      <c r="R285" s="312"/>
      <c r="S285" s="115"/>
      <c r="T285" s="313"/>
      <c r="U285" s="314"/>
      <c r="V285" s="315"/>
      <c r="W285" s="315"/>
      <c r="X285" s="315"/>
      <c r="Y285" s="316"/>
      <c r="Z285" s="115"/>
      <c r="AA285" s="313"/>
      <c r="AB285" s="314"/>
      <c r="AC285" s="314"/>
      <c r="AD285" s="314"/>
      <c r="AE285" s="314"/>
      <c r="AF285" s="314"/>
      <c r="AG285" s="314"/>
      <c r="AH285" s="314"/>
      <c r="AI285" s="314"/>
      <c r="AJ285" s="317"/>
    </row>
    <row r="286" spans="2:36" ht="15.6" x14ac:dyDescent="0.3">
      <c r="B286" s="283"/>
      <c r="C286" s="176"/>
      <c r="D286" s="296"/>
      <c r="E286" s="297"/>
      <c r="F286" s="297"/>
      <c r="G286" s="284"/>
      <c r="H286" s="284"/>
      <c r="I286" s="284"/>
      <c r="J286" s="284"/>
      <c r="K286" s="298"/>
      <c r="L286" s="284"/>
      <c r="M286" s="298"/>
      <c r="N286" s="299"/>
      <c r="O286" s="299"/>
      <c r="P286" s="299"/>
      <c r="Q286" s="299"/>
      <c r="R286" s="300"/>
      <c r="S286" s="115"/>
      <c r="T286" s="301"/>
      <c r="U286" s="302"/>
      <c r="V286" s="303"/>
      <c r="W286" s="303"/>
      <c r="X286" s="303"/>
      <c r="Y286" s="304"/>
      <c r="Z286" s="115"/>
      <c r="AA286" s="301"/>
      <c r="AB286" s="302"/>
      <c r="AC286" s="302"/>
      <c r="AD286" s="302"/>
      <c r="AE286" s="302"/>
      <c r="AF286" s="302"/>
      <c r="AG286" s="302"/>
      <c r="AH286" s="302"/>
      <c r="AI286" s="302"/>
      <c r="AJ286" s="305"/>
    </row>
    <row r="287" spans="2:36" ht="15.6" x14ac:dyDescent="0.3">
      <c r="B287" s="306"/>
      <c r="C287" s="148"/>
      <c r="D287" s="307"/>
      <c r="E287" s="308"/>
      <c r="F287" s="308"/>
      <c r="G287" s="309"/>
      <c r="H287" s="309"/>
      <c r="I287" s="309"/>
      <c r="J287" s="309"/>
      <c r="K287" s="310"/>
      <c r="L287" s="309"/>
      <c r="M287" s="310"/>
      <c r="N287" s="311"/>
      <c r="O287" s="311"/>
      <c r="P287" s="311"/>
      <c r="Q287" s="311"/>
      <c r="R287" s="312"/>
      <c r="S287" s="115"/>
      <c r="T287" s="313"/>
      <c r="U287" s="314"/>
      <c r="V287" s="315"/>
      <c r="W287" s="315"/>
      <c r="X287" s="315"/>
      <c r="Y287" s="316"/>
      <c r="Z287" s="115"/>
      <c r="AA287" s="313"/>
      <c r="AB287" s="314"/>
      <c r="AC287" s="314"/>
      <c r="AD287" s="314"/>
      <c r="AE287" s="314"/>
      <c r="AF287" s="314"/>
      <c r="AG287" s="314"/>
      <c r="AH287" s="314"/>
      <c r="AI287" s="314"/>
      <c r="AJ287" s="317"/>
    </row>
    <row r="288" spans="2:36" ht="15.6" x14ac:dyDescent="0.3">
      <c r="B288" s="283"/>
      <c r="C288" s="176"/>
      <c r="D288" s="296"/>
      <c r="E288" s="297"/>
      <c r="F288" s="297"/>
      <c r="G288" s="284"/>
      <c r="H288" s="284"/>
      <c r="I288" s="284"/>
      <c r="J288" s="284"/>
      <c r="K288" s="298"/>
      <c r="L288" s="284"/>
      <c r="M288" s="298"/>
      <c r="N288" s="299"/>
      <c r="O288" s="299"/>
      <c r="P288" s="299"/>
      <c r="Q288" s="299"/>
      <c r="R288" s="300"/>
      <c r="S288" s="115"/>
      <c r="T288" s="301"/>
      <c r="U288" s="302"/>
      <c r="V288" s="303"/>
      <c r="W288" s="303"/>
      <c r="X288" s="303"/>
      <c r="Y288" s="304"/>
      <c r="Z288" s="115"/>
      <c r="AA288" s="301"/>
      <c r="AB288" s="302"/>
      <c r="AC288" s="302"/>
      <c r="AD288" s="302"/>
      <c r="AE288" s="302"/>
      <c r="AF288" s="302"/>
      <c r="AG288" s="302"/>
      <c r="AH288" s="302"/>
      <c r="AI288" s="302"/>
      <c r="AJ288" s="305"/>
    </row>
    <row r="289" spans="2:36" ht="15.6" x14ac:dyDescent="0.3">
      <c r="B289" s="306"/>
      <c r="C289" s="148"/>
      <c r="D289" s="307"/>
      <c r="E289" s="308"/>
      <c r="F289" s="308"/>
      <c r="G289" s="309"/>
      <c r="H289" s="309"/>
      <c r="I289" s="309"/>
      <c r="J289" s="309"/>
      <c r="K289" s="310"/>
      <c r="L289" s="309"/>
      <c r="M289" s="310"/>
      <c r="N289" s="311"/>
      <c r="O289" s="311"/>
      <c r="P289" s="311"/>
      <c r="Q289" s="311"/>
      <c r="R289" s="312"/>
      <c r="S289" s="115"/>
      <c r="T289" s="313"/>
      <c r="U289" s="314"/>
      <c r="V289" s="315"/>
      <c r="W289" s="315"/>
      <c r="X289" s="315"/>
      <c r="Y289" s="316"/>
      <c r="Z289" s="115"/>
      <c r="AA289" s="313"/>
      <c r="AB289" s="314"/>
      <c r="AC289" s="314"/>
      <c r="AD289" s="314"/>
      <c r="AE289" s="314"/>
      <c r="AF289" s="314"/>
      <c r="AG289" s="314"/>
      <c r="AH289" s="314"/>
      <c r="AI289" s="314"/>
      <c r="AJ289" s="317"/>
    </row>
    <row r="290" spans="2:36" ht="15.6" x14ac:dyDescent="0.3">
      <c r="B290" s="283"/>
      <c r="C290" s="176"/>
      <c r="D290" s="296"/>
      <c r="E290" s="297"/>
      <c r="F290" s="297"/>
      <c r="G290" s="284"/>
      <c r="H290" s="284"/>
      <c r="I290" s="284"/>
      <c r="J290" s="284"/>
      <c r="K290" s="298"/>
      <c r="L290" s="284"/>
      <c r="M290" s="298"/>
      <c r="N290" s="299"/>
      <c r="O290" s="299"/>
      <c r="P290" s="299"/>
      <c r="Q290" s="299"/>
      <c r="R290" s="300"/>
      <c r="S290" s="115"/>
      <c r="T290" s="301"/>
      <c r="U290" s="302"/>
      <c r="V290" s="303"/>
      <c r="W290" s="303"/>
      <c r="X290" s="303"/>
      <c r="Y290" s="304"/>
      <c r="Z290" s="115"/>
      <c r="AA290" s="301"/>
      <c r="AB290" s="302"/>
      <c r="AC290" s="302"/>
      <c r="AD290" s="302"/>
      <c r="AE290" s="302"/>
      <c r="AF290" s="302"/>
      <c r="AG290" s="302"/>
      <c r="AH290" s="302"/>
      <c r="AI290" s="302"/>
      <c r="AJ290" s="305"/>
    </row>
    <row r="291" spans="2:36" ht="15.6" x14ac:dyDescent="0.3">
      <c r="B291" s="306"/>
      <c r="C291" s="148"/>
      <c r="D291" s="307"/>
      <c r="E291" s="308"/>
      <c r="F291" s="308"/>
      <c r="G291" s="309"/>
      <c r="H291" s="309"/>
      <c r="I291" s="309"/>
      <c r="J291" s="309"/>
      <c r="K291" s="310"/>
      <c r="L291" s="309"/>
      <c r="M291" s="310"/>
      <c r="N291" s="311"/>
      <c r="O291" s="311"/>
      <c r="P291" s="311"/>
      <c r="Q291" s="311"/>
      <c r="R291" s="312"/>
      <c r="S291" s="115"/>
      <c r="T291" s="313"/>
      <c r="U291" s="314"/>
      <c r="V291" s="315"/>
      <c r="W291" s="315"/>
      <c r="X291" s="315"/>
      <c r="Y291" s="316"/>
      <c r="Z291" s="115"/>
      <c r="AA291" s="313"/>
      <c r="AB291" s="314"/>
      <c r="AC291" s="314"/>
      <c r="AD291" s="314"/>
      <c r="AE291" s="314"/>
      <c r="AF291" s="314"/>
      <c r="AG291" s="314"/>
      <c r="AH291" s="314"/>
      <c r="AI291" s="314"/>
      <c r="AJ291" s="317"/>
    </row>
    <row r="292" spans="2:36" ht="15.6" x14ac:dyDescent="0.3">
      <c r="B292" s="283"/>
      <c r="C292" s="176"/>
      <c r="D292" s="296"/>
      <c r="E292" s="297"/>
      <c r="F292" s="297"/>
      <c r="G292" s="284"/>
      <c r="H292" s="284"/>
      <c r="I292" s="284"/>
      <c r="J292" s="284"/>
      <c r="K292" s="298"/>
      <c r="L292" s="284"/>
      <c r="M292" s="298"/>
      <c r="N292" s="299"/>
      <c r="O292" s="299"/>
      <c r="P292" s="299"/>
      <c r="Q292" s="299"/>
      <c r="R292" s="300"/>
      <c r="S292" s="115"/>
      <c r="T292" s="301"/>
      <c r="U292" s="302"/>
      <c r="V292" s="303"/>
      <c r="W292" s="303"/>
      <c r="X292" s="303"/>
      <c r="Y292" s="304"/>
      <c r="Z292" s="115"/>
      <c r="AA292" s="301"/>
      <c r="AB292" s="302"/>
      <c r="AC292" s="302"/>
      <c r="AD292" s="302"/>
      <c r="AE292" s="302"/>
      <c r="AF292" s="302"/>
      <c r="AG292" s="302"/>
      <c r="AH292" s="302"/>
      <c r="AI292" s="302"/>
      <c r="AJ292" s="305"/>
    </row>
    <row r="293" spans="2:36" ht="15.6" x14ac:dyDescent="0.3">
      <c r="B293" s="306"/>
      <c r="C293" s="148"/>
      <c r="D293" s="307"/>
      <c r="E293" s="308"/>
      <c r="F293" s="308"/>
      <c r="G293" s="309"/>
      <c r="H293" s="309"/>
      <c r="I293" s="309"/>
      <c r="J293" s="309"/>
      <c r="K293" s="310"/>
      <c r="L293" s="309"/>
      <c r="M293" s="310"/>
      <c r="N293" s="311"/>
      <c r="O293" s="311"/>
      <c r="P293" s="311"/>
      <c r="Q293" s="311"/>
      <c r="R293" s="312"/>
      <c r="S293" s="115"/>
      <c r="T293" s="313"/>
      <c r="U293" s="314"/>
      <c r="V293" s="315"/>
      <c r="W293" s="315"/>
      <c r="X293" s="315"/>
      <c r="Y293" s="316"/>
      <c r="Z293" s="115"/>
      <c r="AA293" s="313"/>
      <c r="AB293" s="314"/>
      <c r="AC293" s="314"/>
      <c r="AD293" s="314"/>
      <c r="AE293" s="314"/>
      <c r="AF293" s="314"/>
      <c r="AG293" s="314"/>
      <c r="AH293" s="314"/>
      <c r="AI293" s="314"/>
      <c r="AJ293" s="317"/>
    </row>
    <row r="294" spans="2:36" ht="15.6" x14ac:dyDescent="0.3">
      <c r="B294" s="283"/>
      <c r="C294" s="176"/>
      <c r="D294" s="296"/>
      <c r="E294" s="297"/>
      <c r="F294" s="297"/>
      <c r="G294" s="284"/>
      <c r="H294" s="284"/>
      <c r="I294" s="284"/>
      <c r="J294" s="284"/>
      <c r="K294" s="298"/>
      <c r="L294" s="284"/>
      <c r="M294" s="298"/>
      <c r="N294" s="299"/>
      <c r="O294" s="299"/>
      <c r="P294" s="299"/>
      <c r="Q294" s="299"/>
      <c r="R294" s="300"/>
      <c r="S294" s="115"/>
      <c r="T294" s="301"/>
      <c r="U294" s="302"/>
      <c r="V294" s="303"/>
      <c r="W294" s="303"/>
      <c r="X294" s="303"/>
      <c r="Y294" s="304"/>
      <c r="Z294" s="115"/>
      <c r="AA294" s="301"/>
      <c r="AB294" s="302"/>
      <c r="AC294" s="302"/>
      <c r="AD294" s="302"/>
      <c r="AE294" s="302"/>
      <c r="AF294" s="302"/>
      <c r="AG294" s="302"/>
      <c r="AH294" s="302"/>
      <c r="AI294" s="302"/>
      <c r="AJ294" s="305"/>
    </row>
    <row r="295" spans="2:36" ht="15.6" x14ac:dyDescent="0.3">
      <c r="B295" s="306"/>
      <c r="C295" s="148"/>
      <c r="D295" s="307"/>
      <c r="E295" s="308"/>
      <c r="F295" s="308"/>
      <c r="G295" s="309"/>
      <c r="H295" s="309"/>
      <c r="I295" s="309"/>
      <c r="J295" s="309"/>
      <c r="K295" s="310"/>
      <c r="L295" s="309"/>
      <c r="M295" s="310"/>
      <c r="N295" s="311"/>
      <c r="O295" s="311"/>
      <c r="P295" s="311"/>
      <c r="Q295" s="311"/>
      <c r="R295" s="312"/>
      <c r="S295" s="115"/>
      <c r="T295" s="313"/>
      <c r="U295" s="314"/>
      <c r="V295" s="315"/>
      <c r="W295" s="315"/>
      <c r="X295" s="315"/>
      <c r="Y295" s="316"/>
      <c r="Z295" s="115"/>
      <c r="AA295" s="313"/>
      <c r="AB295" s="314"/>
      <c r="AC295" s="314"/>
      <c r="AD295" s="314"/>
      <c r="AE295" s="314"/>
      <c r="AF295" s="314"/>
      <c r="AG295" s="314"/>
      <c r="AH295" s="314"/>
      <c r="AI295" s="314"/>
      <c r="AJ295" s="317"/>
    </row>
    <row r="296" spans="2:36" ht="15.6" x14ac:dyDescent="0.3">
      <c r="B296" s="283"/>
      <c r="C296" s="176"/>
      <c r="D296" s="296"/>
      <c r="E296" s="297"/>
      <c r="F296" s="297"/>
      <c r="G296" s="284"/>
      <c r="H296" s="284"/>
      <c r="I296" s="284"/>
      <c r="J296" s="284"/>
      <c r="K296" s="298"/>
      <c r="L296" s="284"/>
      <c r="M296" s="298"/>
      <c r="N296" s="299"/>
      <c r="O296" s="299"/>
      <c r="P296" s="299"/>
      <c r="Q296" s="299"/>
      <c r="R296" s="300"/>
      <c r="S296" s="115"/>
      <c r="T296" s="301"/>
      <c r="U296" s="302"/>
      <c r="V296" s="303"/>
      <c r="W296" s="303"/>
      <c r="X296" s="303"/>
      <c r="Y296" s="304"/>
      <c r="Z296" s="115"/>
      <c r="AA296" s="301"/>
      <c r="AB296" s="302"/>
      <c r="AC296" s="302"/>
      <c r="AD296" s="302"/>
      <c r="AE296" s="302"/>
      <c r="AF296" s="302"/>
      <c r="AG296" s="302"/>
      <c r="AH296" s="302"/>
      <c r="AI296" s="302"/>
      <c r="AJ296" s="305"/>
    </row>
    <row r="297" spans="2:36" ht="15.6" x14ac:dyDescent="0.3">
      <c r="B297" s="306"/>
      <c r="C297" s="148"/>
      <c r="D297" s="307"/>
      <c r="E297" s="308"/>
      <c r="F297" s="308"/>
      <c r="G297" s="309"/>
      <c r="H297" s="309"/>
      <c r="I297" s="309"/>
      <c r="J297" s="309"/>
      <c r="K297" s="310"/>
      <c r="L297" s="309"/>
      <c r="M297" s="310"/>
      <c r="N297" s="311"/>
      <c r="O297" s="311"/>
      <c r="P297" s="311"/>
      <c r="Q297" s="311"/>
      <c r="R297" s="312"/>
      <c r="S297" s="115"/>
      <c r="T297" s="313"/>
      <c r="U297" s="314"/>
      <c r="V297" s="315"/>
      <c r="W297" s="315"/>
      <c r="X297" s="315"/>
      <c r="Y297" s="316"/>
      <c r="Z297" s="115"/>
      <c r="AA297" s="313"/>
      <c r="AB297" s="314"/>
      <c r="AC297" s="314"/>
      <c r="AD297" s="314"/>
      <c r="AE297" s="314"/>
      <c r="AF297" s="314"/>
      <c r="AG297" s="314"/>
      <c r="AH297" s="314"/>
      <c r="AI297" s="314"/>
      <c r="AJ297" s="317"/>
    </row>
    <row r="298" spans="2:36" ht="15.6" x14ac:dyDescent="0.3">
      <c r="B298" s="283"/>
      <c r="C298" s="176"/>
      <c r="D298" s="296"/>
      <c r="E298" s="297"/>
      <c r="F298" s="297"/>
      <c r="G298" s="284"/>
      <c r="H298" s="284"/>
      <c r="I298" s="284"/>
      <c r="J298" s="284"/>
      <c r="K298" s="298"/>
      <c r="L298" s="284"/>
      <c r="M298" s="298"/>
      <c r="N298" s="299"/>
      <c r="O298" s="299"/>
      <c r="P298" s="299"/>
      <c r="Q298" s="299"/>
      <c r="R298" s="300"/>
      <c r="S298" s="115"/>
      <c r="T298" s="301"/>
      <c r="U298" s="302"/>
      <c r="V298" s="303"/>
      <c r="W298" s="303"/>
      <c r="X298" s="303"/>
      <c r="Y298" s="304"/>
      <c r="Z298" s="115"/>
      <c r="AA298" s="301"/>
      <c r="AB298" s="302"/>
      <c r="AC298" s="302"/>
      <c r="AD298" s="302"/>
      <c r="AE298" s="302"/>
      <c r="AF298" s="302"/>
      <c r="AG298" s="302"/>
      <c r="AH298" s="302"/>
      <c r="AI298" s="302"/>
      <c r="AJ298" s="305"/>
    </row>
    <row r="299" spans="2:36" ht="15.6" x14ac:dyDescent="0.3">
      <c r="B299" s="306"/>
      <c r="C299" s="148"/>
      <c r="D299" s="307"/>
      <c r="E299" s="308"/>
      <c r="F299" s="308"/>
      <c r="G299" s="309"/>
      <c r="H299" s="309"/>
      <c r="I299" s="309"/>
      <c r="J299" s="309"/>
      <c r="K299" s="310"/>
      <c r="L299" s="309"/>
      <c r="M299" s="310"/>
      <c r="N299" s="311"/>
      <c r="O299" s="311"/>
      <c r="P299" s="311"/>
      <c r="Q299" s="311"/>
      <c r="R299" s="312"/>
      <c r="S299" s="115"/>
      <c r="T299" s="313"/>
      <c r="U299" s="314"/>
      <c r="V299" s="315"/>
      <c r="W299" s="315"/>
      <c r="X299" s="315"/>
      <c r="Y299" s="316"/>
      <c r="Z299" s="115"/>
      <c r="AA299" s="313"/>
      <c r="AB299" s="314"/>
      <c r="AC299" s="314"/>
      <c r="AD299" s="314"/>
      <c r="AE299" s="314"/>
      <c r="AF299" s="314"/>
      <c r="AG299" s="314"/>
      <c r="AH299" s="314"/>
      <c r="AI299" s="314"/>
      <c r="AJ299" s="317"/>
    </row>
    <row r="300" spans="2:36" ht="15.6" x14ac:dyDescent="0.3">
      <c r="B300" s="283"/>
      <c r="C300" s="176"/>
      <c r="D300" s="296"/>
      <c r="E300" s="297"/>
      <c r="F300" s="297"/>
      <c r="G300" s="284"/>
      <c r="H300" s="284"/>
      <c r="I300" s="284"/>
      <c r="J300" s="284"/>
      <c r="K300" s="298"/>
      <c r="L300" s="284"/>
      <c r="M300" s="298"/>
      <c r="N300" s="299"/>
      <c r="O300" s="299"/>
      <c r="P300" s="299"/>
      <c r="Q300" s="299"/>
      <c r="R300" s="300"/>
      <c r="S300" s="115"/>
      <c r="T300" s="301"/>
      <c r="U300" s="302"/>
      <c r="V300" s="303"/>
      <c r="W300" s="303"/>
      <c r="X300" s="303"/>
      <c r="Y300" s="304"/>
      <c r="Z300" s="115"/>
      <c r="AA300" s="301"/>
      <c r="AB300" s="302"/>
      <c r="AC300" s="302"/>
      <c r="AD300" s="302"/>
      <c r="AE300" s="302"/>
      <c r="AF300" s="302"/>
      <c r="AG300" s="302"/>
      <c r="AH300" s="302"/>
      <c r="AI300" s="302"/>
      <c r="AJ300" s="305"/>
    </row>
    <row r="301" spans="2:36" ht="15.6" x14ac:dyDescent="0.3">
      <c r="B301" s="306"/>
      <c r="C301" s="148"/>
      <c r="D301" s="307"/>
      <c r="E301" s="308"/>
      <c r="F301" s="308"/>
      <c r="G301" s="309"/>
      <c r="H301" s="309"/>
      <c r="I301" s="309"/>
      <c r="J301" s="309"/>
      <c r="K301" s="310"/>
      <c r="L301" s="309"/>
      <c r="M301" s="310"/>
      <c r="N301" s="311"/>
      <c r="O301" s="311"/>
      <c r="P301" s="311"/>
      <c r="Q301" s="311"/>
      <c r="R301" s="312"/>
      <c r="S301" s="115"/>
      <c r="T301" s="313"/>
      <c r="U301" s="314"/>
      <c r="V301" s="315"/>
      <c r="W301" s="315"/>
      <c r="X301" s="315"/>
      <c r="Y301" s="316"/>
      <c r="Z301" s="115"/>
      <c r="AA301" s="313"/>
      <c r="AB301" s="314"/>
      <c r="AC301" s="314"/>
      <c r="AD301" s="314"/>
      <c r="AE301" s="314"/>
      <c r="AF301" s="314"/>
      <c r="AG301" s="314"/>
      <c r="AH301" s="314"/>
      <c r="AI301" s="314"/>
      <c r="AJ301" s="317"/>
    </row>
    <row r="302" spans="2:36" ht="15.6" x14ac:dyDescent="0.3">
      <c r="B302" s="283"/>
      <c r="C302" s="176"/>
      <c r="D302" s="296"/>
      <c r="E302" s="297"/>
      <c r="F302" s="297"/>
      <c r="G302" s="284"/>
      <c r="H302" s="284"/>
      <c r="I302" s="284"/>
      <c r="J302" s="284"/>
      <c r="K302" s="298"/>
      <c r="L302" s="284"/>
      <c r="M302" s="298"/>
      <c r="N302" s="299"/>
      <c r="O302" s="299"/>
      <c r="P302" s="299"/>
      <c r="Q302" s="299"/>
      <c r="R302" s="300"/>
      <c r="S302" s="115"/>
      <c r="T302" s="301"/>
      <c r="U302" s="302"/>
      <c r="V302" s="303"/>
      <c r="W302" s="303"/>
      <c r="X302" s="303"/>
      <c r="Y302" s="304"/>
      <c r="Z302" s="115"/>
      <c r="AA302" s="301"/>
      <c r="AB302" s="302"/>
      <c r="AC302" s="302"/>
      <c r="AD302" s="302"/>
      <c r="AE302" s="302"/>
      <c r="AF302" s="302"/>
      <c r="AG302" s="302"/>
      <c r="AH302" s="302"/>
      <c r="AI302" s="302"/>
      <c r="AJ302" s="305"/>
    </row>
    <row r="303" spans="2:36" ht="15.6" x14ac:dyDescent="0.3">
      <c r="B303" s="306"/>
      <c r="C303" s="148"/>
      <c r="D303" s="307"/>
      <c r="E303" s="308"/>
      <c r="F303" s="308"/>
      <c r="G303" s="309"/>
      <c r="H303" s="309"/>
      <c r="I303" s="309"/>
      <c r="J303" s="309"/>
      <c r="K303" s="310"/>
      <c r="L303" s="309"/>
      <c r="M303" s="310"/>
      <c r="N303" s="311"/>
      <c r="O303" s="311"/>
      <c r="P303" s="311"/>
      <c r="Q303" s="311"/>
      <c r="R303" s="312"/>
      <c r="S303" s="115"/>
      <c r="T303" s="313"/>
      <c r="U303" s="314"/>
      <c r="V303" s="315"/>
      <c r="W303" s="315"/>
      <c r="X303" s="315"/>
      <c r="Y303" s="316"/>
      <c r="Z303" s="115"/>
      <c r="AA303" s="313"/>
      <c r="AB303" s="314"/>
      <c r="AC303" s="314"/>
      <c r="AD303" s="314"/>
      <c r="AE303" s="314"/>
      <c r="AF303" s="314"/>
      <c r="AG303" s="314"/>
      <c r="AH303" s="314"/>
      <c r="AI303" s="314"/>
      <c r="AJ303" s="317"/>
    </row>
    <row r="304" spans="2:36" ht="15.6" x14ac:dyDescent="0.3">
      <c r="B304" s="283"/>
      <c r="C304" s="176"/>
      <c r="D304" s="296"/>
      <c r="E304" s="297"/>
      <c r="F304" s="297"/>
      <c r="G304" s="284"/>
      <c r="H304" s="284"/>
      <c r="I304" s="284"/>
      <c r="J304" s="284"/>
      <c r="K304" s="298"/>
      <c r="L304" s="284"/>
      <c r="M304" s="298"/>
      <c r="N304" s="299"/>
      <c r="O304" s="299"/>
      <c r="P304" s="299"/>
      <c r="Q304" s="299"/>
      <c r="R304" s="300"/>
      <c r="S304" s="115"/>
      <c r="T304" s="301"/>
      <c r="U304" s="302"/>
      <c r="V304" s="303"/>
      <c r="W304" s="303"/>
      <c r="X304" s="303"/>
      <c r="Y304" s="304"/>
      <c r="Z304" s="115"/>
      <c r="AA304" s="301"/>
      <c r="AB304" s="302"/>
      <c r="AC304" s="302"/>
      <c r="AD304" s="302"/>
      <c r="AE304" s="302"/>
      <c r="AF304" s="302"/>
      <c r="AG304" s="302"/>
      <c r="AH304" s="302"/>
      <c r="AI304" s="302"/>
      <c r="AJ304" s="305"/>
    </row>
    <row r="305" spans="2:36" ht="15.6" x14ac:dyDescent="0.3">
      <c r="B305" s="306"/>
      <c r="C305" s="148"/>
      <c r="D305" s="307"/>
      <c r="E305" s="308"/>
      <c r="F305" s="308"/>
      <c r="G305" s="309"/>
      <c r="H305" s="309"/>
      <c r="I305" s="309"/>
      <c r="J305" s="309"/>
      <c r="K305" s="310"/>
      <c r="L305" s="309"/>
      <c r="M305" s="310"/>
      <c r="N305" s="311"/>
      <c r="O305" s="311"/>
      <c r="P305" s="311"/>
      <c r="Q305" s="311"/>
      <c r="R305" s="312"/>
      <c r="S305" s="115"/>
      <c r="T305" s="313"/>
      <c r="U305" s="314"/>
      <c r="V305" s="315"/>
      <c r="W305" s="315"/>
      <c r="X305" s="315"/>
      <c r="Y305" s="316"/>
      <c r="Z305" s="115"/>
      <c r="AA305" s="313"/>
      <c r="AB305" s="314"/>
      <c r="AC305" s="314"/>
      <c r="AD305" s="314"/>
      <c r="AE305" s="314"/>
      <c r="AF305" s="314"/>
      <c r="AG305" s="314"/>
      <c r="AH305" s="314"/>
      <c r="AI305" s="314"/>
      <c r="AJ305" s="317"/>
    </row>
    <row r="306" spans="2:36" ht="15.6" x14ac:dyDescent="0.3">
      <c r="B306" s="283"/>
      <c r="C306" s="176"/>
      <c r="D306" s="296"/>
      <c r="E306" s="297"/>
      <c r="F306" s="297"/>
      <c r="G306" s="284"/>
      <c r="H306" s="284"/>
      <c r="I306" s="284"/>
      <c r="J306" s="284"/>
      <c r="K306" s="298"/>
      <c r="L306" s="284"/>
      <c r="M306" s="298"/>
      <c r="N306" s="299"/>
      <c r="O306" s="299"/>
      <c r="P306" s="299"/>
      <c r="Q306" s="299"/>
      <c r="R306" s="300"/>
      <c r="S306" s="115"/>
      <c r="T306" s="301"/>
      <c r="U306" s="302"/>
      <c r="V306" s="303"/>
      <c r="W306" s="303"/>
      <c r="X306" s="303"/>
      <c r="Y306" s="304"/>
      <c r="Z306" s="115"/>
      <c r="AA306" s="301"/>
      <c r="AB306" s="302"/>
      <c r="AC306" s="302"/>
      <c r="AD306" s="302"/>
      <c r="AE306" s="302"/>
      <c r="AF306" s="302"/>
      <c r="AG306" s="302"/>
      <c r="AH306" s="302"/>
      <c r="AI306" s="302"/>
      <c r="AJ306" s="305"/>
    </row>
    <row r="307" spans="2:36" ht="15.6" x14ac:dyDescent="0.3">
      <c r="B307" s="306"/>
      <c r="C307" s="148"/>
      <c r="D307" s="307"/>
      <c r="E307" s="308"/>
      <c r="F307" s="308"/>
      <c r="G307" s="309"/>
      <c r="H307" s="309"/>
      <c r="I307" s="309"/>
      <c r="J307" s="309"/>
      <c r="K307" s="310"/>
      <c r="L307" s="309"/>
      <c r="M307" s="310"/>
      <c r="N307" s="311"/>
      <c r="O307" s="311"/>
      <c r="P307" s="311"/>
      <c r="Q307" s="311"/>
      <c r="R307" s="312"/>
      <c r="S307" s="115"/>
      <c r="T307" s="313"/>
      <c r="U307" s="314"/>
      <c r="V307" s="315"/>
      <c r="W307" s="315"/>
      <c r="X307" s="315"/>
      <c r="Y307" s="316"/>
      <c r="Z307" s="115"/>
      <c r="AA307" s="313"/>
      <c r="AB307" s="314"/>
      <c r="AC307" s="314"/>
      <c r="AD307" s="314"/>
      <c r="AE307" s="314"/>
      <c r="AF307" s="314"/>
      <c r="AG307" s="314"/>
      <c r="AH307" s="314"/>
      <c r="AI307" s="314"/>
      <c r="AJ307" s="317"/>
    </row>
    <row r="308" spans="2:36" ht="15.6" x14ac:dyDescent="0.3">
      <c r="B308" s="283"/>
      <c r="C308" s="176"/>
      <c r="D308" s="296"/>
      <c r="E308" s="297"/>
      <c r="F308" s="297"/>
      <c r="G308" s="284"/>
      <c r="H308" s="284"/>
      <c r="I308" s="284"/>
      <c r="J308" s="284"/>
      <c r="K308" s="298"/>
      <c r="L308" s="284"/>
      <c r="M308" s="298"/>
      <c r="N308" s="299"/>
      <c r="O308" s="299"/>
      <c r="P308" s="299"/>
      <c r="Q308" s="299"/>
      <c r="R308" s="300"/>
      <c r="S308" s="115"/>
      <c r="T308" s="301"/>
      <c r="U308" s="302"/>
      <c r="V308" s="303"/>
      <c r="W308" s="303"/>
      <c r="X308" s="303"/>
      <c r="Y308" s="304"/>
      <c r="Z308" s="115"/>
      <c r="AA308" s="301"/>
      <c r="AB308" s="302"/>
      <c r="AC308" s="302"/>
      <c r="AD308" s="302"/>
      <c r="AE308" s="302"/>
      <c r="AF308" s="302"/>
      <c r="AG308" s="302"/>
      <c r="AH308" s="302"/>
      <c r="AI308" s="302"/>
      <c r="AJ308" s="305"/>
    </row>
    <row r="309" spans="2:36" ht="15.6" x14ac:dyDescent="0.3">
      <c r="B309" s="306"/>
      <c r="C309" s="148"/>
      <c r="D309" s="307"/>
      <c r="E309" s="308"/>
      <c r="F309" s="308"/>
      <c r="G309" s="309"/>
      <c r="H309" s="309"/>
      <c r="I309" s="309"/>
      <c r="J309" s="309"/>
      <c r="K309" s="310"/>
      <c r="L309" s="309"/>
      <c r="M309" s="310"/>
      <c r="N309" s="311"/>
      <c r="O309" s="311"/>
      <c r="P309" s="311"/>
      <c r="Q309" s="311"/>
      <c r="R309" s="312"/>
      <c r="S309" s="115"/>
      <c r="T309" s="313"/>
      <c r="U309" s="314"/>
      <c r="V309" s="315"/>
      <c r="W309" s="315"/>
      <c r="X309" s="315"/>
      <c r="Y309" s="316"/>
      <c r="Z309" s="115"/>
      <c r="AA309" s="313"/>
      <c r="AB309" s="314"/>
      <c r="AC309" s="314"/>
      <c r="AD309" s="314"/>
      <c r="AE309" s="314"/>
      <c r="AF309" s="314"/>
      <c r="AG309" s="314"/>
      <c r="AH309" s="314"/>
      <c r="AI309" s="314"/>
      <c r="AJ309" s="317"/>
    </row>
    <row r="310" spans="2:36" ht="15.6" x14ac:dyDescent="0.3">
      <c r="B310" s="283"/>
      <c r="C310" s="176"/>
      <c r="D310" s="296"/>
      <c r="E310" s="297"/>
      <c r="F310" s="297"/>
      <c r="G310" s="284"/>
      <c r="H310" s="284"/>
      <c r="I310" s="284"/>
      <c r="J310" s="284"/>
      <c r="K310" s="298"/>
      <c r="L310" s="284"/>
      <c r="M310" s="298"/>
      <c r="N310" s="299"/>
      <c r="O310" s="299"/>
      <c r="P310" s="299"/>
      <c r="Q310" s="299"/>
      <c r="R310" s="300"/>
      <c r="S310" s="115"/>
      <c r="T310" s="301"/>
      <c r="U310" s="302"/>
      <c r="V310" s="303"/>
      <c r="W310" s="303"/>
      <c r="X310" s="303"/>
      <c r="Y310" s="304"/>
      <c r="Z310" s="115"/>
      <c r="AA310" s="301"/>
      <c r="AB310" s="302"/>
      <c r="AC310" s="302"/>
      <c r="AD310" s="302"/>
      <c r="AE310" s="302"/>
      <c r="AF310" s="302"/>
      <c r="AG310" s="302"/>
      <c r="AH310" s="302"/>
      <c r="AI310" s="302"/>
      <c r="AJ310" s="305"/>
    </row>
    <row r="311" spans="2:36" ht="15.6" x14ac:dyDescent="0.3">
      <c r="B311" s="306"/>
      <c r="C311" s="148"/>
      <c r="D311" s="307"/>
      <c r="E311" s="308"/>
      <c r="F311" s="308"/>
      <c r="G311" s="309"/>
      <c r="H311" s="309"/>
      <c r="I311" s="309"/>
      <c r="J311" s="309"/>
      <c r="K311" s="310"/>
      <c r="L311" s="309"/>
      <c r="M311" s="310"/>
      <c r="N311" s="311"/>
      <c r="O311" s="311"/>
      <c r="P311" s="311"/>
      <c r="Q311" s="311"/>
      <c r="R311" s="312"/>
      <c r="S311" s="115"/>
      <c r="T311" s="313"/>
      <c r="U311" s="314"/>
      <c r="V311" s="315"/>
      <c r="W311" s="315"/>
      <c r="X311" s="315"/>
      <c r="Y311" s="316"/>
      <c r="Z311" s="115"/>
      <c r="AA311" s="313"/>
      <c r="AB311" s="314"/>
      <c r="AC311" s="314"/>
      <c r="AD311" s="314"/>
      <c r="AE311" s="314"/>
      <c r="AF311" s="314"/>
      <c r="AG311" s="314"/>
      <c r="AH311" s="314"/>
      <c r="AI311" s="314"/>
      <c r="AJ311" s="317"/>
    </row>
    <row r="312" spans="2:36" ht="15.6" x14ac:dyDescent="0.3">
      <c r="B312" s="283"/>
      <c r="C312" s="176"/>
      <c r="D312" s="296"/>
      <c r="E312" s="297"/>
      <c r="F312" s="297"/>
      <c r="G312" s="284"/>
      <c r="H312" s="284"/>
      <c r="I312" s="284"/>
      <c r="J312" s="284"/>
      <c r="K312" s="298"/>
      <c r="L312" s="284"/>
      <c r="M312" s="298"/>
      <c r="N312" s="299"/>
      <c r="O312" s="299"/>
      <c r="P312" s="299"/>
      <c r="Q312" s="299"/>
      <c r="R312" s="300"/>
      <c r="S312" s="115"/>
      <c r="T312" s="301"/>
      <c r="U312" s="302"/>
      <c r="V312" s="303"/>
      <c r="W312" s="303"/>
      <c r="X312" s="303"/>
      <c r="Y312" s="304"/>
      <c r="Z312" s="115"/>
      <c r="AA312" s="301"/>
      <c r="AB312" s="302"/>
      <c r="AC312" s="302"/>
      <c r="AD312" s="302"/>
      <c r="AE312" s="302"/>
      <c r="AF312" s="302"/>
      <c r="AG312" s="302"/>
      <c r="AH312" s="302"/>
      <c r="AI312" s="302"/>
      <c r="AJ312" s="305"/>
    </row>
    <row r="313" spans="2:36" ht="15.6" x14ac:dyDescent="0.3">
      <c r="B313" s="306"/>
      <c r="C313" s="148"/>
      <c r="D313" s="307"/>
      <c r="E313" s="308"/>
      <c r="F313" s="308"/>
      <c r="G313" s="309"/>
      <c r="H313" s="309"/>
      <c r="I313" s="309"/>
      <c r="J313" s="309"/>
      <c r="K313" s="310"/>
      <c r="L313" s="309"/>
      <c r="M313" s="310"/>
      <c r="N313" s="311"/>
      <c r="O313" s="311"/>
      <c r="P313" s="311"/>
      <c r="Q313" s="311"/>
      <c r="R313" s="312"/>
      <c r="S313" s="115"/>
      <c r="T313" s="313"/>
      <c r="U313" s="314"/>
      <c r="V313" s="315"/>
      <c r="W313" s="315"/>
      <c r="X313" s="315"/>
      <c r="Y313" s="316"/>
      <c r="Z313" s="115"/>
      <c r="AA313" s="313"/>
      <c r="AB313" s="314"/>
      <c r="AC313" s="314"/>
      <c r="AD313" s="314"/>
      <c r="AE313" s="314"/>
      <c r="AF313" s="314"/>
      <c r="AG313" s="314"/>
      <c r="AH313" s="314"/>
      <c r="AI313" s="314"/>
      <c r="AJ313" s="317"/>
    </row>
    <row r="314" spans="2:36" ht="15.6" x14ac:dyDescent="0.3">
      <c r="B314" s="283"/>
      <c r="C314" s="176"/>
      <c r="D314" s="296"/>
      <c r="E314" s="297"/>
      <c r="F314" s="297"/>
      <c r="G314" s="284"/>
      <c r="H314" s="284"/>
      <c r="I314" s="284"/>
      <c r="J314" s="284"/>
      <c r="K314" s="298"/>
      <c r="L314" s="284"/>
      <c r="M314" s="298"/>
      <c r="N314" s="299"/>
      <c r="O314" s="299"/>
      <c r="P314" s="299"/>
      <c r="Q314" s="299"/>
      <c r="R314" s="300"/>
      <c r="S314" s="115"/>
      <c r="T314" s="301"/>
      <c r="U314" s="302"/>
      <c r="V314" s="303"/>
      <c r="W314" s="303"/>
      <c r="X314" s="303"/>
      <c r="Y314" s="304"/>
      <c r="Z314" s="115"/>
      <c r="AA314" s="301"/>
      <c r="AB314" s="302"/>
      <c r="AC314" s="302"/>
      <c r="AD314" s="302"/>
      <c r="AE314" s="302"/>
      <c r="AF314" s="302"/>
      <c r="AG314" s="302"/>
      <c r="AH314" s="302"/>
      <c r="AI314" s="302"/>
      <c r="AJ314" s="305"/>
    </row>
    <row r="315" spans="2:36" ht="15.6" x14ac:dyDescent="0.3">
      <c r="B315" s="306"/>
      <c r="C315" s="148"/>
      <c r="D315" s="307"/>
      <c r="E315" s="308"/>
      <c r="F315" s="308"/>
      <c r="G315" s="309"/>
      <c r="H315" s="309"/>
      <c r="I315" s="309"/>
      <c r="J315" s="309"/>
      <c r="K315" s="310"/>
      <c r="L315" s="309"/>
      <c r="M315" s="310"/>
      <c r="N315" s="311"/>
      <c r="O315" s="311"/>
      <c r="P315" s="311"/>
      <c r="Q315" s="311"/>
      <c r="R315" s="312"/>
      <c r="S315" s="115"/>
      <c r="T315" s="313"/>
      <c r="U315" s="314"/>
      <c r="V315" s="315"/>
      <c r="W315" s="315"/>
      <c r="X315" s="315"/>
      <c r="Y315" s="316"/>
      <c r="Z315" s="115"/>
      <c r="AA315" s="313"/>
      <c r="AB315" s="314"/>
      <c r="AC315" s="314"/>
      <c r="AD315" s="314"/>
      <c r="AE315" s="314"/>
      <c r="AF315" s="314"/>
      <c r="AG315" s="314"/>
      <c r="AH315" s="314"/>
      <c r="AI315" s="314"/>
      <c r="AJ315" s="317"/>
    </row>
    <row r="316" spans="2:36" ht="15.6" x14ac:dyDescent="0.3">
      <c r="B316" s="283"/>
      <c r="C316" s="176"/>
      <c r="D316" s="296"/>
      <c r="E316" s="297"/>
      <c r="F316" s="297"/>
      <c r="G316" s="284"/>
      <c r="H316" s="284"/>
      <c r="I316" s="284"/>
      <c r="J316" s="284"/>
      <c r="K316" s="298"/>
      <c r="L316" s="284"/>
      <c r="M316" s="298"/>
      <c r="N316" s="299"/>
      <c r="O316" s="299"/>
      <c r="P316" s="299"/>
      <c r="Q316" s="299"/>
      <c r="R316" s="300"/>
      <c r="S316" s="115"/>
      <c r="T316" s="301"/>
      <c r="U316" s="302"/>
      <c r="V316" s="303"/>
      <c r="W316" s="303"/>
      <c r="X316" s="303"/>
      <c r="Y316" s="304"/>
      <c r="Z316" s="115"/>
      <c r="AA316" s="301"/>
      <c r="AB316" s="302"/>
      <c r="AC316" s="302"/>
      <c r="AD316" s="302"/>
      <c r="AE316" s="302"/>
      <c r="AF316" s="302"/>
      <c r="AG316" s="302"/>
      <c r="AH316" s="302"/>
      <c r="AI316" s="302"/>
      <c r="AJ316" s="305"/>
    </row>
  </sheetData>
  <dataValidations count="4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E48:F200" xr:uid="{00000000-0002-0000-0200-000000000000}">
      <formula1>"FALSE"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T10:Y201 AA10:AJ201 C10:E201 G10:R201" xr:uid="{00000000-0002-0000-0200-000001000000}">
      <formula1>FALSE</formula1>
    </dataValidation>
    <dataValidation type="list" allowBlank="1" showInputMessage="1" showErrorMessage="1" sqref="C6" xr:uid="{00000000-0002-0000-0200-000002000000}">
      <formula1>"Units,Thousands,Millions,Billions"</formula1>
    </dataValidation>
    <dataValidation type="list" allowBlank="1" showInputMessage="1" showErrorMessage="1" sqref="C5" xr:uid="{00000000-0002-0000-0200-000003000000}">
      <formula1>"ORIGINAL CURRENCY,USD,EUR,INFLATION ADJUSTED"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6">
    <tabColor rgb="FF023A4A"/>
  </sheetPr>
  <dimension ref="A1:BO244"/>
  <sheetViews>
    <sheetView showGridLines="0" zoomScale="80" zoomScaleNormal="80" workbookViewId="0"/>
  </sheetViews>
  <sheetFormatPr defaultColWidth="21.77734375" defaultRowHeight="14.4" x14ac:dyDescent="0.3"/>
  <cols>
    <col min="1" max="1" width="2.88671875" customWidth="1"/>
    <col min="2" max="2" width="19.6640625" bestFit="1" customWidth="1"/>
    <col min="3" max="3" width="44.5546875" bestFit="1" customWidth="1"/>
    <col min="4" max="4" width="56.5546875" bestFit="1" customWidth="1"/>
    <col min="5" max="5" width="14.88671875" customWidth="1"/>
    <col min="6" max="6" width="2.88671875" customWidth="1"/>
    <col min="7" max="10" width="14.88671875" customWidth="1"/>
    <col min="11" max="11" width="2.88671875" customWidth="1"/>
    <col min="12" max="15" width="14.88671875" customWidth="1"/>
    <col min="16" max="16" width="2.88671875" customWidth="1"/>
    <col min="17" max="19" width="14.88671875" customWidth="1"/>
    <col min="20" max="20" width="2.88671875" customWidth="1"/>
    <col min="21" max="24" width="14.88671875" customWidth="1"/>
    <col min="25" max="25" width="2.88671875" customWidth="1"/>
    <col min="26" max="28" width="14.88671875" customWidth="1"/>
    <col min="29" max="29" width="2.88671875" customWidth="1"/>
    <col min="30" max="33" width="14.88671875" customWidth="1"/>
    <col min="34" max="34" width="2.88671875" customWidth="1"/>
    <col min="35" max="37" width="14.88671875" customWidth="1"/>
    <col min="38" max="38" width="2.88671875" customWidth="1"/>
    <col min="39" max="42" width="14.88671875" customWidth="1"/>
    <col min="43" max="43" width="2.88671875" customWidth="1"/>
    <col min="44" max="46" width="14.88671875" customWidth="1"/>
    <col min="47" max="47" width="2.88671875" customWidth="1"/>
    <col min="48" max="50" width="14.88671875" customWidth="1"/>
    <col min="51" max="51" width="2.88671875" customWidth="1"/>
    <col min="52" max="54" width="14.88671875" customWidth="1"/>
    <col min="55" max="55" width="2.88671875" customWidth="1"/>
    <col min="56" max="58" width="14.88671875" customWidth="1"/>
    <col min="59" max="59" width="2.88671875" customWidth="1"/>
    <col min="60" max="62" width="14.88671875" customWidth="1"/>
    <col min="63" max="63" width="2.88671875" customWidth="1"/>
    <col min="64" max="66" width="14.88671875" customWidth="1"/>
  </cols>
  <sheetData>
    <row r="1" spans="1:66" s="3" customFormat="1" ht="60" customHeight="1" x14ac:dyDescent="0.3">
      <c r="A1" s="30"/>
      <c r="B1" s="40"/>
      <c r="C1" s="40"/>
      <c r="D1" s="76" t="s">
        <v>2876</v>
      </c>
      <c r="F1" s="59"/>
      <c r="G1" s="59"/>
      <c r="H1" s="59"/>
      <c r="I1" s="60"/>
      <c r="J1" s="61"/>
      <c r="K1" s="61"/>
      <c r="L1" s="43"/>
      <c r="M1" s="43"/>
      <c r="N1" s="43"/>
      <c r="O1" s="46"/>
      <c r="P1" s="44"/>
      <c r="Q1" s="44"/>
      <c r="R1" s="45"/>
      <c r="S1" s="45"/>
      <c r="T1" s="63"/>
      <c r="U1" s="63"/>
      <c r="V1" s="45"/>
      <c r="W1" s="45"/>
      <c r="X1" s="45"/>
      <c r="Y1" s="45"/>
      <c r="Z1" s="45"/>
      <c r="AA1"/>
      <c r="AB1" s="31"/>
      <c r="AC1" s="47"/>
      <c r="AD1" s="48"/>
      <c r="AE1" s="66"/>
      <c r="AF1" s="66"/>
      <c r="AG1" s="66"/>
      <c r="AH1" s="19"/>
      <c r="AI1" s="19"/>
      <c r="AJ1" s="31"/>
      <c r="AK1" s="31"/>
    </row>
    <row r="2" spans="1:66" ht="17.100000000000001" customHeight="1" x14ac:dyDescent="0.3">
      <c r="B2" s="78" t="s">
        <v>2187</v>
      </c>
      <c r="C2" s="79">
        <f>IF(C3="",MAX(E:E),C3)</f>
        <v>45473</v>
      </c>
      <c r="D2" s="77" t="s">
        <v>2860</v>
      </c>
      <c r="G2" s="31"/>
      <c r="H2" s="31"/>
      <c r="I2" s="31"/>
      <c r="J2" s="31"/>
      <c r="L2" s="31"/>
      <c r="M2" s="31"/>
      <c r="N2" s="31"/>
      <c r="O2" s="31"/>
      <c r="Q2" s="31"/>
      <c r="R2" s="31"/>
      <c r="S2" s="31"/>
      <c r="U2" s="31"/>
      <c r="V2" s="31"/>
      <c r="W2" s="31"/>
      <c r="X2" s="31"/>
      <c r="Z2" s="31"/>
      <c r="AA2" s="31"/>
      <c r="AB2" s="31"/>
      <c r="AD2" s="31"/>
      <c r="AE2" s="31"/>
      <c r="AF2" s="31"/>
      <c r="AG2" s="31"/>
      <c r="AI2" s="31"/>
      <c r="AJ2" s="31"/>
      <c r="AK2" s="31"/>
      <c r="AM2" s="31"/>
      <c r="AN2" s="31"/>
      <c r="AO2" s="31"/>
      <c r="AP2" s="31"/>
      <c r="AR2" s="31"/>
      <c r="AS2" s="31"/>
      <c r="AT2" s="31"/>
      <c r="AV2" s="31"/>
      <c r="AW2" s="31"/>
      <c r="AX2" s="31"/>
      <c r="AZ2" s="31"/>
      <c r="BA2" s="31"/>
      <c r="BB2" s="31"/>
      <c r="BD2" s="31"/>
      <c r="BE2" s="31"/>
      <c r="BF2" s="31"/>
      <c r="BH2" s="31"/>
      <c r="BI2" s="31"/>
      <c r="BJ2" s="31"/>
      <c r="BL2" s="31"/>
      <c r="BM2" s="31"/>
      <c r="BN2" s="31"/>
    </row>
    <row r="3" spans="1:66" ht="17.100000000000001" customHeight="1" x14ac:dyDescent="0.3">
      <c r="B3" s="80" t="s">
        <v>2188</v>
      </c>
      <c r="C3" s="82"/>
      <c r="D3" s="77" t="s">
        <v>2863</v>
      </c>
      <c r="E3" s="32"/>
      <c r="G3" s="31"/>
      <c r="H3" s="31"/>
      <c r="I3" s="31"/>
      <c r="J3" s="31"/>
      <c r="L3" s="31"/>
      <c r="M3" s="31"/>
      <c r="N3" s="31"/>
      <c r="O3" s="31"/>
      <c r="Q3" s="31"/>
      <c r="R3" s="31"/>
      <c r="S3" s="31"/>
      <c r="U3" s="31"/>
      <c r="V3" s="31"/>
      <c r="W3" s="31"/>
      <c r="X3" s="31"/>
      <c r="Z3" s="31"/>
      <c r="AA3" s="31"/>
      <c r="AB3" s="31"/>
      <c r="AD3" s="31"/>
      <c r="AE3" s="31"/>
      <c r="AF3" s="31"/>
      <c r="AG3" s="31"/>
      <c r="AI3" s="31"/>
      <c r="AJ3" s="31"/>
      <c r="AK3" s="31"/>
      <c r="AM3" s="31"/>
      <c r="AN3" s="31"/>
      <c r="AO3" s="31"/>
      <c r="AP3" s="31"/>
      <c r="AR3" s="31"/>
      <c r="AS3" s="31"/>
      <c r="AT3" s="31"/>
      <c r="AV3" s="31"/>
      <c r="AW3" s="31"/>
      <c r="AX3" s="31"/>
      <c r="AZ3" s="31"/>
      <c r="BA3" s="31"/>
      <c r="BB3" s="31"/>
      <c r="BD3" s="31"/>
      <c r="BE3" s="31"/>
      <c r="BF3" s="31"/>
      <c r="BH3" s="31"/>
      <c r="BI3" s="31"/>
      <c r="BJ3" s="31"/>
      <c r="BL3" s="31"/>
      <c r="BM3" s="31"/>
      <c r="BN3" s="31"/>
    </row>
    <row r="4" spans="1:66" ht="17.100000000000001" customHeight="1" x14ac:dyDescent="0.3">
      <c r="B4" s="81" t="s">
        <v>2185</v>
      </c>
      <c r="C4" s="83" t="s">
        <v>447</v>
      </c>
      <c r="D4" s="278" t="s">
        <v>2875</v>
      </c>
      <c r="E4" s="31"/>
      <c r="G4" s="31"/>
      <c r="H4" s="31"/>
      <c r="I4" s="31"/>
      <c r="J4" s="31"/>
      <c r="L4" s="31"/>
      <c r="M4" s="31"/>
      <c r="N4" s="31"/>
      <c r="O4" s="31"/>
      <c r="Q4" s="31"/>
      <c r="R4" s="31"/>
      <c r="S4" s="31"/>
      <c r="U4" s="31"/>
      <c r="V4" s="31"/>
      <c r="W4" s="31"/>
      <c r="X4" s="31"/>
      <c r="Z4" s="31"/>
      <c r="AA4" s="31"/>
      <c r="AB4" s="31"/>
      <c r="AD4" s="31"/>
      <c r="AE4" s="31"/>
      <c r="AF4" s="31"/>
      <c r="AG4" s="31"/>
      <c r="AI4" s="31"/>
      <c r="AJ4" s="31"/>
      <c r="AK4" s="31"/>
      <c r="AM4" s="31"/>
      <c r="AN4" s="31"/>
      <c r="AO4" s="31"/>
      <c r="AP4" s="31"/>
      <c r="AR4" s="31"/>
      <c r="AS4" s="31"/>
      <c r="AT4" s="31"/>
      <c r="AV4" s="31"/>
      <c r="AW4" s="31"/>
      <c r="AX4" s="31"/>
      <c r="AZ4" s="31"/>
      <c r="BA4" s="31"/>
      <c r="BB4" s="31"/>
      <c r="BD4" s="31"/>
      <c r="BE4" s="31"/>
      <c r="BF4" s="31"/>
      <c r="BH4" s="31"/>
      <c r="BI4" s="31"/>
      <c r="BJ4" s="31"/>
      <c r="BL4" s="31"/>
      <c r="BM4" s="31"/>
      <c r="BN4" s="31"/>
    </row>
    <row r="5" spans="1:66" ht="17.100000000000001" customHeight="1" x14ac:dyDescent="0.3">
      <c r="B5" s="80" t="s">
        <v>2186</v>
      </c>
      <c r="C5" s="82" t="s">
        <v>237</v>
      </c>
      <c r="D5" s="278" t="s">
        <v>2874</v>
      </c>
      <c r="E5" s="31"/>
      <c r="G5" s="31"/>
      <c r="H5" s="31"/>
      <c r="I5" s="31"/>
      <c r="J5" s="31"/>
      <c r="L5" s="31"/>
      <c r="M5" s="31"/>
      <c r="N5" s="31"/>
      <c r="O5" s="31"/>
      <c r="Q5" s="31"/>
      <c r="R5" s="31"/>
      <c r="S5" s="31"/>
      <c r="U5" s="31"/>
      <c r="V5" s="31"/>
      <c r="W5" s="31"/>
      <c r="X5" s="31"/>
      <c r="Z5" s="31"/>
      <c r="AA5" s="31"/>
      <c r="AB5" s="31"/>
      <c r="AD5" s="31"/>
      <c r="AE5" s="31"/>
      <c r="AF5" s="31"/>
      <c r="AG5" s="31"/>
      <c r="AI5" s="31"/>
      <c r="AJ5" s="31"/>
      <c r="AK5" s="31"/>
      <c r="AM5" s="31"/>
      <c r="AN5" s="31"/>
      <c r="AO5" s="31"/>
      <c r="AP5" s="31"/>
      <c r="AR5" s="31"/>
      <c r="AS5" s="31"/>
      <c r="AT5" s="31"/>
      <c r="AV5" s="31"/>
      <c r="AW5" s="31"/>
      <c r="AX5" s="31"/>
      <c r="AZ5" s="31"/>
      <c r="BA5" s="31"/>
      <c r="BB5" s="31"/>
      <c r="BD5" s="31"/>
      <c r="BE5" s="31"/>
      <c r="BF5" s="31"/>
      <c r="BH5" s="31"/>
      <c r="BI5" s="31"/>
      <c r="BJ5" s="31"/>
      <c r="BL5" s="31"/>
      <c r="BM5" s="31"/>
      <c r="BN5" s="31"/>
    </row>
    <row r="6" spans="1:66" ht="17.100000000000001" customHeight="1" x14ac:dyDescent="0.3"/>
    <row r="7" spans="1:66" ht="16.2" thickBot="1" x14ac:dyDescent="0.35">
      <c r="G7" s="323" t="s">
        <v>6</v>
      </c>
      <c r="H7" s="324" t="s">
        <v>6</v>
      </c>
      <c r="I7" s="324" t="s">
        <v>8</v>
      </c>
      <c r="J7" s="325" t="s">
        <v>8</v>
      </c>
      <c r="K7" s="280"/>
      <c r="L7" s="323" t="s">
        <v>6</v>
      </c>
      <c r="M7" s="324" t="s">
        <v>6</v>
      </c>
      <c r="N7" s="324" t="s">
        <v>8</v>
      </c>
      <c r="O7" s="325" t="s">
        <v>8</v>
      </c>
      <c r="P7" s="280"/>
      <c r="Q7" s="323" t="s">
        <v>8</v>
      </c>
      <c r="R7" s="324" t="s">
        <v>8</v>
      </c>
      <c r="S7" s="325" t="s">
        <v>8</v>
      </c>
      <c r="T7" s="280"/>
      <c r="U7" s="323" t="s">
        <v>6</v>
      </c>
      <c r="V7" s="324" t="s">
        <v>6</v>
      </c>
      <c r="W7" s="324" t="s">
        <v>8</v>
      </c>
      <c r="X7" s="325" t="s">
        <v>8</v>
      </c>
      <c r="Y7" s="280"/>
      <c r="Z7" s="323" t="s">
        <v>8</v>
      </c>
      <c r="AA7" s="324" t="s">
        <v>8</v>
      </c>
      <c r="AB7" s="325" t="s">
        <v>8</v>
      </c>
      <c r="AC7" s="280"/>
      <c r="AD7" s="323" t="s">
        <v>6</v>
      </c>
      <c r="AE7" s="324" t="s">
        <v>6</v>
      </c>
      <c r="AF7" s="324" t="s">
        <v>8</v>
      </c>
      <c r="AG7" s="325" t="s">
        <v>8</v>
      </c>
      <c r="AH7" s="280"/>
      <c r="AI7" s="323" t="s">
        <v>8</v>
      </c>
      <c r="AJ7" s="325" t="s">
        <v>8</v>
      </c>
      <c r="AK7" s="331" t="s">
        <v>8</v>
      </c>
      <c r="AL7" s="280"/>
      <c r="AM7" s="323" t="s">
        <v>6</v>
      </c>
      <c r="AN7" s="324" t="s">
        <v>6</v>
      </c>
      <c r="AO7" s="324" t="s">
        <v>8</v>
      </c>
      <c r="AP7" s="325" t="s">
        <v>8</v>
      </c>
      <c r="AQ7" s="280"/>
      <c r="AR7" s="323" t="s">
        <v>8</v>
      </c>
      <c r="AS7" s="324" t="s">
        <v>8</v>
      </c>
      <c r="AT7" s="325" t="s">
        <v>8</v>
      </c>
      <c r="AU7" s="280"/>
      <c r="AV7" s="323" t="s">
        <v>8</v>
      </c>
      <c r="AW7" s="324" t="s">
        <v>8</v>
      </c>
      <c r="AX7" s="325" t="s">
        <v>8</v>
      </c>
      <c r="AY7" s="280"/>
      <c r="AZ7" s="323" t="s">
        <v>8</v>
      </c>
      <c r="BA7" s="324" t="s">
        <v>8</v>
      </c>
      <c r="BB7" s="325" t="s">
        <v>8</v>
      </c>
      <c r="BC7" s="280"/>
      <c r="BD7" s="323" t="s">
        <v>8</v>
      </c>
      <c r="BE7" s="324" t="s">
        <v>8</v>
      </c>
      <c r="BF7" s="325" t="s">
        <v>8</v>
      </c>
      <c r="BG7" s="280"/>
      <c r="BH7" s="323" t="s">
        <v>8</v>
      </c>
      <c r="BI7" s="324" t="s">
        <v>8</v>
      </c>
      <c r="BJ7" s="325" t="s">
        <v>8</v>
      </c>
      <c r="BK7" s="280"/>
      <c r="BL7" s="323" t="s">
        <v>8</v>
      </c>
      <c r="BM7" s="324" t="s">
        <v>8</v>
      </c>
      <c r="BN7" s="325" t="s">
        <v>8</v>
      </c>
    </row>
    <row r="8" spans="1:66" ht="20.100000000000001" customHeight="1" thickTop="1" thickBot="1" x14ac:dyDescent="0.35">
      <c r="A8" s="3"/>
      <c r="F8" s="3"/>
      <c r="G8" s="326" t="str">
        <f>CHOOSE(ROUNDUP(MONTH($C$2)/3,0),"&lt;MAR","&lt;JUN","&lt;SEP","&lt;DEC")&amp;"/"&amp;YEAR($C$2)</f>
        <v>&lt;JUN/2024</v>
      </c>
      <c r="H8" s="327" t="str">
        <f>CHOOSE(ROUNDUP(MONTH($C$2)/3,0),"&lt;MAR","&lt;JUN","&lt;SEP","&lt;DEC")&amp;"/"&amp;YEAR($C$2)-1</f>
        <v>&lt;JUN/2023</v>
      </c>
      <c r="I8" s="329" t="str">
        <f>G8</f>
        <v>&lt;JUN/2024</v>
      </c>
      <c r="J8" s="330" t="str">
        <f>H8</f>
        <v>&lt;JUN/2023</v>
      </c>
      <c r="K8" s="322"/>
      <c r="L8" s="326" t="str">
        <f>$G8</f>
        <v>&lt;JUN/2024</v>
      </c>
      <c r="M8" s="327" t="str">
        <f>$H8</f>
        <v>&lt;JUN/2023</v>
      </c>
      <c r="N8" s="329" t="str">
        <f>$I8</f>
        <v>&lt;JUN/2024</v>
      </c>
      <c r="O8" s="330" t="str">
        <f>$J8</f>
        <v>&lt;JUN/2023</v>
      </c>
      <c r="P8" s="322"/>
      <c r="Q8" s="326" t="str">
        <f>CHOOSE(ROUNDUP(MONTH($C$2)/3,0),"&lt;MAR","&lt;JUN","&lt;SEP","&lt;DEC")&amp;"/"&amp;YEAR($C$2)</f>
        <v>&lt;JUN/2024</v>
      </c>
      <c r="R8" s="327" t="str">
        <f>"&lt;DEC/"&amp;YEAR($C$2)-1</f>
        <v>&lt;DEC/2023</v>
      </c>
      <c r="S8" s="328" t="str">
        <f>"&lt;DEC/"&amp;YEAR($C$2)-2</f>
        <v>&lt;DEC/2022</v>
      </c>
      <c r="T8" s="322"/>
      <c r="U8" s="326" t="str">
        <f>$G8</f>
        <v>&lt;JUN/2024</v>
      </c>
      <c r="V8" s="327" t="str">
        <f>$H8</f>
        <v>&lt;JUN/2023</v>
      </c>
      <c r="W8" s="329" t="str">
        <f>$I8</f>
        <v>&lt;JUN/2024</v>
      </c>
      <c r="X8" s="330" t="str">
        <f>$J8</f>
        <v>&lt;JUN/2023</v>
      </c>
      <c r="Y8" s="322"/>
      <c r="Z8" s="326" t="str">
        <f>$Q8</f>
        <v>&lt;JUN/2024</v>
      </c>
      <c r="AA8" s="327" t="str">
        <f>$R8</f>
        <v>&lt;DEC/2023</v>
      </c>
      <c r="AB8" s="328" t="str">
        <f>$S8</f>
        <v>&lt;DEC/2022</v>
      </c>
      <c r="AC8" s="322"/>
      <c r="AD8" s="326" t="str">
        <f>$G8</f>
        <v>&lt;JUN/2024</v>
      </c>
      <c r="AE8" s="327" t="str">
        <f>$H8</f>
        <v>&lt;JUN/2023</v>
      </c>
      <c r="AF8" s="329" t="str">
        <f>$I8</f>
        <v>&lt;JUN/2024</v>
      </c>
      <c r="AG8" s="330" t="str">
        <f>$J8</f>
        <v>&lt;JUN/2023</v>
      </c>
      <c r="AH8" s="322"/>
      <c r="AI8" s="326" t="str">
        <f>$Q8</f>
        <v>&lt;JUN/2024</v>
      </c>
      <c r="AJ8" s="330" t="str">
        <f>$R8</f>
        <v>&lt;DEC/2023</v>
      </c>
      <c r="AK8" s="332" t="str">
        <f>$S8</f>
        <v>&lt;DEC/2022</v>
      </c>
      <c r="AL8" s="322"/>
      <c r="AM8" s="326" t="str">
        <f>$G8</f>
        <v>&lt;JUN/2024</v>
      </c>
      <c r="AN8" s="327" t="str">
        <f>$H8</f>
        <v>&lt;JUN/2023</v>
      </c>
      <c r="AO8" s="329" t="str">
        <f>$I8</f>
        <v>&lt;JUN/2024</v>
      </c>
      <c r="AP8" s="330" t="str">
        <f>$J8</f>
        <v>&lt;JUN/2023</v>
      </c>
      <c r="AQ8" s="322"/>
      <c r="AR8" s="326" t="str">
        <f>$Q8</f>
        <v>&lt;JUN/2024</v>
      </c>
      <c r="AS8" s="327" t="str">
        <f>$R8</f>
        <v>&lt;DEC/2023</v>
      </c>
      <c r="AT8" s="328" t="str">
        <f>$S8</f>
        <v>&lt;DEC/2022</v>
      </c>
      <c r="AU8" s="322"/>
      <c r="AV8" s="326" t="str">
        <f>$Q8</f>
        <v>&lt;JUN/2024</v>
      </c>
      <c r="AW8" s="327" t="str">
        <f>$R8</f>
        <v>&lt;DEC/2023</v>
      </c>
      <c r="AX8" s="328" t="str">
        <f>$S8</f>
        <v>&lt;DEC/2022</v>
      </c>
      <c r="AY8" s="322"/>
      <c r="AZ8" s="326" t="str">
        <f>$Q8</f>
        <v>&lt;JUN/2024</v>
      </c>
      <c r="BA8" s="327" t="str">
        <f>$R8</f>
        <v>&lt;DEC/2023</v>
      </c>
      <c r="BB8" s="328" t="str">
        <f>$S8</f>
        <v>&lt;DEC/2022</v>
      </c>
      <c r="BC8" s="322"/>
      <c r="BD8" s="326" t="str">
        <f>$Q8</f>
        <v>&lt;JUN/2024</v>
      </c>
      <c r="BE8" s="327" t="str">
        <f>$R8</f>
        <v>&lt;DEC/2023</v>
      </c>
      <c r="BF8" s="328" t="str">
        <f>$S8</f>
        <v>&lt;DEC/2022</v>
      </c>
      <c r="BG8" s="322"/>
      <c r="BH8" s="326" t="str">
        <f>$Q8</f>
        <v>&lt;JUN/2024</v>
      </c>
      <c r="BI8" s="327" t="str">
        <f>$R8</f>
        <v>&lt;DEC/2023</v>
      </c>
      <c r="BJ8" s="328" t="str">
        <f>$S8</f>
        <v>&lt;DEC/2022</v>
      </c>
      <c r="BK8" s="322"/>
      <c r="BL8" s="326" t="str">
        <f>$Q8</f>
        <v>&lt;JUN/2024</v>
      </c>
      <c r="BM8" s="327" t="str">
        <f>$R8</f>
        <v>&lt;DEC/2023</v>
      </c>
      <c r="BN8" s="328" t="str">
        <f>$S8</f>
        <v>&lt;DEC/2022</v>
      </c>
    </row>
    <row r="9" spans="1:66" ht="40.049999999999997" customHeight="1" thickTop="1" thickBot="1" x14ac:dyDescent="0.35">
      <c r="A9" s="33"/>
      <c r="B9" s="84" t="str">
        <f>_xll.ECOSECURITIES("corporatebond","ACTIVE","true","BRA",,,,"Tipo de debênture=IPCA Spread")</f>
        <v>Código</v>
      </c>
      <c r="C9" s="85" t="str">
        <f>_xll.ECONOMATICA($B$10:$B$250,"name")</f>
        <v>Nome</v>
      </c>
      <c r="D9" s="85" t="str">
        <f>_xll.ECONOMATICA($B$10:$B$250,"Sector NAICS",,,,,,,,,"Setor NAICS")</f>
        <v>Setor NAICS</v>
      </c>
      <c r="E9" s="319" t="str">
        <f>_xll.ECONOMATICA(B10:B200,"Fin Statm Date",,,,,,,,,"Data Último Balanço")</f>
        <v>Data Último Balanço</v>
      </c>
      <c r="F9" s="318"/>
      <c r="G9" s="91" t="str">
        <f>_xll.ECONOMATICA($B$10:$B$250,"Revenues",G7,G8,,,$C$4,$C$5,,,"Receita Operacional")</f>
        <v>Receita Operacional</v>
      </c>
      <c r="H9" s="92" t="str">
        <f>_xll.ECONOMATICA($B$10:$B$250,"Revenues",H7,H8,,,$C$4,$C$5,,,"Receita Operacional")</f>
        <v>Receita Operacional</v>
      </c>
      <c r="I9" s="92" t="str">
        <f>_xll.ECONOMATICA($B$10:$B$250,"Revenues",I7,I8,,,$C$4,$C$5,,,"Receita Operacional")</f>
        <v>Receita Operacional</v>
      </c>
      <c r="J9" s="320" t="str">
        <f>_xll.ECONOMATICA($B$10:$B$250,"Revenues",J7,J8,,,$C$4,$C$5,,,"Receita Operacional")</f>
        <v>Receita Operacional</v>
      </c>
      <c r="K9" s="318"/>
      <c r="L9" s="91" t="str">
        <f>_xll.ECONOMATICA($B$10:$B$250,"Gross Profit",L7,L8,,,$C$4,$C$5,,,"Lucro Bruto")</f>
        <v>Lucro Bruto</v>
      </c>
      <c r="M9" s="92" t="str">
        <f>_xll.ECONOMATICA($B$10:$B$250,"Gross Profit",M7,M8,,,$C$4,$C$5,,,"Lucro Bruto")</f>
        <v>Lucro Bruto</v>
      </c>
      <c r="N9" s="92" t="str">
        <f>_xll.ECONOMATICA($B$10:$B$250,"Gross Profit",N7,N8,,,$C$4,$C$5,,,"Lucro Bruto")</f>
        <v>Lucro Bruto</v>
      </c>
      <c r="O9" s="320" t="str">
        <f>_xll.ECONOMATICA($B$10:$B$250,"Gross Profit",O7,O8,,,$C$4,$C$5,,,"Lucro Bruto")</f>
        <v>Lucro Bruto</v>
      </c>
      <c r="P9" s="318"/>
      <c r="Q9" s="91" t="str">
        <f>_xll.ECONOMATICA($B$10:$B$250,"GrossMargin",Q7,Q8,,,,"decimal",,,"Margem Bruta")</f>
        <v>Margem Bruta</v>
      </c>
      <c r="R9" s="92" t="str">
        <f>_xll.ECONOMATICA($B$10:$B$250,"GrossMargin",R7,R8,,,,"decimal",,,"Margem Bruta")</f>
        <v>Margem Bruta</v>
      </c>
      <c r="S9" s="320" t="str">
        <f>_xll.ECONOMATICA($B$10:$B$250,"GrossMargin",S7,S8,,,,"decimal",,,"Margem Bruta")</f>
        <v>Margem Bruta</v>
      </c>
      <c r="T9" s="318"/>
      <c r="U9" s="91" t="str">
        <f>_xll.ECONOMATICA($B$10:$B$250,"EBIT",U7,U8,,,$C$4,$C$5,,,"Lucro Operacional")</f>
        <v>Lucro Operacional</v>
      </c>
      <c r="V9" s="92" t="str">
        <f>_xll.ECONOMATICA($B$10:$B$250,"EBIT",V7,V8,,,$C$4,$C$5,,,"Lucro Operacional")</f>
        <v>Lucro Operacional</v>
      </c>
      <c r="W9" s="92" t="str">
        <f>_xll.ECONOMATICA($B$10:$B$250,"EBIT",W7,W8,,,$C$4,$C$5,,,"Lucro Operacional")</f>
        <v>Lucro Operacional</v>
      </c>
      <c r="X9" s="320" t="str">
        <f>_xll.ECONOMATICA($B$10:$B$250,"EBIT",X7,X8,,,$C$4,$C$5,,,"Lucro Operacional")</f>
        <v>Lucro Operacional</v>
      </c>
      <c r="Y9" s="318"/>
      <c r="Z9" s="91" t="str">
        <f>_xll.ECONOMATICA($B$10:$B$250,"EBITMargin",Z7,Z8,,,,"decimal",,,"Margem Operacional")</f>
        <v>Margem Operacional</v>
      </c>
      <c r="AA9" s="92" t="str">
        <f>_xll.ECONOMATICA($B$10:$B$250,"EBITMargin",AA7,AA8,,,,"decimal",,,"Margem Operacional")</f>
        <v>Margem Operacional</v>
      </c>
      <c r="AB9" s="320" t="str">
        <f>_xll.ECONOMATICA($B$10:$B$250,"EBITMargin",AB7,AB8,,,,"decimal",,,"Margem Operacional")</f>
        <v>Margem Operacional</v>
      </c>
      <c r="AC9" s="318"/>
      <c r="AD9" s="91" t="str">
        <f>_xll.ECONOMATICA($B$10:$B$250,"EBITDA",AD7,AD8,,,$C$4,$C$5,,,"EBITDA")</f>
        <v>EBITDA</v>
      </c>
      <c r="AE9" s="92" t="str">
        <f>_xll.ECONOMATICA($B$10:$B$250,"EBITDA",AE7,AE8,,,$C$4,$C$5,,,"EBITDA")</f>
        <v>EBITDA</v>
      </c>
      <c r="AF9" s="92" t="str">
        <f>_xll.ECONOMATICA($B$10:$B$250,"EBITDA",AF7,AF8,,,$C$4,$C$5,,,"EBITDA")</f>
        <v>EBITDA</v>
      </c>
      <c r="AG9" s="320" t="str">
        <f>_xll.ECONOMATICA($B$10:$B$250,"EBITDA",AG7,AG8,,,$C$4,$C$5,,,"EBITDA")</f>
        <v>EBITDA</v>
      </c>
      <c r="AH9" s="318"/>
      <c r="AI9" s="91" t="str">
        <f>_xll.ECONOMATICA($B$10:$B$250,"EbitdaMargin",AI7,AI8,,,,"decimal",,,"Margem EBITDA")</f>
        <v>Margem EBITDA</v>
      </c>
      <c r="AJ9" s="92" t="str">
        <f>_xll.ECONOMATICA($B$10:$B$250,"EbitdaMargin",AJ7,AJ8,,,,"decimal",,,"Margem EBITDA")</f>
        <v>Margem EBITDA</v>
      </c>
      <c r="AK9" s="320" t="str">
        <f>_xll.ECONOMATICA($B$10:$B$250,"EbitdaMargin",AK7,AK8,,,,"decimal",,,"Margem EBITDA")</f>
        <v>Margem EBITDA</v>
      </c>
      <c r="AL9" s="318"/>
      <c r="AM9" s="91" t="str">
        <f>_xll.ECONOMATICA($B$10:$B$250,"net income",AM7,AM8,,,$C$4,$C$5,,,"Lucro Líquido")</f>
        <v>Lucro Líquido</v>
      </c>
      <c r="AN9" s="92" t="str">
        <f>_xll.ECONOMATICA($B$10:$B$250,"net income",AN7,AN8,,,$C$4,$C$5,,,"Lucro Líquido")</f>
        <v>Lucro Líquido</v>
      </c>
      <c r="AO9" s="92" t="str">
        <f>_xll.ECONOMATICA($B$10:$B$250,"net income",AO7,AO8,,,$C$4,$C$5,,,"Lucro Líquido")</f>
        <v>Lucro Líquido</v>
      </c>
      <c r="AP9" s="320" t="str">
        <f>_xll.ECONOMATICA($B$10:$B$250,"net income",AP7,AP8,,,$C$4,$C$5,,,"Lucro Líquido")</f>
        <v>Lucro Líquido</v>
      </c>
      <c r="AQ9" s="318"/>
      <c r="AR9" s="91" t="str">
        <f>_xll.ECONOMATICA($B$10:$B$250,"Net Margin",AR7,AR8,,,,"decimal",,,"Margem Líquida")</f>
        <v>Margem Líquida</v>
      </c>
      <c r="AS9" s="92" t="str">
        <f>_xll.ECONOMATICA($B$10:$B$250,"Net Margin",AS7,AS8,,,,"decimal",,,"Margem Líquida")</f>
        <v>Margem Líquida</v>
      </c>
      <c r="AT9" s="320" t="str">
        <f>_xll.ECONOMATICA($B$10:$B$250,"Net Margin",AT7,AT8,,,,"decimal",,,"Margem Líquida")</f>
        <v>Margem Líquida</v>
      </c>
      <c r="AU9" s="318"/>
      <c r="AV9" s="91" t="str">
        <f>_xll.ECONOMATICA($B$10:$B$250,"EPS",AV7,AV8,,,,,,,"Lucro p/ Ação")</f>
        <v>Lucro p/ Ação</v>
      </c>
      <c r="AW9" s="92" t="str">
        <f>_xll.ECONOMATICA($B$10:$B$250,"EPS",AW7,AW8,,,,,,,"Lucro p/ Ação")</f>
        <v>Lucro p/ Ação</v>
      </c>
      <c r="AX9" s="320" t="str">
        <f>_xll.ECONOMATICA($B$10:$B$250,"EPS",AX7,AX8,,,,,,,"Lucro p/ Ação")</f>
        <v>Lucro p/ Ação</v>
      </c>
      <c r="AY9" s="318"/>
      <c r="AZ9" s="91" t="str">
        <f>_xll.ECONOMATICA($B$10:$B$250,"ROE (avg)",AZ7,AZ8,,,,"decimal",,,"ROE")</f>
        <v>ROE</v>
      </c>
      <c r="BA9" s="92" t="str">
        <f>_xll.ECONOMATICA($B$10:$B$250,"ROE (avg)",BA7,BA8,,,,"decimal",,,"ROE")</f>
        <v>ROE</v>
      </c>
      <c r="BB9" s="320" t="str">
        <f>_xll.ECONOMATICA($B$10:$B$250,"ROE (avg)",BB7,BB8,,,,"decimal",,,"ROE")</f>
        <v>ROE</v>
      </c>
      <c r="BC9" s="318"/>
      <c r="BD9" s="91" t="str">
        <f>_xll.ECONOMATICA($B$10:$B$250,"ROIC (avg IC) %",BD7,BD8,,,,"decimal",,,"ROIC")</f>
        <v>ROIC</v>
      </c>
      <c r="BE9" s="92" t="str">
        <f>_xll.ECONOMATICA($B$10:$B$250,"ROIC (avg IC) %",BE7,BE8,,,,"decimal",,,"ROIC")</f>
        <v>ROIC</v>
      </c>
      <c r="BF9" s="320" t="str">
        <f>_xll.ECONOMATICA($B$10:$B$250,"ROIC (avg IC) %",BF7,BF8,,,,"decimal",,,"ROIC")</f>
        <v>ROIC</v>
      </c>
      <c r="BG9" s="34"/>
      <c r="BH9" s="91" t="str">
        <f>_xll.ECONOMATICA($B$10:$B$250,"ROA",BH7,BH8,,,,"decimal",,,"ROA")</f>
        <v>ROA</v>
      </c>
      <c r="BI9" s="92" t="str">
        <f>_xll.ECONOMATICA($B$10:$B$250,"ROA",BI7,BI8,,,,"decimal",,,"ROA")</f>
        <v>ROA</v>
      </c>
      <c r="BJ9" s="320" t="str">
        <f>_xll.ECONOMATICA($B$10:$B$250,"ROA",BJ7,BJ8,,,,"decimal",,,"ROA")</f>
        <v>ROA</v>
      </c>
      <c r="BK9" s="318"/>
      <c r="BL9" s="91" t="str">
        <f>_xll.ECONOMATICA($B$10:$B$250,"AssetsTurn",BL7,BL8,,,,,,,"Giro do Ativo")</f>
        <v>Giro do Ativo</v>
      </c>
      <c r="BM9" s="92" t="str">
        <f>_xll.ECONOMATICA($B$10:$B$250,"AssetsTurn",BM7,BM8,,,,,,,"Giro do Ativo")</f>
        <v>Giro do Ativo</v>
      </c>
      <c r="BN9" s="320" t="str">
        <f>_xll.ECONOMATICA($B$10:$B$250,"AssetsTurn",BN7,BN8,,,,,,,"Giro do Ativo")</f>
        <v>Giro do Ativo</v>
      </c>
    </row>
    <row r="10" spans="1:66" ht="16.2" thickTop="1" x14ac:dyDescent="0.3">
      <c r="B10" s="282" t="s">
        <v>1089</v>
      </c>
      <c r="C10" s="96" t="s">
        <v>1130</v>
      </c>
      <c r="D10" s="96" t="s">
        <v>1147</v>
      </c>
      <c r="E10" s="333"/>
      <c r="F10" s="35"/>
      <c r="G10" s="337"/>
      <c r="H10" s="97"/>
      <c r="I10" s="97"/>
      <c r="J10" s="338"/>
      <c r="K10" s="72"/>
      <c r="L10" s="337"/>
      <c r="M10" s="97"/>
      <c r="N10" s="97"/>
      <c r="O10" s="338"/>
      <c r="P10" s="35"/>
      <c r="Q10" s="343"/>
      <c r="R10" s="344"/>
      <c r="S10" s="345"/>
      <c r="T10" s="35"/>
      <c r="U10" s="337"/>
      <c r="V10" s="97"/>
      <c r="W10" s="97"/>
      <c r="X10" s="338"/>
      <c r="Y10" s="35"/>
      <c r="Z10" s="343"/>
      <c r="AA10" s="344"/>
      <c r="AB10" s="345"/>
      <c r="AC10" s="35"/>
      <c r="AD10" s="337"/>
      <c r="AE10" s="97"/>
      <c r="AF10" s="97"/>
      <c r="AG10" s="338"/>
      <c r="AH10" s="35"/>
      <c r="AI10" s="343"/>
      <c r="AJ10" s="344"/>
      <c r="AK10" s="345"/>
      <c r="AL10" s="35"/>
      <c r="AM10" s="337"/>
      <c r="AN10" s="97"/>
      <c r="AO10" s="97"/>
      <c r="AP10" s="338"/>
      <c r="AQ10" s="35"/>
      <c r="AR10" s="104"/>
      <c r="AS10" s="105"/>
      <c r="AT10" s="352"/>
      <c r="AU10" s="35"/>
      <c r="AV10" s="355"/>
      <c r="AW10" s="356"/>
      <c r="AX10" s="357"/>
      <c r="AY10" s="35"/>
      <c r="AZ10" s="104"/>
      <c r="BA10" s="105"/>
      <c r="BB10" s="352"/>
      <c r="BC10" s="35"/>
      <c r="BD10" s="104"/>
      <c r="BE10" s="105"/>
      <c r="BF10" s="352"/>
      <c r="BG10" s="35"/>
      <c r="BH10" s="104"/>
      <c r="BI10" s="105"/>
      <c r="BJ10" s="352"/>
      <c r="BK10" s="35"/>
      <c r="BL10" s="364"/>
      <c r="BM10" s="365"/>
      <c r="BN10" s="366"/>
    </row>
    <row r="11" spans="1:66" ht="15.6" x14ac:dyDescent="0.3">
      <c r="B11" s="306" t="s">
        <v>488</v>
      </c>
      <c r="C11" s="111" t="s">
        <v>608</v>
      </c>
      <c r="D11" s="111" t="s">
        <v>231</v>
      </c>
      <c r="E11" s="385">
        <v>45473</v>
      </c>
      <c r="F11" s="35"/>
      <c r="G11" s="380">
        <v>3148634.0474</v>
      </c>
      <c r="H11" s="112">
        <v>1377617.8001999999</v>
      </c>
      <c r="I11" s="112">
        <v>12141011.699999999</v>
      </c>
      <c r="J11" s="381">
        <v>5206369.1321</v>
      </c>
      <c r="K11" s="72"/>
      <c r="L11" s="380">
        <v>1369804.5741000001</v>
      </c>
      <c r="M11" s="112">
        <v>706767.09478000004</v>
      </c>
      <c r="N11" s="112">
        <v>5698095.2620000001</v>
      </c>
      <c r="O11" s="381">
        <v>2664154.8755000001</v>
      </c>
      <c r="P11" s="35"/>
      <c r="Q11" s="382">
        <v>0.46932623101999998</v>
      </c>
      <c r="R11" s="383">
        <v>0.48089738998999998</v>
      </c>
      <c r="S11" s="384">
        <v>0.51034420253000001</v>
      </c>
      <c r="T11" s="35"/>
      <c r="U11" s="380">
        <v>1108003.6691000001</v>
      </c>
      <c r="V11" s="112">
        <v>604578.60719999997</v>
      </c>
      <c r="W11" s="112">
        <v>4941946.4612999996</v>
      </c>
      <c r="X11" s="381">
        <v>2431969.2677000002</v>
      </c>
      <c r="Y11" s="35"/>
      <c r="Z11" s="382">
        <v>0.40704568807000002</v>
      </c>
      <c r="AA11" s="383">
        <v>0.44620088412999998</v>
      </c>
      <c r="AB11" s="384">
        <v>0.43772060909999999</v>
      </c>
      <c r="AC11" s="35"/>
      <c r="AD11" s="380">
        <v>1366743.5963999999</v>
      </c>
      <c r="AE11" s="112">
        <v>759750.46366000001</v>
      </c>
      <c r="AF11" s="112">
        <v>5874133.5938999997</v>
      </c>
      <c r="AG11" s="381">
        <v>3012581.3</v>
      </c>
      <c r="AH11" s="35"/>
      <c r="AI11" s="382">
        <v>0.48382570900999999</v>
      </c>
      <c r="AJ11" s="383">
        <v>0.53332081431</v>
      </c>
      <c r="AK11" s="384">
        <v>0.54346278466999998</v>
      </c>
      <c r="AL11" s="35"/>
      <c r="AM11" s="380">
        <v>51217.683622999997</v>
      </c>
      <c r="AN11" s="112">
        <v>61758.490919999997</v>
      </c>
      <c r="AO11" s="112">
        <v>497385.79063</v>
      </c>
      <c r="AP11" s="381">
        <v>347776.84168999997</v>
      </c>
      <c r="AQ11" s="35"/>
      <c r="AR11" s="113">
        <v>0.14798482658000001</v>
      </c>
      <c r="AS11" s="114">
        <v>0.15780630215999999</v>
      </c>
      <c r="AT11" s="376">
        <v>8.9958988313999996E-2</v>
      </c>
      <c r="AU11" s="35"/>
      <c r="AV11" s="379">
        <v>0.48576211741000003</v>
      </c>
      <c r="AW11" s="377">
        <v>0.57014560731999997</v>
      </c>
      <c r="AX11" s="378">
        <v>0.25506855886000002</v>
      </c>
      <c r="AY11" s="35"/>
      <c r="AZ11" s="113">
        <v>0.22075800394</v>
      </c>
      <c r="BA11" s="114">
        <v>0.16285630353</v>
      </c>
      <c r="BB11" s="376">
        <v>6.7460503044999995E-2</v>
      </c>
      <c r="BC11" s="35"/>
      <c r="BD11" s="113">
        <v>0.14479565732999999</v>
      </c>
      <c r="BE11" s="114">
        <v>0.12171056893</v>
      </c>
      <c r="BF11" s="376">
        <v>9.6447529488999997E-2</v>
      </c>
      <c r="BG11" s="35"/>
      <c r="BH11" s="113">
        <v>4.9780708084000001E-2</v>
      </c>
      <c r="BI11" s="114">
        <v>3.9546726136E-2</v>
      </c>
      <c r="BJ11" s="376">
        <v>2.4264041835E-2</v>
      </c>
      <c r="BK11" s="35"/>
      <c r="BL11" s="373">
        <v>0.33639062351999999</v>
      </c>
      <c r="BM11" s="374">
        <v>0.25060295815</v>
      </c>
      <c r="BN11" s="375">
        <v>0.26972337384</v>
      </c>
    </row>
    <row r="12" spans="1:66" ht="15.6" x14ac:dyDescent="0.3">
      <c r="B12" s="283" t="s">
        <v>396</v>
      </c>
      <c r="C12" s="99" t="s">
        <v>609</v>
      </c>
      <c r="D12" s="99" t="s">
        <v>226</v>
      </c>
      <c r="E12" s="334">
        <v>45473</v>
      </c>
      <c r="F12" s="35"/>
      <c r="G12" s="339">
        <v>874990.00474999996</v>
      </c>
      <c r="H12" s="100">
        <v>798094.68211000005</v>
      </c>
      <c r="I12" s="100">
        <v>3595628.1165999998</v>
      </c>
      <c r="J12" s="340">
        <v>3239109.9928000001</v>
      </c>
      <c r="K12" s="72"/>
      <c r="L12" s="339">
        <v>213425.41441999999</v>
      </c>
      <c r="M12" s="100">
        <v>263020.39711999998</v>
      </c>
      <c r="N12" s="100">
        <v>1131336.3478999999</v>
      </c>
      <c r="O12" s="340">
        <v>1119194.6924999999</v>
      </c>
      <c r="P12" s="35"/>
      <c r="Q12" s="346">
        <v>0.31464220191999998</v>
      </c>
      <c r="R12" s="347">
        <v>0.35977043383000001</v>
      </c>
      <c r="S12" s="348">
        <v>0.31842806664000001</v>
      </c>
      <c r="T12" s="35"/>
      <c r="U12" s="339">
        <v>153664.09046000001</v>
      </c>
      <c r="V12" s="100">
        <v>207812.12841999999</v>
      </c>
      <c r="W12" s="100">
        <v>912005.75552000001</v>
      </c>
      <c r="X12" s="340">
        <v>887625.19473999995</v>
      </c>
      <c r="Y12" s="35"/>
      <c r="Z12" s="346">
        <v>0.25364295916000001</v>
      </c>
      <c r="AA12" s="347">
        <v>0.30323623727999999</v>
      </c>
      <c r="AB12" s="348">
        <v>0.24528541959</v>
      </c>
      <c r="AC12" s="35"/>
      <c r="AD12" s="339">
        <v>362427.78641</v>
      </c>
      <c r="AE12" s="100">
        <v>369801.99005999998</v>
      </c>
      <c r="AF12" s="100">
        <v>1647535.6099</v>
      </c>
      <c r="AG12" s="340">
        <v>1478455.8666999999</v>
      </c>
      <c r="AH12" s="35"/>
      <c r="AI12" s="346">
        <v>0.45820523048</v>
      </c>
      <c r="AJ12" s="347">
        <v>0.49405976833999998</v>
      </c>
      <c r="AK12" s="348">
        <v>0.42368852363999998</v>
      </c>
      <c r="AL12" s="35"/>
      <c r="AM12" s="339">
        <v>-139474.20079999999</v>
      </c>
      <c r="AN12" s="100">
        <v>8525.1215425999999</v>
      </c>
      <c r="AO12" s="100">
        <v>-133802.8615</v>
      </c>
      <c r="AP12" s="340">
        <v>151639.42266000001</v>
      </c>
      <c r="AQ12" s="35"/>
      <c r="AR12" s="106">
        <v>7.2447486318E-3</v>
      </c>
      <c r="AS12" s="107">
        <v>9.7125293892999995E-2</v>
      </c>
      <c r="AT12" s="353">
        <v>0.11252744671999999</v>
      </c>
      <c r="AU12" s="35"/>
      <c r="AV12" s="358">
        <v>-0.22149352183000001</v>
      </c>
      <c r="AW12" s="359">
        <v>0.22268635688999999</v>
      </c>
      <c r="AX12" s="360">
        <v>0.28882762254</v>
      </c>
      <c r="AY12" s="35"/>
      <c r="AZ12" s="106">
        <v>4.8261711008999999E-3</v>
      </c>
      <c r="BA12" s="107">
        <v>5.9765172706E-2</v>
      </c>
      <c r="BB12" s="353">
        <v>6.6641541851999997E-2</v>
      </c>
      <c r="BC12" s="35"/>
      <c r="BD12" s="106">
        <v>3.6915817283000002E-2</v>
      </c>
      <c r="BE12" s="107">
        <v>4.4847316142999999E-2</v>
      </c>
      <c r="BF12" s="353">
        <v>3.9294994474999997E-2</v>
      </c>
      <c r="BG12" s="35"/>
      <c r="BH12" s="106">
        <v>1.2786324681E-3</v>
      </c>
      <c r="BI12" s="107">
        <v>1.7109259176000001E-2</v>
      </c>
      <c r="BJ12" s="353">
        <v>1.6909965041000001E-2</v>
      </c>
      <c r="BK12" s="35"/>
      <c r="BL12" s="367">
        <v>0.17649093615</v>
      </c>
      <c r="BM12" s="368">
        <v>0.17615657559</v>
      </c>
      <c r="BN12" s="369">
        <v>0.15027413784999999</v>
      </c>
    </row>
    <row r="13" spans="1:66" ht="15.6" x14ac:dyDescent="0.3">
      <c r="B13" s="306" t="s">
        <v>1389</v>
      </c>
      <c r="C13" s="111" t="s">
        <v>1889</v>
      </c>
      <c r="D13" s="111" t="s">
        <v>104</v>
      </c>
      <c r="E13" s="385"/>
      <c r="F13" s="35"/>
      <c r="G13" s="380"/>
      <c r="H13" s="112"/>
      <c r="I13" s="112"/>
      <c r="J13" s="381"/>
      <c r="K13" s="72"/>
      <c r="L13" s="380"/>
      <c r="M13" s="112"/>
      <c r="N13" s="112"/>
      <c r="O13" s="381"/>
      <c r="P13" s="35"/>
      <c r="Q13" s="382"/>
      <c r="R13" s="383"/>
      <c r="S13" s="384"/>
      <c r="T13" s="35"/>
      <c r="U13" s="380"/>
      <c r="V13" s="112"/>
      <c r="W13" s="112"/>
      <c r="X13" s="381"/>
      <c r="Y13" s="35"/>
      <c r="Z13" s="382"/>
      <c r="AA13" s="383"/>
      <c r="AB13" s="384"/>
      <c r="AC13" s="35"/>
      <c r="AD13" s="380"/>
      <c r="AE13" s="112"/>
      <c r="AF13" s="112"/>
      <c r="AG13" s="381"/>
      <c r="AH13" s="35"/>
      <c r="AI13" s="382"/>
      <c r="AJ13" s="383"/>
      <c r="AK13" s="384"/>
      <c r="AL13" s="35"/>
      <c r="AM13" s="380"/>
      <c r="AN13" s="112"/>
      <c r="AO13" s="112"/>
      <c r="AP13" s="381"/>
      <c r="AQ13" s="35"/>
      <c r="AR13" s="113"/>
      <c r="AS13" s="114"/>
      <c r="AT13" s="376"/>
      <c r="AU13" s="35"/>
      <c r="AV13" s="379"/>
      <c r="AW13" s="377"/>
      <c r="AX13" s="378"/>
      <c r="AY13" s="35"/>
      <c r="AZ13" s="113"/>
      <c r="BA13" s="114"/>
      <c r="BB13" s="376"/>
      <c r="BC13" s="35"/>
      <c r="BD13" s="113"/>
      <c r="BE13" s="114"/>
      <c r="BF13" s="376"/>
      <c r="BG13" s="35"/>
      <c r="BH13" s="113"/>
      <c r="BI13" s="114"/>
      <c r="BJ13" s="376"/>
      <c r="BK13" s="35"/>
      <c r="BL13" s="373"/>
      <c r="BM13" s="374"/>
      <c r="BN13" s="375"/>
    </row>
    <row r="14" spans="1:66" ht="15.6" x14ac:dyDescent="0.3">
      <c r="B14" s="283" t="s">
        <v>491</v>
      </c>
      <c r="C14" s="99" t="s">
        <v>610</v>
      </c>
      <c r="D14" s="99" t="s">
        <v>226</v>
      </c>
      <c r="E14" s="334">
        <v>45473</v>
      </c>
      <c r="F14" s="35"/>
      <c r="G14" s="339">
        <v>2585888.8561999998</v>
      </c>
      <c r="H14" s="100">
        <v>2650467.6098000002</v>
      </c>
      <c r="I14" s="100">
        <v>10468803.606000001</v>
      </c>
      <c r="J14" s="340">
        <v>11132753.293</v>
      </c>
      <c r="K14" s="72"/>
      <c r="L14" s="339">
        <v>716293.86769999994</v>
      </c>
      <c r="M14" s="100">
        <v>819231.75340000005</v>
      </c>
      <c r="N14" s="100">
        <v>3219902.6401999998</v>
      </c>
      <c r="O14" s="340">
        <v>3161193.52</v>
      </c>
      <c r="P14" s="35"/>
      <c r="Q14" s="346">
        <v>0.30757121455999997</v>
      </c>
      <c r="R14" s="347">
        <v>0.30830840769000001</v>
      </c>
      <c r="S14" s="348">
        <v>0.27902669826999998</v>
      </c>
      <c r="T14" s="35"/>
      <c r="U14" s="339">
        <v>450222.64794</v>
      </c>
      <c r="V14" s="100">
        <v>616526.32969000004</v>
      </c>
      <c r="W14" s="100">
        <v>2307413.1499000001</v>
      </c>
      <c r="X14" s="340">
        <v>2344646.9183999998</v>
      </c>
      <c r="Y14" s="35"/>
      <c r="Z14" s="346">
        <v>0.22040848568999999</v>
      </c>
      <c r="AA14" s="347">
        <v>0.22794226326</v>
      </c>
      <c r="AB14" s="348">
        <v>0.20555161266999999</v>
      </c>
      <c r="AC14" s="35"/>
      <c r="AD14" s="339">
        <v>450222.64794</v>
      </c>
      <c r="AE14" s="100">
        <v>616526.32969000004</v>
      </c>
      <c r="AF14" s="100">
        <v>2307413.1499000001</v>
      </c>
      <c r="AG14" s="340">
        <v>2344646.9183999998</v>
      </c>
      <c r="AH14" s="35"/>
      <c r="AI14" s="346">
        <v>0.22040848568999999</v>
      </c>
      <c r="AJ14" s="347">
        <v>0.22794226326</v>
      </c>
      <c r="AK14" s="348">
        <v>0.20555161266999999</v>
      </c>
      <c r="AL14" s="35"/>
      <c r="AM14" s="339">
        <v>166634.60704</v>
      </c>
      <c r="AN14" s="100">
        <v>294048.70144999999</v>
      </c>
      <c r="AO14" s="100">
        <v>1039302.2831</v>
      </c>
      <c r="AP14" s="340">
        <v>1199965.7734999999</v>
      </c>
      <c r="AQ14" s="35"/>
      <c r="AR14" s="106">
        <v>9.9276127647000001E-2</v>
      </c>
      <c r="AS14" s="107">
        <v>0.10934682494</v>
      </c>
      <c r="AT14" s="353">
        <v>0.10207973565</v>
      </c>
      <c r="AU14" s="35"/>
      <c r="AV14" s="358">
        <v>920.16185857000005</v>
      </c>
      <c r="AW14" s="359">
        <v>999.18875235999997</v>
      </c>
      <c r="AX14" s="360">
        <v>947.00855764000005</v>
      </c>
      <c r="AY14" s="35"/>
      <c r="AZ14" s="106">
        <v>0.21357854899000001</v>
      </c>
      <c r="BA14" s="107">
        <v>0.25936274593999997</v>
      </c>
      <c r="BB14" s="353">
        <v>0.27814295254999999</v>
      </c>
      <c r="BC14" s="35"/>
      <c r="BD14" s="106">
        <v>0.1032352948</v>
      </c>
      <c r="BE14" s="107">
        <v>0.11059938234</v>
      </c>
      <c r="BF14" s="353">
        <v>0.10587990489</v>
      </c>
      <c r="BG14" s="35"/>
      <c r="BH14" s="106">
        <v>5.6195557882000001E-2</v>
      </c>
      <c r="BI14" s="107">
        <v>6.4046932005000001E-2</v>
      </c>
      <c r="BJ14" s="353">
        <v>6.5690061869000005E-2</v>
      </c>
      <c r="BK14" s="35"/>
      <c r="BL14" s="367">
        <v>0.56605308058000003</v>
      </c>
      <c r="BM14" s="368">
        <v>0.58572283224999999</v>
      </c>
      <c r="BN14" s="369">
        <v>0.64351716283000004</v>
      </c>
    </row>
    <row r="15" spans="1:66" ht="15.6" x14ac:dyDescent="0.3">
      <c r="B15" s="306" t="s">
        <v>1391</v>
      </c>
      <c r="C15" s="111" t="s">
        <v>1890</v>
      </c>
      <c r="D15" s="111" t="s">
        <v>104</v>
      </c>
      <c r="E15" s="385"/>
      <c r="F15" s="35"/>
      <c r="G15" s="380"/>
      <c r="H15" s="112"/>
      <c r="I15" s="112"/>
      <c r="J15" s="381"/>
      <c r="K15" s="72"/>
      <c r="L15" s="380"/>
      <c r="M15" s="112"/>
      <c r="N15" s="112"/>
      <c r="O15" s="381"/>
      <c r="P15" s="35"/>
      <c r="Q15" s="382"/>
      <c r="R15" s="383"/>
      <c r="S15" s="384"/>
      <c r="T15" s="35"/>
      <c r="U15" s="380"/>
      <c r="V15" s="112"/>
      <c r="W15" s="112"/>
      <c r="X15" s="381"/>
      <c r="Y15" s="35"/>
      <c r="Z15" s="382"/>
      <c r="AA15" s="383"/>
      <c r="AB15" s="384"/>
      <c r="AC15" s="35"/>
      <c r="AD15" s="380"/>
      <c r="AE15" s="112"/>
      <c r="AF15" s="112"/>
      <c r="AG15" s="381"/>
      <c r="AH15" s="35"/>
      <c r="AI15" s="382"/>
      <c r="AJ15" s="383"/>
      <c r="AK15" s="384"/>
      <c r="AL15" s="35"/>
      <c r="AM15" s="380"/>
      <c r="AN15" s="112"/>
      <c r="AO15" s="112"/>
      <c r="AP15" s="381"/>
      <c r="AQ15" s="35"/>
      <c r="AR15" s="113"/>
      <c r="AS15" s="114"/>
      <c r="AT15" s="376"/>
      <c r="AU15" s="35"/>
      <c r="AV15" s="379"/>
      <c r="AW15" s="377"/>
      <c r="AX15" s="378"/>
      <c r="AY15" s="35"/>
      <c r="AZ15" s="113"/>
      <c r="BA15" s="114"/>
      <c r="BB15" s="376"/>
      <c r="BC15" s="35"/>
      <c r="BD15" s="113"/>
      <c r="BE15" s="114"/>
      <c r="BF15" s="376"/>
      <c r="BG15" s="35"/>
      <c r="BH15" s="113"/>
      <c r="BI15" s="114"/>
      <c r="BJ15" s="376"/>
      <c r="BK15" s="35"/>
      <c r="BL15" s="373"/>
      <c r="BM15" s="374"/>
      <c r="BN15" s="375"/>
    </row>
    <row r="16" spans="1:66" ht="15.6" x14ac:dyDescent="0.3">
      <c r="B16" s="283" t="s">
        <v>1392</v>
      </c>
      <c r="C16" s="99" t="s">
        <v>1891</v>
      </c>
      <c r="D16" s="99" t="s">
        <v>1147</v>
      </c>
      <c r="E16" s="334"/>
      <c r="F16" s="35"/>
      <c r="G16" s="339"/>
      <c r="H16" s="100"/>
      <c r="I16" s="100"/>
      <c r="J16" s="340"/>
      <c r="K16" s="72"/>
      <c r="L16" s="339"/>
      <c r="M16" s="100"/>
      <c r="N16" s="100"/>
      <c r="O16" s="340"/>
      <c r="P16" s="35"/>
      <c r="Q16" s="346"/>
      <c r="R16" s="347"/>
      <c r="S16" s="348"/>
      <c r="T16" s="35"/>
      <c r="U16" s="339"/>
      <c r="V16" s="100"/>
      <c r="W16" s="100"/>
      <c r="X16" s="340"/>
      <c r="Y16" s="35"/>
      <c r="Z16" s="346"/>
      <c r="AA16" s="347"/>
      <c r="AB16" s="348"/>
      <c r="AC16" s="35"/>
      <c r="AD16" s="339"/>
      <c r="AE16" s="100"/>
      <c r="AF16" s="100"/>
      <c r="AG16" s="340"/>
      <c r="AH16" s="35"/>
      <c r="AI16" s="346"/>
      <c r="AJ16" s="347"/>
      <c r="AK16" s="348"/>
      <c r="AL16" s="35"/>
      <c r="AM16" s="339"/>
      <c r="AN16" s="100"/>
      <c r="AO16" s="100"/>
      <c r="AP16" s="340"/>
      <c r="AQ16" s="35"/>
      <c r="AR16" s="106"/>
      <c r="AS16" s="107"/>
      <c r="AT16" s="353"/>
      <c r="AU16" s="35"/>
      <c r="AV16" s="358"/>
      <c r="AW16" s="359"/>
      <c r="AX16" s="360"/>
      <c r="AY16" s="35"/>
      <c r="AZ16" s="106"/>
      <c r="BA16" s="107"/>
      <c r="BB16" s="353"/>
      <c r="BC16" s="35"/>
      <c r="BD16" s="106"/>
      <c r="BE16" s="107"/>
      <c r="BF16" s="353"/>
      <c r="BG16" s="35"/>
      <c r="BH16" s="106"/>
      <c r="BI16" s="107"/>
      <c r="BJ16" s="353"/>
      <c r="BK16" s="35"/>
      <c r="BL16" s="367"/>
      <c r="BM16" s="368"/>
      <c r="BN16" s="369"/>
    </row>
    <row r="17" spans="2:66" ht="15.6" x14ac:dyDescent="0.3">
      <c r="B17" s="306" t="s">
        <v>1396</v>
      </c>
      <c r="C17" s="111" t="s">
        <v>1893</v>
      </c>
      <c r="D17" s="111" t="s">
        <v>231</v>
      </c>
      <c r="E17" s="385">
        <v>45473</v>
      </c>
      <c r="F17" s="35"/>
      <c r="G17" s="380">
        <v>597327.21377000003</v>
      </c>
      <c r="H17" s="112">
        <v>549062.80651000002</v>
      </c>
      <c r="I17" s="112">
        <v>2490456.6044999999</v>
      </c>
      <c r="J17" s="381">
        <v>2147651.7571</v>
      </c>
      <c r="K17" s="72"/>
      <c r="L17" s="380">
        <v>226300.58906999999</v>
      </c>
      <c r="M17" s="112">
        <v>192786.99395999999</v>
      </c>
      <c r="N17" s="112">
        <v>898594.65888</v>
      </c>
      <c r="O17" s="381">
        <v>744043.31947999995</v>
      </c>
      <c r="P17" s="35"/>
      <c r="Q17" s="382">
        <v>0.36081522450999998</v>
      </c>
      <c r="R17" s="383">
        <v>0.35308125249</v>
      </c>
      <c r="S17" s="384">
        <v>0.29406021314000003</v>
      </c>
      <c r="T17" s="35"/>
      <c r="U17" s="380">
        <v>48857.218209999999</v>
      </c>
      <c r="V17" s="112">
        <v>71456.208935000002</v>
      </c>
      <c r="W17" s="112">
        <v>280708.71467999998</v>
      </c>
      <c r="X17" s="381">
        <v>374568.73593000002</v>
      </c>
      <c r="Y17" s="35"/>
      <c r="Z17" s="382">
        <v>0.11271375464</v>
      </c>
      <c r="AA17" s="383">
        <v>0.14679172512999999</v>
      </c>
      <c r="AB17" s="384">
        <v>0.13423719357</v>
      </c>
      <c r="AC17" s="35"/>
      <c r="AD17" s="380">
        <v>140112.48991999999</v>
      </c>
      <c r="AE17" s="112">
        <v>150805.73899000001</v>
      </c>
      <c r="AF17" s="112">
        <v>618409.82299999997</v>
      </c>
      <c r="AG17" s="381">
        <v>671856.98357000004</v>
      </c>
      <c r="AH17" s="35"/>
      <c r="AI17" s="382">
        <v>0.24831182437999999</v>
      </c>
      <c r="AJ17" s="383">
        <v>0.27948288734999999</v>
      </c>
      <c r="AK17" s="384">
        <v>0.27480677906000001</v>
      </c>
      <c r="AL17" s="35"/>
      <c r="AM17" s="380">
        <v>8396.1112432999998</v>
      </c>
      <c r="AN17" s="112">
        <v>32842.115468999997</v>
      </c>
      <c r="AO17" s="112">
        <v>58264.957488</v>
      </c>
      <c r="AP17" s="381">
        <v>192928.20762999999</v>
      </c>
      <c r="AQ17" s="35"/>
      <c r="AR17" s="113">
        <v>2.3395291201999999E-2</v>
      </c>
      <c r="AS17" s="114">
        <v>5.6709348201000001E-2</v>
      </c>
      <c r="AT17" s="376">
        <v>6.7936028406999999E-2</v>
      </c>
      <c r="AU17" s="35"/>
      <c r="AV17" s="379">
        <v>8.6327816348000005E-2</v>
      </c>
      <c r="AW17" s="377">
        <v>0.22785627369</v>
      </c>
      <c r="AX17" s="378">
        <v>0.27034609328999998</v>
      </c>
      <c r="AY17" s="35"/>
      <c r="AZ17" s="113">
        <v>1.4752799883E-2</v>
      </c>
      <c r="BA17" s="114">
        <v>3.5454428399000003E-2</v>
      </c>
      <c r="BB17" s="376">
        <v>3.9334222097E-2</v>
      </c>
      <c r="BC17" s="35"/>
      <c r="BD17" s="113">
        <v>1.865750545E-2</v>
      </c>
      <c r="BE17" s="114">
        <v>2.4275746139E-2</v>
      </c>
      <c r="BF17" s="376">
        <v>1.8242665202000002E-2</v>
      </c>
      <c r="BG17" s="35"/>
      <c r="BH17" s="113">
        <v>4.4206029825999997E-3</v>
      </c>
      <c r="BI17" s="114">
        <v>1.1360144934E-2</v>
      </c>
      <c r="BJ17" s="376">
        <v>1.2433480764000001E-2</v>
      </c>
      <c r="BK17" s="35"/>
      <c r="BL17" s="373">
        <v>0.18895268044999999</v>
      </c>
      <c r="BM17" s="374">
        <v>0.20032226246000001</v>
      </c>
      <c r="BN17" s="375">
        <v>0.18301748065000001</v>
      </c>
    </row>
    <row r="18" spans="2:66" ht="15.6" x14ac:dyDescent="0.3">
      <c r="B18" s="283" t="s">
        <v>1398</v>
      </c>
      <c r="C18" s="99" t="s">
        <v>1894</v>
      </c>
      <c r="D18" s="99" t="s">
        <v>231</v>
      </c>
      <c r="E18" s="334">
        <v>45473</v>
      </c>
      <c r="F18" s="35"/>
      <c r="G18" s="339">
        <v>1532151.8052000001</v>
      </c>
      <c r="H18" s="100">
        <v>1254575.7146999999</v>
      </c>
      <c r="I18" s="100">
        <v>6102886.9795000004</v>
      </c>
      <c r="J18" s="340">
        <v>4640183.9066000003</v>
      </c>
      <c r="K18" s="72"/>
      <c r="L18" s="339">
        <v>720224.96591999999</v>
      </c>
      <c r="M18" s="100">
        <v>488386.95373000001</v>
      </c>
      <c r="N18" s="100">
        <v>2801042.4685</v>
      </c>
      <c r="O18" s="340">
        <v>1615568.0637999999</v>
      </c>
      <c r="P18" s="35"/>
      <c r="Q18" s="346">
        <v>0.45897007071000001</v>
      </c>
      <c r="R18" s="347">
        <v>0.41662981159000001</v>
      </c>
      <c r="S18" s="348">
        <v>0.34319617870000002</v>
      </c>
      <c r="T18" s="35"/>
      <c r="U18" s="339">
        <v>246417.73584000001</v>
      </c>
      <c r="V18" s="100">
        <v>144538.99014000001</v>
      </c>
      <c r="W18" s="100">
        <v>1151642.1713</v>
      </c>
      <c r="X18" s="340">
        <v>701526.49858999997</v>
      </c>
      <c r="Y18" s="35"/>
      <c r="Z18" s="346">
        <v>0.18870448939000001</v>
      </c>
      <c r="AA18" s="347">
        <v>0.18409328863999999</v>
      </c>
      <c r="AB18" s="348">
        <v>0.16097198944999999</v>
      </c>
      <c r="AC18" s="35"/>
      <c r="AD18" s="339">
        <v>342911.79557999998</v>
      </c>
      <c r="AE18" s="100">
        <v>221456.50700000001</v>
      </c>
      <c r="AF18" s="100">
        <v>1492015.8644000001</v>
      </c>
      <c r="AG18" s="340">
        <v>976607.58912999998</v>
      </c>
      <c r="AH18" s="35"/>
      <c r="AI18" s="346">
        <v>0.24447705969</v>
      </c>
      <c r="AJ18" s="347">
        <v>0.23802707918999999</v>
      </c>
      <c r="AK18" s="348">
        <v>0.21637437772000001</v>
      </c>
      <c r="AL18" s="35"/>
      <c r="AM18" s="339">
        <v>117466.27306000001</v>
      </c>
      <c r="AN18" s="100">
        <v>78030.489780999997</v>
      </c>
      <c r="AO18" s="100">
        <v>504552.49281000003</v>
      </c>
      <c r="AP18" s="340">
        <v>342902.35501</v>
      </c>
      <c r="AQ18" s="35"/>
      <c r="AR18" s="106">
        <v>8.2674395659000005E-2</v>
      </c>
      <c r="AS18" s="107">
        <v>8.7946532332000005E-2</v>
      </c>
      <c r="AT18" s="353">
        <v>8.1686467193999995E-2</v>
      </c>
      <c r="AU18" s="35"/>
      <c r="AV18" s="358">
        <v>0.55659367335999999</v>
      </c>
      <c r="AW18" s="359">
        <v>0.61413266411</v>
      </c>
      <c r="AX18" s="360">
        <v>0.51344996468000004</v>
      </c>
      <c r="AY18" s="35"/>
      <c r="AZ18" s="106">
        <v>0.11202784702</v>
      </c>
      <c r="BA18" s="107">
        <v>0.11897041496999999</v>
      </c>
      <c r="BB18" s="353">
        <v>0.10209790668</v>
      </c>
      <c r="BC18" s="35"/>
      <c r="BD18" s="106">
        <v>7.4900475679999995E-2</v>
      </c>
      <c r="BE18" s="107">
        <v>7.3591680824E-2</v>
      </c>
      <c r="BF18" s="353">
        <v>5.4736887084999998E-2</v>
      </c>
      <c r="BG18" s="35"/>
      <c r="BH18" s="106">
        <v>3.2177215948E-2</v>
      </c>
      <c r="BI18" s="107">
        <v>3.7727368767000002E-2</v>
      </c>
      <c r="BJ18" s="353">
        <v>3.3950327151999998E-2</v>
      </c>
      <c r="BK18" s="35"/>
      <c r="BL18" s="367">
        <v>0.38920412652000003</v>
      </c>
      <c r="BM18" s="368">
        <v>0.42898074280999998</v>
      </c>
      <c r="BN18" s="369">
        <v>0.41561752293999998</v>
      </c>
    </row>
    <row r="19" spans="2:66" ht="15.6" x14ac:dyDescent="0.3">
      <c r="B19" s="306" t="s">
        <v>2205</v>
      </c>
      <c r="C19" s="111" t="s">
        <v>2784</v>
      </c>
      <c r="D19" s="111" t="s">
        <v>231</v>
      </c>
      <c r="E19" s="385">
        <v>45473</v>
      </c>
      <c r="F19" s="35"/>
      <c r="G19" s="380">
        <v>55651.585066</v>
      </c>
      <c r="H19" s="112"/>
      <c r="I19" s="112">
        <v>217254.14551999999</v>
      </c>
      <c r="J19" s="381"/>
      <c r="K19" s="72"/>
      <c r="L19" s="380">
        <v>9254.1885937000006</v>
      </c>
      <c r="M19" s="112"/>
      <c r="N19" s="112">
        <v>43970.693509999997</v>
      </c>
      <c r="O19" s="381"/>
      <c r="P19" s="35"/>
      <c r="Q19" s="382">
        <v>0.20239288600999999</v>
      </c>
      <c r="R19" s="383">
        <v>9.6923465521999999E-2</v>
      </c>
      <c r="S19" s="384"/>
      <c r="T19" s="35"/>
      <c r="U19" s="380">
        <v>-970.48046524999995</v>
      </c>
      <c r="V19" s="112"/>
      <c r="W19" s="112">
        <v>-125.44990500999999</v>
      </c>
      <c r="X19" s="381"/>
      <c r="Y19" s="35"/>
      <c r="Z19" s="382">
        <v>-5.7743388377999995E-4</v>
      </c>
      <c r="AA19" s="383">
        <v>-0.13632735538999999</v>
      </c>
      <c r="AB19" s="384"/>
      <c r="AC19" s="35"/>
      <c r="AD19" s="380">
        <v>18217.333407999999</v>
      </c>
      <c r="AE19" s="112"/>
      <c r="AF19" s="112"/>
      <c r="AG19" s="381"/>
      <c r="AH19" s="35"/>
      <c r="AI19" s="382"/>
      <c r="AJ19" s="383"/>
      <c r="AK19" s="384"/>
      <c r="AL19" s="35"/>
      <c r="AM19" s="380">
        <v>-43389.609550000001</v>
      </c>
      <c r="AN19" s="112"/>
      <c r="AO19" s="112">
        <v>-168526.39160999999</v>
      </c>
      <c r="AP19" s="381"/>
      <c r="AQ19" s="35"/>
      <c r="AR19" s="113">
        <v>-0.77571082111</v>
      </c>
      <c r="AS19" s="114">
        <v>-0.91072493054000003</v>
      </c>
      <c r="AT19" s="376"/>
      <c r="AU19" s="35"/>
      <c r="AV19" s="379">
        <v>-0.30531272726999997</v>
      </c>
      <c r="AW19" s="377">
        <v>-0.32777818182000001</v>
      </c>
      <c r="AX19" s="378"/>
      <c r="AY19" s="35"/>
      <c r="AZ19" s="113"/>
      <c r="BA19" s="114"/>
      <c r="BB19" s="376"/>
      <c r="BC19" s="35"/>
      <c r="BD19" s="113"/>
      <c r="BE19" s="114"/>
      <c r="BF19" s="376"/>
      <c r="BG19" s="35"/>
      <c r="BH19" s="113">
        <v>-0.11897287221</v>
      </c>
      <c r="BI19" s="114">
        <v>-0.14052688030999999</v>
      </c>
      <c r="BJ19" s="376"/>
      <c r="BK19" s="35"/>
      <c r="BL19" s="373">
        <v>0.15337271181000001</v>
      </c>
      <c r="BM19" s="374">
        <v>0.15430222189000001</v>
      </c>
      <c r="BN19" s="375"/>
    </row>
    <row r="20" spans="2:66" ht="15.6" x14ac:dyDescent="0.3">
      <c r="B20" s="283" t="s">
        <v>28</v>
      </c>
      <c r="C20" s="99" t="s">
        <v>68</v>
      </c>
      <c r="D20" s="99" t="s">
        <v>227</v>
      </c>
      <c r="E20" s="334">
        <v>45473</v>
      </c>
      <c r="F20" s="35"/>
      <c r="G20" s="339">
        <v>701862.11062000005</v>
      </c>
      <c r="H20" s="100">
        <v>707159.35496999999</v>
      </c>
      <c r="I20" s="100">
        <v>2795486.5430999999</v>
      </c>
      <c r="J20" s="340">
        <v>2924775.6861999999</v>
      </c>
      <c r="K20" s="72"/>
      <c r="L20" s="339">
        <v>243996.05087000001</v>
      </c>
      <c r="M20" s="100">
        <v>318079.08393000002</v>
      </c>
      <c r="N20" s="100">
        <v>1042388.3508</v>
      </c>
      <c r="O20" s="340">
        <v>1241339.2867000001</v>
      </c>
      <c r="P20" s="35"/>
      <c r="Q20" s="346">
        <v>0.37288262158000002</v>
      </c>
      <c r="R20" s="347">
        <v>0.41051607585</v>
      </c>
      <c r="S20" s="348">
        <v>0.43770561619999998</v>
      </c>
      <c r="T20" s="35"/>
      <c r="U20" s="339">
        <v>68226.683546</v>
      </c>
      <c r="V20" s="100">
        <v>74779.437294999996</v>
      </c>
      <c r="W20" s="100">
        <v>205904.44171000001</v>
      </c>
      <c r="X20" s="340">
        <v>442406.73684000003</v>
      </c>
      <c r="Y20" s="35"/>
      <c r="Z20" s="346">
        <v>7.3656030366000005E-2</v>
      </c>
      <c r="AA20" s="347">
        <v>8.0469926400000003E-2</v>
      </c>
      <c r="AB20" s="348">
        <v>0.16646408737000001</v>
      </c>
      <c r="AC20" s="35"/>
      <c r="AD20" s="339">
        <v>267739.20169999998</v>
      </c>
      <c r="AE20" s="100">
        <v>271688.82439000002</v>
      </c>
      <c r="AF20" s="100">
        <v>988319.44175</v>
      </c>
      <c r="AG20" s="340">
        <v>1193924.9665999999</v>
      </c>
      <c r="AH20" s="35"/>
      <c r="AI20" s="346">
        <v>0.35354111940999999</v>
      </c>
      <c r="AJ20" s="347">
        <v>0.35252089031</v>
      </c>
      <c r="AK20" s="348">
        <v>0.4087775072</v>
      </c>
      <c r="AL20" s="35"/>
      <c r="AM20" s="339">
        <v>-27128.291061</v>
      </c>
      <c r="AN20" s="100">
        <v>-34311.783661000001</v>
      </c>
      <c r="AO20" s="100">
        <v>-189188.49277000001</v>
      </c>
      <c r="AP20" s="340">
        <v>1282.4293264999999</v>
      </c>
      <c r="AQ20" s="35"/>
      <c r="AR20" s="106">
        <v>-6.7676409758000003E-2</v>
      </c>
      <c r="AS20" s="107">
        <v>-5.5614898890999999E-2</v>
      </c>
      <c r="AT20" s="353">
        <v>1.8379694336999999E-2</v>
      </c>
      <c r="AU20" s="35"/>
      <c r="AV20" s="358">
        <v>-0.64021708490999996</v>
      </c>
      <c r="AW20" s="359">
        <v>-0.51879964815000001</v>
      </c>
      <c r="AX20" s="360">
        <v>0.17471055912</v>
      </c>
      <c r="AY20" s="35"/>
      <c r="AZ20" s="106">
        <v>-0.12565641159999999</v>
      </c>
      <c r="BA20" s="107">
        <v>-9.7670777122999999E-2</v>
      </c>
      <c r="BB20" s="353">
        <v>3.1687641155000001E-2</v>
      </c>
      <c r="BC20" s="35"/>
      <c r="BD20" s="106">
        <v>2.4489486767E-2</v>
      </c>
      <c r="BE20" s="107">
        <v>2.5965021947999999E-2</v>
      </c>
      <c r="BF20" s="353">
        <v>5.6856315158999998E-2</v>
      </c>
      <c r="BG20" s="35"/>
      <c r="BH20" s="106">
        <v>-2.7346316414E-2</v>
      </c>
      <c r="BI20" s="107">
        <v>-2.0487310418000001E-2</v>
      </c>
      <c r="BJ20" s="353">
        <v>7.0497984949999997E-3</v>
      </c>
      <c r="BK20" s="35"/>
      <c r="BL20" s="367">
        <v>0.40407457357999998</v>
      </c>
      <c r="BM20" s="368">
        <v>0.3683780934</v>
      </c>
      <c r="BN20" s="369">
        <v>0.38356451230999999</v>
      </c>
    </row>
    <row r="21" spans="2:66" ht="15.6" x14ac:dyDescent="0.3">
      <c r="B21" s="306" t="s">
        <v>493</v>
      </c>
      <c r="C21" s="111" t="s">
        <v>612</v>
      </c>
      <c r="D21" s="111" t="s">
        <v>103</v>
      </c>
      <c r="E21" s="385"/>
      <c r="F21" s="35"/>
      <c r="G21" s="380"/>
      <c r="H21" s="112"/>
      <c r="I21" s="112"/>
      <c r="J21" s="381"/>
      <c r="K21" s="72"/>
      <c r="L21" s="380"/>
      <c r="M21" s="112"/>
      <c r="N21" s="112"/>
      <c r="O21" s="381"/>
      <c r="P21" s="35"/>
      <c r="Q21" s="382"/>
      <c r="R21" s="383"/>
      <c r="S21" s="384"/>
      <c r="T21" s="35"/>
      <c r="U21" s="380"/>
      <c r="V21" s="112"/>
      <c r="W21" s="112"/>
      <c r="X21" s="381"/>
      <c r="Y21" s="35"/>
      <c r="Z21" s="382"/>
      <c r="AA21" s="383"/>
      <c r="AB21" s="384"/>
      <c r="AC21" s="35"/>
      <c r="AD21" s="380"/>
      <c r="AE21" s="112"/>
      <c r="AF21" s="112"/>
      <c r="AG21" s="381"/>
      <c r="AH21" s="35"/>
      <c r="AI21" s="382"/>
      <c r="AJ21" s="383"/>
      <c r="AK21" s="384"/>
      <c r="AL21" s="35"/>
      <c r="AM21" s="380"/>
      <c r="AN21" s="112"/>
      <c r="AO21" s="112"/>
      <c r="AP21" s="381"/>
      <c r="AQ21" s="35"/>
      <c r="AR21" s="113"/>
      <c r="AS21" s="114"/>
      <c r="AT21" s="376"/>
      <c r="AU21" s="35"/>
      <c r="AV21" s="379"/>
      <c r="AW21" s="377"/>
      <c r="AX21" s="378"/>
      <c r="AY21" s="35"/>
      <c r="AZ21" s="113"/>
      <c r="BA21" s="114"/>
      <c r="BB21" s="376"/>
      <c r="BC21" s="35"/>
      <c r="BD21" s="113"/>
      <c r="BE21" s="114"/>
      <c r="BF21" s="376"/>
      <c r="BG21" s="35"/>
      <c r="BH21" s="113"/>
      <c r="BI21" s="114"/>
      <c r="BJ21" s="376"/>
      <c r="BK21" s="35"/>
      <c r="BL21" s="373"/>
      <c r="BM21" s="374"/>
      <c r="BN21" s="375"/>
    </row>
    <row r="22" spans="2:66" ht="15.6" x14ac:dyDescent="0.3">
      <c r="B22" s="283" t="s">
        <v>1401</v>
      </c>
      <c r="C22" s="99" t="s">
        <v>1895</v>
      </c>
      <c r="D22" s="99" t="s">
        <v>232</v>
      </c>
      <c r="E22" s="334">
        <v>45473</v>
      </c>
      <c r="F22" s="35"/>
      <c r="G22" s="339">
        <v>1983447.3007</v>
      </c>
      <c r="H22" s="100">
        <v>1436149.2973</v>
      </c>
      <c r="I22" s="100">
        <v>6833965.8711999999</v>
      </c>
      <c r="J22" s="340">
        <v>5529498.4352000002</v>
      </c>
      <c r="K22" s="72"/>
      <c r="L22" s="339">
        <v>775892.60857000004</v>
      </c>
      <c r="M22" s="100">
        <v>486469.58590000001</v>
      </c>
      <c r="N22" s="100">
        <v>2595741.19</v>
      </c>
      <c r="O22" s="340">
        <v>2079053.2944</v>
      </c>
      <c r="P22" s="35"/>
      <c r="Q22" s="346">
        <v>0.3798294049</v>
      </c>
      <c r="R22" s="347">
        <v>0.35704415009000001</v>
      </c>
      <c r="S22" s="348">
        <v>0.41423456506</v>
      </c>
      <c r="T22" s="35"/>
      <c r="U22" s="339">
        <v>715571.27624000004</v>
      </c>
      <c r="V22" s="100">
        <v>451459.05608000001</v>
      </c>
      <c r="W22" s="100">
        <v>2321463.5392</v>
      </c>
      <c r="X22" s="340">
        <v>1923915.9569000001</v>
      </c>
      <c r="Y22" s="35"/>
      <c r="Z22" s="346">
        <v>0.33969492722</v>
      </c>
      <c r="AA22" s="347">
        <v>0.31923771627999997</v>
      </c>
      <c r="AB22" s="348">
        <v>0.38970024837</v>
      </c>
      <c r="AC22" s="35"/>
      <c r="AD22" s="339">
        <v>858998.65445999999</v>
      </c>
      <c r="AE22" s="100">
        <v>593733.39737000002</v>
      </c>
      <c r="AF22" s="100">
        <v>2890358.7864999999</v>
      </c>
      <c r="AG22" s="340">
        <v>2410322.7810999998</v>
      </c>
      <c r="AH22" s="35"/>
      <c r="AI22" s="346">
        <v>0.42294018450999998</v>
      </c>
      <c r="AJ22" s="347">
        <v>0.41221068630000002</v>
      </c>
      <c r="AK22" s="348">
        <v>0.48645076452000002</v>
      </c>
      <c r="AL22" s="35"/>
      <c r="AM22" s="339">
        <v>545228.37000999996</v>
      </c>
      <c r="AN22" s="100">
        <v>315682.63565000001</v>
      </c>
      <c r="AO22" s="100">
        <v>1738346.2871000001</v>
      </c>
      <c r="AP22" s="340">
        <v>1298174.1277000001</v>
      </c>
      <c r="AQ22" s="35"/>
      <c r="AR22" s="106">
        <v>0.25436859356000002</v>
      </c>
      <c r="AS22" s="107">
        <v>0.22832445124</v>
      </c>
      <c r="AT22" s="353">
        <v>0.26082021306999997</v>
      </c>
      <c r="AU22" s="35"/>
      <c r="AV22" s="358">
        <v>1.4562754297</v>
      </c>
      <c r="AW22" s="359">
        <v>1.1246419169999999</v>
      </c>
      <c r="AX22" s="360">
        <v>1.1092721423</v>
      </c>
      <c r="AY22" s="35"/>
      <c r="AZ22" s="106">
        <v>0.41214497476</v>
      </c>
      <c r="BA22" s="107">
        <v>0.35503884713</v>
      </c>
      <c r="BB22" s="353">
        <v>0.30127526530999998</v>
      </c>
      <c r="BC22" s="35"/>
      <c r="BD22" s="106">
        <v>0.22193476939000001</v>
      </c>
      <c r="BE22" s="107">
        <v>0.17482752107999999</v>
      </c>
      <c r="BF22" s="353">
        <v>0.16248302041000001</v>
      </c>
      <c r="BG22" s="35"/>
      <c r="BH22" s="106">
        <v>0.21493639374000001</v>
      </c>
      <c r="BI22" s="107">
        <v>0.17110938281999999</v>
      </c>
      <c r="BJ22" s="353">
        <v>0.15044786045</v>
      </c>
      <c r="BK22" s="35"/>
      <c r="BL22" s="367">
        <v>0.84498007685999998</v>
      </c>
      <c r="BM22" s="368">
        <v>0.74941331024000002</v>
      </c>
      <c r="BN22" s="369">
        <v>0.57682592418</v>
      </c>
    </row>
    <row r="23" spans="2:66" ht="15.6" x14ac:dyDescent="0.3">
      <c r="B23" s="306" t="s">
        <v>1092</v>
      </c>
      <c r="C23" s="111" t="s">
        <v>1131</v>
      </c>
      <c r="D23" s="111" t="s">
        <v>227</v>
      </c>
      <c r="E23" s="385"/>
      <c r="F23" s="35"/>
      <c r="G23" s="380"/>
      <c r="H23" s="112"/>
      <c r="I23" s="112"/>
      <c r="J23" s="381"/>
      <c r="K23" s="72"/>
      <c r="L23" s="380"/>
      <c r="M23" s="112"/>
      <c r="N23" s="112"/>
      <c r="O23" s="381"/>
      <c r="P23" s="35"/>
      <c r="Q23" s="382"/>
      <c r="R23" s="383"/>
      <c r="S23" s="384"/>
      <c r="T23" s="35"/>
      <c r="U23" s="380"/>
      <c r="V23" s="112"/>
      <c r="W23" s="112"/>
      <c r="X23" s="381"/>
      <c r="Y23" s="35"/>
      <c r="Z23" s="382"/>
      <c r="AA23" s="383"/>
      <c r="AB23" s="384"/>
      <c r="AC23" s="35"/>
      <c r="AD23" s="380"/>
      <c r="AE23" s="112"/>
      <c r="AF23" s="112"/>
      <c r="AG23" s="381"/>
      <c r="AH23" s="35"/>
      <c r="AI23" s="382"/>
      <c r="AJ23" s="383"/>
      <c r="AK23" s="384"/>
      <c r="AL23" s="35"/>
      <c r="AM23" s="380"/>
      <c r="AN23" s="112"/>
      <c r="AO23" s="112"/>
      <c r="AP23" s="381"/>
      <c r="AQ23" s="35"/>
      <c r="AR23" s="113"/>
      <c r="AS23" s="114"/>
      <c r="AT23" s="376"/>
      <c r="AU23" s="35"/>
      <c r="AV23" s="379"/>
      <c r="AW23" s="377"/>
      <c r="AX23" s="378"/>
      <c r="AY23" s="35"/>
      <c r="AZ23" s="113"/>
      <c r="BA23" s="114"/>
      <c r="BB23" s="376"/>
      <c r="BC23" s="35"/>
      <c r="BD23" s="113"/>
      <c r="BE23" s="114"/>
      <c r="BF23" s="376"/>
      <c r="BG23" s="35"/>
      <c r="BH23" s="113"/>
      <c r="BI23" s="114"/>
      <c r="BJ23" s="376"/>
      <c r="BK23" s="35"/>
      <c r="BL23" s="373"/>
      <c r="BM23" s="374"/>
      <c r="BN23" s="375"/>
    </row>
    <row r="24" spans="2:66" ht="15.6" x14ac:dyDescent="0.3">
      <c r="B24" s="283" t="s">
        <v>1094</v>
      </c>
      <c r="C24" s="99" t="s">
        <v>1133</v>
      </c>
      <c r="D24" s="99" t="s">
        <v>226</v>
      </c>
      <c r="E24" s="334">
        <v>45291</v>
      </c>
      <c r="F24" s="35"/>
      <c r="G24" s="339"/>
      <c r="H24" s="100">
        <v>26295.031330000002</v>
      </c>
      <c r="I24" s="100"/>
      <c r="J24" s="340">
        <v>61629.829575999996</v>
      </c>
      <c r="K24" s="72"/>
      <c r="L24" s="339"/>
      <c r="M24" s="100">
        <v>14493.752649</v>
      </c>
      <c r="N24" s="100"/>
      <c r="O24" s="340">
        <v>33337.932353999997</v>
      </c>
      <c r="P24" s="35"/>
      <c r="Q24" s="346"/>
      <c r="R24" s="347">
        <v>0.54403125641000005</v>
      </c>
      <c r="S24" s="348">
        <v>0.58455377574</v>
      </c>
      <c r="T24" s="35"/>
      <c r="U24" s="339"/>
      <c r="V24" s="100">
        <v>14515.719220000001</v>
      </c>
      <c r="W24" s="100"/>
      <c r="X24" s="340">
        <v>29094.200072</v>
      </c>
      <c r="Y24" s="35"/>
      <c r="Z24" s="346"/>
      <c r="AA24" s="347">
        <v>0.65827754051999998</v>
      </c>
      <c r="AB24" s="348">
        <v>0.11704805492000001</v>
      </c>
      <c r="AC24" s="35"/>
      <c r="AD24" s="339"/>
      <c r="AE24" s="100"/>
      <c r="AF24" s="100"/>
      <c r="AG24" s="340"/>
      <c r="AH24" s="35"/>
      <c r="AI24" s="346"/>
      <c r="AJ24" s="347"/>
      <c r="AK24" s="348"/>
      <c r="AL24" s="35"/>
      <c r="AM24" s="339"/>
      <c r="AN24" s="100">
        <v>4907.9595433000004</v>
      </c>
      <c r="AO24" s="100"/>
      <c r="AP24" s="340">
        <v>16286.643241</v>
      </c>
      <c r="AQ24" s="35"/>
      <c r="AR24" s="106"/>
      <c r="AS24" s="107">
        <v>0.26460715017999997</v>
      </c>
      <c r="AT24" s="353">
        <v>-2.3926773455000001</v>
      </c>
      <c r="AU24" s="35"/>
      <c r="AV24" s="358"/>
      <c r="AW24" s="359">
        <v>0.11763907832999999</v>
      </c>
      <c r="AX24" s="360">
        <v>-0.10615227598</v>
      </c>
      <c r="AY24" s="35"/>
      <c r="AZ24" s="106"/>
      <c r="BA24" s="107">
        <v>9.2383421965999996E-2</v>
      </c>
      <c r="BB24" s="353">
        <v>-8.7011336189000005E-2</v>
      </c>
      <c r="BC24" s="35"/>
      <c r="BD24" s="106"/>
      <c r="BE24" s="107">
        <v>5.5901971453E-2</v>
      </c>
      <c r="BF24" s="353">
        <v>1.1011840688E-3</v>
      </c>
      <c r="BG24" s="35"/>
      <c r="BH24" s="106"/>
      <c r="BI24" s="107">
        <v>2.6895667330000001E-2</v>
      </c>
      <c r="BJ24" s="353">
        <v>-2.5016718087000001E-2</v>
      </c>
      <c r="BK24" s="35"/>
      <c r="BL24" s="367"/>
      <c r="BM24" s="368">
        <v>0.10164376628000001</v>
      </c>
      <c r="BN24" s="369">
        <v>1.0455533477E-2</v>
      </c>
    </row>
    <row r="25" spans="2:66" ht="15.6" x14ac:dyDescent="0.3">
      <c r="B25" s="306" t="s">
        <v>1403</v>
      </c>
      <c r="C25" s="111" t="s">
        <v>1896</v>
      </c>
      <c r="D25" s="111" t="s">
        <v>104</v>
      </c>
      <c r="E25" s="385"/>
      <c r="F25" s="35"/>
      <c r="G25" s="380"/>
      <c r="H25" s="112"/>
      <c r="I25" s="112"/>
      <c r="J25" s="381"/>
      <c r="K25" s="72"/>
      <c r="L25" s="380"/>
      <c r="M25" s="112"/>
      <c r="N25" s="112"/>
      <c r="O25" s="381"/>
      <c r="P25" s="35"/>
      <c r="Q25" s="382"/>
      <c r="R25" s="383"/>
      <c r="S25" s="384"/>
      <c r="T25" s="35"/>
      <c r="U25" s="380"/>
      <c r="V25" s="112"/>
      <c r="W25" s="112"/>
      <c r="X25" s="381"/>
      <c r="Y25" s="35"/>
      <c r="Z25" s="382"/>
      <c r="AA25" s="383"/>
      <c r="AB25" s="384"/>
      <c r="AC25" s="35"/>
      <c r="AD25" s="380"/>
      <c r="AE25" s="112"/>
      <c r="AF25" s="112"/>
      <c r="AG25" s="381"/>
      <c r="AH25" s="35"/>
      <c r="AI25" s="382"/>
      <c r="AJ25" s="383"/>
      <c r="AK25" s="384"/>
      <c r="AL25" s="35"/>
      <c r="AM25" s="380"/>
      <c r="AN25" s="112"/>
      <c r="AO25" s="112"/>
      <c r="AP25" s="381"/>
      <c r="AQ25" s="35"/>
      <c r="AR25" s="113"/>
      <c r="AS25" s="114"/>
      <c r="AT25" s="376"/>
      <c r="AU25" s="35"/>
      <c r="AV25" s="379"/>
      <c r="AW25" s="377"/>
      <c r="AX25" s="378"/>
      <c r="AY25" s="35"/>
      <c r="AZ25" s="113"/>
      <c r="BA25" s="114"/>
      <c r="BB25" s="376"/>
      <c r="BC25" s="35"/>
      <c r="BD25" s="113"/>
      <c r="BE25" s="114"/>
      <c r="BF25" s="376"/>
      <c r="BG25" s="35"/>
      <c r="BH25" s="113"/>
      <c r="BI25" s="114"/>
      <c r="BJ25" s="376"/>
      <c r="BK25" s="35"/>
      <c r="BL25" s="373"/>
      <c r="BM25" s="374"/>
      <c r="BN25" s="375"/>
    </row>
    <row r="26" spans="2:66" ht="15.6" x14ac:dyDescent="0.3">
      <c r="B26" s="283" t="s">
        <v>1404</v>
      </c>
      <c r="C26" s="99" t="s">
        <v>1897</v>
      </c>
      <c r="D26" s="99" t="s">
        <v>226</v>
      </c>
      <c r="E26" s="334">
        <v>45473</v>
      </c>
      <c r="F26" s="35"/>
      <c r="G26" s="339">
        <v>182531.61900999999</v>
      </c>
      <c r="H26" s="100">
        <v>176142.60941999999</v>
      </c>
      <c r="I26" s="100">
        <v>727809.16538000002</v>
      </c>
      <c r="J26" s="340">
        <v>705852.86702000001</v>
      </c>
      <c r="K26" s="72"/>
      <c r="L26" s="339">
        <v>175055.80827000001</v>
      </c>
      <c r="M26" s="100">
        <v>169342.38670999999</v>
      </c>
      <c r="N26" s="100">
        <v>690702.08707000001</v>
      </c>
      <c r="O26" s="340">
        <v>678869.54980000004</v>
      </c>
      <c r="P26" s="35"/>
      <c r="Q26" s="346">
        <v>0.94901537371</v>
      </c>
      <c r="R26" s="347">
        <v>0.95886588804999995</v>
      </c>
      <c r="S26" s="348">
        <v>0.96596069381000005</v>
      </c>
      <c r="T26" s="35"/>
      <c r="U26" s="339">
        <v>167334.11571000001</v>
      </c>
      <c r="V26" s="100">
        <v>158492.99275999999</v>
      </c>
      <c r="W26" s="100">
        <v>668435.23072999995</v>
      </c>
      <c r="X26" s="340">
        <v>641681.19139000005</v>
      </c>
      <c r="Y26" s="35"/>
      <c r="Z26" s="346">
        <v>0.91842101270999998</v>
      </c>
      <c r="AA26" s="347">
        <v>0.92101758915999998</v>
      </c>
      <c r="AB26" s="348">
        <v>0.92327663217</v>
      </c>
      <c r="AC26" s="35"/>
      <c r="AD26" s="339">
        <v>166540.26871</v>
      </c>
      <c r="AE26" s="100">
        <v>159182.32467999999</v>
      </c>
      <c r="AF26" s="100">
        <v>669974.75196000002</v>
      </c>
      <c r="AG26" s="340">
        <v>645268.01859999995</v>
      </c>
      <c r="AH26" s="35"/>
      <c r="AI26" s="346">
        <v>0.92053629418000005</v>
      </c>
      <c r="AJ26" s="347">
        <v>0.92485306351999996</v>
      </c>
      <c r="AK26" s="348">
        <v>0.92637002691000003</v>
      </c>
      <c r="AL26" s="35"/>
      <c r="AM26" s="339">
        <v>91650.689811999997</v>
      </c>
      <c r="AN26" s="100">
        <v>77436.346340999997</v>
      </c>
      <c r="AO26" s="100">
        <v>361940.03717999998</v>
      </c>
      <c r="AP26" s="340">
        <v>345335.41424000001</v>
      </c>
      <c r="AQ26" s="35"/>
      <c r="AR26" s="106">
        <v>0.49730074089999998</v>
      </c>
      <c r="AS26" s="107">
        <v>0.47490735438999998</v>
      </c>
      <c r="AT26" s="353">
        <v>0.48921765163000003</v>
      </c>
      <c r="AU26" s="35"/>
      <c r="AV26" s="358">
        <v>0.72155674844999995</v>
      </c>
      <c r="AW26" s="359">
        <v>0.70356194642000003</v>
      </c>
      <c r="AX26" s="360">
        <v>0.73630432303000004</v>
      </c>
      <c r="AY26" s="35"/>
      <c r="AZ26" s="106">
        <v>0.18464610417999999</v>
      </c>
      <c r="BA26" s="107">
        <v>0.18728943799</v>
      </c>
      <c r="BB26" s="353">
        <v>0.19720049491</v>
      </c>
      <c r="BC26" s="35"/>
      <c r="BD26" s="106">
        <v>7.9710623931999999E-2</v>
      </c>
      <c r="BE26" s="107">
        <v>8.3817083370000003E-2</v>
      </c>
      <c r="BF26" s="353">
        <v>8.7581060027000002E-2</v>
      </c>
      <c r="BG26" s="35"/>
      <c r="BH26" s="106">
        <v>5.9968213564999998E-2</v>
      </c>
      <c r="BI26" s="107">
        <v>6.0147484900999998E-2</v>
      </c>
      <c r="BJ26" s="353">
        <v>6.4326308846000005E-2</v>
      </c>
      <c r="BK26" s="35"/>
      <c r="BL26" s="367">
        <v>0.12058742051</v>
      </c>
      <c r="BM26" s="368">
        <v>0.12665098644</v>
      </c>
      <c r="BN26" s="369">
        <v>0.13148811911</v>
      </c>
    </row>
    <row r="27" spans="2:66" ht="15.6" x14ac:dyDescent="0.3">
      <c r="B27" s="306" t="s">
        <v>494</v>
      </c>
      <c r="C27" s="111" t="s">
        <v>332</v>
      </c>
      <c r="D27" s="111" t="s">
        <v>228</v>
      </c>
      <c r="E27" s="385">
        <v>45473</v>
      </c>
      <c r="F27" s="35"/>
      <c r="G27" s="380">
        <v>1487527.7686000001</v>
      </c>
      <c r="H27" s="112">
        <v>1559513.5591</v>
      </c>
      <c r="I27" s="112">
        <v>6799036.6032999996</v>
      </c>
      <c r="J27" s="381">
        <v>5826411.1590999998</v>
      </c>
      <c r="K27" s="72"/>
      <c r="L27" s="380">
        <v>417673.91738</v>
      </c>
      <c r="M27" s="112">
        <v>328625.12998999999</v>
      </c>
      <c r="N27" s="112">
        <v>2007470.4557</v>
      </c>
      <c r="O27" s="381">
        <v>1443786.3417</v>
      </c>
      <c r="P27" s="35"/>
      <c r="Q27" s="382">
        <v>0.29525807447000002</v>
      </c>
      <c r="R27" s="383">
        <v>0.25948625581000001</v>
      </c>
      <c r="S27" s="384">
        <v>0.21573541066999999</v>
      </c>
      <c r="T27" s="35"/>
      <c r="U27" s="380">
        <v>353812.89052999998</v>
      </c>
      <c r="V27" s="112">
        <v>252769.33072</v>
      </c>
      <c r="W27" s="112">
        <v>953658.13479000004</v>
      </c>
      <c r="X27" s="381">
        <v>563616.18270999996</v>
      </c>
      <c r="Y27" s="35"/>
      <c r="Z27" s="382">
        <v>0.14026371535000001</v>
      </c>
      <c r="AA27" s="383">
        <v>7.4433452827999999E-2</v>
      </c>
      <c r="AB27" s="384">
        <v>-8.7522874540000004E-2</v>
      </c>
      <c r="AC27" s="35"/>
      <c r="AD27" s="380">
        <v>614572.05951000005</v>
      </c>
      <c r="AE27" s="112">
        <v>558425.79582999996</v>
      </c>
      <c r="AF27" s="112">
        <v>2105431.7776000001</v>
      </c>
      <c r="AG27" s="381">
        <v>1696025.3367000001</v>
      </c>
      <c r="AH27" s="35"/>
      <c r="AI27" s="382">
        <v>0.30966619249999999</v>
      </c>
      <c r="AJ27" s="383">
        <v>0.27227454378999999</v>
      </c>
      <c r="AK27" s="384">
        <v>0.1235141494</v>
      </c>
      <c r="AL27" s="35"/>
      <c r="AM27" s="380">
        <v>32983.289027999999</v>
      </c>
      <c r="AN27" s="112">
        <v>-15244.800166999999</v>
      </c>
      <c r="AO27" s="112">
        <v>-158180.28704</v>
      </c>
      <c r="AP27" s="381">
        <v>-546950.87763</v>
      </c>
      <c r="AQ27" s="35"/>
      <c r="AR27" s="113">
        <v>-2.3265103023999999E-2</v>
      </c>
      <c r="AS27" s="114">
        <v>-7.3784668772000003E-2</v>
      </c>
      <c r="AT27" s="376">
        <v>-0.33488596053000003</v>
      </c>
      <c r="AU27" s="35"/>
      <c r="AV27" s="379">
        <v>-0.20729307632999999</v>
      </c>
      <c r="AW27" s="377">
        <v>-0.58154717851000004</v>
      </c>
      <c r="AX27" s="378">
        <v>-2.1311438900000002</v>
      </c>
      <c r="AY27" s="35"/>
      <c r="AZ27" s="113">
        <v>-3.2663716744000003E-2</v>
      </c>
      <c r="BA27" s="114">
        <v>-9.5650026720999995E-2</v>
      </c>
      <c r="BB27" s="376">
        <v>-0.28659990622999998</v>
      </c>
      <c r="BC27" s="35"/>
      <c r="BD27" s="113">
        <v>3.6338321686999998E-2</v>
      </c>
      <c r="BE27" s="114">
        <v>1.8393662389E-2</v>
      </c>
      <c r="BF27" s="376">
        <v>-1.8056765206000001E-2</v>
      </c>
      <c r="BG27" s="35"/>
      <c r="BH27" s="113">
        <v>-7.1409798129000003E-3</v>
      </c>
      <c r="BI27" s="114">
        <v>-2.3325207696000001E-2</v>
      </c>
      <c r="BJ27" s="376">
        <v>-8.9889100139999997E-2</v>
      </c>
      <c r="BK27" s="35"/>
      <c r="BL27" s="373">
        <v>0.30693953107999999</v>
      </c>
      <c r="BM27" s="374">
        <v>0.31612539684000002</v>
      </c>
      <c r="BN27" s="375">
        <v>0.26841704560000001</v>
      </c>
    </row>
    <row r="28" spans="2:66" ht="15.6" x14ac:dyDescent="0.3">
      <c r="B28" s="283" t="s">
        <v>1405</v>
      </c>
      <c r="C28" s="99" t="s">
        <v>1898</v>
      </c>
      <c r="D28" s="99" t="s">
        <v>226</v>
      </c>
      <c r="E28" s="334">
        <v>45473</v>
      </c>
      <c r="F28" s="35"/>
      <c r="G28" s="339">
        <v>18431.100046</v>
      </c>
      <c r="H28" s="100">
        <v>21775.147871000001</v>
      </c>
      <c r="I28" s="100">
        <v>103422.90889000001</v>
      </c>
      <c r="J28" s="340">
        <v>123865.30889</v>
      </c>
      <c r="K28" s="72"/>
      <c r="L28" s="339">
        <v>885.17452983999999</v>
      </c>
      <c r="M28" s="100">
        <v>2963.3950098</v>
      </c>
      <c r="N28" s="100">
        <v>28086.728336</v>
      </c>
      <c r="O28" s="340">
        <v>41631.881888999997</v>
      </c>
      <c r="P28" s="35"/>
      <c r="Q28" s="346">
        <v>0.27157163373999998</v>
      </c>
      <c r="R28" s="347">
        <v>0.31910847741999998</v>
      </c>
      <c r="S28" s="348">
        <v>0.30500369909000002</v>
      </c>
      <c r="T28" s="35"/>
      <c r="U28" s="339">
        <v>-4208.0916140999998</v>
      </c>
      <c r="V28" s="100">
        <v>-905.85954059999995</v>
      </c>
      <c r="W28" s="100">
        <v>8946.083627</v>
      </c>
      <c r="X28" s="340">
        <v>65482.347692000003</v>
      </c>
      <c r="Y28" s="35"/>
      <c r="Z28" s="346">
        <v>8.6500019408000006E-2</v>
      </c>
      <c r="AA28" s="347">
        <v>0.18622916022</v>
      </c>
      <c r="AB28" s="348">
        <v>0.50994243850999998</v>
      </c>
      <c r="AC28" s="35"/>
      <c r="AD28" s="339">
        <v>3993.3213767000002</v>
      </c>
      <c r="AE28" s="100">
        <v>7405.8724566000001</v>
      </c>
      <c r="AF28" s="100">
        <v>41426.569435999998</v>
      </c>
      <c r="AG28" s="340">
        <v>98326.555215</v>
      </c>
      <c r="AH28" s="35"/>
      <c r="AI28" s="346">
        <v>0.40055505957999998</v>
      </c>
      <c r="AJ28" s="347">
        <v>0.46858886481000001</v>
      </c>
      <c r="AK28" s="348">
        <v>0.79245385157000003</v>
      </c>
      <c r="AL28" s="35"/>
      <c r="AM28" s="339">
        <v>-13675.043245999999</v>
      </c>
      <c r="AN28" s="100">
        <v>-10129.727241000001</v>
      </c>
      <c r="AO28" s="100">
        <v>-25353.927605000001</v>
      </c>
      <c r="AP28" s="340">
        <v>28911.145315000002</v>
      </c>
      <c r="AQ28" s="35"/>
      <c r="AR28" s="106">
        <v>-0.24514808058000001</v>
      </c>
      <c r="AS28" s="107">
        <v>-0.13187989210000001</v>
      </c>
      <c r="AT28" s="353">
        <v>9.5120806944000005E-2</v>
      </c>
      <c r="AU28" s="35"/>
      <c r="AV28" s="358">
        <v>-0.39447176774999998</v>
      </c>
      <c r="AW28" s="359">
        <v>-0.19568321684000001</v>
      </c>
      <c r="AX28" s="360">
        <v>8.1779273414E-2</v>
      </c>
      <c r="AY28" s="35"/>
      <c r="AZ28" s="106">
        <v>-1.5182547553000001</v>
      </c>
      <c r="BA28" s="107">
        <v>-0.2167375268</v>
      </c>
      <c r="BB28" s="353">
        <v>0.10262075678</v>
      </c>
      <c r="BC28" s="35"/>
      <c r="BD28" s="106">
        <v>2.034339973E-2</v>
      </c>
      <c r="BE28" s="107">
        <v>4.4948088156000002E-2</v>
      </c>
      <c r="BF28" s="353">
        <v>0.10739636818999999</v>
      </c>
      <c r="BG28" s="35"/>
      <c r="BH28" s="106">
        <v>-5.0327508307000002E-2</v>
      </c>
      <c r="BI28" s="107">
        <v>-2.6326196957999998E-2</v>
      </c>
      <c r="BJ28" s="353">
        <v>1.6631777217000002E-2</v>
      </c>
      <c r="BK28" s="35"/>
      <c r="BL28" s="367">
        <v>0.20529431920999999</v>
      </c>
      <c r="BM28" s="368">
        <v>0.19962252424999999</v>
      </c>
      <c r="BN28" s="369">
        <v>0.17484899204000001</v>
      </c>
    </row>
    <row r="29" spans="2:66" ht="15.6" x14ac:dyDescent="0.3">
      <c r="B29" s="306" t="s">
        <v>2208</v>
      </c>
      <c r="C29" s="111" t="s">
        <v>2785</v>
      </c>
      <c r="D29" s="111" t="s">
        <v>226</v>
      </c>
      <c r="E29" s="385">
        <v>45473</v>
      </c>
      <c r="F29" s="35"/>
      <c r="G29" s="380">
        <v>199483.41377000001</v>
      </c>
      <c r="H29" s="112"/>
      <c r="I29" s="112"/>
      <c r="J29" s="381"/>
      <c r="K29" s="72"/>
      <c r="L29" s="380">
        <v>69292.505938999995</v>
      </c>
      <c r="M29" s="112"/>
      <c r="N29" s="112"/>
      <c r="O29" s="381"/>
      <c r="P29" s="35"/>
      <c r="Q29" s="382"/>
      <c r="R29" s="383"/>
      <c r="S29" s="384"/>
      <c r="T29" s="35"/>
      <c r="U29" s="380">
        <v>68897.087838000007</v>
      </c>
      <c r="V29" s="112"/>
      <c r="W29" s="112"/>
      <c r="X29" s="381"/>
      <c r="Y29" s="35"/>
      <c r="Z29" s="382"/>
      <c r="AA29" s="383"/>
      <c r="AB29" s="384"/>
      <c r="AC29" s="35"/>
      <c r="AD29" s="380"/>
      <c r="AE29" s="112"/>
      <c r="AF29" s="112"/>
      <c r="AG29" s="381"/>
      <c r="AH29" s="35"/>
      <c r="AI29" s="382"/>
      <c r="AJ29" s="383"/>
      <c r="AK29" s="384"/>
      <c r="AL29" s="35"/>
      <c r="AM29" s="380">
        <v>-1628.8415668</v>
      </c>
      <c r="AN29" s="112"/>
      <c r="AO29" s="112"/>
      <c r="AP29" s="381"/>
      <c r="AQ29" s="35"/>
      <c r="AR29" s="113"/>
      <c r="AS29" s="114"/>
      <c r="AT29" s="376"/>
      <c r="AU29" s="35"/>
      <c r="AV29" s="379"/>
      <c r="AW29" s="377"/>
      <c r="AX29" s="378"/>
      <c r="AY29" s="35"/>
      <c r="AZ29" s="113"/>
      <c r="BA29" s="114"/>
      <c r="BB29" s="376"/>
      <c r="BC29" s="35"/>
      <c r="BD29" s="113"/>
      <c r="BE29" s="114"/>
      <c r="BF29" s="376"/>
      <c r="BG29" s="35"/>
      <c r="BH29" s="113"/>
      <c r="BI29" s="114"/>
      <c r="BJ29" s="376"/>
      <c r="BK29" s="35"/>
      <c r="BL29" s="373"/>
      <c r="BM29" s="374"/>
      <c r="BN29" s="375"/>
    </row>
    <row r="30" spans="2:66" ht="15.6" x14ac:dyDescent="0.3">
      <c r="B30" s="283" t="s">
        <v>2209</v>
      </c>
      <c r="C30" s="99" t="s">
        <v>2786</v>
      </c>
      <c r="D30" s="99" t="s">
        <v>226</v>
      </c>
      <c r="E30" s="334"/>
      <c r="F30" s="35"/>
      <c r="G30" s="339"/>
      <c r="H30" s="100"/>
      <c r="I30" s="100"/>
      <c r="J30" s="340"/>
      <c r="K30" s="72"/>
      <c r="L30" s="339"/>
      <c r="M30" s="100"/>
      <c r="N30" s="100"/>
      <c r="O30" s="340"/>
      <c r="P30" s="35"/>
      <c r="Q30" s="346"/>
      <c r="R30" s="347"/>
      <c r="S30" s="348"/>
      <c r="T30" s="35"/>
      <c r="U30" s="339"/>
      <c r="V30" s="100"/>
      <c r="W30" s="100"/>
      <c r="X30" s="340"/>
      <c r="Y30" s="35"/>
      <c r="Z30" s="346"/>
      <c r="AA30" s="347"/>
      <c r="AB30" s="348"/>
      <c r="AC30" s="35"/>
      <c r="AD30" s="339"/>
      <c r="AE30" s="100"/>
      <c r="AF30" s="100"/>
      <c r="AG30" s="340"/>
      <c r="AH30" s="35"/>
      <c r="AI30" s="346"/>
      <c r="AJ30" s="347"/>
      <c r="AK30" s="348"/>
      <c r="AL30" s="35"/>
      <c r="AM30" s="339"/>
      <c r="AN30" s="100"/>
      <c r="AO30" s="100"/>
      <c r="AP30" s="340"/>
      <c r="AQ30" s="35"/>
      <c r="AR30" s="106"/>
      <c r="AS30" s="107"/>
      <c r="AT30" s="353"/>
      <c r="AU30" s="35"/>
      <c r="AV30" s="358"/>
      <c r="AW30" s="359"/>
      <c r="AX30" s="360"/>
      <c r="AY30" s="35"/>
      <c r="AZ30" s="106"/>
      <c r="BA30" s="107"/>
      <c r="BB30" s="353"/>
      <c r="BC30" s="35"/>
      <c r="BD30" s="106"/>
      <c r="BE30" s="107"/>
      <c r="BF30" s="353"/>
      <c r="BG30" s="35"/>
      <c r="BH30" s="106"/>
      <c r="BI30" s="107"/>
      <c r="BJ30" s="353"/>
      <c r="BK30" s="35"/>
      <c r="BL30" s="367"/>
      <c r="BM30" s="368"/>
      <c r="BN30" s="369"/>
    </row>
    <row r="31" spans="2:66" ht="15.6" x14ac:dyDescent="0.3">
      <c r="B31" s="306" t="s">
        <v>2210</v>
      </c>
      <c r="C31" s="111" t="s">
        <v>2787</v>
      </c>
      <c r="D31" s="111" t="s">
        <v>226</v>
      </c>
      <c r="E31" s="385">
        <v>45473</v>
      </c>
      <c r="F31" s="35"/>
      <c r="G31" s="380">
        <v>1455264.0601999999</v>
      </c>
      <c r="H31" s="112">
        <v>1503233.1126000001</v>
      </c>
      <c r="I31" s="112">
        <v>6200103.6306999996</v>
      </c>
      <c r="J31" s="381">
        <v>6145818.6975999996</v>
      </c>
      <c r="K31" s="72"/>
      <c r="L31" s="380">
        <v>322697.29969000001</v>
      </c>
      <c r="M31" s="112">
        <v>357283.13673000003</v>
      </c>
      <c r="N31" s="112">
        <v>1275155.1298</v>
      </c>
      <c r="O31" s="381">
        <v>1292519.3047</v>
      </c>
      <c r="P31" s="35"/>
      <c r="Q31" s="382">
        <v>0.20566674458</v>
      </c>
      <c r="R31" s="383">
        <v>0.21562078910999999</v>
      </c>
      <c r="S31" s="384">
        <v>0.20724146646</v>
      </c>
      <c r="T31" s="35"/>
      <c r="U31" s="380">
        <v>277411.89117000002</v>
      </c>
      <c r="V31" s="112">
        <v>289076.93424999999</v>
      </c>
      <c r="W31" s="112">
        <v>1264566.1542</v>
      </c>
      <c r="X31" s="381">
        <v>1696207.3454</v>
      </c>
      <c r="Y31" s="35"/>
      <c r="Z31" s="382">
        <v>0.20395887384</v>
      </c>
      <c r="AA31" s="383">
        <v>0.17371936414</v>
      </c>
      <c r="AB31" s="384">
        <v>0.25220071556000001</v>
      </c>
      <c r="AC31" s="35"/>
      <c r="AD31" s="380">
        <v>453219.39526999998</v>
      </c>
      <c r="AE31" s="112">
        <v>466552.18231</v>
      </c>
      <c r="AF31" s="112">
        <v>1947856.6609</v>
      </c>
      <c r="AG31" s="381">
        <v>2341870.7623000001</v>
      </c>
      <c r="AH31" s="35"/>
      <c r="AI31" s="382">
        <v>0.31416517801999999</v>
      </c>
      <c r="AJ31" s="383">
        <v>0.28327728251000001</v>
      </c>
      <c r="AK31" s="384">
        <v>0.36380166019999999</v>
      </c>
      <c r="AL31" s="35"/>
      <c r="AM31" s="380">
        <v>91416.851188999994</v>
      </c>
      <c r="AN31" s="112">
        <v>191299.54331000001</v>
      </c>
      <c r="AO31" s="112">
        <v>-387204.64445000002</v>
      </c>
      <c r="AP31" s="381">
        <v>3238562.9205999998</v>
      </c>
      <c r="AQ31" s="35"/>
      <c r="AR31" s="113">
        <v>-6.2451318157000002E-2</v>
      </c>
      <c r="AS31" s="114">
        <v>-5.1390270613E-2</v>
      </c>
      <c r="AT31" s="376">
        <v>0.48563393334999999</v>
      </c>
      <c r="AU31" s="35"/>
      <c r="AV31" s="379">
        <v>-0.38581599999999999</v>
      </c>
      <c r="AW31" s="377">
        <v>-0.317689</v>
      </c>
      <c r="AX31" s="378">
        <v>3.0334022342</v>
      </c>
      <c r="AY31" s="35"/>
      <c r="AZ31" s="113">
        <v>-2.8471933800000002E-2</v>
      </c>
      <c r="BA31" s="114">
        <v>-2.3002580801999999E-2</v>
      </c>
      <c r="BB31" s="376">
        <v>0.22046575019</v>
      </c>
      <c r="BC31" s="35"/>
      <c r="BD31" s="113">
        <v>3.6637931313999998E-2</v>
      </c>
      <c r="BE31" s="114">
        <v>2.9597758084E-2</v>
      </c>
      <c r="BF31" s="376">
        <v>4.4108897273999997E-2</v>
      </c>
      <c r="BG31" s="35"/>
      <c r="BH31" s="113">
        <v>-1.3186030946E-2</v>
      </c>
      <c r="BI31" s="114">
        <v>-1.095684959E-2</v>
      </c>
      <c r="BJ31" s="376">
        <v>8.2973170961000001E-2</v>
      </c>
      <c r="BK31" s="35"/>
      <c r="BL31" s="373">
        <v>0.21114095484000001</v>
      </c>
      <c r="BM31" s="374">
        <v>0.21320863775000001</v>
      </c>
      <c r="BN31" s="375">
        <v>0.17085538151999999</v>
      </c>
    </row>
    <row r="32" spans="2:66" ht="15.6" x14ac:dyDescent="0.3">
      <c r="B32" s="283" t="s">
        <v>1406</v>
      </c>
      <c r="C32" s="99" t="s">
        <v>1899</v>
      </c>
      <c r="D32" s="99" t="s">
        <v>228</v>
      </c>
      <c r="E32" s="334">
        <v>45473</v>
      </c>
      <c r="F32" s="35"/>
      <c r="G32" s="339">
        <v>192036.70741</v>
      </c>
      <c r="H32" s="100">
        <v>194137.41505000001</v>
      </c>
      <c r="I32" s="100">
        <v>771392.46958000003</v>
      </c>
      <c r="J32" s="340">
        <v>684658.26422999997</v>
      </c>
      <c r="K32" s="72"/>
      <c r="L32" s="339">
        <v>40016.512503999998</v>
      </c>
      <c r="M32" s="100">
        <v>35364.087008000002</v>
      </c>
      <c r="N32" s="100">
        <v>141543.62244000001</v>
      </c>
      <c r="O32" s="340">
        <v>123168.65478</v>
      </c>
      <c r="P32" s="35"/>
      <c r="Q32" s="346">
        <v>0.18349106067000001</v>
      </c>
      <c r="R32" s="347">
        <v>0.18373762726000001</v>
      </c>
      <c r="S32" s="348">
        <v>0.12865629914000001</v>
      </c>
      <c r="T32" s="35"/>
      <c r="U32" s="339">
        <v>32556.759351000001</v>
      </c>
      <c r="V32" s="100">
        <v>27582.690792000001</v>
      </c>
      <c r="W32" s="100">
        <v>93372.866108000002</v>
      </c>
      <c r="X32" s="340">
        <v>-257138.58627</v>
      </c>
      <c r="Y32" s="35"/>
      <c r="Z32" s="346">
        <v>0.12104456523</v>
      </c>
      <c r="AA32" s="347">
        <v>0.11997335361</v>
      </c>
      <c r="AB32" s="348">
        <v>-0.50688974314000002</v>
      </c>
      <c r="AC32" s="35"/>
      <c r="AD32" s="339">
        <v>78838.741911000005</v>
      </c>
      <c r="AE32" s="100">
        <v>69127.752424999999</v>
      </c>
      <c r="AF32" s="100">
        <v>269570.77030999999</v>
      </c>
      <c r="AG32" s="340">
        <v>-82653.929929999998</v>
      </c>
      <c r="AH32" s="35"/>
      <c r="AI32" s="346">
        <v>0.34945994540999997</v>
      </c>
      <c r="AJ32" s="347">
        <v>0.33906185864999999</v>
      </c>
      <c r="AK32" s="348">
        <v>-0.21470207932999999</v>
      </c>
      <c r="AL32" s="35"/>
      <c r="AM32" s="339">
        <v>15461.449893999999</v>
      </c>
      <c r="AN32" s="100">
        <v>4290.8035051999996</v>
      </c>
      <c r="AO32" s="100">
        <v>59704.118798000003</v>
      </c>
      <c r="AP32" s="340">
        <v>-475823.12122999999</v>
      </c>
      <c r="AQ32" s="35"/>
      <c r="AR32" s="106">
        <v>7.7397850190000006E-2</v>
      </c>
      <c r="AS32" s="107">
        <v>6.1761757047000002E-2</v>
      </c>
      <c r="AT32" s="353">
        <v>-0.83377424428000002</v>
      </c>
      <c r="AU32" s="35"/>
      <c r="AV32" s="358">
        <v>2.1195623011E-2</v>
      </c>
      <c r="AW32" s="359">
        <v>1.8580654177999999E-2</v>
      </c>
      <c r="AX32" s="360">
        <v>-0.20890847074999999</v>
      </c>
      <c r="AY32" s="35"/>
      <c r="AZ32" s="106">
        <v>7.5191391097999993E-2</v>
      </c>
      <c r="BA32" s="107">
        <v>5.9129148610000001E-2</v>
      </c>
      <c r="BB32" s="353">
        <v>-0.54113892648999995</v>
      </c>
      <c r="BC32" s="35"/>
      <c r="BD32" s="106">
        <v>3.7882062044999998E-2</v>
      </c>
      <c r="BE32" s="107">
        <v>3.9573645092000002E-2</v>
      </c>
      <c r="BF32" s="353">
        <v>-0.11814005721</v>
      </c>
      <c r="BG32" s="35"/>
      <c r="BH32" s="106">
        <v>2.4750292061E-2</v>
      </c>
      <c r="BI32" s="107">
        <v>1.9193659689000001E-2</v>
      </c>
      <c r="BJ32" s="353">
        <v>-0.21222706568999999</v>
      </c>
      <c r="BK32" s="35"/>
      <c r="BL32" s="367">
        <v>0.31978009725000001</v>
      </c>
      <c r="BM32" s="368">
        <v>0.31076932728000001</v>
      </c>
      <c r="BN32" s="369">
        <v>0.25453780461999997</v>
      </c>
    </row>
    <row r="33" spans="2:66" ht="15.6" x14ac:dyDescent="0.3">
      <c r="B33" s="306" t="s">
        <v>1095</v>
      </c>
      <c r="C33" s="111" t="s">
        <v>1134</v>
      </c>
      <c r="D33" s="111" t="s">
        <v>228</v>
      </c>
      <c r="E33" s="385">
        <v>45473</v>
      </c>
      <c r="F33" s="35"/>
      <c r="G33" s="380">
        <v>450735.48715</v>
      </c>
      <c r="H33" s="112">
        <v>542458.19088000001</v>
      </c>
      <c r="I33" s="112">
        <v>1812114.8456999999</v>
      </c>
      <c r="J33" s="381">
        <v>1958383.5985999999</v>
      </c>
      <c r="K33" s="72"/>
      <c r="L33" s="380">
        <v>95608.885215000002</v>
      </c>
      <c r="M33" s="112">
        <v>64440.504616999999</v>
      </c>
      <c r="N33" s="112">
        <v>390432.21960999997</v>
      </c>
      <c r="O33" s="381">
        <v>244756.76250000001</v>
      </c>
      <c r="P33" s="35"/>
      <c r="Q33" s="382">
        <v>0.2154566641</v>
      </c>
      <c r="R33" s="383">
        <v>0.15149903981000001</v>
      </c>
      <c r="S33" s="384">
        <v>0.13589607370000001</v>
      </c>
      <c r="T33" s="35"/>
      <c r="U33" s="380">
        <v>89526.070219999994</v>
      </c>
      <c r="V33" s="112">
        <v>55438.394678999997</v>
      </c>
      <c r="W33" s="112">
        <v>-380968.27876999998</v>
      </c>
      <c r="X33" s="381">
        <v>136548.38849000001</v>
      </c>
      <c r="Y33" s="35"/>
      <c r="Z33" s="382">
        <v>-0.2102340697</v>
      </c>
      <c r="AA33" s="383">
        <v>-0.24060221843999999</v>
      </c>
      <c r="AB33" s="384">
        <v>6.9272010297000003E-2</v>
      </c>
      <c r="AC33" s="35"/>
      <c r="AD33" s="380">
        <v>123095.46120000001</v>
      </c>
      <c r="AE33" s="112">
        <v>104694.7687</v>
      </c>
      <c r="AF33" s="112">
        <v>-218375.16587</v>
      </c>
      <c r="AG33" s="381">
        <v>324065.4975</v>
      </c>
      <c r="AH33" s="35"/>
      <c r="AI33" s="382">
        <v>-0.12050845805</v>
      </c>
      <c r="AJ33" s="383">
        <v>-0.14366708923999999</v>
      </c>
      <c r="AK33" s="384">
        <v>0.17578402198000001</v>
      </c>
      <c r="AL33" s="35"/>
      <c r="AM33" s="380">
        <v>65300.188160999998</v>
      </c>
      <c r="AN33" s="112">
        <v>14778.272043000001</v>
      </c>
      <c r="AO33" s="112">
        <v>-307410.47606000002</v>
      </c>
      <c r="AP33" s="381">
        <v>9270.9389241000008</v>
      </c>
      <c r="AQ33" s="35"/>
      <c r="AR33" s="113">
        <v>-0.16964182860999999</v>
      </c>
      <c r="AS33" s="114">
        <v>-0.21482306440000001</v>
      </c>
      <c r="AT33" s="376">
        <v>2.5587623495000001E-3</v>
      </c>
      <c r="AU33" s="35"/>
      <c r="AV33" s="379">
        <v>-9.8123345964000006E-2</v>
      </c>
      <c r="AW33" s="377">
        <v>-0.19151128270000001</v>
      </c>
      <c r="AX33" s="378">
        <v>2.7833967513000001E-3</v>
      </c>
      <c r="AY33" s="35"/>
      <c r="AZ33" s="113">
        <v>-0.11824774011</v>
      </c>
      <c r="BA33" s="114">
        <v>-0.20082839986000001</v>
      </c>
      <c r="BB33" s="376">
        <v>2.7663726181999999E-3</v>
      </c>
      <c r="BC33" s="35"/>
      <c r="BD33" s="113">
        <v>-4.0404328215E-2</v>
      </c>
      <c r="BE33" s="114">
        <v>-5.6678060405000001E-2</v>
      </c>
      <c r="BF33" s="376">
        <v>1.5692818758999999E-2</v>
      </c>
      <c r="BG33" s="35"/>
      <c r="BH33" s="113">
        <v>-4.3833698461999998E-2</v>
      </c>
      <c r="BI33" s="114">
        <v>-6.7129959810000001E-2</v>
      </c>
      <c r="BJ33" s="376">
        <v>6.9367560229000003E-4</v>
      </c>
      <c r="BK33" s="35"/>
      <c r="BL33" s="373">
        <v>0.25838968385</v>
      </c>
      <c r="BM33" s="374">
        <v>0.31248953642999999</v>
      </c>
      <c r="BN33" s="375">
        <v>0.27109809647999999</v>
      </c>
    </row>
    <row r="34" spans="2:66" ht="15.6" x14ac:dyDescent="0.3">
      <c r="B34" s="283" t="s">
        <v>2211</v>
      </c>
      <c r="C34" s="99" t="s">
        <v>2788</v>
      </c>
      <c r="D34" s="99" t="s">
        <v>226</v>
      </c>
      <c r="E34" s="334"/>
      <c r="F34" s="35"/>
      <c r="G34" s="339"/>
      <c r="H34" s="100"/>
      <c r="I34" s="100"/>
      <c r="J34" s="340"/>
      <c r="K34" s="72"/>
      <c r="L34" s="339"/>
      <c r="M34" s="100"/>
      <c r="N34" s="100"/>
      <c r="O34" s="340"/>
      <c r="P34" s="35"/>
      <c r="Q34" s="346"/>
      <c r="R34" s="347"/>
      <c r="S34" s="348"/>
      <c r="T34" s="35"/>
      <c r="U34" s="339"/>
      <c r="V34" s="100"/>
      <c r="W34" s="100"/>
      <c r="X34" s="340"/>
      <c r="Y34" s="35"/>
      <c r="Z34" s="346"/>
      <c r="AA34" s="347"/>
      <c r="AB34" s="348"/>
      <c r="AC34" s="35"/>
      <c r="AD34" s="339"/>
      <c r="AE34" s="100"/>
      <c r="AF34" s="100"/>
      <c r="AG34" s="340"/>
      <c r="AH34" s="35"/>
      <c r="AI34" s="346"/>
      <c r="AJ34" s="347"/>
      <c r="AK34" s="348"/>
      <c r="AL34" s="35"/>
      <c r="AM34" s="339"/>
      <c r="AN34" s="100"/>
      <c r="AO34" s="100"/>
      <c r="AP34" s="340"/>
      <c r="AQ34" s="35"/>
      <c r="AR34" s="106"/>
      <c r="AS34" s="107"/>
      <c r="AT34" s="353"/>
      <c r="AU34" s="35"/>
      <c r="AV34" s="358"/>
      <c r="AW34" s="359"/>
      <c r="AX34" s="360"/>
      <c r="AY34" s="35"/>
      <c r="AZ34" s="106"/>
      <c r="BA34" s="107"/>
      <c r="BB34" s="353"/>
      <c r="BC34" s="35"/>
      <c r="BD34" s="106"/>
      <c r="BE34" s="107"/>
      <c r="BF34" s="353"/>
      <c r="BG34" s="35"/>
      <c r="BH34" s="106"/>
      <c r="BI34" s="107"/>
      <c r="BJ34" s="353"/>
      <c r="BK34" s="35"/>
      <c r="BL34" s="367"/>
      <c r="BM34" s="368"/>
      <c r="BN34" s="369"/>
    </row>
    <row r="35" spans="2:66" ht="15.6" x14ac:dyDescent="0.3">
      <c r="B35" s="306" t="s">
        <v>2212</v>
      </c>
      <c r="C35" s="111" t="s">
        <v>2789</v>
      </c>
      <c r="D35" s="111" t="s">
        <v>226</v>
      </c>
      <c r="E35" s="385"/>
      <c r="F35" s="35"/>
      <c r="G35" s="380"/>
      <c r="H35" s="112"/>
      <c r="I35" s="112"/>
      <c r="J35" s="381"/>
      <c r="K35" s="72"/>
      <c r="L35" s="380"/>
      <c r="M35" s="112"/>
      <c r="N35" s="112"/>
      <c r="O35" s="381"/>
      <c r="P35" s="35"/>
      <c r="Q35" s="382"/>
      <c r="R35" s="383"/>
      <c r="S35" s="384"/>
      <c r="T35" s="35"/>
      <c r="U35" s="380"/>
      <c r="V35" s="112"/>
      <c r="W35" s="112"/>
      <c r="X35" s="381"/>
      <c r="Y35" s="35"/>
      <c r="Z35" s="382"/>
      <c r="AA35" s="383"/>
      <c r="AB35" s="384"/>
      <c r="AC35" s="35"/>
      <c r="AD35" s="380"/>
      <c r="AE35" s="112"/>
      <c r="AF35" s="112"/>
      <c r="AG35" s="381"/>
      <c r="AH35" s="35"/>
      <c r="AI35" s="382"/>
      <c r="AJ35" s="383"/>
      <c r="AK35" s="384"/>
      <c r="AL35" s="35"/>
      <c r="AM35" s="380"/>
      <c r="AN35" s="112"/>
      <c r="AO35" s="112"/>
      <c r="AP35" s="381"/>
      <c r="AQ35" s="35"/>
      <c r="AR35" s="113"/>
      <c r="AS35" s="114"/>
      <c r="AT35" s="376"/>
      <c r="AU35" s="35"/>
      <c r="AV35" s="379"/>
      <c r="AW35" s="377"/>
      <c r="AX35" s="378"/>
      <c r="AY35" s="35"/>
      <c r="AZ35" s="113"/>
      <c r="BA35" s="114"/>
      <c r="BB35" s="376"/>
      <c r="BC35" s="35"/>
      <c r="BD35" s="113"/>
      <c r="BE35" s="114"/>
      <c r="BF35" s="376"/>
      <c r="BG35" s="35"/>
      <c r="BH35" s="113"/>
      <c r="BI35" s="114"/>
      <c r="BJ35" s="376"/>
      <c r="BK35" s="35"/>
      <c r="BL35" s="373"/>
      <c r="BM35" s="374"/>
      <c r="BN35" s="375"/>
    </row>
    <row r="36" spans="2:66" ht="15.6" x14ac:dyDescent="0.3">
      <c r="B36" s="283" t="s">
        <v>29</v>
      </c>
      <c r="C36" s="99" t="s">
        <v>69</v>
      </c>
      <c r="D36" s="99" t="s">
        <v>226</v>
      </c>
      <c r="E36" s="334"/>
      <c r="F36" s="35"/>
      <c r="G36" s="339"/>
      <c r="H36" s="100"/>
      <c r="I36" s="100"/>
      <c r="J36" s="340"/>
      <c r="K36" s="72"/>
      <c r="L36" s="339"/>
      <c r="M36" s="100"/>
      <c r="N36" s="100"/>
      <c r="O36" s="340"/>
      <c r="P36" s="35"/>
      <c r="Q36" s="346"/>
      <c r="R36" s="347"/>
      <c r="S36" s="348"/>
      <c r="T36" s="35"/>
      <c r="U36" s="339"/>
      <c r="V36" s="100"/>
      <c r="W36" s="100"/>
      <c r="X36" s="340"/>
      <c r="Y36" s="35"/>
      <c r="Z36" s="346"/>
      <c r="AA36" s="347"/>
      <c r="AB36" s="348"/>
      <c r="AC36" s="35"/>
      <c r="AD36" s="339"/>
      <c r="AE36" s="100"/>
      <c r="AF36" s="100"/>
      <c r="AG36" s="340"/>
      <c r="AH36" s="35"/>
      <c r="AI36" s="346"/>
      <c r="AJ36" s="347"/>
      <c r="AK36" s="348"/>
      <c r="AL36" s="35"/>
      <c r="AM36" s="339"/>
      <c r="AN36" s="100"/>
      <c r="AO36" s="100"/>
      <c r="AP36" s="340"/>
      <c r="AQ36" s="35"/>
      <c r="AR36" s="106"/>
      <c r="AS36" s="107"/>
      <c r="AT36" s="353"/>
      <c r="AU36" s="35"/>
      <c r="AV36" s="358"/>
      <c r="AW36" s="359"/>
      <c r="AX36" s="360"/>
      <c r="AY36" s="35"/>
      <c r="AZ36" s="106"/>
      <c r="BA36" s="107"/>
      <c r="BB36" s="353"/>
      <c r="BC36" s="35"/>
      <c r="BD36" s="106"/>
      <c r="BE36" s="107"/>
      <c r="BF36" s="353"/>
      <c r="BG36" s="35"/>
      <c r="BH36" s="106"/>
      <c r="BI36" s="107"/>
      <c r="BJ36" s="353"/>
      <c r="BK36" s="35"/>
      <c r="BL36" s="367"/>
      <c r="BM36" s="368"/>
      <c r="BN36" s="369"/>
    </row>
    <row r="37" spans="2:66" ht="15.6" x14ac:dyDescent="0.3">
      <c r="B37" s="306" t="s">
        <v>2213</v>
      </c>
      <c r="C37" s="111" t="s">
        <v>2790</v>
      </c>
      <c r="D37" s="111" t="s">
        <v>233</v>
      </c>
      <c r="E37" s="385">
        <v>45473</v>
      </c>
      <c r="F37" s="35"/>
      <c r="G37" s="380">
        <v>2584630.3428000002</v>
      </c>
      <c r="H37" s="112">
        <v>875087.51292000001</v>
      </c>
      <c r="I37" s="112">
        <v>8824317.9346999992</v>
      </c>
      <c r="J37" s="381">
        <v>2466306.156</v>
      </c>
      <c r="K37" s="72"/>
      <c r="L37" s="380">
        <v>734610.55743000004</v>
      </c>
      <c r="M37" s="112">
        <v>249685.64259</v>
      </c>
      <c r="N37" s="112">
        <v>2707885.3763000001</v>
      </c>
      <c r="O37" s="381">
        <v>869887.71180000005</v>
      </c>
      <c r="P37" s="35"/>
      <c r="Q37" s="382">
        <v>0.30686625259</v>
      </c>
      <c r="R37" s="383">
        <v>0.31280488271000001</v>
      </c>
      <c r="S37" s="384">
        <v>0.51490169076000003</v>
      </c>
      <c r="T37" s="35"/>
      <c r="U37" s="380">
        <v>581979.17058000003</v>
      </c>
      <c r="V37" s="112">
        <v>78354.758207000006</v>
      </c>
      <c r="W37" s="112">
        <v>2212579.0433</v>
      </c>
      <c r="X37" s="381">
        <v>119155.04848</v>
      </c>
      <c r="Y37" s="35"/>
      <c r="Z37" s="382">
        <v>0.25073655093000002</v>
      </c>
      <c r="AA37" s="383">
        <v>0.22524421311000001</v>
      </c>
      <c r="AB37" s="384">
        <v>0.15736968060000001</v>
      </c>
      <c r="AC37" s="35"/>
      <c r="AD37" s="380">
        <v>571333.99343999999</v>
      </c>
      <c r="AE37" s="112">
        <v>192168.79190000001</v>
      </c>
      <c r="AF37" s="112">
        <v>2850735.6849000002</v>
      </c>
      <c r="AG37" s="381">
        <v>513021.93991999998</v>
      </c>
      <c r="AH37" s="35"/>
      <c r="AI37" s="382">
        <v>0.32305450755999998</v>
      </c>
      <c r="AJ37" s="383">
        <v>0.33558250737</v>
      </c>
      <c r="AK37" s="384">
        <v>0.31952622528000002</v>
      </c>
      <c r="AL37" s="35"/>
      <c r="AM37" s="380">
        <v>-366961.04417000001</v>
      </c>
      <c r="AN37" s="112">
        <v>80560.829536999998</v>
      </c>
      <c r="AO37" s="112">
        <v>-285765.85125000001</v>
      </c>
      <c r="AP37" s="381">
        <v>500589.90684000001</v>
      </c>
      <c r="AQ37" s="35"/>
      <c r="AR37" s="113">
        <v>-2.9935954615E-2</v>
      </c>
      <c r="AS37" s="114">
        <v>7.5661180120000004E-2</v>
      </c>
      <c r="AT37" s="376">
        <v>7.4149076127000002E-2</v>
      </c>
      <c r="AU37" s="35"/>
      <c r="AV37" s="379">
        <v>-1.1856871906999999</v>
      </c>
      <c r="AW37" s="377">
        <v>1.8108271022</v>
      </c>
      <c r="AX37" s="378">
        <v>0.73811009875</v>
      </c>
      <c r="AY37" s="35"/>
      <c r="AZ37" s="113">
        <v>-5.0905092887999999E-2</v>
      </c>
      <c r="BA37" s="114">
        <v>8.5846826762000006E-2</v>
      </c>
      <c r="BB37" s="376">
        <v>2.9991827839999999E-2</v>
      </c>
      <c r="BC37" s="35"/>
      <c r="BD37" s="113">
        <v>8.6742984960000005E-2</v>
      </c>
      <c r="BE37" s="114">
        <v>7.5160125022999999E-2</v>
      </c>
      <c r="BF37" s="376">
        <v>4.0774367738E-2</v>
      </c>
      <c r="BG37" s="35"/>
      <c r="BH37" s="113">
        <v>-1.2107095058000001E-2</v>
      </c>
      <c r="BI37" s="114">
        <v>2.1134095479000001E-2</v>
      </c>
      <c r="BJ37" s="376">
        <v>1.6022310498999999E-2</v>
      </c>
      <c r="BK37" s="35"/>
      <c r="BL37" s="373">
        <v>0.40443323802999998</v>
      </c>
      <c r="BM37" s="374">
        <v>0.27932548032999999</v>
      </c>
      <c r="BN37" s="375">
        <v>0.21608240232000001</v>
      </c>
    </row>
    <row r="38" spans="2:66" ht="15.6" x14ac:dyDescent="0.3">
      <c r="B38" s="283" t="s">
        <v>1096</v>
      </c>
      <c r="C38" s="99" t="s">
        <v>1135</v>
      </c>
      <c r="D38" s="99" t="s">
        <v>227</v>
      </c>
      <c r="E38" s="334"/>
      <c r="F38" s="35"/>
      <c r="G38" s="339"/>
      <c r="H38" s="100"/>
      <c r="I38" s="100"/>
      <c r="J38" s="340"/>
      <c r="K38" s="72"/>
      <c r="L38" s="339"/>
      <c r="M38" s="100"/>
      <c r="N38" s="100"/>
      <c r="O38" s="340"/>
      <c r="P38" s="35"/>
      <c r="Q38" s="346"/>
      <c r="R38" s="347"/>
      <c r="S38" s="348"/>
      <c r="T38" s="35"/>
      <c r="U38" s="339"/>
      <c r="V38" s="100"/>
      <c r="W38" s="100"/>
      <c r="X38" s="340"/>
      <c r="Y38" s="35"/>
      <c r="Z38" s="346"/>
      <c r="AA38" s="347"/>
      <c r="AB38" s="348"/>
      <c r="AC38" s="35"/>
      <c r="AD38" s="339"/>
      <c r="AE38" s="100"/>
      <c r="AF38" s="100"/>
      <c r="AG38" s="340"/>
      <c r="AH38" s="35"/>
      <c r="AI38" s="346"/>
      <c r="AJ38" s="347"/>
      <c r="AK38" s="348"/>
      <c r="AL38" s="35"/>
      <c r="AM38" s="339"/>
      <c r="AN38" s="100"/>
      <c r="AO38" s="100"/>
      <c r="AP38" s="340"/>
      <c r="AQ38" s="35"/>
      <c r="AR38" s="106"/>
      <c r="AS38" s="107"/>
      <c r="AT38" s="353"/>
      <c r="AU38" s="35"/>
      <c r="AV38" s="358"/>
      <c r="AW38" s="359"/>
      <c r="AX38" s="360"/>
      <c r="AY38" s="35"/>
      <c r="AZ38" s="106"/>
      <c r="BA38" s="107"/>
      <c r="BB38" s="353"/>
      <c r="BC38" s="35"/>
      <c r="BD38" s="106"/>
      <c r="BE38" s="107"/>
      <c r="BF38" s="353"/>
      <c r="BG38" s="35"/>
      <c r="BH38" s="106"/>
      <c r="BI38" s="107"/>
      <c r="BJ38" s="353"/>
      <c r="BK38" s="35"/>
      <c r="BL38" s="367"/>
      <c r="BM38" s="368"/>
      <c r="BN38" s="369"/>
    </row>
    <row r="39" spans="2:66" ht="15.6" x14ac:dyDescent="0.3">
      <c r="B39" s="306" t="s">
        <v>496</v>
      </c>
      <c r="C39" s="111" t="s">
        <v>614</v>
      </c>
      <c r="D39" s="111" t="s">
        <v>231</v>
      </c>
      <c r="E39" s="385">
        <v>45473</v>
      </c>
      <c r="F39" s="35"/>
      <c r="G39" s="380">
        <v>1026861.6669</v>
      </c>
      <c r="H39" s="112">
        <v>1256186.5966</v>
      </c>
      <c r="I39" s="112">
        <v>4373087.3435000004</v>
      </c>
      <c r="J39" s="381">
        <v>4875895.6720000003</v>
      </c>
      <c r="K39" s="72"/>
      <c r="L39" s="380">
        <v>455212.54336000001</v>
      </c>
      <c r="M39" s="112">
        <v>430086.62867000001</v>
      </c>
      <c r="N39" s="112">
        <v>1757519.047</v>
      </c>
      <c r="O39" s="381">
        <v>1683926.9863</v>
      </c>
      <c r="P39" s="35"/>
      <c r="Q39" s="382">
        <v>0.40189433891999998</v>
      </c>
      <c r="R39" s="383">
        <v>0.35749901483000002</v>
      </c>
      <c r="S39" s="384">
        <v>0.33992217183000001</v>
      </c>
      <c r="T39" s="35"/>
      <c r="U39" s="380">
        <v>274874.79229000001</v>
      </c>
      <c r="V39" s="112">
        <v>230412.59174</v>
      </c>
      <c r="W39" s="112">
        <v>1027814.0826</v>
      </c>
      <c r="X39" s="381">
        <v>876294.62829000002</v>
      </c>
      <c r="Y39" s="35"/>
      <c r="Z39" s="382">
        <v>0.23503168399999999</v>
      </c>
      <c r="AA39" s="383">
        <v>0.18557648219</v>
      </c>
      <c r="AB39" s="384">
        <v>0.19739520348</v>
      </c>
      <c r="AC39" s="35"/>
      <c r="AD39" s="380">
        <v>421470.53331000003</v>
      </c>
      <c r="AE39" s="112">
        <v>375038.40213</v>
      </c>
      <c r="AF39" s="112">
        <v>1614196.0430999999</v>
      </c>
      <c r="AG39" s="381">
        <v>1363265.2612000001</v>
      </c>
      <c r="AH39" s="35"/>
      <c r="AI39" s="382">
        <v>0.36912046714000002</v>
      </c>
      <c r="AJ39" s="383">
        <v>0.30403619394999998</v>
      </c>
      <c r="AK39" s="384">
        <v>0.28317387817</v>
      </c>
      <c r="AL39" s="35"/>
      <c r="AM39" s="380">
        <v>23464.150235000001</v>
      </c>
      <c r="AN39" s="112">
        <v>-10103.576561</v>
      </c>
      <c r="AO39" s="112">
        <v>-27555.824337999999</v>
      </c>
      <c r="AP39" s="381">
        <v>-123464.68048</v>
      </c>
      <c r="AQ39" s="35"/>
      <c r="AR39" s="113">
        <v>-7.9097554416000006E-3</v>
      </c>
      <c r="AS39" s="114">
        <v>-2.9671652874000001E-2</v>
      </c>
      <c r="AT39" s="376">
        <v>-2.8627351859000002E-3</v>
      </c>
      <c r="AU39" s="35"/>
      <c r="AV39" s="379">
        <v>-1.0375622454E-2</v>
      </c>
      <c r="AW39" s="377">
        <v>-4.9307730076999998E-2</v>
      </c>
      <c r="AX39" s="378">
        <v>-4.6181477225000003E-3</v>
      </c>
      <c r="AY39" s="35"/>
      <c r="AZ39" s="113">
        <v>-1.0303706116999999E-2</v>
      </c>
      <c r="BA39" s="114">
        <v>-4.0680377719000002E-2</v>
      </c>
      <c r="BB39" s="376">
        <v>-3.7378725408999999E-3</v>
      </c>
      <c r="BC39" s="35"/>
      <c r="BD39" s="113">
        <v>4.3320000476999999E-2</v>
      </c>
      <c r="BE39" s="114">
        <v>3.8103894914E-2</v>
      </c>
      <c r="BF39" s="376">
        <v>4.4757589888999999E-2</v>
      </c>
      <c r="BG39" s="35"/>
      <c r="BH39" s="113">
        <v>-1.8472207089E-3</v>
      </c>
      <c r="BI39" s="114">
        <v>-7.6123130803E-3</v>
      </c>
      <c r="BJ39" s="376">
        <v>-8.1366216260000002E-4</v>
      </c>
      <c r="BK39" s="35"/>
      <c r="BL39" s="373">
        <v>0.23353701926000001</v>
      </c>
      <c r="BM39" s="374">
        <v>0.25655170314999998</v>
      </c>
      <c r="BN39" s="375">
        <v>0.28422543817000001</v>
      </c>
    </row>
    <row r="40" spans="2:66" ht="15.6" x14ac:dyDescent="0.3">
      <c r="B40" s="283" t="s">
        <v>1408</v>
      </c>
      <c r="C40" s="99" t="s">
        <v>1901</v>
      </c>
      <c r="D40" s="99" t="s">
        <v>231</v>
      </c>
      <c r="E40" s="334">
        <v>45473</v>
      </c>
      <c r="F40" s="35"/>
      <c r="G40" s="339">
        <v>177392.18729999999</v>
      </c>
      <c r="H40" s="100">
        <v>187027.56829</v>
      </c>
      <c r="I40" s="100">
        <v>720748.84472000005</v>
      </c>
      <c r="J40" s="340">
        <v>727745.16994000005</v>
      </c>
      <c r="K40" s="72"/>
      <c r="L40" s="339">
        <v>55174.875426999999</v>
      </c>
      <c r="M40" s="100">
        <v>22796.070402000001</v>
      </c>
      <c r="N40" s="100">
        <v>163438.14345999999</v>
      </c>
      <c r="O40" s="340">
        <v>103240.79092</v>
      </c>
      <c r="P40" s="35"/>
      <c r="Q40" s="346">
        <v>0.22676157534999999</v>
      </c>
      <c r="R40" s="347">
        <v>0.14636685665999999</v>
      </c>
      <c r="S40" s="348">
        <v>0.12715022283999999</v>
      </c>
      <c r="T40" s="35"/>
      <c r="U40" s="339">
        <v>1358.8733712000001</v>
      </c>
      <c r="V40" s="100">
        <v>-16616.141803999999</v>
      </c>
      <c r="W40" s="100">
        <v>35911.791611000001</v>
      </c>
      <c r="X40" s="340">
        <v>-5597.2914570000003</v>
      </c>
      <c r="Y40" s="35"/>
      <c r="Z40" s="346">
        <v>4.9825666561000001E-2</v>
      </c>
      <c r="AA40" s="347">
        <v>-1.5346820608E-2</v>
      </c>
      <c r="AB40" s="348">
        <v>4.8597034953999997E-5</v>
      </c>
      <c r="AC40" s="35"/>
      <c r="AD40" s="339">
        <v>24776.858042</v>
      </c>
      <c r="AE40" s="100">
        <v>3193.5209900999998</v>
      </c>
      <c r="AF40" s="100">
        <v>124500.50014</v>
      </c>
      <c r="AG40" s="340">
        <v>69319.175399</v>
      </c>
      <c r="AH40" s="35"/>
      <c r="AI40" s="346">
        <v>0.17273770337</v>
      </c>
      <c r="AJ40" s="347">
        <v>9.5528599564000005E-2</v>
      </c>
      <c r="AK40" s="348">
        <v>0.10332983748000001</v>
      </c>
      <c r="AL40" s="35"/>
      <c r="AM40" s="339">
        <v>-8788.5185462000009</v>
      </c>
      <c r="AN40" s="100">
        <v>-19089.996092000001</v>
      </c>
      <c r="AO40" s="100">
        <v>-12923.347415</v>
      </c>
      <c r="AP40" s="340">
        <v>-40398.615839999999</v>
      </c>
      <c r="AQ40" s="35"/>
      <c r="AR40" s="106">
        <v>-1.7930444856999999E-2</v>
      </c>
      <c r="AS40" s="107">
        <v>-5.7078035506999997E-2</v>
      </c>
      <c r="AT40" s="353">
        <v>-4.9647357966999997E-2</v>
      </c>
      <c r="AU40" s="35"/>
      <c r="AV40" s="358">
        <v>-9.1485041063000001E-3</v>
      </c>
      <c r="AW40" s="359">
        <v>-3.2305305653999999E-2</v>
      </c>
      <c r="AX40" s="360">
        <v>-3.9954540194999999E-2</v>
      </c>
      <c r="AY40" s="35"/>
      <c r="AZ40" s="106">
        <v>-1.6039170602E-2</v>
      </c>
      <c r="BA40" s="107">
        <v>-6.2899998543000005E-2</v>
      </c>
      <c r="BB40" s="353"/>
      <c r="BC40" s="35"/>
      <c r="BD40" s="106">
        <v>7.4183532213999998E-3</v>
      </c>
      <c r="BE40" s="107">
        <v>-2.4443693157000001E-3</v>
      </c>
      <c r="BF40" s="353"/>
      <c r="BG40" s="35"/>
      <c r="BH40" s="106">
        <v>-3.2527771877000002E-3</v>
      </c>
      <c r="BI40" s="107">
        <v>-1.0918963017999999E-2</v>
      </c>
      <c r="BJ40" s="353">
        <v>-1.1172273852E-2</v>
      </c>
      <c r="BK40" s="35"/>
      <c r="BL40" s="367">
        <v>0.18141084695000001</v>
      </c>
      <c r="BM40" s="368">
        <v>0.19129885815</v>
      </c>
      <c r="BN40" s="369">
        <v>0.22503259609000001</v>
      </c>
    </row>
    <row r="41" spans="2:66" ht="15.6" x14ac:dyDescent="0.3">
      <c r="B41" s="306" t="s">
        <v>2214</v>
      </c>
      <c r="C41" s="111" t="s">
        <v>2791</v>
      </c>
      <c r="D41" s="111" t="s">
        <v>104</v>
      </c>
      <c r="E41" s="385"/>
      <c r="F41" s="35"/>
      <c r="G41" s="380"/>
      <c r="H41" s="112"/>
      <c r="I41" s="112"/>
      <c r="J41" s="381"/>
      <c r="K41" s="72"/>
      <c r="L41" s="380"/>
      <c r="M41" s="112"/>
      <c r="N41" s="112"/>
      <c r="O41" s="381"/>
      <c r="P41" s="35"/>
      <c r="Q41" s="382"/>
      <c r="R41" s="383"/>
      <c r="S41" s="384"/>
      <c r="T41" s="35"/>
      <c r="U41" s="380"/>
      <c r="V41" s="112"/>
      <c r="W41" s="112"/>
      <c r="X41" s="381"/>
      <c r="Y41" s="35"/>
      <c r="Z41" s="382"/>
      <c r="AA41" s="383"/>
      <c r="AB41" s="384"/>
      <c r="AC41" s="35"/>
      <c r="AD41" s="380"/>
      <c r="AE41" s="112"/>
      <c r="AF41" s="112"/>
      <c r="AG41" s="381"/>
      <c r="AH41" s="35"/>
      <c r="AI41" s="382"/>
      <c r="AJ41" s="383"/>
      <c r="AK41" s="384"/>
      <c r="AL41" s="35"/>
      <c r="AM41" s="380"/>
      <c r="AN41" s="112"/>
      <c r="AO41" s="112"/>
      <c r="AP41" s="381"/>
      <c r="AQ41" s="35"/>
      <c r="AR41" s="113"/>
      <c r="AS41" s="114"/>
      <c r="AT41" s="376"/>
      <c r="AU41" s="35"/>
      <c r="AV41" s="379"/>
      <c r="AW41" s="377"/>
      <c r="AX41" s="378"/>
      <c r="AY41" s="35"/>
      <c r="AZ41" s="113"/>
      <c r="BA41" s="114"/>
      <c r="BB41" s="376"/>
      <c r="BC41" s="35"/>
      <c r="BD41" s="113"/>
      <c r="BE41" s="114"/>
      <c r="BF41" s="376"/>
      <c r="BG41" s="35"/>
      <c r="BH41" s="113"/>
      <c r="BI41" s="114"/>
      <c r="BJ41" s="376"/>
      <c r="BK41" s="35"/>
      <c r="BL41" s="373"/>
      <c r="BM41" s="374"/>
      <c r="BN41" s="375"/>
    </row>
    <row r="42" spans="2:66" ht="15.6" x14ac:dyDescent="0.3">
      <c r="B42" s="283" t="s">
        <v>497</v>
      </c>
      <c r="C42" s="99" t="s">
        <v>615</v>
      </c>
      <c r="D42" s="99" t="s">
        <v>226</v>
      </c>
      <c r="E42" s="334"/>
      <c r="F42" s="35"/>
      <c r="G42" s="339"/>
      <c r="H42" s="100"/>
      <c r="I42" s="100"/>
      <c r="J42" s="340"/>
      <c r="K42" s="72"/>
      <c r="L42" s="339"/>
      <c r="M42" s="100"/>
      <c r="N42" s="100"/>
      <c r="O42" s="340"/>
      <c r="P42" s="35"/>
      <c r="Q42" s="346"/>
      <c r="R42" s="347"/>
      <c r="S42" s="348"/>
      <c r="T42" s="35"/>
      <c r="U42" s="339"/>
      <c r="V42" s="100"/>
      <c r="W42" s="100"/>
      <c r="X42" s="340"/>
      <c r="Y42" s="35"/>
      <c r="Z42" s="346"/>
      <c r="AA42" s="347"/>
      <c r="AB42" s="348"/>
      <c r="AC42" s="35"/>
      <c r="AD42" s="339"/>
      <c r="AE42" s="100"/>
      <c r="AF42" s="100"/>
      <c r="AG42" s="340"/>
      <c r="AH42" s="35"/>
      <c r="AI42" s="346"/>
      <c r="AJ42" s="347"/>
      <c r="AK42" s="348"/>
      <c r="AL42" s="35"/>
      <c r="AM42" s="339"/>
      <c r="AN42" s="100"/>
      <c r="AO42" s="100"/>
      <c r="AP42" s="340"/>
      <c r="AQ42" s="35"/>
      <c r="AR42" s="106"/>
      <c r="AS42" s="107"/>
      <c r="AT42" s="353"/>
      <c r="AU42" s="35"/>
      <c r="AV42" s="358"/>
      <c r="AW42" s="359"/>
      <c r="AX42" s="360"/>
      <c r="AY42" s="35"/>
      <c r="AZ42" s="106"/>
      <c r="BA42" s="107"/>
      <c r="BB42" s="353"/>
      <c r="BC42" s="35"/>
      <c r="BD42" s="106"/>
      <c r="BE42" s="107"/>
      <c r="BF42" s="353"/>
      <c r="BG42" s="35"/>
      <c r="BH42" s="106"/>
      <c r="BI42" s="107"/>
      <c r="BJ42" s="353"/>
      <c r="BK42" s="35"/>
      <c r="BL42" s="367"/>
      <c r="BM42" s="368"/>
      <c r="BN42" s="369"/>
    </row>
    <row r="43" spans="2:66" ht="15.6" x14ac:dyDescent="0.3">
      <c r="B43" s="306" t="s">
        <v>30</v>
      </c>
      <c r="C43" s="111" t="s">
        <v>16</v>
      </c>
      <c r="D43" s="111" t="s">
        <v>228</v>
      </c>
      <c r="E43" s="385">
        <v>45473</v>
      </c>
      <c r="F43" s="35"/>
      <c r="G43" s="380">
        <v>5306059.2907999996</v>
      </c>
      <c r="H43" s="112">
        <v>4084879.4558999999</v>
      </c>
      <c r="I43" s="112">
        <v>20696193.423</v>
      </c>
      <c r="J43" s="381">
        <v>16520727.389</v>
      </c>
      <c r="K43" s="72"/>
      <c r="L43" s="380">
        <v>1736875.0105999999</v>
      </c>
      <c r="M43" s="112">
        <v>1771270.2561000001</v>
      </c>
      <c r="N43" s="112">
        <v>7698053.7774</v>
      </c>
      <c r="O43" s="381">
        <v>7189855.2910000002</v>
      </c>
      <c r="P43" s="35"/>
      <c r="Q43" s="382">
        <v>0.37195505569999998</v>
      </c>
      <c r="R43" s="383">
        <v>0.42884798675000002</v>
      </c>
      <c r="S43" s="384">
        <v>0.58368623496000005</v>
      </c>
      <c r="T43" s="35"/>
      <c r="U43" s="380">
        <v>1310478.8122</v>
      </c>
      <c r="V43" s="112">
        <v>1374347.9191999999</v>
      </c>
      <c r="W43" s="112">
        <v>5870592.8958000001</v>
      </c>
      <c r="X43" s="381">
        <v>5719406.7624000004</v>
      </c>
      <c r="Y43" s="35"/>
      <c r="Z43" s="382">
        <v>0.28365568372</v>
      </c>
      <c r="AA43" s="383">
        <v>0.32873260453000003</v>
      </c>
      <c r="AB43" s="384">
        <v>0.52717859963000002</v>
      </c>
      <c r="AC43" s="35"/>
      <c r="AD43" s="380">
        <v>1692508.899</v>
      </c>
      <c r="AE43" s="112">
        <v>1743706.3936999999</v>
      </c>
      <c r="AF43" s="112">
        <v>7367050.6903999997</v>
      </c>
      <c r="AG43" s="381">
        <v>7326911.0026000002</v>
      </c>
      <c r="AH43" s="35"/>
      <c r="AI43" s="382">
        <v>0.35596162732999997</v>
      </c>
      <c r="AJ43" s="383">
        <v>0.40468786189</v>
      </c>
      <c r="AK43" s="384">
        <v>0.60902607596000002</v>
      </c>
      <c r="AL43" s="35"/>
      <c r="AM43" s="380">
        <v>268891.33361999999</v>
      </c>
      <c r="AN43" s="112">
        <v>282651.18926000001</v>
      </c>
      <c r="AO43" s="112">
        <v>1419225.8151</v>
      </c>
      <c r="AP43" s="381">
        <v>1348211.8840000001</v>
      </c>
      <c r="AQ43" s="35"/>
      <c r="AR43" s="113">
        <v>7.7162560123999996E-2</v>
      </c>
      <c r="AS43" s="114">
        <v>9.7952143709000003E-2</v>
      </c>
      <c r="AT43" s="376">
        <v>0.21959377825000001</v>
      </c>
      <c r="AU43" s="35"/>
      <c r="AV43" s="379">
        <v>0.70110727655000005</v>
      </c>
      <c r="AW43" s="377">
        <v>0.84459873652999995</v>
      </c>
      <c r="AX43" s="378">
        <v>2.0460841951000002</v>
      </c>
      <c r="AY43" s="35"/>
      <c r="AZ43" s="113">
        <v>0.1198936192</v>
      </c>
      <c r="BA43" s="114">
        <v>0.14895602924000001</v>
      </c>
      <c r="BB43" s="376">
        <v>0.41319073696000003</v>
      </c>
      <c r="BC43" s="35"/>
      <c r="BD43" s="113">
        <v>8.8640331648000004E-2</v>
      </c>
      <c r="BE43" s="114">
        <v>0.10022341147</v>
      </c>
      <c r="BF43" s="376">
        <v>0.18532375366000001</v>
      </c>
      <c r="BG43" s="35"/>
      <c r="BH43" s="113">
        <v>2.8719909678000002E-2</v>
      </c>
      <c r="BI43" s="114">
        <v>3.3938409680000003E-2</v>
      </c>
      <c r="BJ43" s="376">
        <v>8.3331453905999997E-2</v>
      </c>
      <c r="BK43" s="35"/>
      <c r="BL43" s="373">
        <v>0.37220006221000002</v>
      </c>
      <c r="BM43" s="374">
        <v>0.34647949902000003</v>
      </c>
      <c r="BN43" s="375">
        <v>0.37948003156999999</v>
      </c>
    </row>
    <row r="44" spans="2:66" ht="15.6" x14ac:dyDescent="0.3">
      <c r="B44" s="283" t="s">
        <v>1098</v>
      </c>
      <c r="C44" s="99" t="s">
        <v>1136</v>
      </c>
      <c r="D44" s="99" t="s">
        <v>103</v>
      </c>
      <c r="E44" s="334">
        <v>45473</v>
      </c>
      <c r="F44" s="35"/>
      <c r="G44" s="339">
        <v>1167081.5419999999</v>
      </c>
      <c r="H44" s="100">
        <v>1171717.8095</v>
      </c>
      <c r="I44" s="100">
        <v>4837635.3669999996</v>
      </c>
      <c r="J44" s="340">
        <v>5150205.8405999998</v>
      </c>
      <c r="K44" s="72"/>
      <c r="L44" s="339">
        <v>163667.96768999999</v>
      </c>
      <c r="M44" s="100">
        <v>248220.15849999999</v>
      </c>
      <c r="N44" s="100">
        <v>990893.67379999999</v>
      </c>
      <c r="O44" s="340">
        <v>874495.46154000005</v>
      </c>
      <c r="P44" s="35"/>
      <c r="Q44" s="346">
        <v>0.20483016982999999</v>
      </c>
      <c r="R44" s="347">
        <v>0.21473741532999999</v>
      </c>
      <c r="S44" s="348">
        <v>0.13872025733000001</v>
      </c>
      <c r="T44" s="35"/>
      <c r="U44" s="339">
        <v>-23433.038659000002</v>
      </c>
      <c r="V44" s="100">
        <v>18629.744132</v>
      </c>
      <c r="W44" s="100">
        <v>197388.90216</v>
      </c>
      <c r="X44" s="340">
        <v>423894.14775</v>
      </c>
      <c r="Y44" s="35"/>
      <c r="Z44" s="346">
        <v>4.0802765645000003E-2</v>
      </c>
      <c r="AA44" s="347">
        <v>6.3738267643000002E-2</v>
      </c>
      <c r="AB44" s="348">
        <v>5.6926467192000001E-2</v>
      </c>
      <c r="AC44" s="35"/>
      <c r="AD44" s="339">
        <v>12090.360046</v>
      </c>
      <c r="AE44" s="100">
        <v>57335.887989000003</v>
      </c>
      <c r="AF44" s="100">
        <v>339624.00446999999</v>
      </c>
      <c r="AG44" s="340">
        <v>590457.24023</v>
      </c>
      <c r="AH44" s="35"/>
      <c r="AI44" s="346">
        <v>7.0204548029000002E-2</v>
      </c>
      <c r="AJ44" s="347">
        <v>9.4798381333999995E-2</v>
      </c>
      <c r="AK44" s="348">
        <v>9.3708314607999998E-2</v>
      </c>
      <c r="AL44" s="35"/>
      <c r="AM44" s="339">
        <v>-216760.37469</v>
      </c>
      <c r="AN44" s="100">
        <v>-166786.9423</v>
      </c>
      <c r="AO44" s="100">
        <v>-517945.52467000001</v>
      </c>
      <c r="AP44" s="340">
        <v>-313835.35165000003</v>
      </c>
      <c r="AQ44" s="35"/>
      <c r="AR44" s="106">
        <v>-0.1070658463</v>
      </c>
      <c r="AS44" s="107">
        <v>-9.4215427820999995E-2</v>
      </c>
      <c r="AT44" s="353">
        <v>-5.9573069961000001E-2</v>
      </c>
      <c r="AU44" s="35"/>
      <c r="AV44" s="358">
        <v>-7.5611827600000003</v>
      </c>
      <c r="AW44" s="359">
        <v>-6.6157711978</v>
      </c>
      <c r="AX44" s="360">
        <v>-3.8996743532</v>
      </c>
      <c r="AY44" s="35"/>
      <c r="AZ44" s="106"/>
      <c r="BA44" s="107"/>
      <c r="BB44" s="353"/>
      <c r="BC44" s="35"/>
      <c r="BD44" s="106">
        <v>2.9395823969E-2</v>
      </c>
      <c r="BE44" s="107">
        <v>4.7413007490999998E-2</v>
      </c>
      <c r="BF44" s="353">
        <v>3.9649517664000003E-2</v>
      </c>
      <c r="BG44" s="35"/>
      <c r="BH44" s="106">
        <v>-6.6586320830999995E-2</v>
      </c>
      <c r="BI44" s="107">
        <v>-5.9013002857999999E-2</v>
      </c>
      <c r="BJ44" s="353">
        <v>-3.8914274035000002E-2</v>
      </c>
      <c r="BK44" s="35"/>
      <c r="BL44" s="367">
        <v>0.62191934339999999</v>
      </c>
      <c r="BM44" s="368">
        <v>0.62636241455999997</v>
      </c>
      <c r="BN44" s="369">
        <v>0.65321921566999996</v>
      </c>
    </row>
    <row r="45" spans="2:66" ht="15.6" x14ac:dyDescent="0.3">
      <c r="B45" s="306" t="s">
        <v>499</v>
      </c>
      <c r="C45" s="111" t="s">
        <v>70</v>
      </c>
      <c r="D45" s="111" t="s">
        <v>226</v>
      </c>
      <c r="E45" s="385">
        <v>45473</v>
      </c>
      <c r="F45" s="35"/>
      <c r="G45" s="380">
        <v>1961032.9153</v>
      </c>
      <c r="H45" s="112">
        <v>2151677.9156999998</v>
      </c>
      <c r="I45" s="112">
        <v>8386075.2509000003</v>
      </c>
      <c r="J45" s="381">
        <v>8647506.7229999993</v>
      </c>
      <c r="K45" s="72"/>
      <c r="L45" s="380">
        <v>366313.72266999999</v>
      </c>
      <c r="M45" s="112">
        <v>430963.19945000001</v>
      </c>
      <c r="N45" s="112">
        <v>1631852.3644999999</v>
      </c>
      <c r="O45" s="381">
        <v>1711300.4716</v>
      </c>
      <c r="P45" s="35"/>
      <c r="Q45" s="382">
        <v>0.19459071325999999</v>
      </c>
      <c r="R45" s="383">
        <v>0.19650655021999999</v>
      </c>
      <c r="S45" s="384">
        <v>0.19631824485999999</v>
      </c>
      <c r="T45" s="35"/>
      <c r="U45" s="380">
        <v>197709.05030999999</v>
      </c>
      <c r="V45" s="112">
        <v>248954.46958999999</v>
      </c>
      <c r="W45" s="112">
        <v>975498.46144999994</v>
      </c>
      <c r="X45" s="381">
        <v>1039751.02</v>
      </c>
      <c r="Y45" s="35"/>
      <c r="Z45" s="382">
        <v>0.1163235998</v>
      </c>
      <c r="AA45" s="383">
        <v>0.11743184231999999</v>
      </c>
      <c r="AB45" s="384">
        <v>0.12230487958</v>
      </c>
      <c r="AC45" s="35"/>
      <c r="AD45" s="380">
        <v>304090.56977</v>
      </c>
      <c r="AE45" s="112">
        <v>351465.13352999999</v>
      </c>
      <c r="AF45" s="112">
        <v>1405038.9362999999</v>
      </c>
      <c r="AG45" s="381">
        <v>1445609.5671000001</v>
      </c>
      <c r="AH45" s="35"/>
      <c r="AI45" s="382">
        <v>0.16754427956000001</v>
      </c>
      <c r="AJ45" s="383">
        <v>0.16617490853</v>
      </c>
      <c r="AK45" s="384">
        <v>0.16857899381999999</v>
      </c>
      <c r="AL45" s="35"/>
      <c r="AM45" s="380">
        <v>-34122.374166000001</v>
      </c>
      <c r="AN45" s="112">
        <v>-24058.625211999999</v>
      </c>
      <c r="AO45" s="112">
        <v>5017.9962009000001</v>
      </c>
      <c r="AP45" s="381">
        <v>81590.120284999997</v>
      </c>
      <c r="AQ45" s="35"/>
      <c r="AR45" s="113">
        <v>5.9837242700000004E-4</v>
      </c>
      <c r="AS45" s="114">
        <v>7.0813171250000005E-4</v>
      </c>
      <c r="AT45" s="376">
        <v>1.9795738242E-2</v>
      </c>
      <c r="AU45" s="35"/>
      <c r="AV45" s="379">
        <v>6.7842605156000005E-2</v>
      </c>
      <c r="AW45" s="377">
        <v>8.1411126186999999E-2</v>
      </c>
      <c r="AX45" s="378">
        <v>2.1087387191999998</v>
      </c>
      <c r="AY45" s="35"/>
      <c r="AZ45" s="113">
        <v>3.1735956839E-3</v>
      </c>
      <c r="BA45" s="114">
        <v>3.8424591739000002E-3</v>
      </c>
      <c r="BB45" s="376">
        <v>9.3037037037000003E-2</v>
      </c>
      <c r="BC45" s="35"/>
      <c r="BD45" s="113">
        <v>5.7156094083999999E-2</v>
      </c>
      <c r="BE45" s="114">
        <v>6.1270759469999998E-2</v>
      </c>
      <c r="BF45" s="376">
        <v>6.3098758130999993E-2</v>
      </c>
      <c r="BG45" s="35"/>
      <c r="BH45" s="113">
        <v>3.6174215019999997E-4</v>
      </c>
      <c r="BI45" s="114">
        <v>4.3652237176999999E-4</v>
      </c>
      <c r="BJ45" s="376">
        <v>1.1905664668999999E-2</v>
      </c>
      <c r="BK45" s="35"/>
      <c r="BL45" s="373">
        <v>0.60454348141000003</v>
      </c>
      <c r="BM45" s="374">
        <v>0.61644234266999998</v>
      </c>
      <c r="BN45" s="375">
        <v>0.60142564646999996</v>
      </c>
    </row>
    <row r="46" spans="2:66" ht="15.6" x14ac:dyDescent="0.3">
      <c r="B46" s="283" t="s">
        <v>31</v>
      </c>
      <c r="C46" s="99" t="s">
        <v>71</v>
      </c>
      <c r="D46" s="99" t="s">
        <v>226</v>
      </c>
      <c r="E46" s="334">
        <v>45473</v>
      </c>
      <c r="F46" s="35"/>
      <c r="G46" s="339">
        <v>6349615.8311000001</v>
      </c>
      <c r="H46" s="100">
        <v>5804882.8737000003</v>
      </c>
      <c r="I46" s="100">
        <v>24808090.050000001</v>
      </c>
      <c r="J46" s="340">
        <v>23786874.671999998</v>
      </c>
      <c r="K46" s="72"/>
      <c r="L46" s="339">
        <v>1484267.0747</v>
      </c>
      <c r="M46" s="100">
        <v>908439.04362999997</v>
      </c>
      <c r="N46" s="100">
        <v>4524707.1024000002</v>
      </c>
      <c r="O46" s="340">
        <v>3680639.1129000001</v>
      </c>
      <c r="P46" s="35"/>
      <c r="Q46" s="346">
        <v>0.18238836981000001</v>
      </c>
      <c r="R46" s="347">
        <v>0.16399663070000001</v>
      </c>
      <c r="S46" s="348">
        <v>0.13533622236000001</v>
      </c>
      <c r="T46" s="35"/>
      <c r="U46" s="339">
        <v>1109118.6679</v>
      </c>
      <c r="V46" s="100">
        <v>514069.01312999998</v>
      </c>
      <c r="W46" s="100">
        <v>2843065.1759000001</v>
      </c>
      <c r="X46" s="340">
        <v>2455049.8574999999</v>
      </c>
      <c r="Y46" s="35"/>
      <c r="Z46" s="346">
        <v>0.11460234021</v>
      </c>
      <c r="AA46" s="347">
        <v>9.7211389354000005E-2</v>
      </c>
      <c r="AB46" s="348">
        <v>7.1331146711000007E-2</v>
      </c>
      <c r="AC46" s="35"/>
      <c r="AD46" s="339">
        <v>1334038.3044</v>
      </c>
      <c r="AE46" s="100">
        <v>720004.56877999997</v>
      </c>
      <c r="AF46" s="100">
        <v>3729298.503</v>
      </c>
      <c r="AG46" s="340">
        <v>3265598.5392</v>
      </c>
      <c r="AH46" s="35"/>
      <c r="AI46" s="346">
        <v>0.15032590157</v>
      </c>
      <c r="AJ46" s="347">
        <v>0.1329250005</v>
      </c>
      <c r="AK46" s="348">
        <v>0.1066117538</v>
      </c>
      <c r="AL46" s="35"/>
      <c r="AM46" s="339">
        <v>1064252.7638999999</v>
      </c>
      <c r="AN46" s="100">
        <v>382259.12777999998</v>
      </c>
      <c r="AO46" s="100">
        <v>2267396.6373999999</v>
      </c>
      <c r="AP46" s="340">
        <v>1781169.8573</v>
      </c>
      <c r="AQ46" s="35"/>
      <c r="AR46" s="106">
        <v>9.1397468841999993E-2</v>
      </c>
      <c r="AS46" s="107">
        <v>6.9017896144999993E-2</v>
      </c>
      <c r="AT46" s="353">
        <v>2.1199914947E-2</v>
      </c>
      <c r="AU46" s="35"/>
      <c r="AV46" s="358">
        <v>0.95767561791</v>
      </c>
      <c r="AW46" s="359">
        <v>0.68307876731999995</v>
      </c>
      <c r="AX46" s="360">
        <v>0.18798378882</v>
      </c>
      <c r="AY46" s="35"/>
      <c r="AZ46" s="106">
        <v>0.24563742993000001</v>
      </c>
      <c r="BA46" s="107">
        <v>0.20157757286</v>
      </c>
      <c r="BB46" s="353">
        <v>6.3137433953000005E-2</v>
      </c>
      <c r="BC46" s="35"/>
      <c r="BD46" s="106">
        <v>9.1491285458000005E-2</v>
      </c>
      <c r="BE46" s="107">
        <v>7.7883635635999995E-2</v>
      </c>
      <c r="BF46" s="353">
        <v>5.3627093466000003E-2</v>
      </c>
      <c r="BG46" s="35"/>
      <c r="BH46" s="106">
        <v>7.7375194647999995E-2</v>
      </c>
      <c r="BI46" s="107">
        <v>5.8423135830999999E-2</v>
      </c>
      <c r="BJ46" s="353">
        <v>1.7450957978E-2</v>
      </c>
      <c r="BK46" s="35"/>
      <c r="BL46" s="367">
        <v>0.84657918462000004</v>
      </c>
      <c r="BM46" s="368">
        <v>0.84649256345000001</v>
      </c>
      <c r="BN46" s="369">
        <v>0.82316169765000002</v>
      </c>
    </row>
    <row r="47" spans="2:66" ht="15.6" x14ac:dyDescent="0.3">
      <c r="B47" s="306" t="s">
        <v>1415</v>
      </c>
      <c r="C47" s="111" t="s">
        <v>72</v>
      </c>
      <c r="D47" s="111" t="s">
        <v>226</v>
      </c>
      <c r="E47" s="385">
        <v>45473</v>
      </c>
      <c r="F47" s="35"/>
      <c r="G47" s="380">
        <v>1422396.1850999999</v>
      </c>
      <c r="H47" s="112">
        <v>1707396.6982</v>
      </c>
      <c r="I47" s="112">
        <v>6215131.5257000001</v>
      </c>
      <c r="J47" s="381">
        <v>7701775.7642999999</v>
      </c>
      <c r="K47" s="72"/>
      <c r="L47" s="380">
        <v>686156.78610999999</v>
      </c>
      <c r="M47" s="112">
        <v>646909.23525000003</v>
      </c>
      <c r="N47" s="112">
        <v>3049236.5750000002</v>
      </c>
      <c r="O47" s="381">
        <v>2422966.1116999998</v>
      </c>
      <c r="P47" s="35"/>
      <c r="Q47" s="382">
        <v>0.49061497127999998</v>
      </c>
      <c r="R47" s="383">
        <v>0.44296143826000001</v>
      </c>
      <c r="S47" s="384">
        <v>0.32278695389000001</v>
      </c>
      <c r="T47" s="35"/>
      <c r="U47" s="380">
        <v>559747.44021999999</v>
      </c>
      <c r="V47" s="112">
        <v>574254.27916000003</v>
      </c>
      <c r="W47" s="112">
        <v>3082076.3494000002</v>
      </c>
      <c r="X47" s="381">
        <v>2431193.1154999998</v>
      </c>
      <c r="Y47" s="35"/>
      <c r="Z47" s="382">
        <v>0.49589881349999998</v>
      </c>
      <c r="AA47" s="383">
        <v>0.45597361945999998</v>
      </c>
      <c r="AB47" s="384">
        <v>0.32897536856999998</v>
      </c>
      <c r="AC47" s="35"/>
      <c r="AD47" s="380">
        <v>643721.59944000002</v>
      </c>
      <c r="AE47" s="112">
        <v>658022.22803999996</v>
      </c>
      <c r="AF47" s="112">
        <v>3418060.2993999999</v>
      </c>
      <c r="AG47" s="381">
        <v>2771601.7417000001</v>
      </c>
      <c r="AH47" s="35"/>
      <c r="AI47" s="382">
        <v>0.54995783842000001</v>
      </c>
      <c r="AJ47" s="383">
        <v>0.50459860766999998</v>
      </c>
      <c r="AK47" s="384">
        <v>0.36927590663999998</v>
      </c>
      <c r="AL47" s="35"/>
      <c r="AM47" s="380">
        <v>329103.27364000003</v>
      </c>
      <c r="AN47" s="112">
        <v>480634.84626999998</v>
      </c>
      <c r="AO47" s="112">
        <v>2163163.8239000002</v>
      </c>
      <c r="AP47" s="381">
        <v>1831636.4848</v>
      </c>
      <c r="AQ47" s="35"/>
      <c r="AR47" s="113">
        <v>0.34804795600999999</v>
      </c>
      <c r="AS47" s="114">
        <v>0.35538495627</v>
      </c>
      <c r="AT47" s="376">
        <v>0.25593278331000002</v>
      </c>
      <c r="AU47" s="35"/>
      <c r="AV47" s="379">
        <v>0.74406833783000004</v>
      </c>
      <c r="AW47" s="377">
        <v>0.82942503499999998</v>
      </c>
      <c r="AX47" s="378">
        <v>0.71992087780000003</v>
      </c>
      <c r="AY47" s="35"/>
      <c r="AZ47" s="113">
        <v>0.21652507456</v>
      </c>
      <c r="BA47" s="114">
        <v>0.25372069820999998</v>
      </c>
      <c r="BB47" s="376">
        <v>0.25053134668999999</v>
      </c>
      <c r="BC47" s="35"/>
      <c r="BD47" s="113">
        <v>0.13036189262</v>
      </c>
      <c r="BE47" s="114">
        <v>0.13673336920000001</v>
      </c>
      <c r="BF47" s="376">
        <v>0.1160114646</v>
      </c>
      <c r="BG47" s="35"/>
      <c r="BH47" s="113">
        <v>0.11880732200000001</v>
      </c>
      <c r="BI47" s="114">
        <v>0.13012273801999999</v>
      </c>
      <c r="BJ47" s="376">
        <v>0.10433021291</v>
      </c>
      <c r="BK47" s="35"/>
      <c r="BL47" s="373">
        <v>0.34135331052000001</v>
      </c>
      <c r="BM47" s="374">
        <v>0.36614588130999998</v>
      </c>
      <c r="BN47" s="375">
        <v>0.40764692810000003</v>
      </c>
    </row>
    <row r="48" spans="2:66" ht="15.6" x14ac:dyDescent="0.3">
      <c r="B48" s="283" t="s">
        <v>2228</v>
      </c>
      <c r="C48" s="99" t="s">
        <v>2792</v>
      </c>
      <c r="D48" s="99" t="s">
        <v>226</v>
      </c>
      <c r="E48" s="334">
        <v>45473</v>
      </c>
      <c r="F48" s="35"/>
      <c r="G48" s="339">
        <v>2339390.8325</v>
      </c>
      <c r="H48" s="100"/>
      <c r="I48" s="100"/>
      <c r="J48" s="340"/>
      <c r="K48" s="72"/>
      <c r="L48" s="339">
        <v>776793.84068999998</v>
      </c>
      <c r="M48" s="100"/>
      <c r="N48" s="100"/>
      <c r="O48" s="340"/>
      <c r="P48" s="35"/>
      <c r="Q48" s="346"/>
      <c r="R48" s="347"/>
      <c r="S48" s="348"/>
      <c r="T48" s="35"/>
      <c r="U48" s="339">
        <v>535588.79931000003</v>
      </c>
      <c r="V48" s="100"/>
      <c r="W48" s="100"/>
      <c r="X48" s="340"/>
      <c r="Y48" s="35"/>
      <c r="Z48" s="346"/>
      <c r="AA48" s="347"/>
      <c r="AB48" s="348"/>
      <c r="AC48" s="35"/>
      <c r="AD48" s="339"/>
      <c r="AE48" s="100"/>
      <c r="AF48" s="100"/>
      <c r="AG48" s="340"/>
      <c r="AH48" s="35"/>
      <c r="AI48" s="346"/>
      <c r="AJ48" s="347"/>
      <c r="AK48" s="348"/>
      <c r="AL48" s="35"/>
      <c r="AM48" s="339">
        <v>-249073.25943000001</v>
      </c>
      <c r="AN48" s="100"/>
      <c r="AO48" s="100"/>
      <c r="AP48" s="340"/>
      <c r="AQ48" s="35"/>
      <c r="AR48" s="106"/>
      <c r="AS48" s="107"/>
      <c r="AT48" s="353"/>
      <c r="AU48" s="35"/>
      <c r="AV48" s="358"/>
      <c r="AW48" s="359"/>
      <c r="AX48" s="360"/>
      <c r="AY48" s="35"/>
      <c r="AZ48" s="106"/>
      <c r="BA48" s="107"/>
      <c r="BB48" s="353"/>
      <c r="BC48" s="35"/>
      <c r="BD48" s="106"/>
      <c r="BE48" s="107"/>
      <c r="BF48" s="353"/>
      <c r="BG48" s="35"/>
      <c r="BH48" s="106"/>
      <c r="BI48" s="107"/>
      <c r="BJ48" s="353"/>
      <c r="BK48" s="35"/>
      <c r="BL48" s="367"/>
      <c r="BM48" s="368"/>
      <c r="BN48" s="369"/>
    </row>
    <row r="49" spans="2:66" ht="15.6" x14ac:dyDescent="0.3">
      <c r="B49" s="306" t="s">
        <v>260</v>
      </c>
      <c r="C49" s="111" t="s">
        <v>267</v>
      </c>
      <c r="D49" s="111" t="s">
        <v>226</v>
      </c>
      <c r="E49" s="385"/>
      <c r="F49" s="35"/>
      <c r="G49" s="380"/>
      <c r="H49" s="112"/>
      <c r="I49" s="112"/>
      <c r="J49" s="381"/>
      <c r="K49" s="72"/>
      <c r="L49" s="380"/>
      <c r="M49" s="112"/>
      <c r="N49" s="112"/>
      <c r="O49" s="381"/>
      <c r="P49" s="35"/>
      <c r="Q49" s="382"/>
      <c r="R49" s="383"/>
      <c r="S49" s="384"/>
      <c r="T49" s="35"/>
      <c r="U49" s="380"/>
      <c r="V49" s="112"/>
      <c r="W49" s="112"/>
      <c r="X49" s="381"/>
      <c r="Y49" s="35"/>
      <c r="Z49" s="382"/>
      <c r="AA49" s="383"/>
      <c r="AB49" s="384"/>
      <c r="AC49" s="35"/>
      <c r="AD49" s="380"/>
      <c r="AE49" s="112"/>
      <c r="AF49" s="112"/>
      <c r="AG49" s="381"/>
      <c r="AH49" s="35"/>
      <c r="AI49" s="382"/>
      <c r="AJ49" s="383"/>
      <c r="AK49" s="384"/>
      <c r="AL49" s="35"/>
      <c r="AM49" s="380"/>
      <c r="AN49" s="112"/>
      <c r="AO49" s="112"/>
      <c r="AP49" s="381"/>
      <c r="AQ49" s="35"/>
      <c r="AR49" s="113"/>
      <c r="AS49" s="114"/>
      <c r="AT49" s="376"/>
      <c r="AU49" s="35"/>
      <c r="AV49" s="379"/>
      <c r="AW49" s="377"/>
      <c r="AX49" s="378"/>
      <c r="AY49" s="35"/>
      <c r="AZ49" s="113"/>
      <c r="BA49" s="114"/>
      <c r="BB49" s="376"/>
      <c r="BC49" s="35"/>
      <c r="BD49" s="113"/>
      <c r="BE49" s="114"/>
      <c r="BF49" s="376"/>
      <c r="BG49" s="35"/>
      <c r="BH49" s="113"/>
      <c r="BI49" s="114"/>
      <c r="BJ49" s="376"/>
      <c r="BK49" s="35"/>
      <c r="BL49" s="373"/>
      <c r="BM49" s="374"/>
      <c r="BN49" s="375"/>
    </row>
    <row r="50" spans="2:66" ht="15.6" x14ac:dyDescent="0.3">
      <c r="B50" s="283" t="s">
        <v>501</v>
      </c>
      <c r="C50" s="99" t="s">
        <v>616</v>
      </c>
      <c r="D50" s="99" t="s">
        <v>226</v>
      </c>
      <c r="E50" s="334">
        <v>45473</v>
      </c>
      <c r="F50" s="35"/>
      <c r="G50" s="339">
        <v>350662.59250999999</v>
      </c>
      <c r="H50" s="100">
        <v>352382.49936999998</v>
      </c>
      <c r="I50" s="100">
        <v>1420484.3285999999</v>
      </c>
      <c r="J50" s="340">
        <v>1926334.3717</v>
      </c>
      <c r="K50" s="72"/>
      <c r="L50" s="339">
        <v>120541.30113000001</v>
      </c>
      <c r="M50" s="100">
        <v>138235.63033000001</v>
      </c>
      <c r="N50" s="100">
        <v>540669.01865999994</v>
      </c>
      <c r="O50" s="340">
        <v>688993.00087999995</v>
      </c>
      <c r="P50" s="35"/>
      <c r="Q50" s="346">
        <v>0.38062300850000003</v>
      </c>
      <c r="R50" s="347">
        <v>0.40783180514</v>
      </c>
      <c r="S50" s="348">
        <v>0.33552308663000002</v>
      </c>
      <c r="T50" s="35"/>
      <c r="U50" s="339">
        <v>192999.15908000001</v>
      </c>
      <c r="V50" s="100">
        <v>270695.09856000001</v>
      </c>
      <c r="W50" s="100">
        <v>504177.14669000002</v>
      </c>
      <c r="X50" s="340">
        <v>1154975.0984</v>
      </c>
      <c r="Y50" s="35"/>
      <c r="Z50" s="346">
        <v>0.35493326928000002</v>
      </c>
      <c r="AA50" s="347">
        <v>0.44449617167</v>
      </c>
      <c r="AB50" s="348">
        <v>0.43118527344000002</v>
      </c>
      <c r="AC50" s="35"/>
      <c r="AD50" s="339">
        <v>292412.68901999999</v>
      </c>
      <c r="AE50" s="100">
        <v>372433.79444999999</v>
      </c>
      <c r="AF50" s="100">
        <v>894940.55403999996</v>
      </c>
      <c r="AG50" s="340">
        <v>1559949.7524999999</v>
      </c>
      <c r="AH50" s="35"/>
      <c r="AI50" s="346">
        <v>0.63002494011999999</v>
      </c>
      <c r="AJ50" s="347">
        <v>0.72541407961000004</v>
      </c>
      <c r="AK50" s="348">
        <v>0.61036742363999996</v>
      </c>
      <c r="AL50" s="35"/>
      <c r="AM50" s="339">
        <v>73009.837524000002</v>
      </c>
      <c r="AN50" s="100">
        <v>255907.41227</v>
      </c>
      <c r="AO50" s="100">
        <v>-778749.85560999997</v>
      </c>
      <c r="AP50" s="340">
        <v>3002725.6318999999</v>
      </c>
      <c r="AQ50" s="35"/>
      <c r="AR50" s="106">
        <v>-0.54822840348000001</v>
      </c>
      <c r="AS50" s="107">
        <v>-0.32334150496000003</v>
      </c>
      <c r="AT50" s="353">
        <v>1.084804463</v>
      </c>
      <c r="AU50" s="35"/>
      <c r="AV50" s="358">
        <v>-2.2255777199</v>
      </c>
      <c r="AW50" s="359">
        <v>-1.3080826220999999</v>
      </c>
      <c r="AX50" s="360">
        <v>7.4723700230999999</v>
      </c>
      <c r="AY50" s="35"/>
      <c r="AZ50" s="106">
        <v>-9.0879087223999996E-2</v>
      </c>
      <c r="BA50" s="107">
        <v>-7.2551495990000006E-2</v>
      </c>
      <c r="BB50" s="353">
        <v>0.40743028034000001</v>
      </c>
      <c r="BC50" s="35"/>
      <c r="BD50" s="106">
        <v>3.2537045503000003E-2</v>
      </c>
      <c r="BE50" s="107">
        <v>3.2215926256999997E-2</v>
      </c>
      <c r="BF50" s="353">
        <v>4.8590088480000002E-2</v>
      </c>
      <c r="BG50" s="35"/>
      <c r="BH50" s="106">
        <v>-5.1070587016999999E-2</v>
      </c>
      <c r="BI50" s="107">
        <v>-3.3119398982000003E-2</v>
      </c>
      <c r="BJ50" s="353">
        <v>0.15046180617999999</v>
      </c>
      <c r="BK50" s="35"/>
      <c r="BL50" s="367">
        <v>9.3155675066000004E-2</v>
      </c>
      <c r="BM50" s="368">
        <v>0.10242854219</v>
      </c>
      <c r="BN50" s="369">
        <v>0.13869947194000001</v>
      </c>
    </row>
    <row r="51" spans="2:66" ht="15.6" x14ac:dyDescent="0.3">
      <c r="B51" s="306" t="s">
        <v>32</v>
      </c>
      <c r="C51" s="111" t="s">
        <v>73</v>
      </c>
      <c r="D51" s="111" t="s">
        <v>104</v>
      </c>
      <c r="E51" s="385"/>
      <c r="F51" s="35"/>
      <c r="G51" s="380"/>
      <c r="H51" s="112"/>
      <c r="I51" s="112"/>
      <c r="J51" s="381"/>
      <c r="K51" s="72"/>
      <c r="L51" s="380"/>
      <c r="M51" s="112"/>
      <c r="N51" s="112"/>
      <c r="O51" s="381"/>
      <c r="P51" s="35"/>
      <c r="Q51" s="382"/>
      <c r="R51" s="383"/>
      <c r="S51" s="384"/>
      <c r="T51" s="35"/>
      <c r="U51" s="380"/>
      <c r="V51" s="112"/>
      <c r="W51" s="112"/>
      <c r="X51" s="381"/>
      <c r="Y51" s="35"/>
      <c r="Z51" s="382"/>
      <c r="AA51" s="383"/>
      <c r="AB51" s="384"/>
      <c r="AC51" s="35"/>
      <c r="AD51" s="380"/>
      <c r="AE51" s="112"/>
      <c r="AF51" s="112"/>
      <c r="AG51" s="381"/>
      <c r="AH51" s="35"/>
      <c r="AI51" s="382"/>
      <c r="AJ51" s="383"/>
      <c r="AK51" s="384"/>
      <c r="AL51" s="35"/>
      <c r="AM51" s="380"/>
      <c r="AN51" s="112"/>
      <c r="AO51" s="112"/>
      <c r="AP51" s="381"/>
      <c r="AQ51" s="35"/>
      <c r="AR51" s="113"/>
      <c r="AS51" s="114"/>
      <c r="AT51" s="376"/>
      <c r="AU51" s="35"/>
      <c r="AV51" s="379"/>
      <c r="AW51" s="377"/>
      <c r="AX51" s="378"/>
      <c r="AY51" s="35"/>
      <c r="AZ51" s="113"/>
      <c r="BA51" s="114"/>
      <c r="BB51" s="376"/>
      <c r="BC51" s="35"/>
      <c r="BD51" s="113"/>
      <c r="BE51" s="114"/>
      <c r="BF51" s="376"/>
      <c r="BG51" s="35"/>
      <c r="BH51" s="113"/>
      <c r="BI51" s="114"/>
      <c r="BJ51" s="376"/>
      <c r="BK51" s="35"/>
      <c r="BL51" s="373"/>
      <c r="BM51" s="374"/>
      <c r="BN51" s="375"/>
    </row>
    <row r="52" spans="2:66" ht="15.6" x14ac:dyDescent="0.3">
      <c r="B52" s="283" t="s">
        <v>1099</v>
      </c>
      <c r="C52" s="99" t="s">
        <v>1137</v>
      </c>
      <c r="D52" s="99" t="s">
        <v>231</v>
      </c>
      <c r="E52" s="334">
        <v>45473</v>
      </c>
      <c r="F52" s="35"/>
      <c r="G52" s="339">
        <v>701816.94865999999</v>
      </c>
      <c r="H52" s="100">
        <v>681871.64781999995</v>
      </c>
      <c r="I52" s="100">
        <v>3020755.4322000002</v>
      </c>
      <c r="J52" s="340">
        <v>2768768.0540999998</v>
      </c>
      <c r="K52" s="72"/>
      <c r="L52" s="339">
        <v>277110.81140000001</v>
      </c>
      <c r="M52" s="100">
        <v>202796.42808000001</v>
      </c>
      <c r="N52" s="100">
        <v>1047252.7963</v>
      </c>
      <c r="O52" s="340">
        <v>894410.77307999996</v>
      </c>
      <c r="P52" s="35"/>
      <c r="Q52" s="346">
        <v>0.34668572806999998</v>
      </c>
      <c r="R52" s="347">
        <v>0.31804916763000002</v>
      </c>
      <c r="S52" s="348">
        <v>0.35551535653999999</v>
      </c>
      <c r="T52" s="35"/>
      <c r="U52" s="339">
        <v>115708.97079000001</v>
      </c>
      <c r="V52" s="100">
        <v>23161.133889000001</v>
      </c>
      <c r="W52" s="100">
        <v>387535.8322</v>
      </c>
      <c r="X52" s="340">
        <v>257321.64102000001</v>
      </c>
      <c r="Y52" s="35"/>
      <c r="Z52" s="346">
        <v>0.12829103213000001</v>
      </c>
      <c r="AA52" s="347">
        <v>8.5397010415999994E-2</v>
      </c>
      <c r="AB52" s="348">
        <v>0.11296883734</v>
      </c>
      <c r="AC52" s="35"/>
      <c r="AD52" s="339">
        <v>177348.02893</v>
      </c>
      <c r="AE52" s="100">
        <v>82566.063647000003</v>
      </c>
      <c r="AF52" s="100">
        <v>606803.19779000001</v>
      </c>
      <c r="AG52" s="340">
        <v>470575.20285</v>
      </c>
      <c r="AH52" s="35"/>
      <c r="AI52" s="346">
        <v>0.20087796294999999</v>
      </c>
      <c r="AJ52" s="347">
        <v>0.15591708899000001</v>
      </c>
      <c r="AK52" s="348">
        <v>0.19004465553</v>
      </c>
      <c r="AL52" s="35"/>
      <c r="AM52" s="339">
        <v>64930.863641000004</v>
      </c>
      <c r="AN52" s="100">
        <v>-281.38131226000002</v>
      </c>
      <c r="AO52" s="100">
        <v>224574.39838</v>
      </c>
      <c r="AP52" s="340">
        <v>168594.47727</v>
      </c>
      <c r="AQ52" s="35"/>
      <c r="AR52" s="106">
        <v>7.4343786982000004E-2</v>
      </c>
      <c r="AS52" s="107">
        <v>4.2670819930999998E-2</v>
      </c>
      <c r="AT52" s="353">
        <v>8.4296740260999994E-2</v>
      </c>
      <c r="AU52" s="35"/>
      <c r="AV52" s="358">
        <v>1.2110977892999999</v>
      </c>
      <c r="AW52" s="359">
        <v>0.65490352469000002</v>
      </c>
      <c r="AX52" s="360">
        <v>1.0787017241000001</v>
      </c>
      <c r="AY52" s="35"/>
      <c r="AZ52" s="106">
        <v>7.6362863259999997E-2</v>
      </c>
      <c r="BA52" s="107">
        <v>4.2125328283000002E-2</v>
      </c>
      <c r="BB52" s="353">
        <v>7.2958647788E-2</v>
      </c>
      <c r="BC52" s="35"/>
      <c r="BD52" s="106">
        <v>5.2728191147000003E-2</v>
      </c>
      <c r="BE52" s="107">
        <v>3.5989455646E-2</v>
      </c>
      <c r="BF52" s="353">
        <v>4.7930102593999997E-2</v>
      </c>
      <c r="BG52" s="35"/>
      <c r="BH52" s="106">
        <v>3.7357787431000003E-2</v>
      </c>
      <c r="BI52" s="107">
        <v>2.0654877477000001E-2</v>
      </c>
      <c r="BJ52" s="353">
        <v>3.9330943705000003E-2</v>
      </c>
      <c r="BK52" s="35"/>
      <c r="BL52" s="367">
        <v>0.50250046370000001</v>
      </c>
      <c r="BM52" s="368">
        <v>0.48405157225000001</v>
      </c>
      <c r="BN52" s="369">
        <v>0.46657727906000002</v>
      </c>
    </row>
    <row r="53" spans="2:66" ht="15.6" x14ac:dyDescent="0.3">
      <c r="B53" s="306" t="s">
        <v>1440</v>
      </c>
      <c r="C53" s="111" t="s">
        <v>2793</v>
      </c>
      <c r="D53" s="111" t="s">
        <v>226</v>
      </c>
      <c r="E53" s="385">
        <v>45473</v>
      </c>
      <c r="F53" s="35"/>
      <c r="G53" s="380">
        <v>661023.65034000005</v>
      </c>
      <c r="H53" s="112"/>
      <c r="I53" s="112"/>
      <c r="J53" s="381"/>
      <c r="K53" s="72"/>
      <c r="L53" s="380">
        <v>350827.18278999999</v>
      </c>
      <c r="M53" s="112"/>
      <c r="N53" s="112"/>
      <c r="O53" s="381"/>
      <c r="P53" s="35"/>
      <c r="Q53" s="382"/>
      <c r="R53" s="383"/>
      <c r="S53" s="384"/>
      <c r="T53" s="35"/>
      <c r="U53" s="380">
        <v>220168.59771</v>
      </c>
      <c r="V53" s="112"/>
      <c r="W53" s="112"/>
      <c r="X53" s="381"/>
      <c r="Y53" s="35"/>
      <c r="Z53" s="382"/>
      <c r="AA53" s="383"/>
      <c r="AB53" s="384"/>
      <c r="AC53" s="35"/>
      <c r="AD53" s="380"/>
      <c r="AE53" s="112"/>
      <c r="AF53" s="112"/>
      <c r="AG53" s="381"/>
      <c r="AH53" s="35"/>
      <c r="AI53" s="382"/>
      <c r="AJ53" s="383"/>
      <c r="AK53" s="384"/>
      <c r="AL53" s="35"/>
      <c r="AM53" s="380">
        <v>-209620.7697</v>
      </c>
      <c r="AN53" s="112"/>
      <c r="AO53" s="112"/>
      <c r="AP53" s="381"/>
      <c r="AQ53" s="35"/>
      <c r="AR53" s="113"/>
      <c r="AS53" s="114"/>
      <c r="AT53" s="376"/>
      <c r="AU53" s="35"/>
      <c r="AV53" s="379"/>
      <c r="AW53" s="377"/>
      <c r="AX53" s="378"/>
      <c r="AY53" s="35"/>
      <c r="AZ53" s="113"/>
      <c r="BA53" s="114"/>
      <c r="BB53" s="376"/>
      <c r="BC53" s="35"/>
      <c r="BD53" s="113"/>
      <c r="BE53" s="114"/>
      <c r="BF53" s="376"/>
      <c r="BG53" s="35"/>
      <c r="BH53" s="113"/>
      <c r="BI53" s="114"/>
      <c r="BJ53" s="376"/>
      <c r="BK53" s="35"/>
      <c r="BL53" s="373"/>
      <c r="BM53" s="374"/>
      <c r="BN53" s="375"/>
    </row>
    <row r="54" spans="2:66" ht="15.6" x14ac:dyDescent="0.3">
      <c r="B54" s="283" t="s">
        <v>2232</v>
      </c>
      <c r="C54" s="99" t="s">
        <v>2794</v>
      </c>
      <c r="D54" s="99" t="s">
        <v>226</v>
      </c>
      <c r="E54" s="334">
        <v>45473</v>
      </c>
      <c r="F54" s="35"/>
      <c r="G54" s="339">
        <v>1806793.7625</v>
      </c>
      <c r="H54" s="100">
        <v>2207232.4194</v>
      </c>
      <c r="I54" s="100">
        <v>7621539.3713999996</v>
      </c>
      <c r="J54" s="340">
        <v>8264284.2041999996</v>
      </c>
      <c r="K54" s="72"/>
      <c r="L54" s="339">
        <v>905302.71620000002</v>
      </c>
      <c r="M54" s="100">
        <v>1327439.8762000001</v>
      </c>
      <c r="N54" s="100">
        <v>4066098.3791999999</v>
      </c>
      <c r="O54" s="340">
        <v>4593831.3039999995</v>
      </c>
      <c r="P54" s="35"/>
      <c r="Q54" s="346">
        <v>0.53350093479000005</v>
      </c>
      <c r="R54" s="347">
        <v>0.56630186697999996</v>
      </c>
      <c r="S54" s="348">
        <v>0.60436056363000001</v>
      </c>
      <c r="T54" s="35"/>
      <c r="U54" s="339">
        <v>548272.28650000005</v>
      </c>
      <c r="V54" s="100">
        <v>1250111.2707</v>
      </c>
      <c r="W54" s="100">
        <v>2996492.4169999999</v>
      </c>
      <c r="X54" s="340">
        <v>3085181.8626999999</v>
      </c>
      <c r="Y54" s="35"/>
      <c r="Z54" s="346">
        <v>0.39316104936000001</v>
      </c>
      <c r="AA54" s="347">
        <v>0.45319034044000001</v>
      </c>
      <c r="AB54" s="348">
        <v>0.27564820863</v>
      </c>
      <c r="AC54" s="35"/>
      <c r="AD54" s="339">
        <v>704393.18790999998</v>
      </c>
      <c r="AE54" s="100">
        <v>1352233.8585000001</v>
      </c>
      <c r="AF54" s="100">
        <v>3514279.3728999998</v>
      </c>
      <c r="AG54" s="340">
        <v>3389653.179</v>
      </c>
      <c r="AH54" s="35"/>
      <c r="AI54" s="346">
        <v>0.46109836894</v>
      </c>
      <c r="AJ54" s="347">
        <v>0.50272579799999995</v>
      </c>
      <c r="AK54" s="348">
        <v>0.29674520572000002</v>
      </c>
      <c r="AL54" s="35"/>
      <c r="AM54" s="339">
        <v>763.73902178000003</v>
      </c>
      <c r="AN54" s="100">
        <v>643121.57082000002</v>
      </c>
      <c r="AO54" s="100">
        <v>1055452.2021000001</v>
      </c>
      <c r="AP54" s="340">
        <v>1595136.0148</v>
      </c>
      <c r="AQ54" s="35"/>
      <c r="AR54" s="106">
        <v>0.13848281175999999</v>
      </c>
      <c r="AS54" s="107">
        <v>0.21567496856999999</v>
      </c>
      <c r="AT54" s="353">
        <v>0.21694651528</v>
      </c>
      <c r="AU54" s="35"/>
      <c r="AV54" s="358">
        <v>18.885662464999999</v>
      </c>
      <c r="AW54" s="359">
        <v>31.392139133000001</v>
      </c>
      <c r="AX54" s="360">
        <v>30.541579465000002</v>
      </c>
      <c r="AY54" s="35"/>
      <c r="AZ54" s="106">
        <v>3.3291473671000001E-2</v>
      </c>
      <c r="BA54" s="107">
        <v>6.6003603760999993E-2</v>
      </c>
      <c r="BB54" s="353">
        <v>8.1100810432000001E-2</v>
      </c>
      <c r="BC54" s="35"/>
      <c r="BD54" s="106">
        <v>3.4052945692999999E-2</v>
      </c>
      <c r="BE54" s="107">
        <v>4.2332641769999999E-2</v>
      </c>
      <c r="BF54" s="353">
        <v>3.3975533624E-2</v>
      </c>
      <c r="BG54" s="35"/>
      <c r="BH54" s="106">
        <v>1.5532427850999999E-2</v>
      </c>
      <c r="BI54" s="107">
        <v>2.8233084350999998E-2</v>
      </c>
      <c r="BJ54" s="353">
        <v>2.7855969524000001E-2</v>
      </c>
      <c r="BK54" s="35"/>
      <c r="BL54" s="367">
        <v>0.11216141305000001</v>
      </c>
      <c r="BM54" s="368">
        <v>0.1309057075</v>
      </c>
      <c r="BN54" s="369">
        <v>0.12840017037000001</v>
      </c>
    </row>
    <row r="55" spans="2:66" ht="15.6" x14ac:dyDescent="0.3">
      <c r="B55" s="306" t="s">
        <v>2233</v>
      </c>
      <c r="C55" s="111" t="s">
        <v>2795</v>
      </c>
      <c r="D55" s="111" t="s">
        <v>103</v>
      </c>
      <c r="E55" s="385">
        <v>45473</v>
      </c>
      <c r="F55" s="35"/>
      <c r="G55" s="380">
        <v>111487.83239</v>
      </c>
      <c r="H55" s="112">
        <v>106535.77654000001</v>
      </c>
      <c r="I55" s="112">
        <v>437029.33233</v>
      </c>
      <c r="J55" s="381">
        <v>426237.24864000001</v>
      </c>
      <c r="K55" s="72"/>
      <c r="L55" s="380">
        <v>38718.858686</v>
      </c>
      <c r="M55" s="112">
        <v>24750.049180000002</v>
      </c>
      <c r="N55" s="112">
        <v>126473.57623999999</v>
      </c>
      <c r="O55" s="381">
        <v>100612.12461</v>
      </c>
      <c r="P55" s="35"/>
      <c r="Q55" s="382">
        <v>0.28939379325999998</v>
      </c>
      <c r="R55" s="383">
        <v>0.25088449332000001</v>
      </c>
      <c r="S55" s="384">
        <v>0.30149447207000002</v>
      </c>
      <c r="T55" s="35"/>
      <c r="U55" s="380">
        <v>32765.507992999999</v>
      </c>
      <c r="V55" s="112">
        <v>19731.210756</v>
      </c>
      <c r="W55" s="112">
        <v>100032.75066000001</v>
      </c>
      <c r="X55" s="381">
        <v>85305.608838999993</v>
      </c>
      <c r="Y55" s="35"/>
      <c r="Z55" s="382">
        <v>0.22889253253</v>
      </c>
      <c r="AA55" s="383">
        <v>0.19161145574999999</v>
      </c>
      <c r="AB55" s="384">
        <v>0.26684864575</v>
      </c>
      <c r="AC55" s="35"/>
      <c r="AD55" s="380">
        <v>40478.168153999999</v>
      </c>
      <c r="AE55" s="112">
        <v>28141.269307999999</v>
      </c>
      <c r="AF55" s="112">
        <v>134294.62513</v>
      </c>
      <c r="AG55" s="381">
        <v>120221.99621</v>
      </c>
      <c r="AH55" s="35"/>
      <c r="AI55" s="382">
        <v>0.30728972907000002</v>
      </c>
      <c r="AJ55" s="383">
        <v>0.27505585012</v>
      </c>
      <c r="AK55" s="384">
        <v>0.34857719777000001</v>
      </c>
      <c r="AL55" s="35"/>
      <c r="AM55" s="380">
        <v>2025.2632667</v>
      </c>
      <c r="AN55" s="112">
        <v>-5122.3951158</v>
      </c>
      <c r="AO55" s="112">
        <v>-19941.516901999999</v>
      </c>
      <c r="AP55" s="381">
        <v>50912.235057999998</v>
      </c>
      <c r="AQ55" s="35"/>
      <c r="AR55" s="113">
        <v>-4.5629699032000003E-2</v>
      </c>
      <c r="AS55" s="114">
        <v>-6.4162919355E-2</v>
      </c>
      <c r="AT55" s="376">
        <v>0.19654987598000001</v>
      </c>
      <c r="AU55" s="35"/>
      <c r="AV55" s="379">
        <v>-0.33116515987</v>
      </c>
      <c r="AW55" s="377">
        <v>-0.44613130344000002</v>
      </c>
      <c r="AX55" s="378">
        <v>1.3140773542999999</v>
      </c>
      <c r="AY55" s="35"/>
      <c r="AZ55" s="113">
        <v>-0.20245761330000001</v>
      </c>
      <c r="BA55" s="114">
        <v>-0.24704894279</v>
      </c>
      <c r="BB55" s="376">
        <v>0.95448217420000003</v>
      </c>
      <c r="BC55" s="35"/>
      <c r="BD55" s="113">
        <v>7.0087251035999998E-2</v>
      </c>
      <c r="BE55" s="114">
        <v>5.6165219751999999E-2</v>
      </c>
      <c r="BF55" s="376">
        <v>8.9489357497999994E-2</v>
      </c>
      <c r="BG55" s="35"/>
      <c r="BH55" s="113">
        <v>-1.8421225850999999E-2</v>
      </c>
      <c r="BI55" s="114">
        <v>-2.3039872199999999E-2</v>
      </c>
      <c r="BJ55" s="376">
        <v>6.1662739344000003E-2</v>
      </c>
      <c r="BK55" s="35"/>
      <c r="BL55" s="373">
        <v>0.40371131612</v>
      </c>
      <c r="BM55" s="374">
        <v>0.35908391374999998</v>
      </c>
      <c r="BN55" s="375">
        <v>0.31372565887999998</v>
      </c>
    </row>
    <row r="56" spans="2:66" ht="15.6" x14ac:dyDescent="0.3">
      <c r="B56" s="283" t="s">
        <v>389</v>
      </c>
      <c r="C56" s="99" t="s">
        <v>394</v>
      </c>
      <c r="D56" s="99" t="s">
        <v>226</v>
      </c>
      <c r="E56" s="334">
        <v>45473</v>
      </c>
      <c r="F56" s="35"/>
      <c r="G56" s="339">
        <v>1880719.8861</v>
      </c>
      <c r="H56" s="100">
        <v>2241328.7215</v>
      </c>
      <c r="I56" s="100">
        <v>8088845.2856000001</v>
      </c>
      <c r="J56" s="340">
        <v>9201820.5859999992</v>
      </c>
      <c r="K56" s="72"/>
      <c r="L56" s="339">
        <v>406689.52370000002</v>
      </c>
      <c r="M56" s="100">
        <v>437301.07815999998</v>
      </c>
      <c r="N56" s="100">
        <v>1646858.1804</v>
      </c>
      <c r="O56" s="340">
        <v>1566995.7916000001</v>
      </c>
      <c r="P56" s="35"/>
      <c r="Q56" s="346">
        <v>0.20359620220999999</v>
      </c>
      <c r="R56" s="347">
        <v>0.18582295813999999</v>
      </c>
      <c r="S56" s="348">
        <v>0.16774883336999999</v>
      </c>
      <c r="T56" s="35"/>
      <c r="U56" s="339">
        <v>298815.65217000002</v>
      </c>
      <c r="V56" s="100">
        <v>322539.34383999999</v>
      </c>
      <c r="W56" s="100">
        <v>1306209.5011</v>
      </c>
      <c r="X56" s="340">
        <v>1262414.6424</v>
      </c>
      <c r="Y56" s="35"/>
      <c r="Z56" s="346">
        <v>0.16148281429</v>
      </c>
      <c r="AA56" s="347">
        <v>0.14459010675</v>
      </c>
      <c r="AB56" s="348">
        <v>0.14296201442000001</v>
      </c>
      <c r="AC56" s="35"/>
      <c r="AD56" s="339">
        <v>453018.67541999999</v>
      </c>
      <c r="AE56" s="100">
        <v>461856.56628000003</v>
      </c>
      <c r="AF56" s="100">
        <v>1896395.1026000001</v>
      </c>
      <c r="AG56" s="340">
        <v>1751446.9949</v>
      </c>
      <c r="AH56" s="35"/>
      <c r="AI56" s="346">
        <v>0.23444571329</v>
      </c>
      <c r="AJ56" s="347">
        <v>0.20740600981999999</v>
      </c>
      <c r="AK56" s="348">
        <v>0.19058917611000001</v>
      </c>
      <c r="AL56" s="35"/>
      <c r="AM56" s="339">
        <v>67585.383631000004</v>
      </c>
      <c r="AN56" s="100">
        <v>72819.182354000004</v>
      </c>
      <c r="AO56" s="100">
        <v>362464.91957999999</v>
      </c>
      <c r="AP56" s="340">
        <v>502204.97282000002</v>
      </c>
      <c r="AQ56" s="35"/>
      <c r="AR56" s="106">
        <v>4.4810465126000003E-2</v>
      </c>
      <c r="AS56" s="107">
        <v>3.6584163778000001E-2</v>
      </c>
      <c r="AT56" s="353">
        <v>7.4760419332000005E-2</v>
      </c>
      <c r="AU56" s="35"/>
      <c r="AV56" s="358">
        <v>4.6389263754999996</v>
      </c>
      <c r="AW56" s="359">
        <v>4.0520812847999998</v>
      </c>
      <c r="AX56" s="360">
        <v>8.2276994402000003</v>
      </c>
      <c r="AY56" s="35"/>
      <c r="AZ56" s="106">
        <v>7.9615480803999994E-2</v>
      </c>
      <c r="BA56" s="107">
        <v>7.7435960437000004E-2</v>
      </c>
      <c r="BB56" s="353">
        <v>0.17211048205000001</v>
      </c>
      <c r="BC56" s="35"/>
      <c r="BD56" s="106">
        <v>8.0763175204000004E-2</v>
      </c>
      <c r="BE56" s="107">
        <v>8.2747939098000003E-2</v>
      </c>
      <c r="BF56" s="353">
        <v>9.1719458810000001E-2</v>
      </c>
      <c r="BG56" s="35"/>
      <c r="BH56" s="106">
        <v>2.667462453E-2</v>
      </c>
      <c r="BI56" s="107">
        <v>2.4086894106000001E-2</v>
      </c>
      <c r="BJ56" s="353">
        <v>5.2039075166000003E-2</v>
      </c>
      <c r="BK56" s="35"/>
      <c r="BL56" s="367">
        <v>0.59527667153999997</v>
      </c>
      <c r="BM56" s="368">
        <v>0.65839673835000001</v>
      </c>
      <c r="BN56" s="369">
        <v>0.69607789297</v>
      </c>
    </row>
    <row r="57" spans="2:66" ht="15.6" x14ac:dyDescent="0.3">
      <c r="B57" s="306" t="s">
        <v>1102</v>
      </c>
      <c r="C57" s="111" t="s">
        <v>1138</v>
      </c>
      <c r="D57" s="111" t="s">
        <v>1147</v>
      </c>
      <c r="E57" s="385"/>
      <c r="F57" s="35"/>
      <c r="G57" s="380"/>
      <c r="H57" s="112"/>
      <c r="I57" s="112"/>
      <c r="J57" s="381"/>
      <c r="K57" s="72"/>
      <c r="L57" s="380"/>
      <c r="M57" s="112"/>
      <c r="N57" s="112"/>
      <c r="O57" s="381"/>
      <c r="P57" s="35"/>
      <c r="Q57" s="382"/>
      <c r="R57" s="383"/>
      <c r="S57" s="384"/>
      <c r="T57" s="35"/>
      <c r="U57" s="380"/>
      <c r="V57" s="112"/>
      <c r="W57" s="112"/>
      <c r="X57" s="381"/>
      <c r="Y57" s="35"/>
      <c r="Z57" s="382"/>
      <c r="AA57" s="383"/>
      <c r="AB57" s="384"/>
      <c r="AC57" s="35"/>
      <c r="AD57" s="380"/>
      <c r="AE57" s="112"/>
      <c r="AF57" s="112"/>
      <c r="AG57" s="381"/>
      <c r="AH57" s="35"/>
      <c r="AI57" s="382"/>
      <c r="AJ57" s="383"/>
      <c r="AK57" s="384"/>
      <c r="AL57" s="35"/>
      <c r="AM57" s="380"/>
      <c r="AN57" s="112"/>
      <c r="AO57" s="112"/>
      <c r="AP57" s="381"/>
      <c r="AQ57" s="35"/>
      <c r="AR57" s="113"/>
      <c r="AS57" s="114"/>
      <c r="AT57" s="376"/>
      <c r="AU57" s="35"/>
      <c r="AV57" s="379"/>
      <c r="AW57" s="377"/>
      <c r="AX57" s="378"/>
      <c r="AY57" s="35"/>
      <c r="AZ57" s="113"/>
      <c r="BA57" s="114"/>
      <c r="BB57" s="376"/>
      <c r="BC57" s="35"/>
      <c r="BD57" s="113"/>
      <c r="BE57" s="114"/>
      <c r="BF57" s="376"/>
      <c r="BG57" s="35"/>
      <c r="BH57" s="113"/>
      <c r="BI57" s="114"/>
      <c r="BJ57" s="376"/>
      <c r="BK57" s="35"/>
      <c r="BL57" s="373"/>
      <c r="BM57" s="374"/>
      <c r="BN57" s="375"/>
    </row>
    <row r="58" spans="2:66" ht="15.6" x14ac:dyDescent="0.3">
      <c r="B58" s="283" t="s">
        <v>33</v>
      </c>
      <c r="C58" s="99" t="s">
        <v>25</v>
      </c>
      <c r="D58" s="99" t="s">
        <v>229</v>
      </c>
      <c r="E58" s="334">
        <v>45473</v>
      </c>
      <c r="F58" s="35"/>
      <c r="G58" s="339">
        <v>3796049.8955999999</v>
      </c>
      <c r="H58" s="100">
        <v>4045439.0008999999</v>
      </c>
      <c r="I58" s="100">
        <v>14816983.624</v>
      </c>
      <c r="J58" s="340">
        <v>17990662.318</v>
      </c>
      <c r="K58" s="72"/>
      <c r="L58" s="339">
        <v>825275.71279000002</v>
      </c>
      <c r="M58" s="100">
        <v>942439.11118999997</v>
      </c>
      <c r="N58" s="100">
        <v>3007043.2557999999</v>
      </c>
      <c r="O58" s="340">
        <v>3771558.7496000002</v>
      </c>
      <c r="P58" s="35"/>
      <c r="Q58" s="346">
        <v>0.2029457096</v>
      </c>
      <c r="R58" s="347">
        <v>0.21323962768999999</v>
      </c>
      <c r="S58" s="348">
        <v>0.19823226545</v>
      </c>
      <c r="T58" s="35"/>
      <c r="U58" s="339">
        <v>964081.51650000003</v>
      </c>
      <c r="V58" s="100">
        <v>774988.98765999998</v>
      </c>
      <c r="W58" s="100">
        <v>3028484.1499000001</v>
      </c>
      <c r="X58" s="340">
        <v>3003536.3029999998</v>
      </c>
      <c r="Y58" s="35"/>
      <c r="Z58" s="346">
        <v>0.20439275811999999</v>
      </c>
      <c r="AA58" s="347">
        <v>0.19239670963</v>
      </c>
      <c r="AB58" s="348">
        <v>0.15641185649</v>
      </c>
      <c r="AC58" s="35"/>
      <c r="AD58" s="339">
        <v>1126605.3811000001</v>
      </c>
      <c r="AE58" s="100">
        <v>924909.78766000003</v>
      </c>
      <c r="AF58" s="100">
        <v>3648939.3081999999</v>
      </c>
      <c r="AG58" s="340">
        <v>3564653.5268000001</v>
      </c>
      <c r="AH58" s="35"/>
      <c r="AI58" s="346">
        <v>0.24626735109</v>
      </c>
      <c r="AJ58" s="347">
        <v>0.23038103465000001</v>
      </c>
      <c r="AK58" s="348">
        <v>0.18503725101999999</v>
      </c>
      <c r="AL58" s="35"/>
      <c r="AM58" s="339">
        <v>545721.13723999995</v>
      </c>
      <c r="AN58" s="100">
        <v>288334.25494999997</v>
      </c>
      <c r="AO58" s="100">
        <v>2802285.9279999998</v>
      </c>
      <c r="AP58" s="340">
        <v>467743.60726000002</v>
      </c>
      <c r="AQ58" s="35"/>
      <c r="AR58" s="106">
        <v>0.18912661302</v>
      </c>
      <c r="AS58" s="107">
        <v>9.2936031212000003E-2</v>
      </c>
      <c r="AT58" s="353">
        <v>0.10402337684</v>
      </c>
      <c r="AU58" s="35"/>
      <c r="AV58" s="358">
        <v>21.070205491999999</v>
      </c>
      <c r="AW58" s="359">
        <v>10.630702985999999</v>
      </c>
      <c r="AX58" s="360">
        <v>13.669415755999999</v>
      </c>
      <c r="AY58" s="35"/>
      <c r="AZ58" s="106">
        <v>3.7127884913</v>
      </c>
      <c r="BA58" s="107">
        <v>1.0332414472</v>
      </c>
      <c r="BB58" s="353">
        <v>1.6945785019999999</v>
      </c>
      <c r="BC58" s="35"/>
      <c r="BD58" s="106">
        <v>0.21538993907000001</v>
      </c>
      <c r="BE58" s="107">
        <v>0.21020229697000001</v>
      </c>
      <c r="BF58" s="353">
        <v>0.19686613222999999</v>
      </c>
      <c r="BG58" s="35"/>
      <c r="BH58" s="106">
        <v>0.1961308453</v>
      </c>
      <c r="BI58" s="107">
        <v>0.10254050671000001</v>
      </c>
      <c r="BJ58" s="353">
        <v>0.14304036027</v>
      </c>
      <c r="BK58" s="35"/>
      <c r="BL58" s="367">
        <v>1.0370346202</v>
      </c>
      <c r="BM58" s="368">
        <v>1.1033450145999999</v>
      </c>
      <c r="BN58" s="369">
        <v>1.3750789929</v>
      </c>
    </row>
    <row r="59" spans="2:66" ht="15.6" x14ac:dyDescent="0.3">
      <c r="B59" s="306" t="s">
        <v>504</v>
      </c>
      <c r="C59" s="111" t="s">
        <v>618</v>
      </c>
      <c r="D59" s="111" t="s">
        <v>231</v>
      </c>
      <c r="E59" s="385"/>
      <c r="F59" s="35"/>
      <c r="G59" s="380"/>
      <c r="H59" s="112"/>
      <c r="I59" s="112"/>
      <c r="J59" s="381"/>
      <c r="K59" s="72"/>
      <c r="L59" s="380"/>
      <c r="M59" s="112"/>
      <c r="N59" s="112"/>
      <c r="O59" s="381"/>
      <c r="P59" s="35"/>
      <c r="Q59" s="382"/>
      <c r="R59" s="383"/>
      <c r="S59" s="384"/>
      <c r="T59" s="35"/>
      <c r="U59" s="380"/>
      <c r="V59" s="112"/>
      <c r="W59" s="112"/>
      <c r="X59" s="381"/>
      <c r="Y59" s="35"/>
      <c r="Z59" s="382"/>
      <c r="AA59" s="383"/>
      <c r="AB59" s="384"/>
      <c r="AC59" s="35"/>
      <c r="AD59" s="380"/>
      <c r="AE59" s="112"/>
      <c r="AF59" s="112"/>
      <c r="AG59" s="381"/>
      <c r="AH59" s="35"/>
      <c r="AI59" s="382"/>
      <c r="AJ59" s="383"/>
      <c r="AK59" s="384"/>
      <c r="AL59" s="35"/>
      <c r="AM59" s="380"/>
      <c r="AN59" s="112"/>
      <c r="AO59" s="112"/>
      <c r="AP59" s="381"/>
      <c r="AQ59" s="35"/>
      <c r="AR59" s="113"/>
      <c r="AS59" s="114"/>
      <c r="AT59" s="376"/>
      <c r="AU59" s="35"/>
      <c r="AV59" s="379"/>
      <c r="AW59" s="377"/>
      <c r="AX59" s="378"/>
      <c r="AY59" s="35"/>
      <c r="AZ59" s="113"/>
      <c r="BA59" s="114"/>
      <c r="BB59" s="376"/>
      <c r="BC59" s="35"/>
      <c r="BD59" s="113"/>
      <c r="BE59" s="114"/>
      <c r="BF59" s="376"/>
      <c r="BG59" s="35"/>
      <c r="BH59" s="113"/>
      <c r="BI59" s="114"/>
      <c r="BJ59" s="376"/>
      <c r="BK59" s="35"/>
      <c r="BL59" s="373"/>
      <c r="BM59" s="374"/>
      <c r="BN59" s="375"/>
    </row>
    <row r="60" spans="2:66" ht="15.6" x14ac:dyDescent="0.3">
      <c r="B60" s="283" t="s">
        <v>2240</v>
      </c>
      <c r="C60" s="99" t="s">
        <v>2796</v>
      </c>
      <c r="D60" s="99" t="s">
        <v>226</v>
      </c>
      <c r="E60" s="334"/>
      <c r="F60" s="35"/>
      <c r="G60" s="339"/>
      <c r="H60" s="100"/>
      <c r="I60" s="100"/>
      <c r="J60" s="340"/>
      <c r="K60" s="72"/>
      <c r="L60" s="339"/>
      <c r="M60" s="100"/>
      <c r="N60" s="100"/>
      <c r="O60" s="340"/>
      <c r="P60" s="35"/>
      <c r="Q60" s="346"/>
      <c r="R60" s="347"/>
      <c r="S60" s="348"/>
      <c r="T60" s="35"/>
      <c r="U60" s="339"/>
      <c r="V60" s="100"/>
      <c r="W60" s="100"/>
      <c r="X60" s="340"/>
      <c r="Y60" s="35"/>
      <c r="Z60" s="346"/>
      <c r="AA60" s="347"/>
      <c r="AB60" s="348"/>
      <c r="AC60" s="35"/>
      <c r="AD60" s="339"/>
      <c r="AE60" s="100"/>
      <c r="AF60" s="100"/>
      <c r="AG60" s="340"/>
      <c r="AH60" s="35"/>
      <c r="AI60" s="346"/>
      <c r="AJ60" s="347"/>
      <c r="AK60" s="348"/>
      <c r="AL60" s="35"/>
      <c r="AM60" s="339"/>
      <c r="AN60" s="100"/>
      <c r="AO60" s="100"/>
      <c r="AP60" s="340"/>
      <c r="AQ60" s="35"/>
      <c r="AR60" s="106"/>
      <c r="AS60" s="107"/>
      <c r="AT60" s="353"/>
      <c r="AU60" s="35"/>
      <c r="AV60" s="358"/>
      <c r="AW60" s="359"/>
      <c r="AX60" s="360"/>
      <c r="AY60" s="35"/>
      <c r="AZ60" s="106"/>
      <c r="BA60" s="107"/>
      <c r="BB60" s="353"/>
      <c r="BC60" s="35"/>
      <c r="BD60" s="106"/>
      <c r="BE60" s="107"/>
      <c r="BF60" s="353"/>
      <c r="BG60" s="35"/>
      <c r="BH60" s="106"/>
      <c r="BI60" s="107"/>
      <c r="BJ60" s="353"/>
      <c r="BK60" s="35"/>
      <c r="BL60" s="367"/>
      <c r="BM60" s="368"/>
      <c r="BN60" s="369"/>
    </row>
    <row r="61" spans="2:66" ht="15.6" x14ac:dyDescent="0.3">
      <c r="B61" s="306" t="s">
        <v>505</v>
      </c>
      <c r="C61" s="111" t="s">
        <v>619</v>
      </c>
      <c r="D61" s="111" t="s">
        <v>229</v>
      </c>
      <c r="E61" s="385">
        <v>45473</v>
      </c>
      <c r="F61" s="35"/>
      <c r="G61" s="380">
        <v>882505.95946000004</v>
      </c>
      <c r="H61" s="112">
        <v>951811.51474999997</v>
      </c>
      <c r="I61" s="112">
        <v>3429158.0998</v>
      </c>
      <c r="J61" s="381">
        <v>4006087.4583000001</v>
      </c>
      <c r="K61" s="72"/>
      <c r="L61" s="380">
        <v>264816.72071000002</v>
      </c>
      <c r="M61" s="112">
        <v>262089.43293000001</v>
      </c>
      <c r="N61" s="112">
        <v>893646.91462000005</v>
      </c>
      <c r="O61" s="381">
        <v>983327.26775</v>
      </c>
      <c r="P61" s="35"/>
      <c r="Q61" s="382">
        <v>0.26060242444999998</v>
      </c>
      <c r="R61" s="383">
        <v>0.26185685485999999</v>
      </c>
      <c r="S61" s="384">
        <v>0.21242097151</v>
      </c>
      <c r="T61" s="35"/>
      <c r="U61" s="380">
        <v>215139.56192000001</v>
      </c>
      <c r="V61" s="112">
        <v>243650.06573999999</v>
      </c>
      <c r="W61" s="112">
        <v>803435.38612000004</v>
      </c>
      <c r="X61" s="381">
        <v>901912.88003999996</v>
      </c>
      <c r="Y61" s="35"/>
      <c r="Z61" s="382">
        <v>0.23429523012</v>
      </c>
      <c r="AA61" s="383">
        <v>0.23886036221000001</v>
      </c>
      <c r="AB61" s="384">
        <v>0.18810950296000001</v>
      </c>
      <c r="AC61" s="35"/>
      <c r="AD61" s="380"/>
      <c r="AE61" s="112"/>
      <c r="AF61" s="112"/>
      <c r="AG61" s="381"/>
      <c r="AH61" s="35"/>
      <c r="AI61" s="382"/>
      <c r="AJ61" s="383">
        <v>0.26318047791999999</v>
      </c>
      <c r="AK61" s="384">
        <v>0.21103386896000001</v>
      </c>
      <c r="AL61" s="35"/>
      <c r="AM61" s="380">
        <v>138319.05807999999</v>
      </c>
      <c r="AN61" s="112">
        <v>170064.14546</v>
      </c>
      <c r="AO61" s="112">
        <v>537181.51130000001</v>
      </c>
      <c r="AP61" s="381">
        <v>652766.98747000005</v>
      </c>
      <c r="AQ61" s="35"/>
      <c r="AR61" s="113">
        <v>0.15665113584000001</v>
      </c>
      <c r="AS61" s="114">
        <v>0.16554647497</v>
      </c>
      <c r="AT61" s="376">
        <v>0.12963086574999999</v>
      </c>
      <c r="AU61" s="35"/>
      <c r="AV61" s="379">
        <v>1.7438345061</v>
      </c>
      <c r="AW61" s="377">
        <v>1.9420183687000001</v>
      </c>
      <c r="AX61" s="378">
        <v>1.5564481507000001</v>
      </c>
      <c r="AY61" s="35"/>
      <c r="AZ61" s="113">
        <v>0.44374096878000002</v>
      </c>
      <c r="BA61" s="114">
        <v>0.45316128895000002</v>
      </c>
      <c r="BB61" s="376">
        <v>0.37520105428</v>
      </c>
      <c r="BC61" s="35"/>
      <c r="BD61" s="113">
        <v>0.25014114672999999</v>
      </c>
      <c r="BE61" s="114">
        <v>0.26020369504000002</v>
      </c>
      <c r="BF61" s="376">
        <v>0.21230107284999999</v>
      </c>
      <c r="BG61" s="35"/>
      <c r="BH61" s="113">
        <v>0.17277526288</v>
      </c>
      <c r="BI61" s="114">
        <v>0.19517765449999999</v>
      </c>
      <c r="BJ61" s="376">
        <v>0.14958498799</v>
      </c>
      <c r="BK61" s="35"/>
      <c r="BL61" s="373">
        <v>1.1029301636</v>
      </c>
      <c r="BM61" s="374">
        <v>1.1789900965</v>
      </c>
      <c r="BN61" s="375">
        <v>1.1539303323000001</v>
      </c>
    </row>
    <row r="62" spans="2:66" ht="15.6" x14ac:dyDescent="0.3">
      <c r="B62" s="283" t="s">
        <v>397</v>
      </c>
      <c r="C62" s="99" t="s">
        <v>405</v>
      </c>
      <c r="D62" s="99" t="s">
        <v>226</v>
      </c>
      <c r="E62" s="334">
        <v>45473</v>
      </c>
      <c r="F62" s="35"/>
      <c r="G62" s="339">
        <v>131877.95816000001</v>
      </c>
      <c r="H62" s="100">
        <v>125670.75181</v>
      </c>
      <c r="I62" s="100">
        <v>520943.27559999999</v>
      </c>
      <c r="J62" s="340">
        <v>506879.66830000002</v>
      </c>
      <c r="K62" s="72"/>
      <c r="L62" s="339">
        <v>112250.56780999999</v>
      </c>
      <c r="M62" s="100">
        <v>100539.94873</v>
      </c>
      <c r="N62" s="100">
        <v>420854.32337</v>
      </c>
      <c r="O62" s="340">
        <v>397324.01127000002</v>
      </c>
      <c r="P62" s="35"/>
      <c r="Q62" s="346">
        <v>0.80786976834000002</v>
      </c>
      <c r="R62" s="347">
        <v>0.81532718276000005</v>
      </c>
      <c r="S62" s="348">
        <v>0.79474703549000003</v>
      </c>
      <c r="T62" s="35"/>
      <c r="U62" s="339">
        <v>111914.36207</v>
      </c>
      <c r="V62" s="100">
        <v>100253.33728000001</v>
      </c>
      <c r="W62" s="100">
        <v>419807.56936999998</v>
      </c>
      <c r="X62" s="340">
        <v>396357.48215</v>
      </c>
      <c r="Y62" s="35"/>
      <c r="Z62" s="346">
        <v>0.80586042478999997</v>
      </c>
      <c r="AA62" s="347">
        <v>0.81353450705999997</v>
      </c>
      <c r="AB62" s="348">
        <v>0.79292813142999996</v>
      </c>
      <c r="AC62" s="35"/>
      <c r="AD62" s="339">
        <v>117320.75117</v>
      </c>
      <c r="AE62" s="100">
        <v>105865.27312</v>
      </c>
      <c r="AF62" s="100">
        <v>441402.01422000001</v>
      </c>
      <c r="AG62" s="340">
        <v>418791.62715000001</v>
      </c>
      <c r="AH62" s="35"/>
      <c r="AI62" s="346">
        <v>0.84731300872000004</v>
      </c>
      <c r="AJ62" s="347">
        <v>0.85528129647999995</v>
      </c>
      <c r="AK62" s="348">
        <v>0.83364345298999998</v>
      </c>
      <c r="AL62" s="35"/>
      <c r="AM62" s="339">
        <v>63917.228408000003</v>
      </c>
      <c r="AN62" s="100">
        <v>51359.934692000003</v>
      </c>
      <c r="AO62" s="100">
        <v>243465.14687</v>
      </c>
      <c r="AP62" s="340">
        <v>211032.84612</v>
      </c>
      <c r="AQ62" s="35"/>
      <c r="AR62" s="106">
        <v>0.46735442854999998</v>
      </c>
      <c r="AS62" s="107">
        <v>0.45108736863999999</v>
      </c>
      <c r="AT62" s="353">
        <v>0.40343748158999998</v>
      </c>
      <c r="AU62" s="35"/>
      <c r="AV62" s="358">
        <v>0.27880850698999998</v>
      </c>
      <c r="AW62" s="359">
        <v>0.26987705944000001</v>
      </c>
      <c r="AX62" s="360">
        <v>0.24843493976</v>
      </c>
      <c r="AY62" s="35"/>
      <c r="AZ62" s="106">
        <v>0.14815574821999999</v>
      </c>
      <c r="BA62" s="107">
        <v>0.14902973709</v>
      </c>
      <c r="BB62" s="353">
        <v>0.15004432091</v>
      </c>
      <c r="BC62" s="35"/>
      <c r="BD62" s="106">
        <v>0.11089785385000001</v>
      </c>
      <c r="BE62" s="107">
        <v>0.11346243099</v>
      </c>
      <c r="BF62" s="353">
        <v>0.11597855624</v>
      </c>
      <c r="BG62" s="35"/>
      <c r="BH62" s="106">
        <v>8.8712871287000006E-2</v>
      </c>
      <c r="BI62" s="107">
        <v>8.6509885576000006E-2</v>
      </c>
      <c r="BJ62" s="353">
        <v>8.1414365811000006E-2</v>
      </c>
      <c r="BK62" s="35"/>
      <c r="BL62" s="367">
        <v>0.18981925893000001</v>
      </c>
      <c r="BM62" s="368">
        <v>0.19178077595000001</v>
      </c>
      <c r="BN62" s="369">
        <v>0.20180169053999999</v>
      </c>
    </row>
    <row r="63" spans="2:66" ht="15.6" x14ac:dyDescent="0.3">
      <c r="B63" s="306" t="s">
        <v>398</v>
      </c>
      <c r="C63" s="111" t="s">
        <v>406</v>
      </c>
      <c r="D63" s="111" t="s">
        <v>226</v>
      </c>
      <c r="E63" s="385">
        <v>45473</v>
      </c>
      <c r="F63" s="35"/>
      <c r="G63" s="380">
        <v>84849.297760999994</v>
      </c>
      <c r="H63" s="112">
        <v>81100.579563000007</v>
      </c>
      <c r="I63" s="112">
        <v>336362.30693999998</v>
      </c>
      <c r="J63" s="381">
        <v>323025.74647999997</v>
      </c>
      <c r="K63" s="72"/>
      <c r="L63" s="380">
        <v>70127.500507000004</v>
      </c>
      <c r="M63" s="112">
        <v>62574.392122999998</v>
      </c>
      <c r="N63" s="112">
        <v>273022.14809999999</v>
      </c>
      <c r="O63" s="381">
        <v>258005.74280000001</v>
      </c>
      <c r="P63" s="35"/>
      <c r="Q63" s="382">
        <v>0.81169067538999995</v>
      </c>
      <c r="R63" s="383">
        <v>0.82263992534999997</v>
      </c>
      <c r="S63" s="384">
        <v>0.81170610288</v>
      </c>
      <c r="T63" s="35"/>
      <c r="U63" s="380">
        <v>70085.349338999993</v>
      </c>
      <c r="V63" s="112">
        <v>62316.023408000001</v>
      </c>
      <c r="W63" s="112">
        <v>272566.51403999998</v>
      </c>
      <c r="X63" s="381">
        <v>256855.11290000001</v>
      </c>
      <c r="Y63" s="35"/>
      <c r="Z63" s="382">
        <v>0.81033608229999998</v>
      </c>
      <c r="AA63" s="383">
        <v>0.82066784849999996</v>
      </c>
      <c r="AB63" s="384">
        <v>0.80825072012999999</v>
      </c>
      <c r="AC63" s="35"/>
      <c r="AD63" s="380">
        <v>74053.580734000003</v>
      </c>
      <c r="AE63" s="112">
        <v>66064.984832999995</v>
      </c>
      <c r="AF63" s="112">
        <v>288024.95314</v>
      </c>
      <c r="AG63" s="381">
        <v>271823.76189000002</v>
      </c>
      <c r="AH63" s="35"/>
      <c r="AI63" s="382">
        <v>0.85629378558000002</v>
      </c>
      <c r="AJ63" s="383">
        <v>0.86511054804999998</v>
      </c>
      <c r="AK63" s="384">
        <v>0.85191391510000003</v>
      </c>
      <c r="AL63" s="35"/>
      <c r="AM63" s="380">
        <v>39802.745864999997</v>
      </c>
      <c r="AN63" s="112">
        <v>31709.268029999999</v>
      </c>
      <c r="AO63" s="112">
        <v>152426.6526</v>
      </c>
      <c r="AP63" s="381">
        <v>137776.42439999999</v>
      </c>
      <c r="AQ63" s="35"/>
      <c r="AR63" s="113">
        <v>0.45316210958000003</v>
      </c>
      <c r="AS63" s="114">
        <v>0.43983957622999997</v>
      </c>
      <c r="AT63" s="376">
        <v>0.41328212436</v>
      </c>
      <c r="AU63" s="35"/>
      <c r="AV63" s="379">
        <v>0.25886718339999998</v>
      </c>
      <c r="AW63" s="377">
        <v>0.24993854135999999</v>
      </c>
      <c r="AX63" s="378">
        <v>0.23195906987000001</v>
      </c>
      <c r="AY63" s="35"/>
      <c r="AZ63" s="113">
        <v>0.15040453155</v>
      </c>
      <c r="BA63" s="114">
        <v>0.15001722754999999</v>
      </c>
      <c r="BB63" s="376">
        <v>0.14706549633999999</v>
      </c>
      <c r="BC63" s="35"/>
      <c r="BD63" s="113">
        <v>0.11503123192</v>
      </c>
      <c r="BE63" s="114">
        <v>0.11725399667</v>
      </c>
      <c r="BF63" s="376">
        <v>0.11555564240000001</v>
      </c>
      <c r="BG63" s="35"/>
      <c r="BH63" s="113">
        <v>8.6751293159000001E-2</v>
      </c>
      <c r="BI63" s="114">
        <v>8.5340057048999995E-2</v>
      </c>
      <c r="BJ63" s="376">
        <v>8.2336220345999994E-2</v>
      </c>
      <c r="BK63" s="35"/>
      <c r="BL63" s="373">
        <v>0.19143545174000001</v>
      </c>
      <c r="BM63" s="374">
        <v>0.19402541668000001</v>
      </c>
      <c r="BN63" s="375">
        <v>0.19922521564000001</v>
      </c>
    </row>
    <row r="64" spans="2:66" ht="15.6" x14ac:dyDescent="0.3">
      <c r="B64" s="283" t="s">
        <v>506</v>
      </c>
      <c r="C64" s="99" t="s">
        <v>620</v>
      </c>
      <c r="D64" s="99" t="s">
        <v>226</v>
      </c>
      <c r="E64" s="334">
        <v>45473</v>
      </c>
      <c r="F64" s="35"/>
      <c r="G64" s="339">
        <v>92668.339441000004</v>
      </c>
      <c r="H64" s="100">
        <v>83263.763777999993</v>
      </c>
      <c r="I64" s="100">
        <v>343070.36426</v>
      </c>
      <c r="J64" s="340">
        <v>348908.64309999999</v>
      </c>
      <c r="K64" s="72"/>
      <c r="L64" s="339">
        <v>53813.994857999998</v>
      </c>
      <c r="M64" s="100">
        <v>26030.386451999999</v>
      </c>
      <c r="N64" s="100">
        <v>137234.1673</v>
      </c>
      <c r="O64" s="340">
        <v>100330.74329</v>
      </c>
      <c r="P64" s="35"/>
      <c r="Q64" s="346">
        <v>0.40001755207</v>
      </c>
      <c r="R64" s="347">
        <v>0.33368018712000003</v>
      </c>
      <c r="S64" s="348">
        <v>0.22705424730000001</v>
      </c>
      <c r="T64" s="35"/>
      <c r="U64" s="339">
        <v>50854.380698000001</v>
      </c>
      <c r="V64" s="100">
        <v>23011.552002</v>
      </c>
      <c r="W64" s="100">
        <v>67597.426821999994</v>
      </c>
      <c r="X64" s="340">
        <v>49869.345955999997</v>
      </c>
      <c r="Y64" s="35"/>
      <c r="Z64" s="346">
        <v>0.19703662531999999</v>
      </c>
      <c r="AA64" s="347">
        <v>0.12963342927999999</v>
      </c>
      <c r="AB64" s="348">
        <v>6.5522862631000003E-2</v>
      </c>
      <c r="AC64" s="35"/>
      <c r="AD64" s="339"/>
      <c r="AE64" s="100"/>
      <c r="AF64" s="100"/>
      <c r="AG64" s="340"/>
      <c r="AH64" s="35"/>
      <c r="AI64" s="346"/>
      <c r="AJ64" s="347"/>
      <c r="AK64" s="348"/>
      <c r="AL64" s="35"/>
      <c r="AM64" s="339">
        <v>17494.741955000001</v>
      </c>
      <c r="AN64" s="100">
        <v>-6898.5492727999999</v>
      </c>
      <c r="AO64" s="100">
        <v>-33134.832514000002</v>
      </c>
      <c r="AP64" s="340">
        <v>-53689.437229000003</v>
      </c>
      <c r="AQ64" s="35"/>
      <c r="AR64" s="106">
        <v>-9.6583196817000005E-2</v>
      </c>
      <c r="AS64" s="107">
        <v>-0.16177065440999999</v>
      </c>
      <c r="AT64" s="353">
        <v>-0.25057378504</v>
      </c>
      <c r="AU64" s="35"/>
      <c r="AV64" s="358">
        <v>-1.4777972334E-2</v>
      </c>
      <c r="AW64" s="359">
        <v>-2.4703061944000002E-2</v>
      </c>
      <c r="AX64" s="360">
        <v>-3.4744527637999997E-2</v>
      </c>
      <c r="AY64" s="35"/>
      <c r="AZ64" s="106">
        <v>-2.4651021103E-2</v>
      </c>
      <c r="BA64" s="107">
        <v>-4.1439036036999999E-2</v>
      </c>
      <c r="BB64" s="353">
        <v>-5.5515386095000001E-2</v>
      </c>
      <c r="BC64" s="35"/>
      <c r="BD64" s="106">
        <v>1.6252449055999998E-2</v>
      </c>
      <c r="BE64" s="107">
        <v>1.0680746093E-2</v>
      </c>
      <c r="BF64" s="353">
        <v>4.8053373986E-3</v>
      </c>
      <c r="BG64" s="35"/>
      <c r="BH64" s="106">
        <v>-1.1402580224E-2</v>
      </c>
      <c r="BI64" s="107">
        <v>-1.8921057466999999E-2</v>
      </c>
      <c r="BJ64" s="353">
        <v>-2.6023835291000001E-2</v>
      </c>
      <c r="BK64" s="35"/>
      <c r="BL64" s="367">
        <v>0.11805966876</v>
      </c>
      <c r="BM64" s="368">
        <v>0.11696223605</v>
      </c>
      <c r="BN64" s="369">
        <v>0.10385697484</v>
      </c>
    </row>
    <row r="65" spans="2:66" ht="15.6" x14ac:dyDescent="0.3">
      <c r="B65" s="306" t="s">
        <v>35</v>
      </c>
      <c r="C65" s="111" t="s">
        <v>74</v>
      </c>
      <c r="D65" s="111" t="s">
        <v>226</v>
      </c>
      <c r="E65" s="385"/>
      <c r="F65" s="35"/>
      <c r="G65" s="380"/>
      <c r="H65" s="112"/>
      <c r="I65" s="112"/>
      <c r="J65" s="381"/>
      <c r="K65" s="72"/>
      <c r="L65" s="380"/>
      <c r="M65" s="112"/>
      <c r="N65" s="112"/>
      <c r="O65" s="381"/>
      <c r="P65" s="35"/>
      <c r="Q65" s="382"/>
      <c r="R65" s="383"/>
      <c r="S65" s="384"/>
      <c r="T65" s="35"/>
      <c r="U65" s="380"/>
      <c r="V65" s="112"/>
      <c r="W65" s="112"/>
      <c r="X65" s="381"/>
      <c r="Y65" s="35"/>
      <c r="Z65" s="382"/>
      <c r="AA65" s="383"/>
      <c r="AB65" s="384"/>
      <c r="AC65" s="35"/>
      <c r="AD65" s="380"/>
      <c r="AE65" s="112"/>
      <c r="AF65" s="112"/>
      <c r="AG65" s="381"/>
      <c r="AH65" s="35"/>
      <c r="AI65" s="382"/>
      <c r="AJ65" s="383"/>
      <c r="AK65" s="384"/>
      <c r="AL65" s="35"/>
      <c r="AM65" s="380"/>
      <c r="AN65" s="112"/>
      <c r="AO65" s="112"/>
      <c r="AP65" s="381"/>
      <c r="AQ65" s="35"/>
      <c r="AR65" s="113"/>
      <c r="AS65" s="114"/>
      <c r="AT65" s="376"/>
      <c r="AU65" s="35"/>
      <c r="AV65" s="379"/>
      <c r="AW65" s="377"/>
      <c r="AX65" s="378"/>
      <c r="AY65" s="35"/>
      <c r="AZ65" s="113"/>
      <c r="BA65" s="114"/>
      <c r="BB65" s="376"/>
      <c r="BC65" s="35"/>
      <c r="BD65" s="113"/>
      <c r="BE65" s="114"/>
      <c r="BF65" s="376"/>
      <c r="BG65" s="35"/>
      <c r="BH65" s="113"/>
      <c r="BI65" s="114"/>
      <c r="BJ65" s="376"/>
      <c r="BK65" s="35"/>
      <c r="BL65" s="373"/>
      <c r="BM65" s="374"/>
      <c r="BN65" s="375"/>
    </row>
    <row r="66" spans="2:66" ht="15.6" x14ac:dyDescent="0.3">
      <c r="B66" s="283" t="s">
        <v>2242</v>
      </c>
      <c r="C66" s="99" t="s">
        <v>75</v>
      </c>
      <c r="D66" s="99" t="s">
        <v>228</v>
      </c>
      <c r="E66" s="334">
        <v>45473</v>
      </c>
      <c r="F66" s="35"/>
      <c r="G66" s="339">
        <v>197359.79777999999</v>
      </c>
      <c r="H66" s="100">
        <v>168845.52379000001</v>
      </c>
      <c r="I66" s="100">
        <v>1618166.2816999999</v>
      </c>
      <c r="J66" s="340">
        <v>635777.41396999999</v>
      </c>
      <c r="K66" s="72"/>
      <c r="L66" s="339">
        <v>102180.45303</v>
      </c>
      <c r="M66" s="100">
        <v>99756.474373999998</v>
      </c>
      <c r="N66" s="100">
        <v>804860.49704000005</v>
      </c>
      <c r="O66" s="340">
        <v>374175.42971</v>
      </c>
      <c r="P66" s="35"/>
      <c r="Q66" s="346">
        <v>0.49739047597000002</v>
      </c>
      <c r="R66" s="347">
        <v>0.59937727266999996</v>
      </c>
      <c r="S66" s="348">
        <v>0.58080109272000002</v>
      </c>
      <c r="T66" s="35"/>
      <c r="U66" s="339">
        <v>93881.690921999994</v>
      </c>
      <c r="V66" s="100">
        <v>89470.889083000002</v>
      </c>
      <c r="W66" s="100">
        <v>748015.63248000003</v>
      </c>
      <c r="X66" s="340">
        <v>334515.30906</v>
      </c>
      <c r="Y66" s="35"/>
      <c r="Z66" s="346">
        <v>0.46226128979999997</v>
      </c>
      <c r="AA66" s="347">
        <v>0.51806396464000004</v>
      </c>
      <c r="AB66" s="348">
        <v>0.52162914870999999</v>
      </c>
      <c r="AC66" s="35"/>
      <c r="AD66" s="339">
        <v>116727.62402</v>
      </c>
      <c r="AE66" s="100">
        <v>115832.86615</v>
      </c>
      <c r="AF66" s="100">
        <v>840953.94012000004</v>
      </c>
      <c r="AG66" s="340">
        <v>437950.66103999998</v>
      </c>
      <c r="AH66" s="35"/>
      <c r="AI66" s="346">
        <v>0.51969562685000004</v>
      </c>
      <c r="AJ66" s="347">
        <v>0.66868484652000004</v>
      </c>
      <c r="AK66" s="348">
        <v>0.69275362319</v>
      </c>
      <c r="AL66" s="35"/>
      <c r="AM66" s="339">
        <v>57488.171675999998</v>
      </c>
      <c r="AN66" s="100">
        <v>55322.285662000002</v>
      </c>
      <c r="AO66" s="100">
        <v>482917.90398</v>
      </c>
      <c r="AP66" s="340">
        <v>204918.81722999999</v>
      </c>
      <c r="AQ66" s="35"/>
      <c r="AR66" s="106">
        <v>0.29843527791000002</v>
      </c>
      <c r="AS66" s="107">
        <v>0.32756520699000002</v>
      </c>
      <c r="AT66" s="353">
        <v>0.31181594025999998</v>
      </c>
      <c r="AU66" s="35"/>
      <c r="AV66" s="358">
        <v>101.02407103</v>
      </c>
      <c r="AW66" s="359">
        <v>46.582551840000001</v>
      </c>
      <c r="AX66" s="360">
        <v>36.905311777999998</v>
      </c>
      <c r="AY66" s="35"/>
      <c r="AZ66" s="106">
        <v>1.0434671354</v>
      </c>
      <c r="BA66" s="107">
        <v>0.78092888279999995</v>
      </c>
      <c r="BB66" s="353">
        <v>0.59094752306999998</v>
      </c>
      <c r="BC66" s="35"/>
      <c r="BD66" s="106">
        <v>0.23093350846999999</v>
      </c>
      <c r="BE66" s="107">
        <v>0.16131334643</v>
      </c>
      <c r="BF66" s="353">
        <v>0.13446409438000001</v>
      </c>
      <c r="BG66" s="35"/>
      <c r="BH66" s="106">
        <v>0.12268874652</v>
      </c>
      <c r="BI66" s="107">
        <v>0.13629159868999999</v>
      </c>
      <c r="BJ66" s="353">
        <v>0.10427406199</v>
      </c>
      <c r="BK66" s="35"/>
      <c r="BL66" s="367">
        <v>0.41110671427000001</v>
      </c>
      <c r="BM66" s="368">
        <v>0.41607471055</v>
      </c>
      <c r="BN66" s="369">
        <v>0.33440901676000001</v>
      </c>
    </row>
    <row r="67" spans="2:66" ht="15.6" x14ac:dyDescent="0.3">
      <c r="B67" s="306" t="s">
        <v>40</v>
      </c>
      <c r="C67" s="111" t="s">
        <v>76</v>
      </c>
      <c r="D67" s="111" t="s">
        <v>230</v>
      </c>
      <c r="E67" s="385">
        <v>45473</v>
      </c>
      <c r="F67" s="35"/>
      <c r="G67" s="380">
        <v>782211.26939000003</v>
      </c>
      <c r="H67" s="112">
        <v>739663.60366000002</v>
      </c>
      <c r="I67" s="112">
        <v>3014022.2848999999</v>
      </c>
      <c r="J67" s="381">
        <v>2797558.9062000001</v>
      </c>
      <c r="K67" s="72"/>
      <c r="L67" s="380">
        <v>325612.75547999999</v>
      </c>
      <c r="M67" s="112">
        <v>290339.48905999999</v>
      </c>
      <c r="N67" s="112">
        <v>1221866.0172999999</v>
      </c>
      <c r="O67" s="381">
        <v>994532.31094</v>
      </c>
      <c r="P67" s="35"/>
      <c r="Q67" s="382">
        <v>0.40539382322</v>
      </c>
      <c r="R67" s="383">
        <v>0.39683459978000002</v>
      </c>
      <c r="S67" s="384">
        <v>0.30150683910999998</v>
      </c>
      <c r="T67" s="35"/>
      <c r="U67" s="380">
        <v>315480.41755000001</v>
      </c>
      <c r="V67" s="112">
        <v>275991.13419000001</v>
      </c>
      <c r="W67" s="112">
        <v>1162002.3263000001</v>
      </c>
      <c r="X67" s="381">
        <v>1489255.0512999999</v>
      </c>
      <c r="Y67" s="35"/>
      <c r="Z67" s="382">
        <v>0.38553209512999997</v>
      </c>
      <c r="AA67" s="383">
        <v>0.39055738828999997</v>
      </c>
      <c r="AB67" s="384">
        <v>0.52089458993000004</v>
      </c>
      <c r="AC67" s="35"/>
      <c r="AD67" s="380">
        <v>582977.75182999996</v>
      </c>
      <c r="AE67" s="112">
        <v>531387.03917</v>
      </c>
      <c r="AF67" s="112">
        <v>2235886.6320000002</v>
      </c>
      <c r="AG67" s="381">
        <v>2531530.1348999999</v>
      </c>
      <c r="AH67" s="35"/>
      <c r="AI67" s="382">
        <v>0.74182816870000001</v>
      </c>
      <c r="AJ67" s="383">
        <v>0.74913137439999999</v>
      </c>
      <c r="AK67" s="384">
        <v>0.94177025330999997</v>
      </c>
      <c r="AL67" s="35"/>
      <c r="AM67" s="380">
        <v>2833.1606550000001</v>
      </c>
      <c r="AN67" s="112">
        <v>36201.954781</v>
      </c>
      <c r="AO67" s="112">
        <v>-148663.15544999999</v>
      </c>
      <c r="AP67" s="381">
        <v>487983.18722999998</v>
      </c>
      <c r="AQ67" s="35"/>
      <c r="AR67" s="113">
        <v>-4.9323840833000003E-2</v>
      </c>
      <c r="AS67" s="114">
        <v>-6.7919252760999999E-2</v>
      </c>
      <c r="AT67" s="376">
        <v>-5.7749464235999998E-2</v>
      </c>
      <c r="AU67" s="35"/>
      <c r="AV67" s="379">
        <v>-4.8830706810999998E-2</v>
      </c>
      <c r="AW67" s="377">
        <v>-6.3756163586999995E-2</v>
      </c>
      <c r="AX67" s="378">
        <v>-4.5463685684999998E-2</v>
      </c>
      <c r="AY67" s="35"/>
      <c r="AZ67" s="113"/>
      <c r="BA67" s="114"/>
      <c r="BB67" s="376"/>
      <c r="BC67" s="35"/>
      <c r="BD67" s="113">
        <v>7.0526461366999998E-2</v>
      </c>
      <c r="BE67" s="114">
        <v>6.5696284817000003E-2</v>
      </c>
      <c r="BF67" s="376">
        <v>7.1099139335999997E-2</v>
      </c>
      <c r="BG67" s="35"/>
      <c r="BH67" s="113">
        <v>-9.8333658390999997E-3</v>
      </c>
      <c r="BI67" s="114">
        <v>-1.3071277447999999E-2</v>
      </c>
      <c r="BJ67" s="376">
        <v>-9.0687876181E-3</v>
      </c>
      <c r="BK67" s="35"/>
      <c r="BL67" s="373">
        <v>0.19936334383000001</v>
      </c>
      <c r="BM67" s="374">
        <v>0.19245319871</v>
      </c>
      <c r="BN67" s="375">
        <v>0.15703674031000001</v>
      </c>
    </row>
    <row r="68" spans="2:66" ht="15.6" x14ac:dyDescent="0.3">
      <c r="B68" s="283" t="s">
        <v>2243</v>
      </c>
      <c r="C68" s="99" t="s">
        <v>2797</v>
      </c>
      <c r="D68" s="99" t="s">
        <v>232</v>
      </c>
      <c r="E68" s="334"/>
      <c r="F68" s="35"/>
      <c r="G68" s="339"/>
      <c r="H68" s="100"/>
      <c r="I68" s="100"/>
      <c r="J68" s="340"/>
      <c r="K68" s="72"/>
      <c r="L68" s="339"/>
      <c r="M68" s="100"/>
      <c r="N68" s="100"/>
      <c r="O68" s="340"/>
      <c r="P68" s="35"/>
      <c r="Q68" s="346"/>
      <c r="R68" s="347"/>
      <c r="S68" s="348"/>
      <c r="T68" s="35"/>
      <c r="U68" s="339"/>
      <c r="V68" s="100"/>
      <c r="W68" s="100"/>
      <c r="X68" s="340"/>
      <c r="Y68" s="35"/>
      <c r="Z68" s="346"/>
      <c r="AA68" s="347"/>
      <c r="AB68" s="348"/>
      <c r="AC68" s="35"/>
      <c r="AD68" s="339"/>
      <c r="AE68" s="100"/>
      <c r="AF68" s="100"/>
      <c r="AG68" s="340"/>
      <c r="AH68" s="35"/>
      <c r="AI68" s="346"/>
      <c r="AJ68" s="347"/>
      <c r="AK68" s="348"/>
      <c r="AL68" s="35"/>
      <c r="AM68" s="339"/>
      <c r="AN68" s="100"/>
      <c r="AO68" s="100"/>
      <c r="AP68" s="340"/>
      <c r="AQ68" s="35"/>
      <c r="AR68" s="106"/>
      <c r="AS68" s="107"/>
      <c r="AT68" s="353"/>
      <c r="AU68" s="35"/>
      <c r="AV68" s="358"/>
      <c r="AW68" s="359"/>
      <c r="AX68" s="360"/>
      <c r="AY68" s="35"/>
      <c r="AZ68" s="106"/>
      <c r="BA68" s="107"/>
      <c r="BB68" s="353"/>
      <c r="BC68" s="35"/>
      <c r="BD68" s="106"/>
      <c r="BE68" s="107"/>
      <c r="BF68" s="353"/>
      <c r="BG68" s="35"/>
      <c r="BH68" s="106"/>
      <c r="BI68" s="107"/>
      <c r="BJ68" s="353"/>
      <c r="BK68" s="35"/>
      <c r="BL68" s="367"/>
      <c r="BM68" s="368"/>
      <c r="BN68" s="369"/>
    </row>
    <row r="69" spans="2:66" ht="15.6" x14ac:dyDescent="0.3">
      <c r="B69" s="306" t="s">
        <v>2244</v>
      </c>
      <c r="C69" s="111" t="s">
        <v>2798</v>
      </c>
      <c r="D69" s="111" t="s">
        <v>228</v>
      </c>
      <c r="E69" s="385">
        <v>45473</v>
      </c>
      <c r="F69" s="35"/>
      <c r="G69" s="380">
        <v>63609.123441999996</v>
      </c>
      <c r="H69" s="112">
        <v>44623.519633000004</v>
      </c>
      <c r="I69" s="112">
        <v>224011.3792</v>
      </c>
      <c r="J69" s="381">
        <v>184666.68494000001</v>
      </c>
      <c r="K69" s="72"/>
      <c r="L69" s="380">
        <v>24457.713483</v>
      </c>
      <c r="M69" s="112">
        <v>22853.601897</v>
      </c>
      <c r="N69" s="112">
        <v>98034.584577999995</v>
      </c>
      <c r="O69" s="381">
        <v>112924.91058</v>
      </c>
      <c r="P69" s="35"/>
      <c r="Q69" s="382">
        <v>0.43763216372000002</v>
      </c>
      <c r="R69" s="383">
        <v>0.50623490066999999</v>
      </c>
      <c r="S69" s="384">
        <v>0.55651186283999998</v>
      </c>
      <c r="T69" s="35"/>
      <c r="U69" s="380">
        <v>20954.148536000001</v>
      </c>
      <c r="V69" s="112">
        <v>19338.950562000002</v>
      </c>
      <c r="W69" s="112">
        <v>82140.583412000007</v>
      </c>
      <c r="X69" s="381">
        <v>98800.405528999996</v>
      </c>
      <c r="Y69" s="35"/>
      <c r="Z69" s="382">
        <v>0.36668040571999999</v>
      </c>
      <c r="AA69" s="383">
        <v>0.42518119190999998</v>
      </c>
      <c r="AB69" s="384">
        <v>0.47737299598999999</v>
      </c>
      <c r="AC69" s="35"/>
      <c r="AD69" s="380">
        <v>28771.183016999999</v>
      </c>
      <c r="AE69" s="112">
        <v>26740.638910000001</v>
      </c>
      <c r="AF69" s="112">
        <v>112554.65837999999</v>
      </c>
      <c r="AG69" s="381">
        <v>123698.99056000001</v>
      </c>
      <c r="AH69" s="35"/>
      <c r="AI69" s="382">
        <v>0.50245062901000004</v>
      </c>
      <c r="AJ69" s="383">
        <v>0.57785713532000005</v>
      </c>
      <c r="AK69" s="384">
        <v>0.58982027384000002</v>
      </c>
      <c r="AL69" s="35"/>
      <c r="AM69" s="380">
        <v>7821.0488787000004</v>
      </c>
      <c r="AN69" s="112">
        <v>6573.2348187999996</v>
      </c>
      <c r="AO69" s="112">
        <v>29070.255591000001</v>
      </c>
      <c r="AP69" s="381">
        <v>46561.808002999998</v>
      </c>
      <c r="AQ69" s="35"/>
      <c r="AR69" s="113">
        <v>0.12977133435999999</v>
      </c>
      <c r="AS69" s="114">
        <v>0.15922733651000001</v>
      </c>
      <c r="AT69" s="376">
        <v>0.19607787182</v>
      </c>
      <c r="AU69" s="35"/>
      <c r="AV69" s="379">
        <v>0.19655556159000001</v>
      </c>
      <c r="AW69" s="377">
        <v>0.20483415666999999</v>
      </c>
      <c r="AX69" s="378">
        <v>0.23312388035000001</v>
      </c>
      <c r="AY69" s="35"/>
      <c r="AZ69" s="113">
        <v>0.17626136775000001</v>
      </c>
      <c r="BA69" s="114">
        <v>0.15059041861</v>
      </c>
      <c r="BB69" s="376">
        <v>0.15129629058999999</v>
      </c>
      <c r="BC69" s="35"/>
      <c r="BD69" s="113">
        <v>8.2273197344000001E-2</v>
      </c>
      <c r="BE69" s="114">
        <v>8.2499168407000001E-2</v>
      </c>
      <c r="BF69" s="376">
        <v>8.7861479413000002E-2</v>
      </c>
      <c r="BG69" s="35"/>
      <c r="BH69" s="113">
        <v>3.9379359756000001E-2</v>
      </c>
      <c r="BI69" s="114">
        <v>4.2296445029999998E-2</v>
      </c>
      <c r="BJ69" s="376">
        <v>4.2980605870000001E-2</v>
      </c>
      <c r="BK69" s="35"/>
      <c r="BL69" s="373">
        <v>0.30345191370000002</v>
      </c>
      <c r="BM69" s="374">
        <v>0.26563557463999998</v>
      </c>
      <c r="BN69" s="375">
        <v>0.21920171547</v>
      </c>
    </row>
    <row r="70" spans="2:66" ht="15.6" x14ac:dyDescent="0.3">
      <c r="B70" s="283" t="s">
        <v>2245</v>
      </c>
      <c r="C70" s="99" t="s">
        <v>2799</v>
      </c>
      <c r="D70" s="99" t="s">
        <v>1150</v>
      </c>
      <c r="E70" s="334"/>
      <c r="F70" s="35"/>
      <c r="G70" s="339"/>
      <c r="H70" s="100"/>
      <c r="I70" s="100"/>
      <c r="J70" s="340"/>
      <c r="K70" s="72"/>
      <c r="L70" s="339"/>
      <c r="M70" s="100"/>
      <c r="N70" s="100"/>
      <c r="O70" s="340"/>
      <c r="P70" s="35"/>
      <c r="Q70" s="346"/>
      <c r="R70" s="347"/>
      <c r="S70" s="348"/>
      <c r="T70" s="35"/>
      <c r="U70" s="339"/>
      <c r="V70" s="100"/>
      <c r="W70" s="100"/>
      <c r="X70" s="340"/>
      <c r="Y70" s="35"/>
      <c r="Z70" s="346"/>
      <c r="AA70" s="347"/>
      <c r="AB70" s="348"/>
      <c r="AC70" s="35"/>
      <c r="AD70" s="339"/>
      <c r="AE70" s="100"/>
      <c r="AF70" s="100"/>
      <c r="AG70" s="340"/>
      <c r="AH70" s="35"/>
      <c r="AI70" s="346"/>
      <c r="AJ70" s="347"/>
      <c r="AK70" s="348"/>
      <c r="AL70" s="35"/>
      <c r="AM70" s="339"/>
      <c r="AN70" s="100"/>
      <c r="AO70" s="100"/>
      <c r="AP70" s="340"/>
      <c r="AQ70" s="35"/>
      <c r="AR70" s="106"/>
      <c r="AS70" s="107"/>
      <c r="AT70" s="353"/>
      <c r="AU70" s="35"/>
      <c r="AV70" s="358"/>
      <c r="AW70" s="359"/>
      <c r="AX70" s="360"/>
      <c r="AY70" s="35"/>
      <c r="AZ70" s="106"/>
      <c r="BA70" s="107"/>
      <c r="BB70" s="353"/>
      <c r="BC70" s="35"/>
      <c r="BD70" s="106"/>
      <c r="BE70" s="107"/>
      <c r="BF70" s="353"/>
      <c r="BG70" s="35"/>
      <c r="BH70" s="106"/>
      <c r="BI70" s="107"/>
      <c r="BJ70" s="353"/>
      <c r="BK70" s="35"/>
      <c r="BL70" s="367"/>
      <c r="BM70" s="368"/>
      <c r="BN70" s="369"/>
    </row>
    <row r="71" spans="2:66" ht="15.6" x14ac:dyDescent="0.3">
      <c r="B71" s="306" t="s">
        <v>41</v>
      </c>
      <c r="C71" s="111" t="s">
        <v>77</v>
      </c>
      <c r="D71" s="111" t="s">
        <v>228</v>
      </c>
      <c r="E71" s="385">
        <v>45473</v>
      </c>
      <c r="F71" s="35"/>
      <c r="G71" s="380">
        <v>184302.97166000001</v>
      </c>
      <c r="H71" s="112">
        <v>152914.52979</v>
      </c>
      <c r="I71" s="112">
        <v>762139.28459000005</v>
      </c>
      <c r="J71" s="381">
        <v>823750.59083</v>
      </c>
      <c r="K71" s="72"/>
      <c r="L71" s="380">
        <v>61954.188295</v>
      </c>
      <c r="M71" s="112">
        <v>56741.744549000003</v>
      </c>
      <c r="N71" s="112">
        <v>272374.82659000001</v>
      </c>
      <c r="O71" s="381">
        <v>156635.24848000001</v>
      </c>
      <c r="P71" s="35"/>
      <c r="Q71" s="382">
        <v>0.35738195378999998</v>
      </c>
      <c r="R71" s="383">
        <v>0.36467077199999998</v>
      </c>
      <c r="S71" s="384">
        <v>0.13547222334</v>
      </c>
      <c r="T71" s="35"/>
      <c r="U71" s="380">
        <v>37591.816739000002</v>
      </c>
      <c r="V71" s="112">
        <v>38277.272712999998</v>
      </c>
      <c r="W71" s="112">
        <v>193091.49020999999</v>
      </c>
      <c r="X71" s="381">
        <v>90561.895434999999</v>
      </c>
      <c r="Y71" s="35"/>
      <c r="Z71" s="382">
        <v>0.25335459557000001</v>
      </c>
      <c r="AA71" s="383">
        <v>0.25065617366999998</v>
      </c>
      <c r="AB71" s="384">
        <v>6.4076376699000001E-2</v>
      </c>
      <c r="AC71" s="35"/>
      <c r="AD71" s="380">
        <v>94118.540343000001</v>
      </c>
      <c r="AE71" s="112">
        <v>91285.746245000002</v>
      </c>
      <c r="AF71" s="112">
        <v>407794.48645999999</v>
      </c>
      <c r="AG71" s="381">
        <v>294374.01591000002</v>
      </c>
      <c r="AH71" s="35"/>
      <c r="AI71" s="382">
        <v>0.53506556439999997</v>
      </c>
      <c r="AJ71" s="383">
        <v>0.54352558463</v>
      </c>
      <c r="AK71" s="384">
        <v>0.25627177151000002</v>
      </c>
      <c r="AL71" s="35"/>
      <c r="AM71" s="380">
        <v>1313.7114054000001</v>
      </c>
      <c r="AN71" s="112">
        <v>-1297.0737071000001</v>
      </c>
      <c r="AO71" s="112">
        <v>29080.291582999998</v>
      </c>
      <c r="AP71" s="381">
        <v>-34984.379139999997</v>
      </c>
      <c r="AQ71" s="35"/>
      <c r="AR71" s="113">
        <v>3.8156137824E-2</v>
      </c>
      <c r="AS71" s="114">
        <v>1.4508768964E-2</v>
      </c>
      <c r="AT71" s="376">
        <v>-7.8470463663999998E-2</v>
      </c>
      <c r="AU71" s="35"/>
      <c r="AV71" s="379">
        <v>2.2992084648000002E-3</v>
      </c>
      <c r="AW71" s="377">
        <v>7.9697852776000003E-4</v>
      </c>
      <c r="AX71" s="378">
        <v>-6.1373293283000004E-3</v>
      </c>
      <c r="AY71" s="35"/>
      <c r="AZ71" s="113">
        <v>1.8369183438000002E-2</v>
      </c>
      <c r="BA71" s="114">
        <v>6.3499208473000003E-3</v>
      </c>
      <c r="BB71" s="376">
        <v>-4.6814743254999999E-2</v>
      </c>
      <c r="BC71" s="35"/>
      <c r="BD71" s="113">
        <v>4.4103872342E-2</v>
      </c>
      <c r="BE71" s="114">
        <v>4.0195395542000002E-2</v>
      </c>
      <c r="BF71" s="376">
        <v>1.3926008585E-2</v>
      </c>
      <c r="BG71" s="35"/>
      <c r="BH71" s="113">
        <v>9.5103090160999996E-3</v>
      </c>
      <c r="BI71" s="114">
        <v>3.2083460438999999E-3</v>
      </c>
      <c r="BJ71" s="376">
        <v>-2.2778864821999999E-2</v>
      </c>
      <c r="BK71" s="35"/>
      <c r="BL71" s="373">
        <v>0.24924716071</v>
      </c>
      <c r="BM71" s="374">
        <v>0.22113151376000001</v>
      </c>
      <c r="BN71" s="375">
        <v>0.29028584462000001</v>
      </c>
    </row>
    <row r="72" spans="2:66" ht="15.6" x14ac:dyDescent="0.3">
      <c r="B72" s="283" t="s">
        <v>1105</v>
      </c>
      <c r="C72" s="99" t="s">
        <v>1139</v>
      </c>
      <c r="D72" s="99" t="s">
        <v>228</v>
      </c>
      <c r="E72" s="334">
        <v>45473</v>
      </c>
      <c r="F72" s="35"/>
      <c r="G72" s="339">
        <v>61503.572236</v>
      </c>
      <c r="H72" s="100">
        <v>71990.728824999998</v>
      </c>
      <c r="I72" s="100">
        <v>264678.22401000001</v>
      </c>
      <c r="J72" s="340">
        <v>325329.09834000003</v>
      </c>
      <c r="K72" s="72"/>
      <c r="L72" s="339">
        <v>17048.140293</v>
      </c>
      <c r="M72" s="100">
        <v>11077.427868999999</v>
      </c>
      <c r="N72" s="100">
        <v>67360.577401000002</v>
      </c>
      <c r="O72" s="340">
        <v>24788.752186000002</v>
      </c>
      <c r="P72" s="35"/>
      <c r="Q72" s="346">
        <v>0.25449988434999998</v>
      </c>
      <c r="R72" s="347">
        <v>0.20789476555</v>
      </c>
      <c r="S72" s="348">
        <v>2.3501640784000001E-2</v>
      </c>
      <c r="T72" s="35"/>
      <c r="U72" s="339">
        <v>11823.402647999999</v>
      </c>
      <c r="V72" s="100">
        <v>1975.9453489</v>
      </c>
      <c r="W72" s="100">
        <v>41804.926350000002</v>
      </c>
      <c r="X72" s="340">
        <v>-926.78008425999997</v>
      </c>
      <c r="Y72" s="35"/>
      <c r="Z72" s="346">
        <v>0.1579462251</v>
      </c>
      <c r="AA72" s="347">
        <v>9.955170646E-2</v>
      </c>
      <c r="AB72" s="348">
        <v>-3.7365961963000002E-2</v>
      </c>
      <c r="AC72" s="35"/>
      <c r="AD72" s="339">
        <v>36595.242694</v>
      </c>
      <c r="AE72" s="100">
        <v>26937.292020000001</v>
      </c>
      <c r="AF72" s="100">
        <v>139757.21578999999</v>
      </c>
      <c r="AG72" s="340">
        <v>93426.963889000006</v>
      </c>
      <c r="AH72" s="35"/>
      <c r="AI72" s="346">
        <v>0.52802687606999998</v>
      </c>
      <c r="AJ72" s="347">
        <v>0.44571939659999998</v>
      </c>
      <c r="AK72" s="348">
        <v>0.21865126322</v>
      </c>
      <c r="AL72" s="35"/>
      <c r="AM72" s="339">
        <v>-5439.5078818000002</v>
      </c>
      <c r="AN72" s="100">
        <v>-15314.883988</v>
      </c>
      <c r="AO72" s="100">
        <v>-25438.229941000001</v>
      </c>
      <c r="AP72" s="340">
        <v>-33164.291840999998</v>
      </c>
      <c r="AQ72" s="35"/>
      <c r="AR72" s="106">
        <v>-9.6110022030000006E-2</v>
      </c>
      <c r="AS72" s="107">
        <v>-0.13518613453</v>
      </c>
      <c r="AT72" s="353">
        <v>-0.11173191171999999</v>
      </c>
      <c r="AU72" s="35"/>
      <c r="AV72" s="358">
        <v>-1.7556036725000002E-2</v>
      </c>
      <c r="AW72" s="359">
        <v>-2.6278638688999999E-2</v>
      </c>
      <c r="AX72" s="360">
        <v>-2.7504920320000001E-2</v>
      </c>
      <c r="AY72" s="35"/>
      <c r="AZ72" s="106">
        <v>-6.3592298776000006E-2</v>
      </c>
      <c r="BA72" s="107">
        <v>-8.7170271800000004E-2</v>
      </c>
      <c r="BB72" s="353">
        <v>-8.4283854106999997E-2</v>
      </c>
      <c r="BC72" s="35"/>
      <c r="BD72" s="106">
        <v>2.9725197376999999E-2</v>
      </c>
      <c r="BE72" s="107">
        <v>1.9504083709E-2</v>
      </c>
      <c r="BF72" s="353">
        <v>-9.1826139094000007E-3</v>
      </c>
      <c r="BG72" s="35"/>
      <c r="BH72" s="106">
        <v>-2.3739058604E-2</v>
      </c>
      <c r="BI72" s="107">
        <v>-3.3490689674999997E-2</v>
      </c>
      <c r="BJ72" s="353">
        <v>-3.2348326383000003E-2</v>
      </c>
      <c r="BK72" s="35"/>
      <c r="BL72" s="367">
        <v>0.24699878434</v>
      </c>
      <c r="BM72" s="368">
        <v>0.24773760852999999</v>
      </c>
      <c r="BN72" s="369">
        <v>0.28951734453</v>
      </c>
    </row>
    <row r="73" spans="2:66" ht="15.6" x14ac:dyDescent="0.3">
      <c r="B73" s="306" t="s">
        <v>43</v>
      </c>
      <c r="C73" s="111" t="s">
        <v>78</v>
      </c>
      <c r="D73" s="111" t="s">
        <v>228</v>
      </c>
      <c r="E73" s="385">
        <v>45473</v>
      </c>
      <c r="F73" s="35"/>
      <c r="G73" s="380">
        <v>118982.71150999999</v>
      </c>
      <c r="H73" s="112">
        <v>108803.56348</v>
      </c>
      <c r="I73" s="112">
        <v>461901.53230000002</v>
      </c>
      <c r="J73" s="381">
        <v>431643.11712000001</v>
      </c>
      <c r="K73" s="72"/>
      <c r="L73" s="380">
        <v>17096.313055999999</v>
      </c>
      <c r="M73" s="112">
        <v>25237.497847999999</v>
      </c>
      <c r="N73" s="112">
        <v>-12165.629988999999</v>
      </c>
      <c r="O73" s="381">
        <v>102921.75263</v>
      </c>
      <c r="P73" s="35"/>
      <c r="Q73" s="382">
        <v>-2.6338145988000002E-2</v>
      </c>
      <c r="R73" s="383">
        <v>1.1075726143E-2</v>
      </c>
      <c r="S73" s="384">
        <v>0.20841868518000001</v>
      </c>
      <c r="T73" s="35"/>
      <c r="U73" s="380">
        <v>1131.0563437000001</v>
      </c>
      <c r="V73" s="112">
        <v>19276.188931000001</v>
      </c>
      <c r="W73" s="112">
        <v>-68456.507771999997</v>
      </c>
      <c r="X73" s="381">
        <v>61343.218128</v>
      </c>
      <c r="Y73" s="35"/>
      <c r="Z73" s="382">
        <v>-0.14820584688999999</v>
      </c>
      <c r="AA73" s="383">
        <v>-9.4600438958999999E-2</v>
      </c>
      <c r="AB73" s="384">
        <v>0.12340452936</v>
      </c>
      <c r="AC73" s="35"/>
      <c r="AD73" s="380">
        <v>18509.380786999998</v>
      </c>
      <c r="AE73" s="112">
        <v>37094.215968999997</v>
      </c>
      <c r="AF73" s="112">
        <v>-3597.9032759000002</v>
      </c>
      <c r="AG73" s="381">
        <v>135283.74161999999</v>
      </c>
      <c r="AH73" s="35"/>
      <c r="AI73" s="382">
        <v>-7.7893295958999997E-3</v>
      </c>
      <c r="AJ73" s="383">
        <v>5.3919289895999999E-2</v>
      </c>
      <c r="AK73" s="384">
        <v>0.28224937518999998</v>
      </c>
      <c r="AL73" s="35"/>
      <c r="AM73" s="380">
        <v>-767201.43914999999</v>
      </c>
      <c r="AN73" s="112">
        <v>-39080.621589000002</v>
      </c>
      <c r="AO73" s="112">
        <v>-958573.76387000002</v>
      </c>
      <c r="AP73" s="381">
        <v>-146810.96118000001</v>
      </c>
      <c r="AQ73" s="35"/>
      <c r="AR73" s="113">
        <v>-2.075277298</v>
      </c>
      <c r="AS73" s="114">
        <v>-0.51294557884000003</v>
      </c>
      <c r="AT73" s="376">
        <v>-0.40810857003000001</v>
      </c>
      <c r="AU73" s="35"/>
      <c r="AV73" s="379">
        <v>-3.1462573128E-2</v>
      </c>
      <c r="AW73" s="377">
        <v>-7.3058868649999997E-3</v>
      </c>
      <c r="AX73" s="378">
        <v>-5.4273281226E-3</v>
      </c>
      <c r="AY73" s="35"/>
      <c r="AZ73" s="113"/>
      <c r="BA73" s="114"/>
      <c r="BB73" s="376"/>
      <c r="BC73" s="35"/>
      <c r="BD73" s="113">
        <v>-2.6135302047E-2</v>
      </c>
      <c r="BE73" s="114">
        <v>-1.3533479980000001E-2</v>
      </c>
      <c r="BF73" s="376">
        <v>1.7902089602000001E-2</v>
      </c>
      <c r="BG73" s="35"/>
      <c r="BH73" s="113">
        <v>-0.53458406326999997</v>
      </c>
      <c r="BI73" s="114">
        <v>-9.2839475372999997E-2</v>
      </c>
      <c r="BJ73" s="376">
        <v>-7.5423174445999996E-2</v>
      </c>
      <c r="BK73" s="35"/>
      <c r="BL73" s="373">
        <v>0.25759644929999997</v>
      </c>
      <c r="BM73" s="374">
        <v>0.18099283666999999</v>
      </c>
      <c r="BN73" s="375">
        <v>0.18481154277</v>
      </c>
    </row>
    <row r="74" spans="2:66" ht="15.6" x14ac:dyDescent="0.3">
      <c r="B74" s="283" t="s">
        <v>1106</v>
      </c>
      <c r="C74" s="99" t="s">
        <v>1140</v>
      </c>
      <c r="D74" s="99" t="s">
        <v>232</v>
      </c>
      <c r="E74" s="334">
        <v>45473</v>
      </c>
      <c r="F74" s="35"/>
      <c r="G74" s="339">
        <v>235999.37213</v>
      </c>
      <c r="H74" s="100">
        <v>255142.76639999999</v>
      </c>
      <c r="I74" s="100">
        <v>958350.96484000003</v>
      </c>
      <c r="J74" s="340">
        <v>962266.55645000003</v>
      </c>
      <c r="K74" s="72"/>
      <c r="L74" s="339">
        <v>68066.107667000004</v>
      </c>
      <c r="M74" s="100">
        <v>92120.475936999996</v>
      </c>
      <c r="N74" s="100">
        <v>295745.64208999998</v>
      </c>
      <c r="O74" s="340">
        <v>359968.28850999998</v>
      </c>
      <c r="P74" s="35"/>
      <c r="Q74" s="346">
        <v>0.30859847065000001</v>
      </c>
      <c r="R74" s="347">
        <v>0.34474633295000001</v>
      </c>
      <c r="S74" s="348">
        <v>0.33896007808</v>
      </c>
      <c r="T74" s="35"/>
      <c r="U74" s="339">
        <v>51796.760385000001</v>
      </c>
      <c r="V74" s="100">
        <v>59794.051870000003</v>
      </c>
      <c r="W74" s="100">
        <v>211951.12713000001</v>
      </c>
      <c r="X74" s="340">
        <v>228520.32855999999</v>
      </c>
      <c r="Y74" s="35"/>
      <c r="Z74" s="346">
        <v>0.22116232457000001</v>
      </c>
      <c r="AA74" s="347">
        <v>0.24033043086</v>
      </c>
      <c r="AB74" s="348">
        <v>0.52412763055</v>
      </c>
      <c r="AC74" s="35"/>
      <c r="AD74" s="339">
        <v>90477.482300000003</v>
      </c>
      <c r="AE74" s="100">
        <v>92534.702701999995</v>
      </c>
      <c r="AF74" s="100">
        <v>355131.61992999999</v>
      </c>
      <c r="AG74" s="340">
        <v>347931.65370999998</v>
      </c>
      <c r="AH74" s="35"/>
      <c r="AI74" s="346">
        <v>0.37056530744999999</v>
      </c>
      <c r="AJ74" s="347">
        <v>0.37167732482999999</v>
      </c>
      <c r="AK74" s="348">
        <v>0.65091529860999997</v>
      </c>
      <c r="AL74" s="35"/>
      <c r="AM74" s="339">
        <v>9049.4543486999992</v>
      </c>
      <c r="AN74" s="100">
        <v>16372.41747</v>
      </c>
      <c r="AO74" s="100">
        <v>52414.977516999999</v>
      </c>
      <c r="AP74" s="340">
        <v>61537.779183999999</v>
      </c>
      <c r="AQ74" s="35"/>
      <c r="AR74" s="106">
        <v>5.4692883338000001E-2</v>
      </c>
      <c r="AS74" s="107">
        <v>6.3472070327000002E-2</v>
      </c>
      <c r="AT74" s="353">
        <v>0.37762207016999999</v>
      </c>
      <c r="AU74" s="35"/>
      <c r="AV74" s="358">
        <v>3.2364871910000002E-2</v>
      </c>
      <c r="AW74" s="359">
        <v>3.7691780193999998E-2</v>
      </c>
      <c r="AX74" s="360">
        <v>0.18629120376</v>
      </c>
      <c r="AY74" s="35"/>
      <c r="AZ74" s="106">
        <v>3.8507336574000003E-2</v>
      </c>
      <c r="BA74" s="107">
        <v>4.5281201224999998E-2</v>
      </c>
      <c r="BB74" s="353">
        <v>0.25859337802999999</v>
      </c>
      <c r="BC74" s="35"/>
      <c r="BD74" s="106">
        <v>5.6017211944999999E-2</v>
      </c>
      <c r="BE74" s="107">
        <v>6.2361671684000003E-2</v>
      </c>
      <c r="BF74" s="353">
        <v>0.11377340963</v>
      </c>
      <c r="BG74" s="35"/>
      <c r="BH74" s="106">
        <v>1.6918115247000001E-2</v>
      </c>
      <c r="BI74" s="107">
        <v>1.9386793023999999E-2</v>
      </c>
      <c r="BJ74" s="353">
        <v>9.9060200547999994E-2</v>
      </c>
      <c r="BK74" s="35"/>
      <c r="BL74" s="367">
        <v>0.30932937182999998</v>
      </c>
      <c r="BM74" s="368">
        <v>0.30543817026999998</v>
      </c>
      <c r="BN74" s="369">
        <v>0.26232630021999997</v>
      </c>
    </row>
    <row r="75" spans="2:66" ht="15.6" x14ac:dyDescent="0.3">
      <c r="B75" s="306" t="s">
        <v>1421</v>
      </c>
      <c r="C75" s="111" t="s">
        <v>1903</v>
      </c>
      <c r="D75" s="111" t="s">
        <v>231</v>
      </c>
      <c r="E75" s="385"/>
      <c r="F75" s="35"/>
      <c r="G75" s="380"/>
      <c r="H75" s="112"/>
      <c r="I75" s="112"/>
      <c r="J75" s="381"/>
      <c r="K75" s="72"/>
      <c r="L75" s="380"/>
      <c r="M75" s="112"/>
      <c r="N75" s="112"/>
      <c r="O75" s="381"/>
      <c r="P75" s="35"/>
      <c r="Q75" s="382"/>
      <c r="R75" s="383"/>
      <c r="S75" s="384"/>
      <c r="T75" s="35"/>
      <c r="U75" s="380"/>
      <c r="V75" s="112"/>
      <c r="W75" s="112"/>
      <c r="X75" s="381"/>
      <c r="Y75" s="35"/>
      <c r="Z75" s="382"/>
      <c r="AA75" s="383"/>
      <c r="AB75" s="384"/>
      <c r="AC75" s="35"/>
      <c r="AD75" s="380"/>
      <c r="AE75" s="112"/>
      <c r="AF75" s="112"/>
      <c r="AG75" s="381"/>
      <c r="AH75" s="35"/>
      <c r="AI75" s="382"/>
      <c r="AJ75" s="383"/>
      <c r="AK75" s="384"/>
      <c r="AL75" s="35"/>
      <c r="AM75" s="380"/>
      <c r="AN75" s="112"/>
      <c r="AO75" s="112"/>
      <c r="AP75" s="381"/>
      <c r="AQ75" s="35"/>
      <c r="AR75" s="113"/>
      <c r="AS75" s="114"/>
      <c r="AT75" s="376"/>
      <c r="AU75" s="35"/>
      <c r="AV75" s="379"/>
      <c r="AW75" s="377"/>
      <c r="AX75" s="378"/>
      <c r="AY75" s="35"/>
      <c r="AZ75" s="113"/>
      <c r="BA75" s="114"/>
      <c r="BB75" s="376"/>
      <c r="BC75" s="35"/>
      <c r="BD75" s="113"/>
      <c r="BE75" s="114"/>
      <c r="BF75" s="376"/>
      <c r="BG75" s="35"/>
      <c r="BH75" s="113"/>
      <c r="BI75" s="114"/>
      <c r="BJ75" s="376"/>
      <c r="BK75" s="35"/>
      <c r="BL75" s="373"/>
      <c r="BM75" s="374"/>
      <c r="BN75" s="375"/>
    </row>
    <row r="76" spans="2:66" ht="15.6" x14ac:dyDescent="0.3">
      <c r="B76" s="283" t="s">
        <v>511</v>
      </c>
      <c r="C76" s="99" t="s">
        <v>621</v>
      </c>
      <c r="D76" s="99" t="s">
        <v>228</v>
      </c>
      <c r="E76" s="334"/>
      <c r="F76" s="35"/>
      <c r="G76" s="339"/>
      <c r="H76" s="100"/>
      <c r="I76" s="100"/>
      <c r="J76" s="340"/>
      <c r="K76" s="72"/>
      <c r="L76" s="339"/>
      <c r="M76" s="100"/>
      <c r="N76" s="100"/>
      <c r="O76" s="340"/>
      <c r="P76" s="35"/>
      <c r="Q76" s="346"/>
      <c r="R76" s="347"/>
      <c r="S76" s="348"/>
      <c r="T76" s="35"/>
      <c r="U76" s="339"/>
      <c r="V76" s="100"/>
      <c r="W76" s="100"/>
      <c r="X76" s="340"/>
      <c r="Y76" s="35"/>
      <c r="Z76" s="346"/>
      <c r="AA76" s="347"/>
      <c r="AB76" s="348"/>
      <c r="AC76" s="35"/>
      <c r="AD76" s="339"/>
      <c r="AE76" s="100"/>
      <c r="AF76" s="100"/>
      <c r="AG76" s="340"/>
      <c r="AH76" s="35"/>
      <c r="AI76" s="346"/>
      <c r="AJ76" s="347"/>
      <c r="AK76" s="348"/>
      <c r="AL76" s="35"/>
      <c r="AM76" s="339"/>
      <c r="AN76" s="100"/>
      <c r="AO76" s="100"/>
      <c r="AP76" s="340"/>
      <c r="AQ76" s="35"/>
      <c r="AR76" s="106"/>
      <c r="AS76" s="107"/>
      <c r="AT76" s="353"/>
      <c r="AU76" s="35"/>
      <c r="AV76" s="358"/>
      <c r="AW76" s="359"/>
      <c r="AX76" s="360"/>
      <c r="AY76" s="35"/>
      <c r="AZ76" s="106"/>
      <c r="BA76" s="107"/>
      <c r="BB76" s="353"/>
      <c r="BC76" s="35"/>
      <c r="BD76" s="106"/>
      <c r="BE76" s="107"/>
      <c r="BF76" s="353"/>
      <c r="BG76" s="35"/>
      <c r="BH76" s="106"/>
      <c r="BI76" s="107"/>
      <c r="BJ76" s="353"/>
      <c r="BK76" s="35"/>
      <c r="BL76" s="367"/>
      <c r="BM76" s="368"/>
      <c r="BN76" s="369"/>
    </row>
    <row r="77" spans="2:66" ht="15.6" x14ac:dyDescent="0.3">
      <c r="B77" s="306" t="s">
        <v>1422</v>
      </c>
      <c r="C77" s="111" t="s">
        <v>1904</v>
      </c>
      <c r="D77" s="111" t="s">
        <v>228</v>
      </c>
      <c r="E77" s="385">
        <v>45473</v>
      </c>
      <c r="F77" s="35"/>
      <c r="G77" s="380">
        <v>122926.85653</v>
      </c>
      <c r="H77" s="112">
        <v>79571.287821000005</v>
      </c>
      <c r="I77" s="112">
        <v>469017.05090999999</v>
      </c>
      <c r="J77" s="381">
        <v>480177.73239000002</v>
      </c>
      <c r="K77" s="72"/>
      <c r="L77" s="380">
        <v>16695.876960000001</v>
      </c>
      <c r="M77" s="112">
        <v>22711.342199999999</v>
      </c>
      <c r="N77" s="112">
        <v>77550.120486999993</v>
      </c>
      <c r="O77" s="381">
        <v>74061.862647999995</v>
      </c>
      <c r="P77" s="35"/>
      <c r="Q77" s="382">
        <v>0.16534605796999999</v>
      </c>
      <c r="R77" s="383">
        <v>0.20970628408</v>
      </c>
      <c r="S77" s="384">
        <v>0.13130288733000001</v>
      </c>
      <c r="T77" s="35"/>
      <c r="U77" s="380">
        <v>13992.180606</v>
      </c>
      <c r="V77" s="112">
        <v>18673.677273000001</v>
      </c>
      <c r="W77" s="112">
        <v>64771.291362000004</v>
      </c>
      <c r="X77" s="381">
        <v>58580.660337000001</v>
      </c>
      <c r="Y77" s="35"/>
      <c r="Z77" s="382">
        <v>0.1381000781</v>
      </c>
      <c r="AA77" s="383">
        <v>0.17055163957</v>
      </c>
      <c r="AB77" s="384">
        <v>0.10192448761</v>
      </c>
      <c r="AC77" s="35"/>
      <c r="AD77" s="380">
        <v>21846.348259999999</v>
      </c>
      <c r="AE77" s="112">
        <v>25048.166926999998</v>
      </c>
      <c r="AF77" s="112">
        <v>94107.500751</v>
      </c>
      <c r="AG77" s="381">
        <v>81641.375616999998</v>
      </c>
      <c r="AH77" s="35"/>
      <c r="AI77" s="382">
        <v>0.20064835717000001</v>
      </c>
      <c r="AJ77" s="383">
        <v>0.23591240366999999</v>
      </c>
      <c r="AK77" s="384">
        <v>0.13694687516000001</v>
      </c>
      <c r="AL77" s="35"/>
      <c r="AM77" s="380">
        <v>4525.2289739999997</v>
      </c>
      <c r="AN77" s="112">
        <v>12852.535999</v>
      </c>
      <c r="AO77" s="112">
        <v>33860.434763999998</v>
      </c>
      <c r="AP77" s="381">
        <v>44473.937746000003</v>
      </c>
      <c r="AQ77" s="35"/>
      <c r="AR77" s="113">
        <v>7.2194464355999993E-2</v>
      </c>
      <c r="AS77" s="114">
        <v>0.11425110417000001</v>
      </c>
      <c r="AT77" s="376">
        <v>9.6011929337999999E-2</v>
      </c>
      <c r="AU77" s="35"/>
      <c r="AV77" s="379">
        <v>5.4207295225999999E-2</v>
      </c>
      <c r="AW77" s="377">
        <v>7.3646343951999996E-2</v>
      </c>
      <c r="AX77" s="378">
        <v>7.6965715360000006E-2</v>
      </c>
      <c r="AY77" s="35"/>
      <c r="AZ77" s="113">
        <v>5.2546616257000002E-2</v>
      </c>
      <c r="BA77" s="114">
        <v>7.1918200459999998E-2</v>
      </c>
      <c r="BB77" s="376">
        <v>7.4292400708E-2</v>
      </c>
      <c r="BC77" s="35"/>
      <c r="BD77" s="113">
        <v>4.0953366659999997E-2</v>
      </c>
      <c r="BE77" s="114">
        <v>4.9790479633999997E-2</v>
      </c>
      <c r="BF77" s="376">
        <v>5.4833544492000001E-2</v>
      </c>
      <c r="BG77" s="35"/>
      <c r="BH77" s="113">
        <v>2.3424915851000001E-2</v>
      </c>
      <c r="BI77" s="114">
        <v>3.3056027506999999E-2</v>
      </c>
      <c r="BJ77" s="376">
        <v>5.0572028508000001E-2</v>
      </c>
      <c r="BK77" s="35"/>
      <c r="BL77" s="373">
        <v>0.32446969529000003</v>
      </c>
      <c r="BM77" s="374">
        <v>0.28932786029000002</v>
      </c>
      <c r="BN77" s="375">
        <v>0.52672651050999997</v>
      </c>
    </row>
    <row r="78" spans="2:66" ht="15.6" x14ac:dyDescent="0.3">
      <c r="B78" s="283" t="s">
        <v>2247</v>
      </c>
      <c r="C78" s="99" t="s">
        <v>80</v>
      </c>
      <c r="D78" s="99" t="s">
        <v>228</v>
      </c>
      <c r="E78" s="334">
        <v>45473</v>
      </c>
      <c r="F78" s="35"/>
      <c r="G78" s="339">
        <v>454495.97350000002</v>
      </c>
      <c r="H78" s="100">
        <v>438138.94592999999</v>
      </c>
      <c r="I78" s="100">
        <v>1802162.152</v>
      </c>
      <c r="J78" s="340">
        <v>1669650.8073</v>
      </c>
      <c r="K78" s="72"/>
      <c r="L78" s="339">
        <v>268474.83993999998</v>
      </c>
      <c r="M78" s="100">
        <v>254153.22469</v>
      </c>
      <c r="N78" s="100">
        <v>1130167.1547999999</v>
      </c>
      <c r="O78" s="340">
        <v>1034541.8046</v>
      </c>
      <c r="P78" s="35"/>
      <c r="Q78" s="346">
        <v>0.62711735095999999</v>
      </c>
      <c r="R78" s="347">
        <v>0.61812820248</v>
      </c>
      <c r="S78" s="348">
        <v>0.63290988790000002</v>
      </c>
      <c r="T78" s="35"/>
      <c r="U78" s="339">
        <v>251007.19516</v>
      </c>
      <c r="V78" s="100">
        <v>232483.72555999999</v>
      </c>
      <c r="W78" s="100">
        <v>1053039.5495</v>
      </c>
      <c r="X78" s="340">
        <v>950859.63002000004</v>
      </c>
      <c r="Y78" s="35"/>
      <c r="Z78" s="346">
        <v>0.58432008928000001</v>
      </c>
      <c r="AA78" s="347">
        <v>0.56970974235000005</v>
      </c>
      <c r="AB78" s="348">
        <v>0.58068866761000004</v>
      </c>
      <c r="AC78" s="35"/>
      <c r="AD78" s="339">
        <v>289788.277</v>
      </c>
      <c r="AE78" s="100">
        <v>268524.59216</v>
      </c>
      <c r="AF78" s="100">
        <v>1208332.4816000001</v>
      </c>
      <c r="AG78" s="340">
        <v>1091051.3311999999</v>
      </c>
      <c r="AH78" s="35"/>
      <c r="AI78" s="346">
        <v>0.67049043296999999</v>
      </c>
      <c r="AJ78" s="347">
        <v>0.65507596951000002</v>
      </c>
      <c r="AK78" s="348">
        <v>0.67165696008999998</v>
      </c>
      <c r="AL78" s="35"/>
      <c r="AM78" s="339">
        <v>136360.03236000001</v>
      </c>
      <c r="AN78" s="100">
        <v>115534.7484</v>
      </c>
      <c r="AO78" s="100">
        <v>571740.45114000002</v>
      </c>
      <c r="AP78" s="340">
        <v>533370.30671000003</v>
      </c>
      <c r="AQ78" s="35"/>
      <c r="AR78" s="106">
        <v>0.31725250167000002</v>
      </c>
      <c r="AS78" s="107">
        <v>0.30622878861000002</v>
      </c>
      <c r="AT78" s="353">
        <v>0.32605488303000002</v>
      </c>
      <c r="AU78" s="35"/>
      <c r="AV78" s="358">
        <v>2.1706445368999998</v>
      </c>
      <c r="AW78" s="359">
        <v>2.019142548</v>
      </c>
      <c r="AX78" s="360">
        <v>1.7455649033</v>
      </c>
      <c r="AY78" s="35"/>
      <c r="AZ78" s="106">
        <v>1.3961108184</v>
      </c>
      <c r="BA78" s="107">
        <v>0.96039987059999998</v>
      </c>
      <c r="BB78" s="353">
        <v>0.76314689170000005</v>
      </c>
      <c r="BC78" s="35"/>
      <c r="BD78" s="106">
        <v>0.24315913883000001</v>
      </c>
      <c r="BE78" s="107">
        <v>0.23832600058</v>
      </c>
      <c r="BF78" s="353">
        <v>0.21427482054999999</v>
      </c>
      <c r="BG78" s="35"/>
      <c r="BH78" s="106">
        <v>0.1704749653</v>
      </c>
      <c r="BI78" s="107">
        <v>0.16891664457</v>
      </c>
      <c r="BJ78" s="353">
        <v>0.16310150146999999</v>
      </c>
      <c r="BK78" s="35"/>
      <c r="BL78" s="367">
        <v>0.53734789922000004</v>
      </c>
      <c r="BM78" s="368">
        <v>0.55160275861999997</v>
      </c>
      <c r="BN78" s="369">
        <v>0.50022713954999998</v>
      </c>
    </row>
    <row r="79" spans="2:66" ht="15.6" x14ac:dyDescent="0.3">
      <c r="B79" s="306" t="s">
        <v>1423</v>
      </c>
      <c r="C79" s="111" t="s">
        <v>1905</v>
      </c>
      <c r="D79" s="111" t="s">
        <v>228</v>
      </c>
      <c r="E79" s="385"/>
      <c r="F79" s="35"/>
      <c r="G79" s="380"/>
      <c r="H79" s="112"/>
      <c r="I79" s="112"/>
      <c r="J79" s="381"/>
      <c r="K79" s="72"/>
      <c r="L79" s="380"/>
      <c r="M79" s="112"/>
      <c r="N79" s="112"/>
      <c r="O79" s="381"/>
      <c r="P79" s="35"/>
      <c r="Q79" s="382"/>
      <c r="R79" s="383"/>
      <c r="S79" s="384"/>
      <c r="T79" s="35"/>
      <c r="U79" s="380"/>
      <c r="V79" s="112"/>
      <c r="W79" s="112"/>
      <c r="X79" s="381"/>
      <c r="Y79" s="35"/>
      <c r="Z79" s="382"/>
      <c r="AA79" s="383"/>
      <c r="AB79" s="384"/>
      <c r="AC79" s="35"/>
      <c r="AD79" s="380"/>
      <c r="AE79" s="112"/>
      <c r="AF79" s="112"/>
      <c r="AG79" s="381"/>
      <c r="AH79" s="35"/>
      <c r="AI79" s="382"/>
      <c r="AJ79" s="383"/>
      <c r="AK79" s="384"/>
      <c r="AL79" s="35"/>
      <c r="AM79" s="380"/>
      <c r="AN79" s="112"/>
      <c r="AO79" s="112"/>
      <c r="AP79" s="381"/>
      <c r="AQ79" s="35"/>
      <c r="AR79" s="113"/>
      <c r="AS79" s="114"/>
      <c r="AT79" s="376"/>
      <c r="AU79" s="35"/>
      <c r="AV79" s="379"/>
      <c r="AW79" s="377"/>
      <c r="AX79" s="378"/>
      <c r="AY79" s="35"/>
      <c r="AZ79" s="113"/>
      <c r="BA79" s="114"/>
      <c r="BB79" s="376"/>
      <c r="BC79" s="35"/>
      <c r="BD79" s="113"/>
      <c r="BE79" s="114"/>
      <c r="BF79" s="376"/>
      <c r="BG79" s="35"/>
      <c r="BH79" s="113"/>
      <c r="BI79" s="114"/>
      <c r="BJ79" s="376"/>
      <c r="BK79" s="35"/>
      <c r="BL79" s="373"/>
      <c r="BM79" s="374"/>
      <c r="BN79" s="375"/>
    </row>
    <row r="80" spans="2:66" ht="15.6" x14ac:dyDescent="0.3">
      <c r="B80" s="283" t="s">
        <v>2248</v>
      </c>
      <c r="C80" s="99" t="s">
        <v>2800</v>
      </c>
      <c r="D80" s="99" t="s">
        <v>228</v>
      </c>
      <c r="E80" s="334"/>
      <c r="F80" s="35"/>
      <c r="G80" s="339"/>
      <c r="H80" s="100"/>
      <c r="I80" s="100"/>
      <c r="J80" s="340"/>
      <c r="K80" s="72"/>
      <c r="L80" s="339"/>
      <c r="M80" s="100"/>
      <c r="N80" s="100"/>
      <c r="O80" s="340"/>
      <c r="P80" s="35"/>
      <c r="Q80" s="346"/>
      <c r="R80" s="347"/>
      <c r="S80" s="348"/>
      <c r="T80" s="35"/>
      <c r="U80" s="339"/>
      <c r="V80" s="100"/>
      <c r="W80" s="100"/>
      <c r="X80" s="340"/>
      <c r="Y80" s="35"/>
      <c r="Z80" s="346"/>
      <c r="AA80" s="347"/>
      <c r="AB80" s="348"/>
      <c r="AC80" s="35"/>
      <c r="AD80" s="339"/>
      <c r="AE80" s="100"/>
      <c r="AF80" s="100"/>
      <c r="AG80" s="340"/>
      <c r="AH80" s="35"/>
      <c r="AI80" s="346"/>
      <c r="AJ80" s="347"/>
      <c r="AK80" s="348"/>
      <c r="AL80" s="35"/>
      <c r="AM80" s="339"/>
      <c r="AN80" s="100"/>
      <c r="AO80" s="100"/>
      <c r="AP80" s="340"/>
      <c r="AQ80" s="35"/>
      <c r="AR80" s="106"/>
      <c r="AS80" s="107"/>
      <c r="AT80" s="353"/>
      <c r="AU80" s="35"/>
      <c r="AV80" s="358"/>
      <c r="AW80" s="359"/>
      <c r="AX80" s="360"/>
      <c r="AY80" s="35"/>
      <c r="AZ80" s="106"/>
      <c r="BA80" s="107"/>
      <c r="BB80" s="353"/>
      <c r="BC80" s="35"/>
      <c r="BD80" s="106"/>
      <c r="BE80" s="107"/>
      <c r="BF80" s="353"/>
      <c r="BG80" s="35"/>
      <c r="BH80" s="106"/>
      <c r="BI80" s="107"/>
      <c r="BJ80" s="353"/>
      <c r="BK80" s="35"/>
      <c r="BL80" s="367"/>
      <c r="BM80" s="368"/>
      <c r="BN80" s="369"/>
    </row>
    <row r="81" spans="2:66" ht="15.6" x14ac:dyDescent="0.3">
      <c r="B81" s="306" t="s">
        <v>1424</v>
      </c>
      <c r="C81" s="111" t="s">
        <v>1906</v>
      </c>
      <c r="D81" s="111" t="s">
        <v>226</v>
      </c>
      <c r="E81" s="385"/>
      <c r="F81" s="35"/>
      <c r="G81" s="380"/>
      <c r="H81" s="112"/>
      <c r="I81" s="112"/>
      <c r="J81" s="381"/>
      <c r="K81" s="72"/>
      <c r="L81" s="380"/>
      <c r="M81" s="112"/>
      <c r="N81" s="112"/>
      <c r="O81" s="381"/>
      <c r="P81" s="35"/>
      <c r="Q81" s="382"/>
      <c r="R81" s="383"/>
      <c r="S81" s="384"/>
      <c r="T81" s="35"/>
      <c r="U81" s="380"/>
      <c r="V81" s="112"/>
      <c r="W81" s="112"/>
      <c r="X81" s="381"/>
      <c r="Y81" s="35"/>
      <c r="Z81" s="382"/>
      <c r="AA81" s="383"/>
      <c r="AB81" s="384"/>
      <c r="AC81" s="35"/>
      <c r="AD81" s="380"/>
      <c r="AE81" s="112"/>
      <c r="AF81" s="112"/>
      <c r="AG81" s="381"/>
      <c r="AH81" s="35"/>
      <c r="AI81" s="382"/>
      <c r="AJ81" s="383"/>
      <c r="AK81" s="384"/>
      <c r="AL81" s="35"/>
      <c r="AM81" s="380"/>
      <c r="AN81" s="112"/>
      <c r="AO81" s="112"/>
      <c r="AP81" s="381"/>
      <c r="AQ81" s="35"/>
      <c r="AR81" s="113"/>
      <c r="AS81" s="114"/>
      <c r="AT81" s="376"/>
      <c r="AU81" s="35"/>
      <c r="AV81" s="379"/>
      <c r="AW81" s="377"/>
      <c r="AX81" s="378"/>
      <c r="AY81" s="35"/>
      <c r="AZ81" s="113"/>
      <c r="BA81" s="114"/>
      <c r="BB81" s="376"/>
      <c r="BC81" s="35"/>
      <c r="BD81" s="113"/>
      <c r="BE81" s="114"/>
      <c r="BF81" s="376"/>
      <c r="BG81" s="35"/>
      <c r="BH81" s="113"/>
      <c r="BI81" s="114"/>
      <c r="BJ81" s="376"/>
      <c r="BK81" s="35"/>
      <c r="BL81" s="373"/>
      <c r="BM81" s="374"/>
      <c r="BN81" s="375"/>
    </row>
    <row r="82" spans="2:66" ht="15.6" x14ac:dyDescent="0.3">
      <c r="B82" s="283" t="s">
        <v>512</v>
      </c>
      <c r="C82" s="99" t="s">
        <v>17</v>
      </c>
      <c r="D82" s="99" t="s">
        <v>231</v>
      </c>
      <c r="E82" s="334">
        <v>45473</v>
      </c>
      <c r="F82" s="35"/>
      <c r="G82" s="339">
        <v>1970142.5856000001</v>
      </c>
      <c r="H82" s="100">
        <v>1882639.7242000001</v>
      </c>
      <c r="I82" s="100">
        <v>7726056.2034</v>
      </c>
      <c r="J82" s="340">
        <v>7051651.0415000003</v>
      </c>
      <c r="K82" s="72"/>
      <c r="L82" s="339">
        <v>862149.95606999996</v>
      </c>
      <c r="M82" s="100">
        <v>690713.7156</v>
      </c>
      <c r="N82" s="100">
        <v>3325881.7163999998</v>
      </c>
      <c r="O82" s="340">
        <v>2786351.7710000002</v>
      </c>
      <c r="P82" s="35"/>
      <c r="Q82" s="346">
        <v>0.43047599303</v>
      </c>
      <c r="R82" s="347">
        <v>0.41353218142999998</v>
      </c>
      <c r="S82" s="348">
        <v>0.37486973549000002</v>
      </c>
      <c r="T82" s="35"/>
      <c r="U82" s="339">
        <v>533829.48984000005</v>
      </c>
      <c r="V82" s="100">
        <v>340272.64267999999</v>
      </c>
      <c r="W82" s="100">
        <v>2021655.3274000001</v>
      </c>
      <c r="X82" s="340">
        <v>1561685.1115999999</v>
      </c>
      <c r="Y82" s="35"/>
      <c r="Z82" s="346">
        <v>0.26166717845999998</v>
      </c>
      <c r="AA82" s="347">
        <v>0.24163998087999999</v>
      </c>
      <c r="AB82" s="348">
        <v>0.20274654335</v>
      </c>
      <c r="AC82" s="35"/>
      <c r="AD82" s="339">
        <v>731165.20123999997</v>
      </c>
      <c r="AE82" s="100">
        <v>557259.47551999998</v>
      </c>
      <c r="AF82" s="100">
        <v>2807846.8714000001</v>
      </c>
      <c r="AG82" s="340">
        <v>2359013.0556999999</v>
      </c>
      <c r="AH82" s="35"/>
      <c r="AI82" s="346">
        <v>0.36342563366000002</v>
      </c>
      <c r="AJ82" s="347">
        <v>0.34827552721999999</v>
      </c>
      <c r="AK82" s="348">
        <v>0.32095119604</v>
      </c>
      <c r="AL82" s="35"/>
      <c r="AM82" s="339">
        <v>326343.37573000003</v>
      </c>
      <c r="AN82" s="100">
        <v>260749.47210000001</v>
      </c>
      <c r="AO82" s="100">
        <v>1474374.5970000001</v>
      </c>
      <c r="AP82" s="340">
        <v>1132253.2959</v>
      </c>
      <c r="AQ82" s="35"/>
      <c r="AR82" s="106">
        <v>0.19083146149999999</v>
      </c>
      <c r="AS82" s="107">
        <v>0.18628787099999999</v>
      </c>
      <c r="AT82" s="353">
        <v>0.13653582608000001</v>
      </c>
      <c r="AU82" s="35"/>
      <c r="AV82" s="358">
        <v>3.8743687052000002</v>
      </c>
      <c r="AW82" s="359">
        <v>3.6376980913999999</v>
      </c>
      <c r="AX82" s="360">
        <v>2.2241673502000001</v>
      </c>
      <c r="AY82" s="35"/>
      <c r="AZ82" s="106">
        <v>0.19312748749</v>
      </c>
      <c r="BA82" s="107">
        <v>0.18604187562999999</v>
      </c>
      <c r="BB82" s="353">
        <v>0.12035587213</v>
      </c>
      <c r="BC82" s="35"/>
      <c r="BD82" s="106">
        <v>0.11011986930999999</v>
      </c>
      <c r="BE82" s="107">
        <v>0.10313610635000001</v>
      </c>
      <c r="BF82" s="353">
        <v>7.7346938470000001E-2</v>
      </c>
      <c r="BG82" s="35"/>
      <c r="BH82" s="106">
        <v>0.10260911351</v>
      </c>
      <c r="BI82" s="107">
        <v>9.7206435325999999E-2</v>
      </c>
      <c r="BJ82" s="353">
        <v>6.3941404773999996E-2</v>
      </c>
      <c r="BK82" s="35"/>
      <c r="BL82" s="367">
        <v>0.53769495188000005</v>
      </c>
      <c r="BM82" s="368">
        <v>0.52180764536000002</v>
      </c>
      <c r="BN82" s="369">
        <v>0.46831228556999999</v>
      </c>
    </row>
    <row r="83" spans="2:66" ht="15.6" x14ac:dyDescent="0.3">
      <c r="B83" s="306" t="s">
        <v>515</v>
      </c>
      <c r="C83" s="111" t="s">
        <v>622</v>
      </c>
      <c r="D83" s="111" t="s">
        <v>226</v>
      </c>
      <c r="E83" s="385">
        <v>45473</v>
      </c>
      <c r="F83" s="35"/>
      <c r="G83" s="380">
        <v>1089323.6765000001</v>
      </c>
      <c r="H83" s="112">
        <v>1246903.1052999999</v>
      </c>
      <c r="I83" s="112">
        <v>4811499.6355999997</v>
      </c>
      <c r="J83" s="381">
        <v>5127320.8578000003</v>
      </c>
      <c r="K83" s="72"/>
      <c r="L83" s="380">
        <v>532645.24274000002</v>
      </c>
      <c r="M83" s="112">
        <v>437345.01130000001</v>
      </c>
      <c r="N83" s="112">
        <v>2463598.2815999999</v>
      </c>
      <c r="O83" s="381">
        <v>2197444.7431000001</v>
      </c>
      <c r="P83" s="35"/>
      <c r="Q83" s="382">
        <v>0.51202295919999996</v>
      </c>
      <c r="R83" s="383">
        <v>0.53718186779999999</v>
      </c>
      <c r="S83" s="384">
        <v>0.47355555731999999</v>
      </c>
      <c r="T83" s="35"/>
      <c r="U83" s="380">
        <v>543409.84819000005</v>
      </c>
      <c r="V83" s="112">
        <v>409343.90963000001</v>
      </c>
      <c r="W83" s="112">
        <v>2396400.2873</v>
      </c>
      <c r="X83" s="381">
        <v>2168017.9062999999</v>
      </c>
      <c r="Y83" s="35"/>
      <c r="Z83" s="382">
        <v>0.49805683648999999</v>
      </c>
      <c r="AA83" s="383">
        <v>0.51709871754000003</v>
      </c>
      <c r="AB83" s="384">
        <v>0.50229301182999997</v>
      </c>
      <c r="AC83" s="35"/>
      <c r="AD83" s="380">
        <v>750711.30004</v>
      </c>
      <c r="AE83" s="112">
        <v>633957.32666999998</v>
      </c>
      <c r="AF83" s="112">
        <v>3222862.2544</v>
      </c>
      <c r="AG83" s="381">
        <v>3006067.6888000001</v>
      </c>
      <c r="AH83" s="35"/>
      <c r="AI83" s="382">
        <v>0.66982489836000003</v>
      </c>
      <c r="AJ83" s="383">
        <v>0.67736296004999996</v>
      </c>
      <c r="AK83" s="384">
        <v>0.65449950989000005</v>
      </c>
      <c r="AL83" s="35"/>
      <c r="AM83" s="380">
        <v>358530.81056000001</v>
      </c>
      <c r="AN83" s="112">
        <v>157945.92055000001</v>
      </c>
      <c r="AO83" s="112">
        <v>1771708.9365999999</v>
      </c>
      <c r="AP83" s="381">
        <v>1354025.7031</v>
      </c>
      <c r="AQ83" s="35"/>
      <c r="AR83" s="113">
        <v>0.38569647269000001</v>
      </c>
      <c r="AS83" s="114">
        <v>0.33228078189999999</v>
      </c>
      <c r="AT83" s="376">
        <v>0.31737438636999998</v>
      </c>
      <c r="AU83" s="35"/>
      <c r="AV83" s="379">
        <v>0.28278449411000001</v>
      </c>
      <c r="AW83" s="377">
        <v>0.26929926726999998</v>
      </c>
      <c r="AX83" s="378">
        <v>0.28349004043999998</v>
      </c>
      <c r="AY83" s="35"/>
      <c r="AZ83" s="113">
        <v>0.14354901127</v>
      </c>
      <c r="BA83" s="114">
        <v>0.13197083888</v>
      </c>
      <c r="BB83" s="376">
        <v>0.12413156606</v>
      </c>
      <c r="BC83" s="35"/>
      <c r="BD83" s="113">
        <v>7.0528045385999993E-2</v>
      </c>
      <c r="BE83" s="114">
        <v>7.9211781937E-2</v>
      </c>
      <c r="BF83" s="376">
        <v>7.8447928927000005E-2</v>
      </c>
      <c r="BG83" s="35"/>
      <c r="BH83" s="113">
        <v>6.6724459412000003E-2</v>
      </c>
      <c r="BI83" s="114">
        <v>6.2024898065999999E-2</v>
      </c>
      <c r="BJ83" s="376">
        <v>6.4788091938999995E-2</v>
      </c>
      <c r="BK83" s="35"/>
      <c r="BL83" s="373">
        <v>0.17299732857</v>
      </c>
      <c r="BM83" s="374">
        <v>0.18666411493999999</v>
      </c>
      <c r="BN83" s="375">
        <v>0.20413774621</v>
      </c>
    </row>
    <row r="84" spans="2:66" ht="15.6" x14ac:dyDescent="0.3">
      <c r="B84" s="283" t="s">
        <v>44</v>
      </c>
      <c r="C84" s="99" t="s">
        <v>81</v>
      </c>
      <c r="D84" s="99" t="s">
        <v>226</v>
      </c>
      <c r="E84" s="334">
        <v>45473</v>
      </c>
      <c r="F84" s="35"/>
      <c r="G84" s="339">
        <v>901232.11768000002</v>
      </c>
      <c r="H84" s="100">
        <v>880754.88820000004</v>
      </c>
      <c r="I84" s="100">
        <v>3641058.0433999998</v>
      </c>
      <c r="J84" s="340">
        <v>3781388.2670999998</v>
      </c>
      <c r="K84" s="72"/>
      <c r="L84" s="339">
        <v>267960.99712999997</v>
      </c>
      <c r="M84" s="100">
        <v>256276.65987</v>
      </c>
      <c r="N84" s="100">
        <v>1132059.9428999999</v>
      </c>
      <c r="O84" s="340">
        <v>1192470.9887999999</v>
      </c>
      <c r="P84" s="35"/>
      <c r="Q84" s="346">
        <v>0.31091510474</v>
      </c>
      <c r="R84" s="347">
        <v>0.30458817026000001</v>
      </c>
      <c r="S84" s="348">
        <v>0.30699774266000002</v>
      </c>
      <c r="T84" s="35"/>
      <c r="U84" s="339">
        <v>219788.23360000001</v>
      </c>
      <c r="V84" s="100">
        <v>213389.54535999999</v>
      </c>
      <c r="W84" s="100">
        <v>934350.89260000002</v>
      </c>
      <c r="X84" s="340">
        <v>1001048.0142</v>
      </c>
      <c r="Y84" s="35"/>
      <c r="Z84" s="346">
        <v>0.25661521499000001</v>
      </c>
      <c r="AA84" s="347">
        <v>0.25234936428999999</v>
      </c>
      <c r="AB84" s="348">
        <v>0.25423250563999999</v>
      </c>
      <c r="AC84" s="35"/>
      <c r="AD84" s="339">
        <v>266957.39789000002</v>
      </c>
      <c r="AE84" s="100">
        <v>256276.65987</v>
      </c>
      <c r="AF84" s="100">
        <v>1110984.3589000001</v>
      </c>
      <c r="AG84" s="340">
        <v>1173642.4994999999</v>
      </c>
      <c r="AH84" s="35"/>
      <c r="AI84" s="346">
        <v>0.30512679162</v>
      </c>
      <c r="AJ84" s="347">
        <v>0.29906025427999999</v>
      </c>
      <c r="AK84" s="348">
        <v>0.29712189616000001</v>
      </c>
      <c r="AL84" s="35"/>
      <c r="AM84" s="339">
        <v>130467.90122</v>
      </c>
      <c r="AN84" s="100">
        <v>182008.72987000001</v>
      </c>
      <c r="AO84" s="100">
        <v>556997.57830000005</v>
      </c>
      <c r="AP84" s="340">
        <v>668411.37002999999</v>
      </c>
      <c r="AQ84" s="35"/>
      <c r="AR84" s="106">
        <v>0.15297684675000001</v>
      </c>
      <c r="AS84" s="107">
        <v>0.16224433389000001</v>
      </c>
      <c r="AT84" s="353">
        <v>0.16393905192</v>
      </c>
      <c r="AU84" s="35"/>
      <c r="AV84" s="358">
        <v>3.3021169247</v>
      </c>
      <c r="AW84" s="359">
        <v>3.4925092519000001</v>
      </c>
      <c r="AX84" s="360">
        <v>3.4568106904999998</v>
      </c>
      <c r="AY84" s="35"/>
      <c r="AZ84" s="106">
        <v>0.34927627438999997</v>
      </c>
      <c r="BA84" s="107">
        <v>0.39783124365</v>
      </c>
      <c r="BB84" s="353">
        <v>0.3982179575</v>
      </c>
      <c r="BC84" s="35"/>
      <c r="BD84" s="106">
        <v>0.13463190184000001</v>
      </c>
      <c r="BE84" s="107">
        <v>0.13882732404000001</v>
      </c>
      <c r="BF84" s="353">
        <v>0.14155201143000001</v>
      </c>
      <c r="BG84" s="35"/>
      <c r="BH84" s="106">
        <v>9.0968693656999999E-2</v>
      </c>
      <c r="BI84" s="107">
        <v>0.10369192721999999</v>
      </c>
      <c r="BJ84" s="353">
        <v>0.11028853454</v>
      </c>
      <c r="BK84" s="35"/>
      <c r="BL84" s="367">
        <v>0.59465661367</v>
      </c>
      <c r="BM84" s="368">
        <v>0.63910969793000005</v>
      </c>
      <c r="BN84" s="369">
        <v>0.67274107820999995</v>
      </c>
    </row>
    <row r="85" spans="2:66" ht="15.6" x14ac:dyDescent="0.3">
      <c r="B85" s="306" t="s">
        <v>1430</v>
      </c>
      <c r="C85" s="111" t="s">
        <v>1907</v>
      </c>
      <c r="D85" s="111" t="s">
        <v>226</v>
      </c>
      <c r="E85" s="385">
        <v>45473</v>
      </c>
      <c r="F85" s="35"/>
      <c r="G85" s="380">
        <v>1080668.6366000001</v>
      </c>
      <c r="H85" s="112">
        <v>1190132.0719999999</v>
      </c>
      <c r="I85" s="112">
        <v>5055049.0848000003</v>
      </c>
      <c r="J85" s="381">
        <v>5362280.5296999998</v>
      </c>
      <c r="K85" s="72"/>
      <c r="L85" s="380">
        <v>660807.87650000001</v>
      </c>
      <c r="M85" s="112">
        <v>761533.94</v>
      </c>
      <c r="N85" s="112">
        <v>3369012.3972999998</v>
      </c>
      <c r="O85" s="381">
        <v>3548336.5487000002</v>
      </c>
      <c r="P85" s="35"/>
      <c r="Q85" s="382">
        <v>0.66646482374000005</v>
      </c>
      <c r="R85" s="383">
        <v>0.67687282096000001</v>
      </c>
      <c r="S85" s="384">
        <v>0.61361429188000005</v>
      </c>
      <c r="T85" s="35"/>
      <c r="U85" s="380">
        <v>641733.46933999995</v>
      </c>
      <c r="V85" s="112">
        <v>781519.33536999999</v>
      </c>
      <c r="W85" s="112">
        <v>2819161.4492000001</v>
      </c>
      <c r="X85" s="381">
        <v>4263445.7103000004</v>
      </c>
      <c r="Y85" s="35"/>
      <c r="Z85" s="382">
        <v>0.55769220079000004</v>
      </c>
      <c r="AA85" s="383">
        <v>0.57551307490000003</v>
      </c>
      <c r="AB85" s="384">
        <v>0.76947560858999997</v>
      </c>
      <c r="AC85" s="35"/>
      <c r="AD85" s="380">
        <v>860607.42403999995</v>
      </c>
      <c r="AE85" s="112">
        <v>1008366.0204</v>
      </c>
      <c r="AF85" s="112">
        <v>3729071.6894999999</v>
      </c>
      <c r="AG85" s="381">
        <v>5119045.7368000001</v>
      </c>
      <c r="AH85" s="35"/>
      <c r="AI85" s="382">
        <v>0.73769247873999999</v>
      </c>
      <c r="AJ85" s="383">
        <v>0.74896371357000002</v>
      </c>
      <c r="AK85" s="384">
        <v>0.92919658341</v>
      </c>
      <c r="AL85" s="35"/>
      <c r="AM85" s="380">
        <v>275621.47012999997</v>
      </c>
      <c r="AN85" s="112">
        <v>305401.23447000002</v>
      </c>
      <c r="AO85" s="112">
        <v>1157176.0175000001</v>
      </c>
      <c r="AP85" s="381">
        <v>2247058.8583999998</v>
      </c>
      <c r="AQ85" s="35"/>
      <c r="AR85" s="113">
        <v>0.36656150981000002</v>
      </c>
      <c r="AS85" s="114">
        <v>0.36830608287</v>
      </c>
      <c r="AT85" s="376">
        <v>0.57887275236000002</v>
      </c>
      <c r="AU85" s="35"/>
      <c r="AV85" s="379">
        <v>5.1214241158000001E-3</v>
      </c>
      <c r="AW85" s="377">
        <v>5.2028498159000002E-3</v>
      </c>
      <c r="AX85" s="378">
        <v>9.0743459396999994E-3</v>
      </c>
      <c r="AY85" s="35"/>
      <c r="AZ85" s="113">
        <v>0.25234136300999999</v>
      </c>
      <c r="BA85" s="114">
        <v>0.24124434282000001</v>
      </c>
      <c r="BB85" s="376">
        <v>0.36005976658</v>
      </c>
      <c r="BC85" s="35"/>
      <c r="BD85" s="113">
        <v>0.17083272322000001</v>
      </c>
      <c r="BE85" s="114">
        <v>0.15578449473</v>
      </c>
      <c r="BF85" s="376">
        <v>0.17712546207999999</v>
      </c>
      <c r="BG85" s="35"/>
      <c r="BH85" s="113">
        <v>0.12420826807</v>
      </c>
      <c r="BI85" s="114">
        <v>0.11314881613</v>
      </c>
      <c r="BJ85" s="376">
        <v>0.15768684409</v>
      </c>
      <c r="BK85" s="35"/>
      <c r="BL85" s="373">
        <v>0.33884700044999999</v>
      </c>
      <c r="BM85" s="374">
        <v>0.30721408469</v>
      </c>
      <c r="BN85" s="375">
        <v>0.27240329320000001</v>
      </c>
    </row>
    <row r="86" spans="2:66" ht="15.6" x14ac:dyDescent="0.3">
      <c r="B86" s="283" t="s">
        <v>519</v>
      </c>
      <c r="C86" s="99" t="s">
        <v>82</v>
      </c>
      <c r="D86" s="99" t="s">
        <v>226</v>
      </c>
      <c r="E86" s="334">
        <v>45473</v>
      </c>
      <c r="F86" s="35"/>
      <c r="G86" s="339">
        <v>1418778.2098000001</v>
      </c>
      <c r="H86" s="100">
        <v>1501485.2010999999</v>
      </c>
      <c r="I86" s="100">
        <v>5822308.7326999996</v>
      </c>
      <c r="J86" s="340">
        <v>5969067.3003000002</v>
      </c>
      <c r="K86" s="72"/>
      <c r="L86" s="339">
        <v>341131.41052999999</v>
      </c>
      <c r="M86" s="100">
        <v>416794.76126</v>
      </c>
      <c r="N86" s="100">
        <v>1465300.0526000001</v>
      </c>
      <c r="O86" s="340">
        <v>1452227.7811</v>
      </c>
      <c r="P86" s="35"/>
      <c r="Q86" s="346">
        <v>0.25166993368000001</v>
      </c>
      <c r="R86" s="347">
        <v>0.25586504115000003</v>
      </c>
      <c r="S86" s="348">
        <v>0.23419138701</v>
      </c>
      <c r="T86" s="35"/>
      <c r="U86" s="339">
        <v>244831.04543999999</v>
      </c>
      <c r="V86" s="100">
        <v>316631.38231000002</v>
      </c>
      <c r="W86" s="100">
        <v>1086332.9506999999</v>
      </c>
      <c r="X86" s="340">
        <v>1094604.6854999999</v>
      </c>
      <c r="Y86" s="35"/>
      <c r="Z86" s="346">
        <v>0.18658113139999999</v>
      </c>
      <c r="AA86" s="347">
        <v>0.19152444971999999</v>
      </c>
      <c r="AB86" s="348">
        <v>0.17827498466</v>
      </c>
      <c r="AC86" s="35"/>
      <c r="AD86" s="339">
        <v>285297.1704</v>
      </c>
      <c r="AE86" s="100">
        <v>357970.37659</v>
      </c>
      <c r="AF86" s="100">
        <v>1244262.338</v>
      </c>
      <c r="AG86" s="340">
        <v>1249608.1316</v>
      </c>
      <c r="AH86" s="35"/>
      <c r="AI86" s="346">
        <v>0.21370600479999999</v>
      </c>
      <c r="AJ86" s="347">
        <v>0.21818375915999999</v>
      </c>
      <c r="AK86" s="348">
        <v>0.20254523627000001</v>
      </c>
      <c r="AL86" s="35"/>
      <c r="AM86" s="339">
        <v>106835.14631</v>
      </c>
      <c r="AN86" s="100">
        <v>155482.52653</v>
      </c>
      <c r="AO86" s="100">
        <v>512260.13497000001</v>
      </c>
      <c r="AP86" s="340">
        <v>544069.07273999997</v>
      </c>
      <c r="AQ86" s="35"/>
      <c r="AR86" s="106">
        <v>8.7982303666999995E-2</v>
      </c>
      <c r="AS86" s="107">
        <v>9.4092465338000003E-2</v>
      </c>
      <c r="AT86" s="353">
        <v>9.0753297730999993E-2</v>
      </c>
      <c r="AU86" s="35"/>
      <c r="AV86" s="358">
        <v>9.6130705929999994E-3</v>
      </c>
      <c r="AW86" s="359">
        <v>1.0227993507E-2</v>
      </c>
      <c r="AX86" s="360">
        <v>1.2776969088999999E-2</v>
      </c>
      <c r="AY86" s="35"/>
      <c r="AZ86" s="106">
        <v>0.98898582175000005</v>
      </c>
      <c r="BA86" s="107">
        <v>1.1326526248</v>
      </c>
      <c r="BB86" s="353">
        <v>1.3606998296999999</v>
      </c>
      <c r="BC86" s="35"/>
      <c r="BD86" s="106">
        <v>0.129017467</v>
      </c>
      <c r="BE86" s="107">
        <v>0.13257421330999999</v>
      </c>
      <c r="BF86" s="353">
        <v>0.12021914052</v>
      </c>
      <c r="BG86" s="35"/>
      <c r="BH86" s="106">
        <v>6.7000542910999994E-2</v>
      </c>
      <c r="BI86" s="107">
        <v>6.9833418265999994E-2</v>
      </c>
      <c r="BJ86" s="353">
        <v>7.2025129721000003E-2</v>
      </c>
      <c r="BK86" s="35"/>
      <c r="BL86" s="367">
        <v>0.76152294402999998</v>
      </c>
      <c r="BM86" s="368">
        <v>0.74217864326000005</v>
      </c>
      <c r="BN86" s="369">
        <v>0.79363650160999999</v>
      </c>
    </row>
    <row r="87" spans="2:66" ht="15.6" x14ac:dyDescent="0.3">
      <c r="B87" s="306" t="s">
        <v>1110</v>
      </c>
      <c r="C87" s="111" t="s">
        <v>1141</v>
      </c>
      <c r="D87" s="111" t="s">
        <v>234</v>
      </c>
      <c r="E87" s="385">
        <v>45473</v>
      </c>
      <c r="F87" s="35"/>
      <c r="G87" s="380">
        <v>4204134.4222999997</v>
      </c>
      <c r="H87" s="112">
        <v>4198765.6654000003</v>
      </c>
      <c r="I87" s="112">
        <v>18116872.120000001</v>
      </c>
      <c r="J87" s="381">
        <v>15930885.211999999</v>
      </c>
      <c r="K87" s="72"/>
      <c r="L87" s="380">
        <v>2250847.2859</v>
      </c>
      <c r="M87" s="112">
        <v>1455548.9173999999</v>
      </c>
      <c r="N87" s="112">
        <v>9259577.9215999991</v>
      </c>
      <c r="O87" s="381">
        <v>7045638.4771999996</v>
      </c>
      <c r="P87" s="35"/>
      <c r="Q87" s="382">
        <v>0.51110246074999999</v>
      </c>
      <c r="R87" s="383">
        <v>0.47887526477999998</v>
      </c>
      <c r="S87" s="384">
        <v>0.46632263366999999</v>
      </c>
      <c r="T87" s="35"/>
      <c r="U87" s="380">
        <v>1727874.7326</v>
      </c>
      <c r="V87" s="112">
        <v>1134948.9079</v>
      </c>
      <c r="W87" s="112">
        <v>6382043.1261999998</v>
      </c>
      <c r="X87" s="381">
        <v>4448564.2790000001</v>
      </c>
      <c r="Y87" s="35"/>
      <c r="Z87" s="382">
        <v>0.35227069461999999</v>
      </c>
      <c r="AA87" s="383">
        <v>0.31971603819</v>
      </c>
      <c r="AB87" s="384">
        <v>0.35807482262000001</v>
      </c>
      <c r="AC87" s="35"/>
      <c r="AD87" s="380">
        <v>2024354.0057999999</v>
      </c>
      <c r="AE87" s="112">
        <v>1396253.8204999999</v>
      </c>
      <c r="AF87" s="112">
        <v>7504526.7251000004</v>
      </c>
      <c r="AG87" s="381">
        <v>5520553.8568000002</v>
      </c>
      <c r="AH87" s="35"/>
      <c r="AI87" s="382">
        <v>0.41422860830000002</v>
      </c>
      <c r="AJ87" s="383">
        <v>0.37491230335999998</v>
      </c>
      <c r="AK87" s="384">
        <v>0.43343848257000001</v>
      </c>
      <c r="AL87" s="35"/>
      <c r="AM87" s="380">
        <v>1512867.6458000001</v>
      </c>
      <c r="AN87" s="112">
        <v>516926.75939000002</v>
      </c>
      <c r="AO87" s="112">
        <v>4640781.3832999999</v>
      </c>
      <c r="AP87" s="381">
        <v>2505669.2048999998</v>
      </c>
      <c r="AQ87" s="35"/>
      <c r="AR87" s="113">
        <v>0.25615798093999997</v>
      </c>
      <c r="AS87" s="114">
        <v>0.18901782195</v>
      </c>
      <c r="AT87" s="376">
        <v>0.22228546044</v>
      </c>
      <c r="AU87" s="35"/>
      <c r="AV87" s="379">
        <v>0.84299951864</v>
      </c>
      <c r="AW87" s="377">
        <v>0.65059554303</v>
      </c>
      <c r="AX87" s="378">
        <v>0.53783301535000005</v>
      </c>
      <c r="AY87" s="35"/>
      <c r="AZ87" s="113">
        <v>0.41637971256</v>
      </c>
      <c r="BA87" s="114">
        <v>0.32307776292000001</v>
      </c>
      <c r="BB87" s="376">
        <v>0.23238271884</v>
      </c>
      <c r="BC87" s="35"/>
      <c r="BD87" s="113">
        <v>0.28389679154000003</v>
      </c>
      <c r="BE87" s="114">
        <v>0.27497213704000001</v>
      </c>
      <c r="BF87" s="376">
        <v>0.25374724800999998</v>
      </c>
      <c r="BG87" s="35"/>
      <c r="BH87" s="113">
        <v>0.14986426895999999</v>
      </c>
      <c r="BI87" s="114">
        <v>0.12019751702000001</v>
      </c>
      <c r="BJ87" s="376">
        <v>0.11775946725</v>
      </c>
      <c r="BK87" s="35"/>
      <c r="BL87" s="373">
        <v>0.58504626095000001</v>
      </c>
      <c r="BM87" s="374">
        <v>0.63590573516000004</v>
      </c>
      <c r="BN87" s="375">
        <v>0.52976684584</v>
      </c>
    </row>
    <row r="88" spans="2:66" ht="15.6" x14ac:dyDescent="0.3">
      <c r="B88" s="283" t="s">
        <v>520</v>
      </c>
      <c r="C88" s="99" t="s">
        <v>623</v>
      </c>
      <c r="D88" s="99" t="s">
        <v>104</v>
      </c>
      <c r="E88" s="334"/>
      <c r="F88" s="35"/>
      <c r="G88" s="339"/>
      <c r="H88" s="100"/>
      <c r="I88" s="100"/>
      <c r="J88" s="340"/>
      <c r="K88" s="72"/>
      <c r="L88" s="339"/>
      <c r="M88" s="100"/>
      <c r="N88" s="100"/>
      <c r="O88" s="340"/>
      <c r="P88" s="35"/>
      <c r="Q88" s="346"/>
      <c r="R88" s="347"/>
      <c r="S88" s="348"/>
      <c r="T88" s="35"/>
      <c r="U88" s="339"/>
      <c r="V88" s="100"/>
      <c r="W88" s="100"/>
      <c r="X88" s="340"/>
      <c r="Y88" s="35"/>
      <c r="Z88" s="346"/>
      <c r="AA88" s="347"/>
      <c r="AB88" s="348"/>
      <c r="AC88" s="35"/>
      <c r="AD88" s="339"/>
      <c r="AE88" s="100"/>
      <c r="AF88" s="100"/>
      <c r="AG88" s="340"/>
      <c r="AH88" s="35"/>
      <c r="AI88" s="346"/>
      <c r="AJ88" s="347"/>
      <c r="AK88" s="348"/>
      <c r="AL88" s="35"/>
      <c r="AM88" s="339"/>
      <c r="AN88" s="100"/>
      <c r="AO88" s="100"/>
      <c r="AP88" s="340"/>
      <c r="AQ88" s="35"/>
      <c r="AR88" s="106"/>
      <c r="AS88" s="107"/>
      <c r="AT88" s="353"/>
      <c r="AU88" s="35"/>
      <c r="AV88" s="358"/>
      <c r="AW88" s="359"/>
      <c r="AX88" s="360"/>
      <c r="AY88" s="35"/>
      <c r="AZ88" s="106"/>
      <c r="BA88" s="107"/>
      <c r="BB88" s="353"/>
      <c r="BC88" s="35"/>
      <c r="BD88" s="106"/>
      <c r="BE88" s="107"/>
      <c r="BF88" s="353"/>
      <c r="BG88" s="35"/>
      <c r="BH88" s="106"/>
      <c r="BI88" s="107"/>
      <c r="BJ88" s="353"/>
      <c r="BK88" s="35"/>
      <c r="BL88" s="367"/>
      <c r="BM88" s="368"/>
      <c r="BN88" s="369"/>
    </row>
    <row r="89" spans="2:66" ht="15.6" x14ac:dyDescent="0.3">
      <c r="B89" s="306" t="s">
        <v>521</v>
      </c>
      <c r="C89" s="111" t="s">
        <v>624</v>
      </c>
      <c r="D89" s="111" t="s">
        <v>104</v>
      </c>
      <c r="E89" s="385"/>
      <c r="F89" s="35"/>
      <c r="G89" s="380"/>
      <c r="H89" s="112"/>
      <c r="I89" s="112"/>
      <c r="J89" s="381"/>
      <c r="K89" s="72"/>
      <c r="L89" s="380"/>
      <c r="M89" s="112"/>
      <c r="N89" s="112"/>
      <c r="O89" s="381"/>
      <c r="P89" s="35"/>
      <c r="Q89" s="382"/>
      <c r="R89" s="383"/>
      <c r="S89" s="384"/>
      <c r="T89" s="35"/>
      <c r="U89" s="380"/>
      <c r="V89" s="112"/>
      <c r="W89" s="112"/>
      <c r="X89" s="381"/>
      <c r="Y89" s="35"/>
      <c r="Z89" s="382"/>
      <c r="AA89" s="383"/>
      <c r="AB89" s="384"/>
      <c r="AC89" s="35"/>
      <c r="AD89" s="380"/>
      <c r="AE89" s="112"/>
      <c r="AF89" s="112"/>
      <c r="AG89" s="381"/>
      <c r="AH89" s="35"/>
      <c r="AI89" s="382"/>
      <c r="AJ89" s="383"/>
      <c r="AK89" s="384"/>
      <c r="AL89" s="35"/>
      <c r="AM89" s="380"/>
      <c r="AN89" s="112"/>
      <c r="AO89" s="112"/>
      <c r="AP89" s="381"/>
      <c r="AQ89" s="35"/>
      <c r="AR89" s="113"/>
      <c r="AS89" s="114"/>
      <c r="AT89" s="376"/>
      <c r="AU89" s="35"/>
      <c r="AV89" s="379"/>
      <c r="AW89" s="377"/>
      <c r="AX89" s="378"/>
      <c r="AY89" s="35"/>
      <c r="AZ89" s="113"/>
      <c r="BA89" s="114"/>
      <c r="BB89" s="376"/>
      <c r="BC89" s="35"/>
      <c r="BD89" s="113"/>
      <c r="BE89" s="114"/>
      <c r="BF89" s="376"/>
      <c r="BG89" s="35"/>
      <c r="BH89" s="113"/>
      <c r="BI89" s="114"/>
      <c r="BJ89" s="376"/>
      <c r="BK89" s="35"/>
      <c r="BL89" s="373"/>
      <c r="BM89" s="374"/>
      <c r="BN89" s="375"/>
    </row>
    <row r="90" spans="2:66" ht="15.6" x14ac:dyDescent="0.3">
      <c r="B90" s="283" t="s">
        <v>1435</v>
      </c>
      <c r="C90" s="99" t="s">
        <v>83</v>
      </c>
      <c r="D90" s="99" t="s">
        <v>228</v>
      </c>
      <c r="E90" s="334">
        <v>45473</v>
      </c>
      <c r="F90" s="35"/>
      <c r="G90" s="339">
        <v>147226.00133999999</v>
      </c>
      <c r="H90" s="100">
        <v>117983.49804000001</v>
      </c>
      <c r="I90" s="100">
        <v>565794.12563999998</v>
      </c>
      <c r="J90" s="340">
        <v>511157.91947999998</v>
      </c>
      <c r="K90" s="72"/>
      <c r="L90" s="339">
        <v>75287.004199999996</v>
      </c>
      <c r="M90" s="100">
        <v>58080.659344</v>
      </c>
      <c r="N90" s="100">
        <v>305685.28896999999</v>
      </c>
      <c r="O90" s="340">
        <v>247889.61391000001</v>
      </c>
      <c r="P90" s="35"/>
      <c r="Q90" s="346">
        <v>0.54027653365999995</v>
      </c>
      <c r="R90" s="347">
        <v>0.55304760552999999</v>
      </c>
      <c r="S90" s="348">
        <v>0.46855168729000002</v>
      </c>
      <c r="T90" s="35"/>
      <c r="U90" s="339">
        <v>69715.021219000002</v>
      </c>
      <c r="V90" s="100">
        <v>51464.537409999997</v>
      </c>
      <c r="W90" s="100">
        <v>283478.64857999998</v>
      </c>
      <c r="X90" s="340">
        <v>221771.36118000001</v>
      </c>
      <c r="Y90" s="35"/>
      <c r="Z90" s="346">
        <v>0.50102791056999996</v>
      </c>
      <c r="AA90" s="347">
        <v>0.50108922739999995</v>
      </c>
      <c r="AB90" s="348">
        <v>0.41235349973000002</v>
      </c>
      <c r="AC90" s="35"/>
      <c r="AD90" s="339">
        <v>85674.256336000006</v>
      </c>
      <c r="AE90" s="100">
        <v>63464.561255000001</v>
      </c>
      <c r="AF90" s="100">
        <v>346022.95322999998</v>
      </c>
      <c r="AG90" s="340">
        <v>269034.00738999998</v>
      </c>
      <c r="AH90" s="35"/>
      <c r="AI90" s="346">
        <v>0.61157042385000004</v>
      </c>
      <c r="AJ90" s="347">
        <v>0.61041763858999998</v>
      </c>
      <c r="AK90" s="348">
        <v>0.51316005091000005</v>
      </c>
      <c r="AL90" s="35"/>
      <c r="AM90" s="339">
        <v>24046.237795000001</v>
      </c>
      <c r="AN90" s="100">
        <v>19168.448131000001</v>
      </c>
      <c r="AO90" s="100">
        <v>106208.90039</v>
      </c>
      <c r="AP90" s="340">
        <v>99143.502445000006</v>
      </c>
      <c r="AQ90" s="35"/>
      <c r="AR90" s="106">
        <v>0.18771651309000001</v>
      </c>
      <c r="AS90" s="107">
        <v>0.21623496481000001</v>
      </c>
      <c r="AT90" s="353">
        <v>0.18116535757999999</v>
      </c>
      <c r="AU90" s="35"/>
      <c r="AV90" s="358">
        <v>0.36788625658000002</v>
      </c>
      <c r="AW90" s="359">
        <v>0.26615455198999999</v>
      </c>
      <c r="AX90" s="360">
        <v>0.11736092428</v>
      </c>
      <c r="AY90" s="35"/>
      <c r="AZ90" s="106">
        <v>0.24507348522</v>
      </c>
      <c r="BA90" s="107">
        <v>0.16318851805000001</v>
      </c>
      <c r="BB90" s="353">
        <v>9.3498113064999999E-2</v>
      </c>
      <c r="BC90" s="35"/>
      <c r="BD90" s="106">
        <v>0.11607019191</v>
      </c>
      <c r="BE90" s="107">
        <v>0.10463548415</v>
      </c>
      <c r="BF90" s="353">
        <v>8.0852095092999995E-2</v>
      </c>
      <c r="BG90" s="35"/>
      <c r="BH90" s="106">
        <v>5.8540762465999999E-2</v>
      </c>
      <c r="BI90" s="107">
        <v>6.1243318764E-2</v>
      </c>
      <c r="BJ90" s="353">
        <v>4.8437405284E-2</v>
      </c>
      <c r="BK90" s="35"/>
      <c r="BL90" s="367">
        <v>0.31185728684000003</v>
      </c>
      <c r="BM90" s="368">
        <v>0.28322579013999999</v>
      </c>
      <c r="BN90" s="369">
        <v>0.26736571456000002</v>
      </c>
    </row>
    <row r="91" spans="2:66" ht="15.6" x14ac:dyDescent="0.3">
      <c r="B91" s="306" t="s">
        <v>399</v>
      </c>
      <c r="C91" s="111" t="s">
        <v>84</v>
      </c>
      <c r="D91" s="111" t="s">
        <v>228</v>
      </c>
      <c r="E91" s="385">
        <v>45473</v>
      </c>
      <c r="F91" s="35"/>
      <c r="G91" s="380">
        <v>2323247.9386999998</v>
      </c>
      <c r="H91" s="112">
        <v>2006017.5844000001</v>
      </c>
      <c r="I91" s="112">
        <v>9461513.1283</v>
      </c>
      <c r="J91" s="381">
        <v>7119221.2593999999</v>
      </c>
      <c r="K91" s="72"/>
      <c r="L91" s="380">
        <v>922764.33938000002</v>
      </c>
      <c r="M91" s="112">
        <v>768394.83230000001</v>
      </c>
      <c r="N91" s="112">
        <v>3670656.1921999999</v>
      </c>
      <c r="O91" s="381">
        <v>2615826.3276</v>
      </c>
      <c r="P91" s="35"/>
      <c r="Q91" s="382">
        <v>0.38795657125999999</v>
      </c>
      <c r="R91" s="383">
        <v>0.37609030363000001</v>
      </c>
      <c r="S91" s="384">
        <v>0.32420199778999997</v>
      </c>
      <c r="T91" s="35"/>
      <c r="U91" s="380">
        <v>870880.26586000004</v>
      </c>
      <c r="V91" s="112">
        <v>722806.87560000003</v>
      </c>
      <c r="W91" s="112">
        <v>3253361.6353000002</v>
      </c>
      <c r="X91" s="381">
        <v>2425107.3292999999</v>
      </c>
      <c r="Y91" s="35"/>
      <c r="Z91" s="382">
        <v>0.34385215041</v>
      </c>
      <c r="AA91" s="383">
        <v>0.33203522598000001</v>
      </c>
      <c r="AB91" s="384">
        <v>0.28874296723999998</v>
      </c>
      <c r="AC91" s="35"/>
      <c r="AD91" s="380">
        <v>1094271.4206999999</v>
      </c>
      <c r="AE91" s="112">
        <v>907544.69039</v>
      </c>
      <c r="AF91" s="112">
        <v>4072028.6471000002</v>
      </c>
      <c r="AG91" s="381">
        <v>3069595.0117000001</v>
      </c>
      <c r="AH91" s="35"/>
      <c r="AI91" s="382">
        <v>0.43037816381999999</v>
      </c>
      <c r="AJ91" s="383">
        <v>0.4169702066</v>
      </c>
      <c r="AK91" s="384">
        <v>0.38019490240999998</v>
      </c>
      <c r="AL91" s="35"/>
      <c r="AM91" s="380">
        <v>276445.42509999999</v>
      </c>
      <c r="AN91" s="112">
        <v>173640.51240000001</v>
      </c>
      <c r="AO91" s="112">
        <v>980505.41806000005</v>
      </c>
      <c r="AP91" s="381">
        <v>729394.7548</v>
      </c>
      <c r="AQ91" s="35"/>
      <c r="AR91" s="113">
        <v>0.10721849008000001</v>
      </c>
      <c r="AS91" s="114">
        <v>9.0790239140000006E-2</v>
      </c>
      <c r="AT91" s="376">
        <v>7.7732369654000003E-2</v>
      </c>
      <c r="AU91" s="35"/>
      <c r="AV91" s="379">
        <v>0.46337538381999999</v>
      </c>
      <c r="AW91" s="377">
        <v>0.35448996652999998</v>
      </c>
      <c r="AX91" s="378">
        <v>0.21856027297</v>
      </c>
      <c r="AY91" s="35"/>
      <c r="AZ91" s="113">
        <v>0.29474155356999998</v>
      </c>
      <c r="BA91" s="114">
        <v>0.24525764048000001</v>
      </c>
      <c r="BB91" s="376">
        <v>0.15828179542000001</v>
      </c>
      <c r="BC91" s="35"/>
      <c r="BD91" s="113">
        <v>0.1105199936</v>
      </c>
      <c r="BE91" s="114">
        <v>0.10851991276</v>
      </c>
      <c r="BF91" s="376">
        <v>8.0265902062000002E-2</v>
      </c>
      <c r="BG91" s="35"/>
      <c r="BH91" s="113">
        <v>3.7374375877000002E-2</v>
      </c>
      <c r="BI91" s="114">
        <v>3.0654695684000002E-2</v>
      </c>
      <c r="BJ91" s="376">
        <v>2.563790023E-2</v>
      </c>
      <c r="BK91" s="35"/>
      <c r="BL91" s="373">
        <v>0.34858144194000001</v>
      </c>
      <c r="BM91" s="374">
        <v>0.33764307676999999</v>
      </c>
      <c r="BN91" s="375">
        <v>0.32982270249000001</v>
      </c>
    </row>
    <row r="92" spans="2:66" ht="15.6" x14ac:dyDescent="0.3">
      <c r="B92" s="283" t="s">
        <v>524</v>
      </c>
      <c r="C92" s="99" t="s">
        <v>625</v>
      </c>
      <c r="D92" s="99" t="s">
        <v>226</v>
      </c>
      <c r="E92" s="334"/>
      <c r="F92" s="35"/>
      <c r="G92" s="339"/>
      <c r="H92" s="100"/>
      <c r="I92" s="100"/>
      <c r="J92" s="340"/>
      <c r="K92" s="72"/>
      <c r="L92" s="339"/>
      <c r="M92" s="100"/>
      <c r="N92" s="100"/>
      <c r="O92" s="340"/>
      <c r="P92" s="35"/>
      <c r="Q92" s="346"/>
      <c r="R92" s="347"/>
      <c r="S92" s="348"/>
      <c r="T92" s="35"/>
      <c r="U92" s="339"/>
      <c r="V92" s="100"/>
      <c r="W92" s="100"/>
      <c r="X92" s="340"/>
      <c r="Y92" s="35"/>
      <c r="Z92" s="346"/>
      <c r="AA92" s="347"/>
      <c r="AB92" s="348"/>
      <c r="AC92" s="35"/>
      <c r="AD92" s="339"/>
      <c r="AE92" s="100"/>
      <c r="AF92" s="100"/>
      <c r="AG92" s="340"/>
      <c r="AH92" s="35"/>
      <c r="AI92" s="346"/>
      <c r="AJ92" s="347"/>
      <c r="AK92" s="348"/>
      <c r="AL92" s="35"/>
      <c r="AM92" s="339"/>
      <c r="AN92" s="100"/>
      <c r="AO92" s="100"/>
      <c r="AP92" s="340"/>
      <c r="AQ92" s="35"/>
      <c r="AR92" s="106"/>
      <c r="AS92" s="107"/>
      <c r="AT92" s="353"/>
      <c r="AU92" s="35"/>
      <c r="AV92" s="358"/>
      <c r="AW92" s="359"/>
      <c r="AX92" s="360"/>
      <c r="AY92" s="35"/>
      <c r="AZ92" s="106"/>
      <c r="BA92" s="107"/>
      <c r="BB92" s="353"/>
      <c r="BC92" s="35"/>
      <c r="BD92" s="106"/>
      <c r="BE92" s="107"/>
      <c r="BF92" s="353"/>
      <c r="BG92" s="35"/>
      <c r="BH92" s="106"/>
      <c r="BI92" s="107"/>
      <c r="BJ92" s="353"/>
      <c r="BK92" s="35"/>
      <c r="BL92" s="367"/>
      <c r="BM92" s="368"/>
      <c r="BN92" s="369"/>
    </row>
    <row r="93" spans="2:66" ht="15.6" x14ac:dyDescent="0.3">
      <c r="B93" s="306" t="s">
        <v>261</v>
      </c>
      <c r="C93" s="111" t="s">
        <v>268</v>
      </c>
      <c r="D93" s="111" t="s">
        <v>226</v>
      </c>
      <c r="E93" s="385"/>
      <c r="F93" s="35"/>
      <c r="G93" s="380"/>
      <c r="H93" s="112"/>
      <c r="I93" s="112"/>
      <c r="J93" s="381"/>
      <c r="K93" s="72"/>
      <c r="L93" s="380"/>
      <c r="M93" s="112"/>
      <c r="N93" s="112"/>
      <c r="O93" s="381"/>
      <c r="P93" s="35"/>
      <c r="Q93" s="382"/>
      <c r="R93" s="383"/>
      <c r="S93" s="384"/>
      <c r="T93" s="35"/>
      <c r="U93" s="380"/>
      <c r="V93" s="112"/>
      <c r="W93" s="112"/>
      <c r="X93" s="381"/>
      <c r="Y93" s="35"/>
      <c r="Z93" s="382"/>
      <c r="AA93" s="383"/>
      <c r="AB93" s="384"/>
      <c r="AC93" s="35"/>
      <c r="AD93" s="380"/>
      <c r="AE93" s="112"/>
      <c r="AF93" s="112"/>
      <c r="AG93" s="381"/>
      <c r="AH93" s="35"/>
      <c r="AI93" s="382"/>
      <c r="AJ93" s="383"/>
      <c r="AK93" s="384"/>
      <c r="AL93" s="35"/>
      <c r="AM93" s="380"/>
      <c r="AN93" s="112"/>
      <c r="AO93" s="112"/>
      <c r="AP93" s="381"/>
      <c r="AQ93" s="35"/>
      <c r="AR93" s="113"/>
      <c r="AS93" s="114"/>
      <c r="AT93" s="376"/>
      <c r="AU93" s="35"/>
      <c r="AV93" s="379"/>
      <c r="AW93" s="377"/>
      <c r="AX93" s="378"/>
      <c r="AY93" s="35"/>
      <c r="AZ93" s="113"/>
      <c r="BA93" s="114"/>
      <c r="BB93" s="376"/>
      <c r="BC93" s="35"/>
      <c r="BD93" s="113"/>
      <c r="BE93" s="114"/>
      <c r="BF93" s="376"/>
      <c r="BG93" s="35"/>
      <c r="BH93" s="113"/>
      <c r="BI93" s="114"/>
      <c r="BJ93" s="376"/>
      <c r="BK93" s="35"/>
      <c r="BL93" s="373"/>
      <c r="BM93" s="374"/>
      <c r="BN93" s="375"/>
    </row>
    <row r="94" spans="2:66" ht="15.6" x14ac:dyDescent="0.3">
      <c r="B94" s="283" t="s">
        <v>1436</v>
      </c>
      <c r="C94" s="99" t="s">
        <v>1908</v>
      </c>
      <c r="D94" s="99" t="s">
        <v>226</v>
      </c>
      <c r="E94" s="334"/>
      <c r="F94" s="35"/>
      <c r="G94" s="339"/>
      <c r="H94" s="100"/>
      <c r="I94" s="100"/>
      <c r="J94" s="340"/>
      <c r="K94" s="72"/>
      <c r="L94" s="339"/>
      <c r="M94" s="100"/>
      <c r="N94" s="100"/>
      <c r="O94" s="340"/>
      <c r="P94" s="35"/>
      <c r="Q94" s="346"/>
      <c r="R94" s="347"/>
      <c r="S94" s="348"/>
      <c r="T94" s="35"/>
      <c r="U94" s="339"/>
      <c r="V94" s="100"/>
      <c r="W94" s="100"/>
      <c r="X94" s="340"/>
      <c r="Y94" s="35"/>
      <c r="Z94" s="346"/>
      <c r="AA94" s="347"/>
      <c r="AB94" s="348"/>
      <c r="AC94" s="35"/>
      <c r="AD94" s="339"/>
      <c r="AE94" s="100"/>
      <c r="AF94" s="100"/>
      <c r="AG94" s="340"/>
      <c r="AH94" s="35"/>
      <c r="AI94" s="346"/>
      <c r="AJ94" s="347"/>
      <c r="AK94" s="348"/>
      <c r="AL94" s="35"/>
      <c r="AM94" s="339"/>
      <c r="AN94" s="100"/>
      <c r="AO94" s="100"/>
      <c r="AP94" s="340"/>
      <c r="AQ94" s="35"/>
      <c r="AR94" s="106"/>
      <c r="AS94" s="107"/>
      <c r="AT94" s="353"/>
      <c r="AU94" s="35"/>
      <c r="AV94" s="358"/>
      <c r="AW94" s="359"/>
      <c r="AX94" s="360"/>
      <c r="AY94" s="35"/>
      <c r="AZ94" s="106"/>
      <c r="BA94" s="107"/>
      <c r="BB94" s="353"/>
      <c r="BC94" s="35"/>
      <c r="BD94" s="106"/>
      <c r="BE94" s="107"/>
      <c r="BF94" s="353"/>
      <c r="BG94" s="35"/>
      <c r="BH94" s="106"/>
      <c r="BI94" s="107"/>
      <c r="BJ94" s="353"/>
      <c r="BK94" s="35"/>
      <c r="BL94" s="367"/>
      <c r="BM94" s="368"/>
      <c r="BN94" s="369"/>
    </row>
    <row r="95" spans="2:66" ht="15.6" x14ac:dyDescent="0.3">
      <c r="B95" s="306" t="s">
        <v>525</v>
      </c>
      <c r="C95" s="111" t="s">
        <v>626</v>
      </c>
      <c r="D95" s="111" t="s">
        <v>226</v>
      </c>
      <c r="E95" s="385"/>
      <c r="F95" s="35"/>
      <c r="G95" s="380"/>
      <c r="H95" s="112"/>
      <c r="I95" s="112"/>
      <c r="J95" s="381"/>
      <c r="K95" s="72"/>
      <c r="L95" s="380"/>
      <c r="M95" s="112"/>
      <c r="N95" s="112"/>
      <c r="O95" s="381"/>
      <c r="P95" s="35"/>
      <c r="Q95" s="382"/>
      <c r="R95" s="383"/>
      <c r="S95" s="384"/>
      <c r="T95" s="35"/>
      <c r="U95" s="380"/>
      <c r="V95" s="112"/>
      <c r="W95" s="112"/>
      <c r="X95" s="381"/>
      <c r="Y95" s="35"/>
      <c r="Z95" s="382"/>
      <c r="AA95" s="383"/>
      <c r="AB95" s="384"/>
      <c r="AC95" s="35"/>
      <c r="AD95" s="380"/>
      <c r="AE95" s="112"/>
      <c r="AF95" s="112"/>
      <c r="AG95" s="381"/>
      <c r="AH95" s="35"/>
      <c r="AI95" s="382"/>
      <c r="AJ95" s="383"/>
      <c r="AK95" s="384"/>
      <c r="AL95" s="35"/>
      <c r="AM95" s="380"/>
      <c r="AN95" s="112"/>
      <c r="AO95" s="112"/>
      <c r="AP95" s="381"/>
      <c r="AQ95" s="35"/>
      <c r="AR95" s="113"/>
      <c r="AS95" s="114"/>
      <c r="AT95" s="376"/>
      <c r="AU95" s="35"/>
      <c r="AV95" s="379"/>
      <c r="AW95" s="377"/>
      <c r="AX95" s="378"/>
      <c r="AY95" s="35"/>
      <c r="AZ95" s="113"/>
      <c r="BA95" s="114"/>
      <c r="BB95" s="376"/>
      <c r="BC95" s="35"/>
      <c r="BD95" s="113"/>
      <c r="BE95" s="114"/>
      <c r="BF95" s="376"/>
      <c r="BG95" s="35"/>
      <c r="BH95" s="113"/>
      <c r="BI95" s="114"/>
      <c r="BJ95" s="376"/>
      <c r="BK95" s="35"/>
      <c r="BL95" s="373"/>
      <c r="BM95" s="374"/>
      <c r="BN95" s="375"/>
    </row>
    <row r="96" spans="2:66" ht="15.6" x14ac:dyDescent="0.3">
      <c r="B96" s="283" t="s">
        <v>2263</v>
      </c>
      <c r="C96" s="99" t="s">
        <v>2801</v>
      </c>
      <c r="D96" s="99" t="s">
        <v>226</v>
      </c>
      <c r="E96" s="334"/>
      <c r="F96" s="35"/>
      <c r="G96" s="339"/>
      <c r="H96" s="100"/>
      <c r="I96" s="100"/>
      <c r="J96" s="340"/>
      <c r="K96" s="72"/>
      <c r="L96" s="339"/>
      <c r="M96" s="100"/>
      <c r="N96" s="100"/>
      <c r="O96" s="340"/>
      <c r="P96" s="35"/>
      <c r="Q96" s="346"/>
      <c r="R96" s="347"/>
      <c r="S96" s="348"/>
      <c r="T96" s="35"/>
      <c r="U96" s="339"/>
      <c r="V96" s="100"/>
      <c r="W96" s="100"/>
      <c r="X96" s="340"/>
      <c r="Y96" s="35"/>
      <c r="Z96" s="346"/>
      <c r="AA96" s="347"/>
      <c r="AB96" s="348"/>
      <c r="AC96" s="35"/>
      <c r="AD96" s="339"/>
      <c r="AE96" s="100"/>
      <c r="AF96" s="100"/>
      <c r="AG96" s="340"/>
      <c r="AH96" s="35"/>
      <c r="AI96" s="346"/>
      <c r="AJ96" s="347"/>
      <c r="AK96" s="348"/>
      <c r="AL96" s="35"/>
      <c r="AM96" s="339"/>
      <c r="AN96" s="100"/>
      <c r="AO96" s="100"/>
      <c r="AP96" s="340"/>
      <c r="AQ96" s="35"/>
      <c r="AR96" s="106"/>
      <c r="AS96" s="107"/>
      <c r="AT96" s="353"/>
      <c r="AU96" s="35"/>
      <c r="AV96" s="358"/>
      <c r="AW96" s="359"/>
      <c r="AX96" s="360"/>
      <c r="AY96" s="35"/>
      <c r="AZ96" s="106"/>
      <c r="BA96" s="107"/>
      <c r="BB96" s="353"/>
      <c r="BC96" s="35"/>
      <c r="BD96" s="106"/>
      <c r="BE96" s="107"/>
      <c r="BF96" s="353"/>
      <c r="BG96" s="35"/>
      <c r="BH96" s="106"/>
      <c r="BI96" s="107"/>
      <c r="BJ96" s="353"/>
      <c r="BK96" s="35"/>
      <c r="BL96" s="367"/>
      <c r="BM96" s="368"/>
      <c r="BN96" s="369"/>
    </row>
    <row r="97" spans="2:66" ht="15.6" x14ac:dyDescent="0.3">
      <c r="B97" s="306" t="s">
        <v>526</v>
      </c>
      <c r="C97" s="111" t="s">
        <v>627</v>
      </c>
      <c r="D97" s="111" t="s">
        <v>226</v>
      </c>
      <c r="E97" s="385">
        <v>45473</v>
      </c>
      <c r="F97" s="35"/>
      <c r="G97" s="380">
        <v>2205911.1299000001</v>
      </c>
      <c r="H97" s="112">
        <v>2052305.3333000001</v>
      </c>
      <c r="I97" s="112">
        <v>8979202.4019000009</v>
      </c>
      <c r="J97" s="381">
        <v>8828469.4256999996</v>
      </c>
      <c r="K97" s="72"/>
      <c r="L97" s="380">
        <v>596137.94866999995</v>
      </c>
      <c r="M97" s="112">
        <v>523013.59156999999</v>
      </c>
      <c r="N97" s="112">
        <v>2544124.0739000002</v>
      </c>
      <c r="O97" s="381">
        <v>2241636.2535000001</v>
      </c>
      <c r="P97" s="35"/>
      <c r="Q97" s="382">
        <v>0.28333519616000002</v>
      </c>
      <c r="R97" s="383">
        <v>0.28426979203000002</v>
      </c>
      <c r="S97" s="384">
        <v>0.26120648546000003</v>
      </c>
      <c r="T97" s="35"/>
      <c r="U97" s="380">
        <v>476709.63907999999</v>
      </c>
      <c r="V97" s="112">
        <v>390168.13931</v>
      </c>
      <c r="W97" s="112">
        <v>2064403.6370000001</v>
      </c>
      <c r="X97" s="381">
        <v>1729082.9336999999</v>
      </c>
      <c r="Y97" s="35"/>
      <c r="Z97" s="382">
        <v>0.22990946685999999</v>
      </c>
      <c r="AA97" s="383">
        <v>0.22796736757</v>
      </c>
      <c r="AB97" s="384">
        <v>0.21316165950999999</v>
      </c>
      <c r="AC97" s="35"/>
      <c r="AD97" s="380">
        <v>574058.76538</v>
      </c>
      <c r="AE97" s="112">
        <v>485356.61297999998</v>
      </c>
      <c r="AF97" s="112">
        <v>2442760.5506000002</v>
      </c>
      <c r="AG97" s="381">
        <v>2095192.4478</v>
      </c>
      <c r="AH97" s="35"/>
      <c r="AI97" s="382">
        <v>0.27204649602999997</v>
      </c>
      <c r="AJ97" s="383">
        <v>0.27025163737000002</v>
      </c>
      <c r="AK97" s="384">
        <v>0.25071530757999999</v>
      </c>
      <c r="AL97" s="35"/>
      <c r="AM97" s="380">
        <v>218784.63436</v>
      </c>
      <c r="AN97" s="112">
        <v>187238.86577999999</v>
      </c>
      <c r="AO97" s="112">
        <v>1003599.2401000001</v>
      </c>
      <c r="AP97" s="381">
        <v>861926.39890999999</v>
      </c>
      <c r="AQ97" s="35"/>
      <c r="AR97" s="113">
        <v>0.11176930814</v>
      </c>
      <c r="AS97" s="114">
        <v>0.11157072273</v>
      </c>
      <c r="AT97" s="376">
        <v>0.11754887935</v>
      </c>
      <c r="AU97" s="35"/>
      <c r="AV97" s="379">
        <v>5.1610505834999998</v>
      </c>
      <c r="AW97" s="377">
        <v>5.0113801164999998</v>
      </c>
      <c r="AX97" s="378">
        <v>5.0887958752999998</v>
      </c>
      <c r="AY97" s="35"/>
      <c r="AZ97" s="113">
        <v>0.38948393379000001</v>
      </c>
      <c r="BA97" s="114">
        <v>0.33117326057000002</v>
      </c>
      <c r="BB97" s="376">
        <v>0.32333169371999998</v>
      </c>
      <c r="BC97" s="35"/>
      <c r="BD97" s="113">
        <v>0.16571498322</v>
      </c>
      <c r="BE97" s="114">
        <v>0.16012717823</v>
      </c>
      <c r="BF97" s="376">
        <v>0.14452023757999999</v>
      </c>
      <c r="BG97" s="35"/>
      <c r="BH97" s="113">
        <v>8.4026552391000001E-2</v>
      </c>
      <c r="BI97" s="114">
        <v>8.9394218376000006E-2</v>
      </c>
      <c r="BJ97" s="376">
        <v>9.9335079588999994E-2</v>
      </c>
      <c r="BK97" s="35"/>
      <c r="BL97" s="373">
        <v>0.75178556423999998</v>
      </c>
      <c r="BM97" s="374">
        <v>0.80123365862999996</v>
      </c>
      <c r="BN97" s="375">
        <v>0.84505339511999999</v>
      </c>
    </row>
    <row r="98" spans="2:66" ht="15.6" x14ac:dyDescent="0.3">
      <c r="B98" s="283" t="s">
        <v>528</v>
      </c>
      <c r="C98" s="99" t="s">
        <v>629</v>
      </c>
      <c r="D98" s="99" t="s">
        <v>226</v>
      </c>
      <c r="E98" s="334">
        <v>45473</v>
      </c>
      <c r="F98" s="35"/>
      <c r="G98" s="339">
        <v>4723496.0255000005</v>
      </c>
      <c r="H98" s="100">
        <v>4800025.2284000004</v>
      </c>
      <c r="I98" s="100">
        <v>19393203.467999998</v>
      </c>
      <c r="J98" s="340">
        <v>20274595.727000002</v>
      </c>
      <c r="K98" s="72"/>
      <c r="L98" s="339">
        <v>1034294.3229</v>
      </c>
      <c r="M98" s="100">
        <v>1303462.8411000001</v>
      </c>
      <c r="N98" s="100">
        <v>4459755.1630999995</v>
      </c>
      <c r="O98" s="340">
        <v>5292849.4293999998</v>
      </c>
      <c r="P98" s="35"/>
      <c r="Q98" s="346">
        <v>0.22996485187999999</v>
      </c>
      <c r="R98" s="347">
        <v>0.24931622766</v>
      </c>
      <c r="S98" s="348">
        <v>0.22863429972999999</v>
      </c>
      <c r="T98" s="35"/>
      <c r="U98" s="339">
        <v>790408.66798000003</v>
      </c>
      <c r="V98" s="100">
        <v>895057.21788000001</v>
      </c>
      <c r="W98" s="100">
        <v>3218633.0872</v>
      </c>
      <c r="X98" s="340">
        <v>4114933.9089000002</v>
      </c>
      <c r="Y98" s="35"/>
      <c r="Z98" s="346">
        <v>0.16596706637</v>
      </c>
      <c r="AA98" s="347">
        <v>0.18079728636</v>
      </c>
      <c r="AB98" s="348">
        <v>0.18064296104999999</v>
      </c>
      <c r="AC98" s="35"/>
      <c r="AD98" s="339">
        <v>1036866.5477</v>
      </c>
      <c r="AE98" s="100">
        <v>1142454.1529999999</v>
      </c>
      <c r="AF98" s="100">
        <v>4216898.1973999999</v>
      </c>
      <c r="AG98" s="340">
        <v>5068397.1005999995</v>
      </c>
      <c r="AH98" s="35"/>
      <c r="AI98" s="346">
        <v>0.2174420644</v>
      </c>
      <c r="AJ98" s="347">
        <v>0.23217699928999999</v>
      </c>
      <c r="AK98" s="348">
        <v>0.22433154935999999</v>
      </c>
      <c r="AL98" s="35"/>
      <c r="AM98" s="339">
        <v>220766.74286</v>
      </c>
      <c r="AN98" s="100">
        <v>368894.03846000001</v>
      </c>
      <c r="AO98" s="100">
        <v>879856.45745999995</v>
      </c>
      <c r="AP98" s="340">
        <v>1804317.3928</v>
      </c>
      <c r="AQ98" s="35"/>
      <c r="AR98" s="106">
        <v>4.5369320179999999E-2</v>
      </c>
      <c r="AS98" s="107">
        <v>6.7618672869000002E-2</v>
      </c>
      <c r="AT98" s="353">
        <v>7.5198569117E-2</v>
      </c>
      <c r="AU98" s="35"/>
      <c r="AV98" s="358">
        <v>4.0679877009999998</v>
      </c>
      <c r="AW98" s="359">
        <v>6.5920989329999999</v>
      </c>
      <c r="AX98" s="360">
        <v>7.1487438406999999</v>
      </c>
      <c r="AY98" s="35"/>
      <c r="AZ98" s="106">
        <v>0.23796628765</v>
      </c>
      <c r="BA98" s="107">
        <v>0.49905908040000002</v>
      </c>
      <c r="BB98" s="353">
        <v>0.59162342394</v>
      </c>
      <c r="BC98" s="35"/>
      <c r="BD98" s="106">
        <v>9.7987607434999999E-2</v>
      </c>
      <c r="BE98" s="107">
        <v>0.107516731</v>
      </c>
      <c r="BF98" s="353">
        <v>9.9255401635999996E-2</v>
      </c>
      <c r="BG98" s="35"/>
      <c r="BH98" s="106">
        <v>3.0762706883999999E-2</v>
      </c>
      <c r="BI98" s="107">
        <v>4.5465625343999998E-2</v>
      </c>
      <c r="BJ98" s="353">
        <v>4.736412986E-2</v>
      </c>
      <c r="BK98" s="35"/>
      <c r="BL98" s="367">
        <v>0.67805086700999995</v>
      </c>
      <c r="BM98" s="368">
        <v>0.67238269275999996</v>
      </c>
      <c r="BN98" s="369">
        <v>0.62985413708000004</v>
      </c>
    </row>
    <row r="99" spans="2:66" ht="15.6" x14ac:dyDescent="0.3">
      <c r="B99" s="306" t="s">
        <v>2266</v>
      </c>
      <c r="C99" s="111" t="s">
        <v>2802</v>
      </c>
      <c r="D99" s="111" t="s">
        <v>231</v>
      </c>
      <c r="E99" s="385"/>
      <c r="F99" s="35"/>
      <c r="G99" s="380"/>
      <c r="H99" s="112"/>
      <c r="I99" s="112"/>
      <c r="J99" s="381"/>
      <c r="K99" s="72"/>
      <c r="L99" s="380"/>
      <c r="M99" s="112"/>
      <c r="N99" s="112"/>
      <c r="O99" s="381"/>
      <c r="P99" s="35"/>
      <c r="Q99" s="382"/>
      <c r="R99" s="383"/>
      <c r="S99" s="384"/>
      <c r="T99" s="35"/>
      <c r="U99" s="380"/>
      <c r="V99" s="112"/>
      <c r="W99" s="112"/>
      <c r="X99" s="381"/>
      <c r="Y99" s="35"/>
      <c r="Z99" s="382"/>
      <c r="AA99" s="383"/>
      <c r="AB99" s="384"/>
      <c r="AC99" s="35"/>
      <c r="AD99" s="380"/>
      <c r="AE99" s="112"/>
      <c r="AF99" s="112"/>
      <c r="AG99" s="381"/>
      <c r="AH99" s="35"/>
      <c r="AI99" s="382"/>
      <c r="AJ99" s="383"/>
      <c r="AK99" s="384"/>
      <c r="AL99" s="35"/>
      <c r="AM99" s="380"/>
      <c r="AN99" s="112"/>
      <c r="AO99" s="112"/>
      <c r="AP99" s="381"/>
      <c r="AQ99" s="35"/>
      <c r="AR99" s="113"/>
      <c r="AS99" s="114"/>
      <c r="AT99" s="376"/>
      <c r="AU99" s="35"/>
      <c r="AV99" s="379"/>
      <c r="AW99" s="377"/>
      <c r="AX99" s="378"/>
      <c r="AY99" s="35"/>
      <c r="AZ99" s="113"/>
      <c r="BA99" s="114"/>
      <c r="BB99" s="376"/>
      <c r="BC99" s="35"/>
      <c r="BD99" s="113"/>
      <c r="BE99" s="114"/>
      <c r="BF99" s="376"/>
      <c r="BG99" s="35"/>
      <c r="BH99" s="113"/>
      <c r="BI99" s="114"/>
      <c r="BJ99" s="376"/>
      <c r="BK99" s="35"/>
      <c r="BL99" s="373"/>
      <c r="BM99" s="374"/>
      <c r="BN99" s="375"/>
    </row>
    <row r="100" spans="2:66" ht="15.6" x14ac:dyDescent="0.3">
      <c r="B100" s="283" t="s">
        <v>400</v>
      </c>
      <c r="C100" s="99" t="s">
        <v>407</v>
      </c>
      <c r="D100" s="99" t="s">
        <v>226</v>
      </c>
      <c r="E100" s="334"/>
      <c r="F100" s="35"/>
      <c r="G100" s="339"/>
      <c r="H100" s="100"/>
      <c r="I100" s="100"/>
      <c r="J100" s="340"/>
      <c r="K100" s="72"/>
      <c r="L100" s="339"/>
      <c r="M100" s="100"/>
      <c r="N100" s="100"/>
      <c r="O100" s="340"/>
      <c r="P100" s="35"/>
      <c r="Q100" s="346"/>
      <c r="R100" s="347"/>
      <c r="S100" s="348"/>
      <c r="T100" s="35"/>
      <c r="U100" s="339"/>
      <c r="V100" s="100"/>
      <c r="W100" s="100"/>
      <c r="X100" s="340"/>
      <c r="Y100" s="35"/>
      <c r="Z100" s="346"/>
      <c r="AA100" s="347"/>
      <c r="AB100" s="348"/>
      <c r="AC100" s="35"/>
      <c r="AD100" s="339"/>
      <c r="AE100" s="100"/>
      <c r="AF100" s="100"/>
      <c r="AG100" s="340"/>
      <c r="AH100" s="35"/>
      <c r="AI100" s="346"/>
      <c r="AJ100" s="347"/>
      <c r="AK100" s="348"/>
      <c r="AL100" s="35"/>
      <c r="AM100" s="339"/>
      <c r="AN100" s="100"/>
      <c r="AO100" s="100"/>
      <c r="AP100" s="340"/>
      <c r="AQ100" s="35"/>
      <c r="AR100" s="106"/>
      <c r="AS100" s="107"/>
      <c r="AT100" s="353"/>
      <c r="AU100" s="35"/>
      <c r="AV100" s="358"/>
      <c r="AW100" s="359"/>
      <c r="AX100" s="360"/>
      <c r="AY100" s="35"/>
      <c r="AZ100" s="106"/>
      <c r="BA100" s="107"/>
      <c r="BB100" s="353"/>
      <c r="BC100" s="35"/>
      <c r="BD100" s="106"/>
      <c r="BE100" s="107"/>
      <c r="BF100" s="353"/>
      <c r="BG100" s="35"/>
      <c r="BH100" s="106"/>
      <c r="BI100" s="107"/>
      <c r="BJ100" s="353"/>
      <c r="BK100" s="35"/>
      <c r="BL100" s="367"/>
      <c r="BM100" s="368"/>
      <c r="BN100" s="369"/>
    </row>
    <row r="101" spans="2:66" ht="15.6" x14ac:dyDescent="0.3">
      <c r="B101" s="306" t="s">
        <v>1442</v>
      </c>
      <c r="C101" s="111" t="s">
        <v>1909</v>
      </c>
      <c r="D101" s="111" t="s">
        <v>233</v>
      </c>
      <c r="E101" s="385">
        <v>45473</v>
      </c>
      <c r="F101" s="35"/>
      <c r="G101" s="380">
        <v>555748.09724000003</v>
      </c>
      <c r="H101" s="112">
        <v>439440.20374999999</v>
      </c>
      <c r="I101" s="112">
        <v>1899294.5008</v>
      </c>
      <c r="J101" s="381">
        <v>1767552.6754000001</v>
      </c>
      <c r="K101" s="72"/>
      <c r="L101" s="380">
        <v>147899.41643000001</v>
      </c>
      <c r="M101" s="112">
        <v>187146.81539</v>
      </c>
      <c r="N101" s="112">
        <v>371316.66488</v>
      </c>
      <c r="O101" s="381">
        <v>825921.09724000003</v>
      </c>
      <c r="P101" s="35"/>
      <c r="Q101" s="382">
        <v>0.19550241667000001</v>
      </c>
      <c r="R101" s="383">
        <v>0.20364448976999999</v>
      </c>
      <c r="S101" s="384">
        <v>0.49324641451000001</v>
      </c>
      <c r="T101" s="35"/>
      <c r="U101" s="380">
        <v>-12144.554405000001</v>
      </c>
      <c r="V101" s="112">
        <v>95413.369510000004</v>
      </c>
      <c r="W101" s="112">
        <v>24412.551517</v>
      </c>
      <c r="X101" s="381">
        <v>572544.02471999999</v>
      </c>
      <c r="Y101" s="35"/>
      <c r="Z101" s="382">
        <v>1.285348402E-2</v>
      </c>
      <c r="AA101" s="383">
        <v>1.0608096721E-2</v>
      </c>
      <c r="AB101" s="384">
        <v>0.33306027546</v>
      </c>
      <c r="AC101" s="35"/>
      <c r="AD101" s="380">
        <v>293490.55459999997</v>
      </c>
      <c r="AE101" s="112">
        <v>340123.06079000002</v>
      </c>
      <c r="AF101" s="112">
        <v>394525.90091000003</v>
      </c>
      <c r="AG101" s="381">
        <v>870859.47105000005</v>
      </c>
      <c r="AH101" s="35"/>
      <c r="AI101" s="382">
        <v>0.20772234149999999</v>
      </c>
      <c r="AJ101" s="383">
        <v>9.9314254603000002E-2</v>
      </c>
      <c r="AK101" s="384">
        <v>0.43902282056000003</v>
      </c>
      <c r="AL101" s="35"/>
      <c r="AM101" s="380">
        <v>-219864.50714</v>
      </c>
      <c r="AN101" s="112">
        <v>42997.993390000003</v>
      </c>
      <c r="AO101" s="112">
        <v>-215603.22477</v>
      </c>
      <c r="AP101" s="381">
        <v>377125.22635999997</v>
      </c>
      <c r="AQ101" s="35"/>
      <c r="AR101" s="113">
        <v>-0.11351753225</v>
      </c>
      <c r="AS101" s="114">
        <v>-3.2690654072000003E-2</v>
      </c>
      <c r="AT101" s="376">
        <v>0.17623495481000001</v>
      </c>
      <c r="AU101" s="35"/>
      <c r="AV101" s="379">
        <v>-0.81537077177999995</v>
      </c>
      <c r="AW101" s="377">
        <v>-0.17229284792999999</v>
      </c>
      <c r="AX101" s="378">
        <v>1.4558836183999999</v>
      </c>
      <c r="AY101" s="35"/>
      <c r="AZ101" s="113">
        <v>-5.2096462481999999E-2</v>
      </c>
      <c r="BA101" s="114">
        <v>-1.1366332414000001E-2</v>
      </c>
      <c r="BB101" s="376">
        <v>9.2650403293999997E-2</v>
      </c>
      <c r="BC101" s="35"/>
      <c r="BD101" s="113">
        <v>2.7911197728000001E-3</v>
      </c>
      <c r="BE101" s="114">
        <v>1.8690163979000001E-3</v>
      </c>
      <c r="BF101" s="376">
        <v>0.12456195962</v>
      </c>
      <c r="BG101" s="35"/>
      <c r="BH101" s="113">
        <v>-1.6719746524E-2</v>
      </c>
      <c r="BI101" s="114">
        <v>-5.5785333445999997E-3</v>
      </c>
      <c r="BJ101" s="376">
        <v>4.6323348877000001E-2</v>
      </c>
      <c r="BK101" s="35"/>
      <c r="BL101" s="373">
        <v>0.14728779063</v>
      </c>
      <c r="BM101" s="374">
        <v>0.17064612203999999</v>
      </c>
      <c r="BN101" s="375">
        <v>0.26284994896000002</v>
      </c>
    </row>
    <row r="102" spans="2:66" ht="15.6" x14ac:dyDescent="0.3">
      <c r="B102" s="283" t="s">
        <v>530</v>
      </c>
      <c r="C102" s="99" t="s">
        <v>630</v>
      </c>
      <c r="D102" s="99" t="s">
        <v>226</v>
      </c>
      <c r="E102" s="334"/>
      <c r="F102" s="35"/>
      <c r="G102" s="339"/>
      <c r="H102" s="100"/>
      <c r="I102" s="100"/>
      <c r="J102" s="340"/>
      <c r="K102" s="72"/>
      <c r="L102" s="339"/>
      <c r="M102" s="100"/>
      <c r="N102" s="100"/>
      <c r="O102" s="340"/>
      <c r="P102" s="35"/>
      <c r="Q102" s="346"/>
      <c r="R102" s="347"/>
      <c r="S102" s="348"/>
      <c r="T102" s="35"/>
      <c r="U102" s="339"/>
      <c r="V102" s="100"/>
      <c r="W102" s="100"/>
      <c r="X102" s="340"/>
      <c r="Y102" s="35"/>
      <c r="Z102" s="346"/>
      <c r="AA102" s="347"/>
      <c r="AB102" s="348"/>
      <c r="AC102" s="35"/>
      <c r="AD102" s="339"/>
      <c r="AE102" s="100"/>
      <c r="AF102" s="100"/>
      <c r="AG102" s="340"/>
      <c r="AH102" s="35"/>
      <c r="AI102" s="346"/>
      <c r="AJ102" s="347"/>
      <c r="AK102" s="348"/>
      <c r="AL102" s="35"/>
      <c r="AM102" s="339"/>
      <c r="AN102" s="100"/>
      <c r="AO102" s="100"/>
      <c r="AP102" s="340"/>
      <c r="AQ102" s="35"/>
      <c r="AR102" s="106"/>
      <c r="AS102" s="107"/>
      <c r="AT102" s="353"/>
      <c r="AU102" s="35"/>
      <c r="AV102" s="358"/>
      <c r="AW102" s="359"/>
      <c r="AX102" s="360"/>
      <c r="AY102" s="35"/>
      <c r="AZ102" s="106"/>
      <c r="BA102" s="107"/>
      <c r="BB102" s="353"/>
      <c r="BC102" s="35"/>
      <c r="BD102" s="106"/>
      <c r="BE102" s="107"/>
      <c r="BF102" s="353"/>
      <c r="BG102" s="35"/>
      <c r="BH102" s="106"/>
      <c r="BI102" s="107"/>
      <c r="BJ102" s="353"/>
      <c r="BK102" s="35"/>
      <c r="BL102" s="367"/>
      <c r="BM102" s="368"/>
      <c r="BN102" s="369"/>
    </row>
    <row r="103" spans="2:66" ht="15.6" x14ac:dyDescent="0.3">
      <c r="B103" s="306" t="s">
        <v>45</v>
      </c>
      <c r="C103" s="111" t="s">
        <v>18</v>
      </c>
      <c r="D103" s="111" t="s">
        <v>226</v>
      </c>
      <c r="E103" s="385">
        <v>45473</v>
      </c>
      <c r="F103" s="35"/>
      <c r="G103" s="380">
        <v>7630387.1023000004</v>
      </c>
      <c r="H103" s="112">
        <v>6889204.0659999996</v>
      </c>
      <c r="I103" s="112">
        <v>31093546.785</v>
      </c>
      <c r="J103" s="381">
        <v>28065931.291999999</v>
      </c>
      <c r="K103" s="72"/>
      <c r="L103" s="380">
        <v>1875354.6446</v>
      </c>
      <c r="M103" s="112">
        <v>1842127.0914</v>
      </c>
      <c r="N103" s="112">
        <v>8685456.9331</v>
      </c>
      <c r="O103" s="381">
        <v>7660438.8619999997</v>
      </c>
      <c r="P103" s="35"/>
      <c r="Q103" s="382">
        <v>0.27933310384999999</v>
      </c>
      <c r="R103" s="383">
        <v>0.27271231337000001</v>
      </c>
      <c r="S103" s="384">
        <v>0.27132323996000002</v>
      </c>
      <c r="T103" s="35"/>
      <c r="U103" s="380">
        <v>1315618.2438999999</v>
      </c>
      <c r="V103" s="112">
        <v>1447205.8045999999</v>
      </c>
      <c r="W103" s="112">
        <v>6596758.1655999999</v>
      </c>
      <c r="X103" s="381">
        <v>6030233.7399000004</v>
      </c>
      <c r="Y103" s="35"/>
      <c r="Z103" s="382">
        <v>0.21215843309999999</v>
      </c>
      <c r="AA103" s="383">
        <v>0.21194960384</v>
      </c>
      <c r="AB103" s="384">
        <v>0.21588983976000001</v>
      </c>
      <c r="AC103" s="35"/>
      <c r="AD103" s="380">
        <v>1781349.5109000001</v>
      </c>
      <c r="AE103" s="112">
        <v>1852883.3888999999</v>
      </c>
      <c r="AF103" s="112">
        <v>8326398.2292999998</v>
      </c>
      <c r="AG103" s="381">
        <v>7487861.1133000003</v>
      </c>
      <c r="AH103" s="35"/>
      <c r="AI103" s="382">
        <v>0.26778541176999998</v>
      </c>
      <c r="AJ103" s="383">
        <v>0.26722749706999999</v>
      </c>
      <c r="AK103" s="384">
        <v>0.26397712843999999</v>
      </c>
      <c r="AL103" s="35"/>
      <c r="AM103" s="380">
        <v>507717.84480999998</v>
      </c>
      <c r="AN103" s="112">
        <v>506548.07767999999</v>
      </c>
      <c r="AO103" s="112">
        <v>2426486.1853</v>
      </c>
      <c r="AP103" s="381">
        <v>1671250.1828000001</v>
      </c>
      <c r="AQ103" s="35"/>
      <c r="AR103" s="113">
        <v>0.10354029359</v>
      </c>
      <c r="AS103" s="114">
        <v>9.0549097783999999E-2</v>
      </c>
      <c r="AT103" s="376">
        <v>9.1612551375000004E-2</v>
      </c>
      <c r="AU103" s="35"/>
      <c r="AV103" s="379">
        <v>1.1286794482</v>
      </c>
      <c r="AW103" s="377">
        <v>0.93024660584999996</v>
      </c>
      <c r="AX103" s="378">
        <v>1.1268982639</v>
      </c>
      <c r="AY103" s="35"/>
      <c r="AZ103" s="113">
        <v>0.18640448347999999</v>
      </c>
      <c r="BA103" s="114">
        <v>0.18323294839000001</v>
      </c>
      <c r="BB103" s="376">
        <v>0.2251365273</v>
      </c>
      <c r="BC103" s="35"/>
      <c r="BD103" s="113">
        <v>8.2840839718999998E-2</v>
      </c>
      <c r="BE103" s="114">
        <v>8.0166630185999996E-2</v>
      </c>
      <c r="BF103" s="376">
        <v>8.6917916806000001E-2</v>
      </c>
      <c r="BG103" s="35"/>
      <c r="BH103" s="113">
        <v>4.3425800729999998E-2</v>
      </c>
      <c r="BI103" s="114">
        <v>3.7954929236000003E-2</v>
      </c>
      <c r="BJ103" s="376">
        <v>4.0690343871999997E-2</v>
      </c>
      <c r="BK103" s="35"/>
      <c r="BL103" s="373">
        <v>0.41940967350000002</v>
      </c>
      <c r="BM103" s="374">
        <v>0.41916407965000002</v>
      </c>
      <c r="BN103" s="375">
        <v>0.44415686783000002</v>
      </c>
    </row>
    <row r="104" spans="2:66" ht="15.6" x14ac:dyDescent="0.3">
      <c r="B104" s="283" t="s">
        <v>2280</v>
      </c>
      <c r="C104" s="99" t="s">
        <v>2803</v>
      </c>
      <c r="D104" s="99" t="s">
        <v>226</v>
      </c>
      <c r="E104" s="334">
        <v>45473</v>
      </c>
      <c r="F104" s="35"/>
      <c r="G104" s="339">
        <v>421785.66347000003</v>
      </c>
      <c r="H104" s="100">
        <v>375149.28101999999</v>
      </c>
      <c r="I104" s="100">
        <v>1792654.0527999999</v>
      </c>
      <c r="J104" s="340">
        <v>1666226.1143</v>
      </c>
      <c r="K104" s="72"/>
      <c r="L104" s="339">
        <v>111517.94037</v>
      </c>
      <c r="M104" s="100">
        <v>70919.596990000005</v>
      </c>
      <c r="N104" s="100">
        <v>562785.33511999995</v>
      </c>
      <c r="O104" s="340">
        <v>486831.51130000001</v>
      </c>
      <c r="P104" s="35"/>
      <c r="Q104" s="346">
        <v>0.31393973324000002</v>
      </c>
      <c r="R104" s="347">
        <v>0.29910077953999997</v>
      </c>
      <c r="S104" s="348">
        <v>0.30877889814999998</v>
      </c>
      <c r="T104" s="35"/>
      <c r="U104" s="339">
        <v>81409.963164999994</v>
      </c>
      <c r="V104" s="100">
        <v>38269.950521999999</v>
      </c>
      <c r="W104" s="100">
        <v>432302.37991000002</v>
      </c>
      <c r="X104" s="340">
        <v>364169.13367000001</v>
      </c>
      <c r="Y104" s="35"/>
      <c r="Z104" s="346">
        <v>0.24115215048999999</v>
      </c>
      <c r="AA104" s="347">
        <v>0.22220190577999999</v>
      </c>
      <c r="AB104" s="348">
        <v>0.24525464138</v>
      </c>
      <c r="AC104" s="35"/>
      <c r="AD104" s="339">
        <v>105344.80144</v>
      </c>
      <c r="AE104" s="100">
        <v>60189.450145000003</v>
      </c>
      <c r="AF104" s="100">
        <v>523430.19451</v>
      </c>
      <c r="AG104" s="340">
        <v>448688.13007000001</v>
      </c>
      <c r="AH104" s="35"/>
      <c r="AI104" s="346">
        <v>0.29198617194999998</v>
      </c>
      <c r="AJ104" s="347">
        <v>0.27286030707999998</v>
      </c>
      <c r="AK104" s="348">
        <v>0.29204888664</v>
      </c>
      <c r="AL104" s="35"/>
      <c r="AM104" s="339">
        <v>51578.979350000001</v>
      </c>
      <c r="AN104" s="100">
        <v>16520.95333</v>
      </c>
      <c r="AO104" s="100">
        <v>294889.57193999999</v>
      </c>
      <c r="AP104" s="340">
        <v>229715.93763</v>
      </c>
      <c r="AQ104" s="35"/>
      <c r="AR104" s="106">
        <v>0.16449887331999999</v>
      </c>
      <c r="AS104" s="107">
        <v>0.14825709619999999</v>
      </c>
      <c r="AT104" s="353">
        <v>0.16488966743</v>
      </c>
      <c r="AU104" s="35"/>
      <c r="AV104" s="358">
        <v>1502.9077944999999</v>
      </c>
      <c r="AW104" s="359">
        <v>1277.3478459</v>
      </c>
      <c r="AX104" s="360">
        <v>1378.9083877999999</v>
      </c>
      <c r="AY104" s="35"/>
      <c r="AZ104" s="106">
        <v>0.39140625155999997</v>
      </c>
      <c r="BA104" s="107">
        <v>0.34432799076999998</v>
      </c>
      <c r="BB104" s="353">
        <v>0.42525412178999999</v>
      </c>
      <c r="BC104" s="35"/>
      <c r="BD104" s="106">
        <v>0.15301724252000001</v>
      </c>
      <c r="BE104" s="107">
        <v>0.13079440884999999</v>
      </c>
      <c r="BF104" s="353">
        <v>0.13920622366999999</v>
      </c>
      <c r="BG104" s="35"/>
      <c r="BH104" s="106">
        <v>0.10603090655</v>
      </c>
      <c r="BI104" s="107">
        <v>9.7829851046000005E-2</v>
      </c>
      <c r="BJ104" s="353">
        <v>0.11526015183</v>
      </c>
      <c r="BK104" s="35"/>
      <c r="BL104" s="367">
        <v>0.64456919621999997</v>
      </c>
      <c r="BM104" s="368">
        <v>0.65986622937999995</v>
      </c>
      <c r="BN104" s="369">
        <v>0.69901379287999998</v>
      </c>
    </row>
    <row r="105" spans="2:66" ht="15.6" x14ac:dyDescent="0.3">
      <c r="B105" s="306" t="s">
        <v>537</v>
      </c>
      <c r="C105" s="111" t="s">
        <v>632</v>
      </c>
      <c r="D105" s="111" t="s">
        <v>226</v>
      </c>
      <c r="E105" s="385">
        <v>45473</v>
      </c>
      <c r="F105" s="35"/>
      <c r="G105" s="380">
        <v>549524.77836</v>
      </c>
      <c r="H105" s="112">
        <v>544811.75204000005</v>
      </c>
      <c r="I105" s="112">
        <v>2313230.0110999998</v>
      </c>
      <c r="J105" s="381">
        <v>2232027.4478000002</v>
      </c>
      <c r="K105" s="72"/>
      <c r="L105" s="380">
        <v>87607.188473000002</v>
      </c>
      <c r="M105" s="112">
        <v>93264.829675999994</v>
      </c>
      <c r="N105" s="112">
        <v>465462.30239999999</v>
      </c>
      <c r="O105" s="381">
        <v>434493.54119999998</v>
      </c>
      <c r="P105" s="35"/>
      <c r="Q105" s="382">
        <v>0.20121747521</v>
      </c>
      <c r="R105" s="383">
        <v>0.20820684619999999</v>
      </c>
      <c r="S105" s="384">
        <v>0.18334033262999999</v>
      </c>
      <c r="T105" s="35"/>
      <c r="U105" s="380">
        <v>50976.819806</v>
      </c>
      <c r="V105" s="112">
        <v>61125.644474000001</v>
      </c>
      <c r="W105" s="112">
        <v>310204.49634999997</v>
      </c>
      <c r="X105" s="381">
        <v>293232.80024999997</v>
      </c>
      <c r="Y105" s="35"/>
      <c r="Z105" s="382">
        <v>0.13410015211000001</v>
      </c>
      <c r="AA105" s="383">
        <v>0.14449390207999999</v>
      </c>
      <c r="AB105" s="384">
        <v>0.124304522</v>
      </c>
      <c r="AC105" s="35"/>
      <c r="AD105" s="380">
        <v>71834.622814000002</v>
      </c>
      <c r="AE105" s="112">
        <v>80804.553870000003</v>
      </c>
      <c r="AF105" s="112">
        <v>390091.99946000002</v>
      </c>
      <c r="AG105" s="381">
        <v>369511.19449999998</v>
      </c>
      <c r="AH105" s="35"/>
      <c r="AI105" s="382">
        <v>0.16863519735999999</v>
      </c>
      <c r="AJ105" s="383">
        <v>0.17817772016</v>
      </c>
      <c r="AK105" s="384">
        <v>0.15892666101</v>
      </c>
      <c r="AL105" s="35"/>
      <c r="AM105" s="380">
        <v>13802.50035</v>
      </c>
      <c r="AN105" s="112">
        <v>26228.085589999999</v>
      </c>
      <c r="AO105" s="112">
        <v>128644.36139999999</v>
      </c>
      <c r="AP105" s="381">
        <v>139414.50297</v>
      </c>
      <c r="AQ105" s="35"/>
      <c r="AR105" s="113">
        <v>5.5612438361000001E-2</v>
      </c>
      <c r="AS105" s="114">
        <v>6.1823385836999999E-2</v>
      </c>
      <c r="AT105" s="376">
        <v>6.4270265665999998E-2</v>
      </c>
      <c r="AU105" s="35"/>
      <c r="AV105" s="379">
        <v>1319.9501605999999</v>
      </c>
      <c r="AW105" s="377">
        <v>1427.5063843999999</v>
      </c>
      <c r="AX105" s="378">
        <v>1344.2519976999999</v>
      </c>
      <c r="AY105" s="35"/>
      <c r="AZ105" s="113">
        <v>0.21549464007999999</v>
      </c>
      <c r="BA105" s="114">
        <v>0.24358307563000001</v>
      </c>
      <c r="BB105" s="376">
        <v>0.22991321653999999</v>
      </c>
      <c r="BC105" s="35"/>
      <c r="BD105" s="113">
        <v>9.9615733663E-2</v>
      </c>
      <c r="BE105" s="114">
        <v>0.10493554188</v>
      </c>
      <c r="BF105" s="376">
        <v>8.0224017408000003E-2</v>
      </c>
      <c r="BG105" s="35"/>
      <c r="BH105" s="113">
        <v>4.1883627798999998E-2</v>
      </c>
      <c r="BI105" s="114">
        <v>4.7349865323E-2</v>
      </c>
      <c r="BJ105" s="376">
        <v>4.7489747594000001E-2</v>
      </c>
      <c r="BK105" s="35"/>
      <c r="BL105" s="373">
        <v>0.75313417347</v>
      </c>
      <c r="BM105" s="374">
        <v>0.76588922916000002</v>
      </c>
      <c r="BN105" s="375">
        <v>0.73890697513000003</v>
      </c>
    </row>
    <row r="106" spans="2:66" ht="15.6" x14ac:dyDescent="0.3">
      <c r="B106" s="283" t="s">
        <v>541</v>
      </c>
      <c r="C106" s="99" t="s">
        <v>634</v>
      </c>
      <c r="D106" s="99" t="s">
        <v>226</v>
      </c>
      <c r="E106" s="334">
        <v>45473</v>
      </c>
      <c r="F106" s="35"/>
      <c r="G106" s="339">
        <v>398064.59182999999</v>
      </c>
      <c r="H106" s="100">
        <v>388853.28314000001</v>
      </c>
      <c r="I106" s="100">
        <v>1381744.3943</v>
      </c>
      <c r="J106" s="340">
        <v>1727332.9302999999</v>
      </c>
      <c r="K106" s="72"/>
      <c r="L106" s="339">
        <v>244651.40117</v>
      </c>
      <c r="M106" s="100">
        <v>255806.99366000001</v>
      </c>
      <c r="N106" s="100">
        <v>770279.47802000004</v>
      </c>
      <c r="O106" s="340">
        <v>1205762.8562</v>
      </c>
      <c r="P106" s="35"/>
      <c r="Q106" s="346">
        <v>0.55746886414999997</v>
      </c>
      <c r="R106" s="347">
        <v>0.50186840481999995</v>
      </c>
      <c r="S106" s="348">
        <v>0.66085820691999997</v>
      </c>
      <c r="T106" s="35"/>
      <c r="U106" s="339">
        <v>226935.86739</v>
      </c>
      <c r="V106" s="100">
        <v>236015.11332999999</v>
      </c>
      <c r="W106" s="100">
        <v>687219.59771</v>
      </c>
      <c r="X106" s="340">
        <v>1158525.3145999999</v>
      </c>
      <c r="Y106" s="35"/>
      <c r="Z106" s="346">
        <v>0.49735653029999999</v>
      </c>
      <c r="AA106" s="347">
        <v>0.45258270182999999</v>
      </c>
      <c r="AB106" s="348">
        <v>0.64213507546000004</v>
      </c>
      <c r="AC106" s="35"/>
      <c r="AD106" s="339">
        <v>227396.51944</v>
      </c>
      <c r="AE106" s="100">
        <v>236363.44037999999</v>
      </c>
      <c r="AF106" s="100">
        <v>688554.38470000005</v>
      </c>
      <c r="AG106" s="340">
        <v>1159197.9101</v>
      </c>
      <c r="AH106" s="35"/>
      <c r="AI106" s="346">
        <v>0.49832254615999999</v>
      </c>
      <c r="AJ106" s="347">
        <v>0.45334841557</v>
      </c>
      <c r="AK106" s="348">
        <v>0.64233402944999995</v>
      </c>
      <c r="AL106" s="35"/>
      <c r="AM106" s="339">
        <v>97596.011710000006</v>
      </c>
      <c r="AN106" s="100">
        <v>51248.009784000002</v>
      </c>
      <c r="AO106" s="100">
        <v>192165.16811</v>
      </c>
      <c r="AP106" s="340">
        <v>332433.71496000001</v>
      </c>
      <c r="AQ106" s="35"/>
      <c r="AR106" s="106">
        <v>0.15241405909</v>
      </c>
      <c r="AS106" s="107">
        <v>3.1319115948999998E-2</v>
      </c>
      <c r="AT106" s="353">
        <v>0.25695818845000001</v>
      </c>
      <c r="AU106" s="35"/>
      <c r="AV106" s="358">
        <v>0.16102367007000001</v>
      </c>
      <c r="AW106" s="359">
        <v>2.5929313712E-2</v>
      </c>
      <c r="AX106" s="360">
        <v>6.3609266314999999</v>
      </c>
      <c r="AY106" s="35"/>
      <c r="AZ106" s="106">
        <v>6.9696761858E-2</v>
      </c>
      <c r="BA106" s="107">
        <v>1.7803936805E-2</v>
      </c>
      <c r="BB106" s="353">
        <v>0.35074081798000001</v>
      </c>
      <c r="BC106" s="35"/>
      <c r="BD106" s="106">
        <v>5.2498265404000002E-2</v>
      </c>
      <c r="BE106" s="107">
        <v>4.6085896435000002E-2</v>
      </c>
      <c r="BF106" s="353">
        <v>0.12465667723</v>
      </c>
      <c r="BG106" s="35"/>
      <c r="BH106" s="106">
        <v>2.1470076417000002E-2</v>
      </c>
      <c r="BI106" s="107">
        <v>4.1907416711999997E-3</v>
      </c>
      <c r="BJ106" s="353">
        <v>4.6868961091E-2</v>
      </c>
      <c r="BK106" s="35"/>
      <c r="BL106" s="367">
        <v>0.14086677138000001</v>
      </c>
      <c r="BM106" s="368">
        <v>0.13380778939999999</v>
      </c>
      <c r="BN106" s="369">
        <v>0.18239917308</v>
      </c>
    </row>
    <row r="107" spans="2:66" ht="15.6" x14ac:dyDescent="0.3">
      <c r="B107" s="306" t="s">
        <v>544</v>
      </c>
      <c r="C107" s="111" t="s">
        <v>635</v>
      </c>
      <c r="D107" s="111" t="s">
        <v>226</v>
      </c>
      <c r="E107" s="385">
        <v>45473</v>
      </c>
      <c r="F107" s="35"/>
      <c r="G107" s="380">
        <v>955314.07353000005</v>
      </c>
      <c r="H107" s="112">
        <v>1046375.5101</v>
      </c>
      <c r="I107" s="112">
        <v>4337912.1937999995</v>
      </c>
      <c r="J107" s="381">
        <v>4160564.7527000001</v>
      </c>
      <c r="K107" s="72"/>
      <c r="L107" s="380">
        <v>248895.62236000001</v>
      </c>
      <c r="M107" s="112">
        <v>361975.61466999998</v>
      </c>
      <c r="N107" s="112">
        <v>1553074.8422000001</v>
      </c>
      <c r="O107" s="381">
        <v>1299628.1055000001</v>
      </c>
      <c r="P107" s="35"/>
      <c r="Q107" s="382">
        <v>0.35802357743000002</v>
      </c>
      <c r="R107" s="383">
        <v>0.35356317141999999</v>
      </c>
      <c r="S107" s="384">
        <v>0.31743515983999998</v>
      </c>
      <c r="T107" s="35"/>
      <c r="U107" s="380">
        <v>175379.97081999999</v>
      </c>
      <c r="V107" s="112">
        <v>286042.40938999999</v>
      </c>
      <c r="W107" s="112">
        <v>1272056.0153000001</v>
      </c>
      <c r="X107" s="381">
        <v>1022481.1112</v>
      </c>
      <c r="Y107" s="35"/>
      <c r="Z107" s="382">
        <v>0.29324153152999999</v>
      </c>
      <c r="AA107" s="383">
        <v>0.28651438318</v>
      </c>
      <c r="AB107" s="384">
        <v>0.25705212859999998</v>
      </c>
      <c r="AC107" s="35"/>
      <c r="AD107" s="380">
        <v>223282.76615000001</v>
      </c>
      <c r="AE107" s="112">
        <v>331446.26530000003</v>
      </c>
      <c r="AF107" s="112">
        <v>1458853.9347000001</v>
      </c>
      <c r="AG107" s="381">
        <v>1186778.5088</v>
      </c>
      <c r="AH107" s="35"/>
      <c r="AI107" s="382">
        <v>0.33630324210000001</v>
      </c>
      <c r="AJ107" s="383">
        <v>0.32875304276</v>
      </c>
      <c r="AK107" s="384">
        <v>0.29057668004999998</v>
      </c>
      <c r="AL107" s="35"/>
      <c r="AM107" s="380">
        <v>68137.363213000004</v>
      </c>
      <c r="AN107" s="112">
        <v>143501.33116999999</v>
      </c>
      <c r="AO107" s="112">
        <v>647754.06119000004</v>
      </c>
      <c r="AP107" s="381">
        <v>507208.12083000003</v>
      </c>
      <c r="AQ107" s="35"/>
      <c r="AR107" s="113">
        <v>0.14932392180000001</v>
      </c>
      <c r="AS107" s="114">
        <v>0.14709193209999999</v>
      </c>
      <c r="AT107" s="376">
        <v>0.13653518254999999</v>
      </c>
      <c r="AU107" s="35"/>
      <c r="AV107" s="379">
        <v>997.55183419000002</v>
      </c>
      <c r="AW107" s="377">
        <v>941.31357077999996</v>
      </c>
      <c r="AX107" s="378">
        <v>860.64001608000001</v>
      </c>
      <c r="AY107" s="35"/>
      <c r="AZ107" s="113">
        <v>0.56844331163999995</v>
      </c>
      <c r="BA107" s="114">
        <v>0.58406976108999997</v>
      </c>
      <c r="BB107" s="376">
        <v>0.57559528977999996</v>
      </c>
      <c r="BC107" s="35"/>
      <c r="BD107" s="113">
        <v>0.17618158951999999</v>
      </c>
      <c r="BE107" s="114">
        <v>0.17312188315999999</v>
      </c>
      <c r="BF107" s="376">
        <v>0.16417804487000001</v>
      </c>
      <c r="BG107" s="35"/>
      <c r="BH107" s="113">
        <v>9.5296345736000002E-2</v>
      </c>
      <c r="BI107" s="114">
        <v>9.7964732671000004E-2</v>
      </c>
      <c r="BJ107" s="376">
        <v>9.8961261038000001E-2</v>
      </c>
      <c r="BK107" s="35"/>
      <c r="BL107" s="373">
        <v>0.63818539313</v>
      </c>
      <c r="BM107" s="374">
        <v>0.66601023778000001</v>
      </c>
      <c r="BN107" s="375">
        <v>0.72480410682999996</v>
      </c>
    </row>
    <row r="108" spans="2:66" ht="15.6" x14ac:dyDescent="0.3">
      <c r="B108" s="283" t="s">
        <v>545</v>
      </c>
      <c r="C108" s="99" t="s">
        <v>636</v>
      </c>
      <c r="D108" s="99" t="s">
        <v>226</v>
      </c>
      <c r="E108" s="334">
        <v>45473</v>
      </c>
      <c r="F108" s="35"/>
      <c r="G108" s="339">
        <v>1950025.4387999999</v>
      </c>
      <c r="H108" s="100">
        <v>2639475.9561000001</v>
      </c>
      <c r="I108" s="100">
        <v>9088677.0142000001</v>
      </c>
      <c r="J108" s="340">
        <v>9417892.1449999996</v>
      </c>
      <c r="K108" s="72"/>
      <c r="L108" s="339">
        <v>899109.50529</v>
      </c>
      <c r="M108" s="100">
        <v>1084813.8711000001</v>
      </c>
      <c r="N108" s="100">
        <v>3474565.9473999999</v>
      </c>
      <c r="O108" s="340">
        <v>3268567.1644000001</v>
      </c>
      <c r="P108" s="35"/>
      <c r="Q108" s="346">
        <v>0.38229611878999997</v>
      </c>
      <c r="R108" s="347">
        <v>0.36777213518000001</v>
      </c>
      <c r="S108" s="348">
        <v>0.30632168537999999</v>
      </c>
      <c r="T108" s="35"/>
      <c r="U108" s="339">
        <v>729279.43825999997</v>
      </c>
      <c r="V108" s="100">
        <v>843962.97409000003</v>
      </c>
      <c r="W108" s="100">
        <v>2588547.3906</v>
      </c>
      <c r="X108" s="340">
        <v>2257421.8497000001</v>
      </c>
      <c r="Y108" s="35"/>
      <c r="Z108" s="346">
        <v>0.28481014195999999</v>
      </c>
      <c r="AA108" s="347">
        <v>0.26482517160000002</v>
      </c>
      <c r="AB108" s="348">
        <v>0.20950206760000001</v>
      </c>
      <c r="AC108" s="35"/>
      <c r="AD108" s="339">
        <v>1074312.8426000001</v>
      </c>
      <c r="AE108" s="100">
        <v>1242752.4694000001</v>
      </c>
      <c r="AF108" s="100">
        <v>4101770.3106</v>
      </c>
      <c r="AG108" s="340">
        <v>3679039.7373000002</v>
      </c>
      <c r="AH108" s="35"/>
      <c r="AI108" s="346">
        <v>0.45130554250999999</v>
      </c>
      <c r="AJ108" s="347">
        <v>0.42454816941000001</v>
      </c>
      <c r="AK108" s="348">
        <v>0.34632313433</v>
      </c>
      <c r="AL108" s="35"/>
      <c r="AM108" s="339">
        <v>1070612.5722000001</v>
      </c>
      <c r="AN108" s="100">
        <v>407875.28746999998</v>
      </c>
      <c r="AO108" s="100">
        <v>630607.56816999998</v>
      </c>
      <c r="AP108" s="340">
        <v>686437.55646999995</v>
      </c>
      <c r="AQ108" s="35"/>
      <c r="AR108" s="106">
        <v>0.10429112722</v>
      </c>
      <c r="AS108" s="107">
        <v>3.0069879827E-2</v>
      </c>
      <c r="AT108" s="353">
        <v>6.1314789031000003E-2</v>
      </c>
      <c r="AU108" s="35"/>
      <c r="AV108" s="358">
        <v>0.39701823683999998</v>
      </c>
      <c r="AW108" s="359">
        <v>0.13757285296999999</v>
      </c>
      <c r="AX108" s="360">
        <v>0.26173621365999999</v>
      </c>
      <c r="AY108" s="35"/>
      <c r="AZ108" s="106">
        <v>5.9986761195000002E-2</v>
      </c>
      <c r="BA108" s="107">
        <v>2.1164515690999999E-2</v>
      </c>
      <c r="BB108" s="353">
        <v>3.3060303024000003E-2</v>
      </c>
      <c r="BC108" s="35"/>
      <c r="BD108" s="106">
        <v>4.3579624418999999E-2</v>
      </c>
      <c r="BE108" s="107">
        <v>4.7506551724E-2</v>
      </c>
      <c r="BF108" s="353">
        <v>3.2980604593E-2</v>
      </c>
      <c r="BG108" s="35"/>
      <c r="BH108" s="106">
        <v>2.1213332383000001E-2</v>
      </c>
      <c r="BI108" s="107">
        <v>6.9649002147000004E-3</v>
      </c>
      <c r="BJ108" s="353">
        <v>9.0083492174999995E-3</v>
      </c>
      <c r="BK108" s="35"/>
      <c r="BL108" s="367">
        <v>0.20340495828999999</v>
      </c>
      <c r="BM108" s="368">
        <v>0.23162381274999999</v>
      </c>
      <c r="BN108" s="369">
        <v>0.14691968054999999</v>
      </c>
    </row>
    <row r="109" spans="2:66" ht="15.6" x14ac:dyDescent="0.3">
      <c r="B109" s="306" t="s">
        <v>47</v>
      </c>
      <c r="C109" s="111" t="s">
        <v>19</v>
      </c>
      <c r="D109" s="111" t="s">
        <v>226</v>
      </c>
      <c r="E109" s="385">
        <v>45473</v>
      </c>
      <c r="F109" s="35"/>
      <c r="G109" s="380">
        <v>2811546.1381999999</v>
      </c>
      <c r="H109" s="112">
        <v>2729642.4533000002</v>
      </c>
      <c r="I109" s="112">
        <v>10673662.297</v>
      </c>
      <c r="J109" s="381">
        <v>11894709.828</v>
      </c>
      <c r="K109" s="72"/>
      <c r="L109" s="380">
        <v>1698149.1266999999</v>
      </c>
      <c r="M109" s="112">
        <v>1601529.3330000001</v>
      </c>
      <c r="N109" s="112">
        <v>5923546.8060999997</v>
      </c>
      <c r="O109" s="381">
        <v>5969227.3425000003</v>
      </c>
      <c r="P109" s="35"/>
      <c r="Q109" s="382">
        <v>0.55496854227000003</v>
      </c>
      <c r="R109" s="383">
        <v>0.54961459962000003</v>
      </c>
      <c r="S109" s="384">
        <v>0.46941953647000001</v>
      </c>
      <c r="T109" s="35"/>
      <c r="U109" s="380">
        <v>1701117.7733</v>
      </c>
      <c r="V109" s="112">
        <v>1546261.4406999999</v>
      </c>
      <c r="W109" s="112">
        <v>7687504.9457999999</v>
      </c>
      <c r="X109" s="381">
        <v>6294832.5920000002</v>
      </c>
      <c r="Y109" s="35"/>
      <c r="Z109" s="382">
        <v>0.72023123192000005</v>
      </c>
      <c r="AA109" s="383">
        <v>0.59177761666999995</v>
      </c>
      <c r="AB109" s="384">
        <v>0.48717363178</v>
      </c>
      <c r="AC109" s="35"/>
      <c r="AD109" s="380">
        <v>1967135.8023000001</v>
      </c>
      <c r="AE109" s="112">
        <v>1788878.0316000001</v>
      </c>
      <c r="AF109" s="112">
        <v>8667556.7369999997</v>
      </c>
      <c r="AG109" s="381">
        <v>7277473.6659000004</v>
      </c>
      <c r="AH109" s="35"/>
      <c r="AI109" s="382">
        <v>0.81205086830999995</v>
      </c>
      <c r="AJ109" s="383">
        <v>0.67777292509999998</v>
      </c>
      <c r="AK109" s="384">
        <v>0.57030396153999996</v>
      </c>
      <c r="AL109" s="35"/>
      <c r="AM109" s="380">
        <v>874430.99997</v>
      </c>
      <c r="AN109" s="112">
        <v>766320.56039</v>
      </c>
      <c r="AO109" s="112">
        <v>4386264.6015999997</v>
      </c>
      <c r="AP109" s="381">
        <v>3387566.3547999999</v>
      </c>
      <c r="AQ109" s="35"/>
      <c r="AR109" s="113">
        <v>0.41084481866</v>
      </c>
      <c r="AS109" s="114">
        <v>0.31904809401000001</v>
      </c>
      <c r="AT109" s="376">
        <v>0.22378906498000001</v>
      </c>
      <c r="AU109" s="35"/>
      <c r="AV109" s="379">
        <v>5.3565209096000004</v>
      </c>
      <c r="AW109" s="377">
        <v>4.2032582443999997</v>
      </c>
      <c r="AX109" s="378">
        <v>3.263866234</v>
      </c>
      <c r="AY109" s="35"/>
      <c r="AZ109" s="113">
        <v>0.40907409357000002</v>
      </c>
      <c r="BA109" s="114">
        <v>0.37565603085999999</v>
      </c>
      <c r="BB109" s="376">
        <v>0.32548776568999999</v>
      </c>
      <c r="BC109" s="35"/>
      <c r="BD109" s="113">
        <v>0.14623115545000001</v>
      </c>
      <c r="BE109" s="114">
        <v>0.12932903524</v>
      </c>
      <c r="BF109" s="376">
        <v>0.12313571547</v>
      </c>
      <c r="BG109" s="35"/>
      <c r="BH109" s="113">
        <v>9.4095606695E-2</v>
      </c>
      <c r="BI109" s="114">
        <v>8.1210249799999995E-2</v>
      </c>
      <c r="BJ109" s="376">
        <v>6.9777288206999993E-2</v>
      </c>
      <c r="BK109" s="35"/>
      <c r="BL109" s="373">
        <v>0.22902955671</v>
      </c>
      <c r="BM109" s="374">
        <v>0.25453921000000002</v>
      </c>
      <c r="BN109" s="375">
        <v>0.31179936434</v>
      </c>
    </row>
    <row r="110" spans="2:66" ht="15.6" x14ac:dyDescent="0.3">
      <c r="B110" s="283" t="s">
        <v>2287</v>
      </c>
      <c r="C110" s="99" t="s">
        <v>2804</v>
      </c>
      <c r="D110" s="99" t="s">
        <v>2780</v>
      </c>
      <c r="E110" s="334"/>
      <c r="F110" s="35"/>
      <c r="G110" s="339"/>
      <c r="H110" s="100"/>
      <c r="I110" s="100"/>
      <c r="J110" s="340"/>
      <c r="K110" s="72"/>
      <c r="L110" s="339"/>
      <c r="M110" s="100"/>
      <c r="N110" s="100"/>
      <c r="O110" s="340"/>
      <c r="P110" s="35"/>
      <c r="Q110" s="346"/>
      <c r="R110" s="347"/>
      <c r="S110" s="348"/>
      <c r="T110" s="35"/>
      <c r="U110" s="339"/>
      <c r="V110" s="100"/>
      <c r="W110" s="100"/>
      <c r="X110" s="340"/>
      <c r="Y110" s="35"/>
      <c r="Z110" s="346"/>
      <c r="AA110" s="347"/>
      <c r="AB110" s="348"/>
      <c r="AC110" s="35"/>
      <c r="AD110" s="339"/>
      <c r="AE110" s="100"/>
      <c r="AF110" s="100"/>
      <c r="AG110" s="340"/>
      <c r="AH110" s="35"/>
      <c r="AI110" s="346"/>
      <c r="AJ110" s="347"/>
      <c r="AK110" s="348"/>
      <c r="AL110" s="35"/>
      <c r="AM110" s="339"/>
      <c r="AN110" s="100"/>
      <c r="AO110" s="100"/>
      <c r="AP110" s="340"/>
      <c r="AQ110" s="35"/>
      <c r="AR110" s="106"/>
      <c r="AS110" s="107"/>
      <c r="AT110" s="353"/>
      <c r="AU110" s="35"/>
      <c r="AV110" s="358"/>
      <c r="AW110" s="359"/>
      <c r="AX110" s="360"/>
      <c r="AY110" s="35"/>
      <c r="AZ110" s="106"/>
      <c r="BA110" s="107"/>
      <c r="BB110" s="353"/>
      <c r="BC110" s="35"/>
      <c r="BD110" s="106"/>
      <c r="BE110" s="107"/>
      <c r="BF110" s="353"/>
      <c r="BG110" s="35"/>
      <c r="BH110" s="106"/>
      <c r="BI110" s="107"/>
      <c r="BJ110" s="353"/>
      <c r="BK110" s="35"/>
      <c r="BL110" s="367"/>
      <c r="BM110" s="368"/>
      <c r="BN110" s="369"/>
    </row>
    <row r="111" spans="2:66" ht="15.6" x14ac:dyDescent="0.3">
      <c r="B111" s="306" t="s">
        <v>49</v>
      </c>
      <c r="C111" s="111" t="s">
        <v>85</v>
      </c>
      <c r="D111" s="111" t="s">
        <v>228</v>
      </c>
      <c r="E111" s="385">
        <v>45473</v>
      </c>
      <c r="F111" s="35"/>
      <c r="G111" s="380">
        <v>226824.46786999999</v>
      </c>
      <c r="H111" s="112">
        <v>221781.82144999999</v>
      </c>
      <c r="I111" s="112">
        <v>919929.17153000005</v>
      </c>
      <c r="J111" s="381">
        <v>914951.60887999996</v>
      </c>
      <c r="K111" s="72"/>
      <c r="L111" s="380">
        <v>108329.50558</v>
      </c>
      <c r="M111" s="112">
        <v>89327.583358000003</v>
      </c>
      <c r="N111" s="112">
        <v>421772.61667999998</v>
      </c>
      <c r="O111" s="381">
        <v>347864.70796999999</v>
      </c>
      <c r="P111" s="35"/>
      <c r="Q111" s="382">
        <v>0.45848379389999999</v>
      </c>
      <c r="R111" s="383">
        <v>0.41978051534999999</v>
      </c>
      <c r="S111" s="384">
        <v>0.34325746199000001</v>
      </c>
      <c r="T111" s="35"/>
      <c r="U111" s="380">
        <v>89213.950855999996</v>
      </c>
      <c r="V111" s="112">
        <v>81015.851360999994</v>
      </c>
      <c r="W111" s="112">
        <v>353950.38363</v>
      </c>
      <c r="X111" s="381">
        <v>292336.35495000001</v>
      </c>
      <c r="Y111" s="35"/>
      <c r="Z111" s="382">
        <v>0.38475829942000001</v>
      </c>
      <c r="AA111" s="383">
        <v>0.34972392146999998</v>
      </c>
      <c r="AB111" s="384">
        <v>0.29202391291000002</v>
      </c>
      <c r="AC111" s="35"/>
      <c r="AD111" s="380">
        <v>118142.69895000001</v>
      </c>
      <c r="AE111" s="112">
        <v>102295.18234</v>
      </c>
      <c r="AF111" s="112">
        <v>448709.22028000001</v>
      </c>
      <c r="AG111" s="381">
        <v>376067.69287999999</v>
      </c>
      <c r="AH111" s="35"/>
      <c r="AI111" s="382">
        <v>0.48776496514000001</v>
      </c>
      <c r="AJ111" s="383">
        <v>0.44057643063000002</v>
      </c>
      <c r="AK111" s="384">
        <v>0.38945797728999998</v>
      </c>
      <c r="AL111" s="35"/>
      <c r="AM111" s="380">
        <v>7263.0477012000001</v>
      </c>
      <c r="AN111" s="112">
        <v>-4755.2395745000003</v>
      </c>
      <c r="AO111" s="112">
        <v>30240.452304999999</v>
      </c>
      <c r="AP111" s="381">
        <v>-5507.3331191999996</v>
      </c>
      <c r="AQ111" s="35"/>
      <c r="AR111" s="113">
        <v>3.2872587630999997E-2</v>
      </c>
      <c r="AS111" s="114">
        <v>-6.3595867268999998E-3</v>
      </c>
      <c r="AT111" s="376">
        <v>-5.7382102742999999E-2</v>
      </c>
      <c r="AU111" s="35"/>
      <c r="AV111" s="379">
        <v>5.1895533801000003E-2</v>
      </c>
      <c r="AW111" s="377">
        <v>-9.8548468209999993E-3</v>
      </c>
      <c r="AX111" s="378">
        <v>-8.2391824025000004E-2</v>
      </c>
      <c r="AY111" s="35"/>
      <c r="AZ111" s="113">
        <v>0.42711042758000001</v>
      </c>
      <c r="BA111" s="114">
        <v>-6.5991984545999999E-2</v>
      </c>
      <c r="BB111" s="376">
        <v>-0.42153169703999999</v>
      </c>
      <c r="BC111" s="35"/>
      <c r="BD111" s="113">
        <v>8.3270118919000005E-2</v>
      </c>
      <c r="BE111" s="114">
        <v>7.6341887184999999E-2</v>
      </c>
      <c r="BF111" s="376">
        <v>6.3263006666999994E-2</v>
      </c>
      <c r="BG111" s="35"/>
      <c r="BH111" s="113">
        <v>8.7628660609999996E-3</v>
      </c>
      <c r="BI111" s="114">
        <v>-1.7602173046999999E-3</v>
      </c>
      <c r="BJ111" s="376">
        <v>-1.6100257159E-2</v>
      </c>
      <c r="BK111" s="35"/>
      <c r="BL111" s="373">
        <v>0.26657061985000002</v>
      </c>
      <c r="BM111" s="374">
        <v>0.27678171243999999</v>
      </c>
      <c r="BN111" s="375">
        <v>0.28057976946000002</v>
      </c>
    </row>
    <row r="112" spans="2:66" ht="15.6" x14ac:dyDescent="0.3">
      <c r="B112" s="283" t="s">
        <v>554</v>
      </c>
      <c r="C112" s="99" t="s">
        <v>637</v>
      </c>
      <c r="D112" s="99" t="s">
        <v>226</v>
      </c>
      <c r="E112" s="334"/>
      <c r="F112" s="35"/>
      <c r="G112" s="339"/>
      <c r="H112" s="100"/>
      <c r="I112" s="100"/>
      <c r="J112" s="340"/>
      <c r="K112" s="72"/>
      <c r="L112" s="339"/>
      <c r="M112" s="100"/>
      <c r="N112" s="100"/>
      <c r="O112" s="340"/>
      <c r="P112" s="35"/>
      <c r="Q112" s="346"/>
      <c r="R112" s="347"/>
      <c r="S112" s="348"/>
      <c r="T112" s="35"/>
      <c r="U112" s="339"/>
      <c r="V112" s="100"/>
      <c r="W112" s="100"/>
      <c r="X112" s="340"/>
      <c r="Y112" s="35"/>
      <c r="Z112" s="346"/>
      <c r="AA112" s="347"/>
      <c r="AB112" s="348"/>
      <c r="AC112" s="35"/>
      <c r="AD112" s="339"/>
      <c r="AE112" s="100"/>
      <c r="AF112" s="100"/>
      <c r="AG112" s="340"/>
      <c r="AH112" s="35"/>
      <c r="AI112" s="346"/>
      <c r="AJ112" s="347"/>
      <c r="AK112" s="348"/>
      <c r="AL112" s="35"/>
      <c r="AM112" s="339"/>
      <c r="AN112" s="100"/>
      <c r="AO112" s="100"/>
      <c r="AP112" s="340"/>
      <c r="AQ112" s="35"/>
      <c r="AR112" s="106"/>
      <c r="AS112" s="107"/>
      <c r="AT112" s="353"/>
      <c r="AU112" s="35"/>
      <c r="AV112" s="358"/>
      <c r="AW112" s="359"/>
      <c r="AX112" s="360"/>
      <c r="AY112" s="35"/>
      <c r="AZ112" s="106"/>
      <c r="BA112" s="107"/>
      <c r="BB112" s="353"/>
      <c r="BC112" s="35"/>
      <c r="BD112" s="106"/>
      <c r="BE112" s="107"/>
      <c r="BF112" s="353"/>
      <c r="BG112" s="35"/>
      <c r="BH112" s="106"/>
      <c r="BI112" s="107"/>
      <c r="BJ112" s="353"/>
      <c r="BK112" s="35"/>
      <c r="BL112" s="367"/>
      <c r="BM112" s="368"/>
      <c r="BN112" s="369"/>
    </row>
    <row r="113" spans="2:66" ht="15.6" x14ac:dyDescent="0.3">
      <c r="B113" s="306" t="s">
        <v>1113</v>
      </c>
      <c r="C113" s="111" t="s">
        <v>1142</v>
      </c>
      <c r="D113" s="111" t="s">
        <v>226</v>
      </c>
      <c r="E113" s="385"/>
      <c r="F113" s="35"/>
      <c r="G113" s="380"/>
      <c r="H113" s="112"/>
      <c r="I113" s="112"/>
      <c r="J113" s="381"/>
      <c r="K113" s="72"/>
      <c r="L113" s="380"/>
      <c r="M113" s="112"/>
      <c r="N113" s="112"/>
      <c r="O113" s="381"/>
      <c r="P113" s="35"/>
      <c r="Q113" s="382"/>
      <c r="R113" s="383"/>
      <c r="S113" s="384"/>
      <c r="T113" s="35"/>
      <c r="U113" s="380"/>
      <c r="V113" s="112"/>
      <c r="W113" s="112"/>
      <c r="X113" s="381"/>
      <c r="Y113" s="35"/>
      <c r="Z113" s="382"/>
      <c r="AA113" s="383"/>
      <c r="AB113" s="384"/>
      <c r="AC113" s="35"/>
      <c r="AD113" s="380"/>
      <c r="AE113" s="112"/>
      <c r="AF113" s="112"/>
      <c r="AG113" s="381"/>
      <c r="AH113" s="35"/>
      <c r="AI113" s="382"/>
      <c r="AJ113" s="383"/>
      <c r="AK113" s="384"/>
      <c r="AL113" s="35"/>
      <c r="AM113" s="380"/>
      <c r="AN113" s="112"/>
      <c r="AO113" s="112"/>
      <c r="AP113" s="381"/>
      <c r="AQ113" s="35"/>
      <c r="AR113" s="113"/>
      <c r="AS113" s="114"/>
      <c r="AT113" s="376"/>
      <c r="AU113" s="35"/>
      <c r="AV113" s="379"/>
      <c r="AW113" s="377"/>
      <c r="AX113" s="378"/>
      <c r="AY113" s="35"/>
      <c r="AZ113" s="113"/>
      <c r="BA113" s="114"/>
      <c r="BB113" s="376"/>
      <c r="BC113" s="35"/>
      <c r="BD113" s="113"/>
      <c r="BE113" s="114"/>
      <c r="BF113" s="376"/>
      <c r="BG113" s="35"/>
      <c r="BH113" s="113"/>
      <c r="BI113" s="114"/>
      <c r="BJ113" s="376"/>
      <c r="BK113" s="35"/>
      <c r="BL113" s="373"/>
      <c r="BM113" s="374"/>
      <c r="BN113" s="375"/>
    </row>
    <row r="114" spans="2:66" ht="15.6" x14ac:dyDescent="0.3">
      <c r="B114" s="283" t="s">
        <v>555</v>
      </c>
      <c r="C114" s="99" t="s">
        <v>638</v>
      </c>
      <c r="D114" s="99" t="s">
        <v>226</v>
      </c>
      <c r="E114" s="334"/>
      <c r="F114" s="35"/>
      <c r="G114" s="339"/>
      <c r="H114" s="100"/>
      <c r="I114" s="100"/>
      <c r="J114" s="340"/>
      <c r="K114" s="72"/>
      <c r="L114" s="339"/>
      <c r="M114" s="100"/>
      <c r="N114" s="100"/>
      <c r="O114" s="340"/>
      <c r="P114" s="35"/>
      <c r="Q114" s="346"/>
      <c r="R114" s="347"/>
      <c r="S114" s="348"/>
      <c r="T114" s="35"/>
      <c r="U114" s="339"/>
      <c r="V114" s="100"/>
      <c r="W114" s="100"/>
      <c r="X114" s="340"/>
      <c r="Y114" s="35"/>
      <c r="Z114" s="346"/>
      <c r="AA114" s="347"/>
      <c r="AB114" s="348"/>
      <c r="AC114" s="35"/>
      <c r="AD114" s="339"/>
      <c r="AE114" s="100"/>
      <c r="AF114" s="100"/>
      <c r="AG114" s="340"/>
      <c r="AH114" s="35"/>
      <c r="AI114" s="346"/>
      <c r="AJ114" s="347"/>
      <c r="AK114" s="348"/>
      <c r="AL114" s="35"/>
      <c r="AM114" s="339"/>
      <c r="AN114" s="100"/>
      <c r="AO114" s="100"/>
      <c r="AP114" s="340"/>
      <c r="AQ114" s="35"/>
      <c r="AR114" s="106"/>
      <c r="AS114" s="107"/>
      <c r="AT114" s="353"/>
      <c r="AU114" s="35"/>
      <c r="AV114" s="358"/>
      <c r="AW114" s="359"/>
      <c r="AX114" s="360"/>
      <c r="AY114" s="35"/>
      <c r="AZ114" s="106"/>
      <c r="BA114" s="107"/>
      <c r="BB114" s="353"/>
      <c r="BC114" s="35"/>
      <c r="BD114" s="106"/>
      <c r="BE114" s="107"/>
      <c r="BF114" s="353"/>
      <c r="BG114" s="35"/>
      <c r="BH114" s="106"/>
      <c r="BI114" s="107"/>
      <c r="BJ114" s="353"/>
      <c r="BK114" s="35"/>
      <c r="BL114" s="367"/>
      <c r="BM114" s="368"/>
      <c r="BN114" s="369"/>
    </row>
    <row r="115" spans="2:66" ht="15.6" x14ac:dyDescent="0.3">
      <c r="B115" s="306" t="s">
        <v>556</v>
      </c>
      <c r="C115" s="111" t="s">
        <v>639</v>
      </c>
      <c r="D115" s="111" t="s">
        <v>226</v>
      </c>
      <c r="E115" s="385"/>
      <c r="F115" s="35"/>
      <c r="G115" s="380"/>
      <c r="H115" s="112"/>
      <c r="I115" s="112"/>
      <c r="J115" s="381"/>
      <c r="K115" s="72"/>
      <c r="L115" s="380"/>
      <c r="M115" s="112"/>
      <c r="N115" s="112"/>
      <c r="O115" s="381"/>
      <c r="P115" s="35"/>
      <c r="Q115" s="382"/>
      <c r="R115" s="383"/>
      <c r="S115" s="384"/>
      <c r="T115" s="35"/>
      <c r="U115" s="380"/>
      <c r="V115" s="112"/>
      <c r="W115" s="112"/>
      <c r="X115" s="381"/>
      <c r="Y115" s="35"/>
      <c r="Z115" s="382"/>
      <c r="AA115" s="383"/>
      <c r="AB115" s="384"/>
      <c r="AC115" s="35"/>
      <c r="AD115" s="380"/>
      <c r="AE115" s="112"/>
      <c r="AF115" s="112"/>
      <c r="AG115" s="381"/>
      <c r="AH115" s="35"/>
      <c r="AI115" s="382"/>
      <c r="AJ115" s="383"/>
      <c r="AK115" s="384"/>
      <c r="AL115" s="35"/>
      <c r="AM115" s="380"/>
      <c r="AN115" s="112"/>
      <c r="AO115" s="112"/>
      <c r="AP115" s="381"/>
      <c r="AQ115" s="35"/>
      <c r="AR115" s="113"/>
      <c r="AS115" s="114"/>
      <c r="AT115" s="376"/>
      <c r="AU115" s="35"/>
      <c r="AV115" s="379"/>
      <c r="AW115" s="377"/>
      <c r="AX115" s="378"/>
      <c r="AY115" s="35"/>
      <c r="AZ115" s="113"/>
      <c r="BA115" s="114"/>
      <c r="BB115" s="376"/>
      <c r="BC115" s="35"/>
      <c r="BD115" s="113"/>
      <c r="BE115" s="114"/>
      <c r="BF115" s="376"/>
      <c r="BG115" s="35"/>
      <c r="BH115" s="113"/>
      <c r="BI115" s="114"/>
      <c r="BJ115" s="376"/>
      <c r="BK115" s="35"/>
      <c r="BL115" s="373"/>
      <c r="BM115" s="374"/>
      <c r="BN115" s="375"/>
    </row>
    <row r="116" spans="2:66" ht="15.6" x14ac:dyDescent="0.3">
      <c r="B116" s="283" t="s">
        <v>558</v>
      </c>
      <c r="C116" s="99" t="s">
        <v>640</v>
      </c>
      <c r="D116" s="99" t="s">
        <v>226</v>
      </c>
      <c r="E116" s="334"/>
      <c r="F116" s="35"/>
      <c r="G116" s="339"/>
      <c r="H116" s="100"/>
      <c r="I116" s="100"/>
      <c r="J116" s="340"/>
      <c r="K116" s="72"/>
      <c r="L116" s="339"/>
      <c r="M116" s="100"/>
      <c r="N116" s="100"/>
      <c r="O116" s="340"/>
      <c r="P116" s="35"/>
      <c r="Q116" s="346"/>
      <c r="R116" s="347"/>
      <c r="S116" s="348"/>
      <c r="T116" s="35"/>
      <c r="U116" s="339"/>
      <c r="V116" s="100"/>
      <c r="W116" s="100"/>
      <c r="X116" s="340"/>
      <c r="Y116" s="35"/>
      <c r="Z116" s="346"/>
      <c r="AA116" s="347"/>
      <c r="AB116" s="348"/>
      <c r="AC116" s="35"/>
      <c r="AD116" s="339"/>
      <c r="AE116" s="100"/>
      <c r="AF116" s="100"/>
      <c r="AG116" s="340"/>
      <c r="AH116" s="35"/>
      <c r="AI116" s="346"/>
      <c r="AJ116" s="347"/>
      <c r="AK116" s="348"/>
      <c r="AL116" s="35"/>
      <c r="AM116" s="339"/>
      <c r="AN116" s="100"/>
      <c r="AO116" s="100"/>
      <c r="AP116" s="340"/>
      <c r="AQ116" s="35"/>
      <c r="AR116" s="106"/>
      <c r="AS116" s="107"/>
      <c r="AT116" s="353"/>
      <c r="AU116" s="35"/>
      <c r="AV116" s="358"/>
      <c r="AW116" s="359"/>
      <c r="AX116" s="360"/>
      <c r="AY116" s="35"/>
      <c r="AZ116" s="106"/>
      <c r="BA116" s="107"/>
      <c r="BB116" s="353"/>
      <c r="BC116" s="35"/>
      <c r="BD116" s="106"/>
      <c r="BE116" s="107"/>
      <c r="BF116" s="353"/>
      <c r="BG116" s="35"/>
      <c r="BH116" s="106"/>
      <c r="BI116" s="107"/>
      <c r="BJ116" s="353"/>
      <c r="BK116" s="35"/>
      <c r="BL116" s="367"/>
      <c r="BM116" s="368"/>
      <c r="BN116" s="369"/>
    </row>
    <row r="117" spans="2:66" ht="15.6" x14ac:dyDescent="0.3">
      <c r="B117" s="306" t="s">
        <v>559</v>
      </c>
      <c r="C117" s="111" t="s">
        <v>641</v>
      </c>
      <c r="D117" s="111" t="s">
        <v>226</v>
      </c>
      <c r="E117" s="385"/>
      <c r="F117" s="35"/>
      <c r="G117" s="380"/>
      <c r="H117" s="112"/>
      <c r="I117" s="112"/>
      <c r="J117" s="381"/>
      <c r="K117" s="72"/>
      <c r="L117" s="380"/>
      <c r="M117" s="112"/>
      <c r="N117" s="112"/>
      <c r="O117" s="381"/>
      <c r="P117" s="35"/>
      <c r="Q117" s="382"/>
      <c r="R117" s="383"/>
      <c r="S117" s="384"/>
      <c r="T117" s="35"/>
      <c r="U117" s="380"/>
      <c r="V117" s="112"/>
      <c r="W117" s="112"/>
      <c r="X117" s="381"/>
      <c r="Y117" s="35"/>
      <c r="Z117" s="382"/>
      <c r="AA117" s="383"/>
      <c r="AB117" s="384"/>
      <c r="AC117" s="35"/>
      <c r="AD117" s="380"/>
      <c r="AE117" s="112"/>
      <c r="AF117" s="112"/>
      <c r="AG117" s="381"/>
      <c r="AH117" s="35"/>
      <c r="AI117" s="382"/>
      <c r="AJ117" s="383"/>
      <c r="AK117" s="384"/>
      <c r="AL117" s="35"/>
      <c r="AM117" s="380"/>
      <c r="AN117" s="112"/>
      <c r="AO117" s="112"/>
      <c r="AP117" s="381"/>
      <c r="AQ117" s="35"/>
      <c r="AR117" s="113"/>
      <c r="AS117" s="114"/>
      <c r="AT117" s="376"/>
      <c r="AU117" s="35"/>
      <c r="AV117" s="379"/>
      <c r="AW117" s="377"/>
      <c r="AX117" s="378"/>
      <c r="AY117" s="35"/>
      <c r="AZ117" s="113"/>
      <c r="BA117" s="114"/>
      <c r="BB117" s="376"/>
      <c r="BC117" s="35"/>
      <c r="BD117" s="113"/>
      <c r="BE117" s="114"/>
      <c r="BF117" s="376"/>
      <c r="BG117" s="35"/>
      <c r="BH117" s="113"/>
      <c r="BI117" s="114"/>
      <c r="BJ117" s="376"/>
      <c r="BK117" s="35"/>
      <c r="BL117" s="373"/>
      <c r="BM117" s="374"/>
      <c r="BN117" s="375"/>
    </row>
    <row r="118" spans="2:66" ht="15.6" x14ac:dyDescent="0.3">
      <c r="B118" s="283" t="s">
        <v>560</v>
      </c>
      <c r="C118" s="99" t="s">
        <v>642</v>
      </c>
      <c r="D118" s="99" t="s">
        <v>226</v>
      </c>
      <c r="E118" s="334">
        <v>45473</v>
      </c>
      <c r="F118" s="35"/>
      <c r="G118" s="339">
        <v>36023.191126999998</v>
      </c>
      <c r="H118" s="100">
        <v>39727.066387999999</v>
      </c>
      <c r="I118" s="100">
        <v>150282.96462000001</v>
      </c>
      <c r="J118" s="340">
        <v>158253.45254</v>
      </c>
      <c r="K118" s="72"/>
      <c r="L118" s="339">
        <v>36198.820994000002</v>
      </c>
      <c r="M118" s="100">
        <v>37754.259121000003</v>
      </c>
      <c r="N118" s="100">
        <v>133973.47336999999</v>
      </c>
      <c r="O118" s="340">
        <v>146302.59197000001</v>
      </c>
      <c r="P118" s="35"/>
      <c r="Q118" s="346">
        <v>0.89147478362999999</v>
      </c>
      <c r="R118" s="347">
        <v>0.88135448146999995</v>
      </c>
      <c r="S118" s="348">
        <v>0.71973904258999999</v>
      </c>
      <c r="T118" s="35"/>
      <c r="U118" s="339">
        <v>36508.933159</v>
      </c>
      <c r="V118" s="100">
        <v>37567.020255000003</v>
      </c>
      <c r="W118" s="100">
        <v>130191.91142999999</v>
      </c>
      <c r="X118" s="340">
        <v>146401.96455</v>
      </c>
      <c r="Y118" s="35"/>
      <c r="Z118" s="346">
        <v>0.86631183886999996</v>
      </c>
      <c r="AA118" s="347">
        <v>0.85778998030999998</v>
      </c>
      <c r="AB118" s="348">
        <v>0.71900845314999995</v>
      </c>
      <c r="AC118" s="35"/>
      <c r="AD118" s="339">
        <v>36508.933159</v>
      </c>
      <c r="AE118" s="100">
        <v>37567.020255000003</v>
      </c>
      <c r="AF118" s="100">
        <v>130191.91142999999</v>
      </c>
      <c r="AG118" s="340">
        <v>146401.96455</v>
      </c>
      <c r="AH118" s="35"/>
      <c r="AI118" s="346">
        <v>0.86631183886999996</v>
      </c>
      <c r="AJ118" s="347">
        <v>0.85778998030999998</v>
      </c>
      <c r="AK118" s="348">
        <v>0.71900845314999995</v>
      </c>
      <c r="AL118" s="35"/>
      <c r="AM118" s="339">
        <v>23056.688944000001</v>
      </c>
      <c r="AN118" s="100">
        <v>25513.649023999998</v>
      </c>
      <c r="AO118" s="100">
        <v>87399.443429999999</v>
      </c>
      <c r="AP118" s="340">
        <v>104073.42855</v>
      </c>
      <c r="AQ118" s="35"/>
      <c r="AR118" s="106">
        <v>0.58156587242000002</v>
      </c>
      <c r="AS118" s="107">
        <v>0.57826851285000003</v>
      </c>
      <c r="AT118" s="353">
        <v>0.41462092110999998</v>
      </c>
      <c r="AU118" s="35"/>
      <c r="AV118" s="358">
        <v>0.59299816291999996</v>
      </c>
      <c r="AW118" s="359">
        <v>0.59805069303000002</v>
      </c>
      <c r="AX118" s="360">
        <v>0.49464405933</v>
      </c>
      <c r="AY118" s="35"/>
      <c r="AZ118" s="106">
        <v>0.17650218179999999</v>
      </c>
      <c r="BA118" s="107">
        <v>0.18320572470999999</v>
      </c>
      <c r="BB118" s="353">
        <v>0.16583170964999999</v>
      </c>
      <c r="BC118" s="35"/>
      <c r="BD118" s="106">
        <v>7.5509213263999994E-2</v>
      </c>
      <c r="BE118" s="107">
        <v>7.7377139462999997E-2</v>
      </c>
      <c r="BF118" s="353">
        <v>7.6653978723999996E-2</v>
      </c>
      <c r="BG118" s="35"/>
      <c r="BH118" s="106">
        <v>6.9094267348000005E-2</v>
      </c>
      <c r="BI118" s="107">
        <v>7.2746067124999994E-2</v>
      </c>
      <c r="BJ118" s="353">
        <v>6.1503683007000001E-2</v>
      </c>
      <c r="BK118" s="35"/>
      <c r="BL118" s="367">
        <v>0.11880729359</v>
      </c>
      <c r="BM118" s="368">
        <v>0.12579980667999999</v>
      </c>
      <c r="BN118" s="369">
        <v>0.14833714334000001</v>
      </c>
    </row>
    <row r="119" spans="2:66" ht="15.6" x14ac:dyDescent="0.3">
      <c r="B119" s="306" t="s">
        <v>561</v>
      </c>
      <c r="C119" s="111" t="s">
        <v>643</v>
      </c>
      <c r="D119" s="111" t="s">
        <v>226</v>
      </c>
      <c r="E119" s="385">
        <v>45473</v>
      </c>
      <c r="F119" s="35"/>
      <c r="G119" s="380">
        <v>55546.207146000001</v>
      </c>
      <c r="H119" s="112">
        <v>65204.104461000003</v>
      </c>
      <c r="I119" s="112">
        <v>265515.22577999998</v>
      </c>
      <c r="J119" s="381">
        <v>210971.13050999999</v>
      </c>
      <c r="K119" s="72"/>
      <c r="L119" s="380">
        <v>51026.999768000001</v>
      </c>
      <c r="M119" s="112">
        <v>51678.972983</v>
      </c>
      <c r="N119" s="112">
        <v>203067.26665999999</v>
      </c>
      <c r="O119" s="381">
        <v>192430.29869</v>
      </c>
      <c r="P119" s="35"/>
      <c r="Q119" s="382">
        <v>0.76480460231000003</v>
      </c>
      <c r="R119" s="383">
        <v>0.74077100767000004</v>
      </c>
      <c r="S119" s="384">
        <v>0.96070289211000004</v>
      </c>
      <c r="T119" s="35"/>
      <c r="U119" s="380">
        <v>50217.095180999997</v>
      </c>
      <c r="V119" s="112">
        <v>51327.507849000001</v>
      </c>
      <c r="W119" s="112">
        <v>200105.6453</v>
      </c>
      <c r="X119" s="381">
        <v>190716.90617</v>
      </c>
      <c r="Y119" s="35"/>
      <c r="Z119" s="382">
        <v>0.75365035927000001</v>
      </c>
      <c r="AA119" s="383">
        <v>0.73218851696999998</v>
      </c>
      <c r="AB119" s="384">
        <v>0.95140421525999996</v>
      </c>
      <c r="AC119" s="35"/>
      <c r="AD119" s="380">
        <v>50230.141970999997</v>
      </c>
      <c r="AE119" s="112">
        <v>51330.645930999999</v>
      </c>
      <c r="AF119" s="112">
        <v>200127.72448</v>
      </c>
      <c r="AG119" s="381">
        <v>190729.45848999999</v>
      </c>
      <c r="AH119" s="35"/>
      <c r="AI119" s="382">
        <v>0.75373351526999999</v>
      </c>
      <c r="AJ119" s="383">
        <v>0.73223210135000005</v>
      </c>
      <c r="AK119" s="384">
        <v>0.95145651377999996</v>
      </c>
      <c r="AL119" s="35"/>
      <c r="AM119" s="380">
        <v>33071.605761999999</v>
      </c>
      <c r="AN119" s="112">
        <v>31880.816488</v>
      </c>
      <c r="AO119" s="112">
        <v>129872.76687000001</v>
      </c>
      <c r="AP119" s="381">
        <v>128997.11825</v>
      </c>
      <c r="AQ119" s="35"/>
      <c r="AR119" s="113">
        <v>0.48913491305000001</v>
      </c>
      <c r="AS119" s="114">
        <v>0.46622210600000003</v>
      </c>
      <c r="AT119" s="376">
        <v>0.52120704983999999</v>
      </c>
      <c r="AU119" s="35"/>
      <c r="AV119" s="379">
        <v>0.75601183627000001</v>
      </c>
      <c r="AW119" s="377">
        <v>0.74991850018999995</v>
      </c>
      <c r="AX119" s="378">
        <v>0.58222614991999999</v>
      </c>
      <c r="AY119" s="35"/>
      <c r="AZ119" s="113">
        <v>0.24896853912</v>
      </c>
      <c r="BA119" s="114">
        <v>0.25741942859</v>
      </c>
      <c r="BB119" s="376">
        <v>0.23569115140999999</v>
      </c>
      <c r="BC119" s="35"/>
      <c r="BD119" s="113">
        <v>9.1549557195999998E-2</v>
      </c>
      <c r="BE119" s="114">
        <v>9.3486128399000001E-2</v>
      </c>
      <c r="BF119" s="376">
        <v>8.9028927051999995E-2</v>
      </c>
      <c r="BG119" s="35"/>
      <c r="BH119" s="113">
        <v>7.9391333315999998E-2</v>
      </c>
      <c r="BI119" s="114">
        <v>8.2039967992999993E-2</v>
      </c>
      <c r="BJ119" s="376">
        <v>6.7916412246999999E-2</v>
      </c>
      <c r="BK119" s="35"/>
      <c r="BL119" s="373">
        <v>0.16230968430000001</v>
      </c>
      <c r="BM119" s="374">
        <v>0.17596756339</v>
      </c>
      <c r="BN119" s="375">
        <v>0.1303060123</v>
      </c>
    </row>
    <row r="120" spans="2:66" ht="15.6" x14ac:dyDescent="0.3">
      <c r="B120" s="283" t="s">
        <v>50</v>
      </c>
      <c r="C120" s="99" t="s">
        <v>86</v>
      </c>
      <c r="D120" s="99" t="s">
        <v>226</v>
      </c>
      <c r="E120" s="334">
        <v>45473</v>
      </c>
      <c r="F120" s="35"/>
      <c r="G120" s="339">
        <v>28671.826692999999</v>
      </c>
      <c r="H120" s="100">
        <v>27292.941262</v>
      </c>
      <c r="I120" s="100">
        <v>113087.56958</v>
      </c>
      <c r="J120" s="340">
        <v>125825.56383</v>
      </c>
      <c r="K120" s="72"/>
      <c r="L120" s="339">
        <v>25850.709228</v>
      </c>
      <c r="M120" s="100">
        <v>24836.869436000001</v>
      </c>
      <c r="N120" s="100">
        <v>100036.76506000001</v>
      </c>
      <c r="O120" s="340">
        <v>118577.64148000001</v>
      </c>
      <c r="P120" s="35"/>
      <c r="Q120" s="346">
        <v>0.88459558758000001</v>
      </c>
      <c r="R120" s="347">
        <v>0.89259800550000001</v>
      </c>
      <c r="S120" s="348">
        <v>0.95754346353999997</v>
      </c>
      <c r="T120" s="35"/>
      <c r="U120" s="339">
        <v>25157.222153999999</v>
      </c>
      <c r="V120" s="100">
        <v>23767.829655000001</v>
      </c>
      <c r="W120" s="100">
        <v>97737.519203000003</v>
      </c>
      <c r="X120" s="340">
        <v>113862.15093</v>
      </c>
      <c r="Y120" s="35"/>
      <c r="Z120" s="346">
        <v>0.86426403507000005</v>
      </c>
      <c r="AA120" s="347">
        <v>0.86802785419999995</v>
      </c>
      <c r="AB120" s="348">
        <v>0.9245337548</v>
      </c>
      <c r="AC120" s="35"/>
      <c r="AD120" s="339">
        <v>25157.222153999999</v>
      </c>
      <c r="AE120" s="100">
        <v>23767.829655000001</v>
      </c>
      <c r="AF120" s="100">
        <v>97738.522802000007</v>
      </c>
      <c r="AG120" s="340"/>
      <c r="AH120" s="35"/>
      <c r="AI120" s="346">
        <v>0.86427290960000003</v>
      </c>
      <c r="AJ120" s="347">
        <v>0.86802785419999995</v>
      </c>
      <c r="AK120" s="348"/>
      <c r="AL120" s="35"/>
      <c r="AM120" s="339">
        <v>14437.778668999999</v>
      </c>
      <c r="AN120" s="100">
        <v>12577.430850000001</v>
      </c>
      <c r="AO120" s="100">
        <v>55741.908997999999</v>
      </c>
      <c r="AP120" s="340">
        <v>64102.637837000002</v>
      </c>
      <c r="AQ120" s="35"/>
      <c r="AR120" s="106">
        <v>0.49290924904</v>
      </c>
      <c r="AS120" s="107">
        <v>0.47295392021999999</v>
      </c>
      <c r="AT120" s="353">
        <v>0.52082185594999997</v>
      </c>
      <c r="AU120" s="35"/>
      <c r="AV120" s="358">
        <v>0.25761562091000001</v>
      </c>
      <c r="AW120" s="359">
        <v>0.25516672530000001</v>
      </c>
      <c r="AX120" s="360">
        <v>0.28933122500000003</v>
      </c>
      <c r="AY120" s="35"/>
      <c r="AZ120" s="106">
        <v>0.12067094453</v>
      </c>
      <c r="BA120" s="107">
        <v>0.12638833847</v>
      </c>
      <c r="BB120" s="353">
        <v>0.14236094825000001</v>
      </c>
      <c r="BC120" s="35"/>
      <c r="BD120" s="106">
        <v>6.6618354207999997E-2</v>
      </c>
      <c r="BE120" s="107">
        <v>7.0048852684999996E-2</v>
      </c>
      <c r="BF120" s="353">
        <v>7.2504076530999995E-2</v>
      </c>
      <c r="BG120" s="35"/>
      <c r="BH120" s="106">
        <v>5.2875438747999999E-2</v>
      </c>
      <c r="BI120" s="107">
        <v>5.3857253900999998E-2</v>
      </c>
      <c r="BJ120" s="353">
        <v>5.8552137273000002E-2</v>
      </c>
      <c r="BK120" s="35"/>
      <c r="BL120" s="367">
        <v>0.1072721578</v>
      </c>
      <c r="BM120" s="368">
        <v>0.11387420971999999</v>
      </c>
      <c r="BN120" s="369">
        <v>0.11242258097000001</v>
      </c>
    </row>
    <row r="121" spans="2:66" ht="15.6" x14ac:dyDescent="0.3">
      <c r="B121" s="306" t="s">
        <v>450</v>
      </c>
      <c r="C121" s="111" t="s">
        <v>457</v>
      </c>
      <c r="D121" s="111" t="s">
        <v>226</v>
      </c>
      <c r="E121" s="385"/>
      <c r="F121" s="35"/>
      <c r="G121" s="380"/>
      <c r="H121" s="112"/>
      <c r="I121" s="112"/>
      <c r="J121" s="381"/>
      <c r="K121" s="72"/>
      <c r="L121" s="380"/>
      <c r="M121" s="112"/>
      <c r="N121" s="112"/>
      <c r="O121" s="381"/>
      <c r="P121" s="35"/>
      <c r="Q121" s="382"/>
      <c r="R121" s="383"/>
      <c r="S121" s="384"/>
      <c r="T121" s="35"/>
      <c r="U121" s="380"/>
      <c r="V121" s="112"/>
      <c r="W121" s="112"/>
      <c r="X121" s="381"/>
      <c r="Y121" s="35"/>
      <c r="Z121" s="382"/>
      <c r="AA121" s="383"/>
      <c r="AB121" s="384"/>
      <c r="AC121" s="35"/>
      <c r="AD121" s="380"/>
      <c r="AE121" s="112"/>
      <c r="AF121" s="112"/>
      <c r="AG121" s="381"/>
      <c r="AH121" s="35"/>
      <c r="AI121" s="382"/>
      <c r="AJ121" s="383"/>
      <c r="AK121" s="384"/>
      <c r="AL121" s="35"/>
      <c r="AM121" s="380"/>
      <c r="AN121" s="112"/>
      <c r="AO121" s="112"/>
      <c r="AP121" s="381"/>
      <c r="AQ121" s="35"/>
      <c r="AR121" s="113"/>
      <c r="AS121" s="114"/>
      <c r="AT121" s="376"/>
      <c r="AU121" s="35"/>
      <c r="AV121" s="379"/>
      <c r="AW121" s="377"/>
      <c r="AX121" s="378"/>
      <c r="AY121" s="35"/>
      <c r="AZ121" s="113"/>
      <c r="BA121" s="114"/>
      <c r="BB121" s="376"/>
      <c r="BC121" s="35"/>
      <c r="BD121" s="113"/>
      <c r="BE121" s="114"/>
      <c r="BF121" s="376"/>
      <c r="BG121" s="35"/>
      <c r="BH121" s="113"/>
      <c r="BI121" s="114"/>
      <c r="BJ121" s="376"/>
      <c r="BK121" s="35"/>
      <c r="BL121" s="373"/>
      <c r="BM121" s="374"/>
      <c r="BN121" s="375"/>
    </row>
    <row r="122" spans="2:66" ht="15.6" x14ac:dyDescent="0.3">
      <c r="B122" s="283" t="s">
        <v>563</v>
      </c>
      <c r="C122" s="99" t="s">
        <v>644</v>
      </c>
      <c r="D122" s="99" t="s">
        <v>226</v>
      </c>
      <c r="E122" s="334"/>
      <c r="F122" s="35"/>
      <c r="G122" s="339"/>
      <c r="H122" s="100"/>
      <c r="I122" s="100"/>
      <c r="J122" s="340"/>
      <c r="K122" s="72"/>
      <c r="L122" s="339"/>
      <c r="M122" s="100"/>
      <c r="N122" s="100"/>
      <c r="O122" s="340"/>
      <c r="P122" s="35"/>
      <c r="Q122" s="346"/>
      <c r="R122" s="347"/>
      <c r="S122" s="348"/>
      <c r="T122" s="35"/>
      <c r="U122" s="339"/>
      <c r="V122" s="100"/>
      <c r="W122" s="100"/>
      <c r="X122" s="340"/>
      <c r="Y122" s="35"/>
      <c r="Z122" s="346"/>
      <c r="AA122" s="347"/>
      <c r="AB122" s="348"/>
      <c r="AC122" s="35"/>
      <c r="AD122" s="339"/>
      <c r="AE122" s="100"/>
      <c r="AF122" s="100"/>
      <c r="AG122" s="340"/>
      <c r="AH122" s="35"/>
      <c r="AI122" s="346"/>
      <c r="AJ122" s="347"/>
      <c r="AK122" s="348"/>
      <c r="AL122" s="35"/>
      <c r="AM122" s="339"/>
      <c r="AN122" s="100"/>
      <c r="AO122" s="100"/>
      <c r="AP122" s="340"/>
      <c r="AQ122" s="35"/>
      <c r="AR122" s="106"/>
      <c r="AS122" s="107"/>
      <c r="AT122" s="353"/>
      <c r="AU122" s="35"/>
      <c r="AV122" s="358"/>
      <c r="AW122" s="359"/>
      <c r="AX122" s="360"/>
      <c r="AY122" s="35"/>
      <c r="AZ122" s="106"/>
      <c r="BA122" s="107"/>
      <c r="BB122" s="353"/>
      <c r="BC122" s="35"/>
      <c r="BD122" s="106"/>
      <c r="BE122" s="107"/>
      <c r="BF122" s="353"/>
      <c r="BG122" s="35"/>
      <c r="BH122" s="106"/>
      <c r="BI122" s="107"/>
      <c r="BJ122" s="353"/>
      <c r="BK122" s="35"/>
      <c r="BL122" s="367"/>
      <c r="BM122" s="368"/>
      <c r="BN122" s="369"/>
    </row>
    <row r="123" spans="2:66" ht="15.6" x14ac:dyDescent="0.3">
      <c r="B123" s="306" t="s">
        <v>451</v>
      </c>
      <c r="C123" s="111" t="s">
        <v>458</v>
      </c>
      <c r="D123" s="111" t="s">
        <v>226</v>
      </c>
      <c r="E123" s="385"/>
      <c r="F123" s="35"/>
      <c r="G123" s="380"/>
      <c r="H123" s="112"/>
      <c r="I123" s="112"/>
      <c r="J123" s="381"/>
      <c r="K123" s="72"/>
      <c r="L123" s="380"/>
      <c r="M123" s="112"/>
      <c r="N123" s="112"/>
      <c r="O123" s="381"/>
      <c r="P123" s="35"/>
      <c r="Q123" s="382"/>
      <c r="R123" s="383"/>
      <c r="S123" s="384"/>
      <c r="T123" s="35"/>
      <c r="U123" s="380"/>
      <c r="V123" s="112"/>
      <c r="W123" s="112"/>
      <c r="X123" s="381"/>
      <c r="Y123" s="35"/>
      <c r="Z123" s="382"/>
      <c r="AA123" s="383"/>
      <c r="AB123" s="384"/>
      <c r="AC123" s="35"/>
      <c r="AD123" s="380"/>
      <c r="AE123" s="112"/>
      <c r="AF123" s="112"/>
      <c r="AG123" s="381"/>
      <c r="AH123" s="35"/>
      <c r="AI123" s="382"/>
      <c r="AJ123" s="383"/>
      <c r="AK123" s="384"/>
      <c r="AL123" s="35"/>
      <c r="AM123" s="380"/>
      <c r="AN123" s="112"/>
      <c r="AO123" s="112"/>
      <c r="AP123" s="381"/>
      <c r="AQ123" s="35"/>
      <c r="AR123" s="113"/>
      <c r="AS123" s="114"/>
      <c r="AT123" s="376"/>
      <c r="AU123" s="35"/>
      <c r="AV123" s="379"/>
      <c r="AW123" s="377"/>
      <c r="AX123" s="378"/>
      <c r="AY123" s="35"/>
      <c r="AZ123" s="113"/>
      <c r="BA123" s="114"/>
      <c r="BB123" s="376"/>
      <c r="BC123" s="35"/>
      <c r="BD123" s="113"/>
      <c r="BE123" s="114"/>
      <c r="BF123" s="376"/>
      <c r="BG123" s="35"/>
      <c r="BH123" s="113"/>
      <c r="BI123" s="114"/>
      <c r="BJ123" s="376"/>
      <c r="BK123" s="35"/>
      <c r="BL123" s="373"/>
      <c r="BM123" s="374"/>
      <c r="BN123" s="375"/>
    </row>
    <row r="124" spans="2:66" ht="15.6" x14ac:dyDescent="0.3">
      <c r="B124" s="283" t="s">
        <v>51</v>
      </c>
      <c r="C124" s="99" t="s">
        <v>87</v>
      </c>
      <c r="D124" s="99" t="s">
        <v>226</v>
      </c>
      <c r="E124" s="334"/>
      <c r="F124" s="35"/>
      <c r="G124" s="339"/>
      <c r="H124" s="100"/>
      <c r="I124" s="100"/>
      <c r="J124" s="340"/>
      <c r="K124" s="72"/>
      <c r="L124" s="339"/>
      <c r="M124" s="100"/>
      <c r="N124" s="100"/>
      <c r="O124" s="340"/>
      <c r="P124" s="35"/>
      <c r="Q124" s="346"/>
      <c r="R124" s="347"/>
      <c r="S124" s="348"/>
      <c r="T124" s="35"/>
      <c r="U124" s="339"/>
      <c r="V124" s="100"/>
      <c r="W124" s="100"/>
      <c r="X124" s="340"/>
      <c r="Y124" s="35"/>
      <c r="Z124" s="346"/>
      <c r="AA124" s="347"/>
      <c r="AB124" s="348"/>
      <c r="AC124" s="35"/>
      <c r="AD124" s="339"/>
      <c r="AE124" s="100"/>
      <c r="AF124" s="100"/>
      <c r="AG124" s="340"/>
      <c r="AH124" s="35"/>
      <c r="AI124" s="346"/>
      <c r="AJ124" s="347"/>
      <c r="AK124" s="348"/>
      <c r="AL124" s="35"/>
      <c r="AM124" s="339"/>
      <c r="AN124" s="100"/>
      <c r="AO124" s="100"/>
      <c r="AP124" s="340"/>
      <c r="AQ124" s="35"/>
      <c r="AR124" s="106"/>
      <c r="AS124" s="107"/>
      <c r="AT124" s="353"/>
      <c r="AU124" s="35"/>
      <c r="AV124" s="358"/>
      <c r="AW124" s="359"/>
      <c r="AX124" s="360"/>
      <c r="AY124" s="35"/>
      <c r="AZ124" s="106"/>
      <c r="BA124" s="107"/>
      <c r="BB124" s="353"/>
      <c r="BC124" s="35"/>
      <c r="BD124" s="106"/>
      <c r="BE124" s="107"/>
      <c r="BF124" s="353"/>
      <c r="BG124" s="35"/>
      <c r="BH124" s="106"/>
      <c r="BI124" s="107"/>
      <c r="BJ124" s="353"/>
      <c r="BK124" s="35"/>
      <c r="BL124" s="367"/>
      <c r="BM124" s="368"/>
      <c r="BN124" s="369"/>
    </row>
    <row r="125" spans="2:66" ht="15.6" x14ac:dyDescent="0.3">
      <c r="B125" s="306" t="s">
        <v>52</v>
      </c>
      <c r="C125" s="111" t="s">
        <v>88</v>
      </c>
      <c r="D125" s="111" t="s">
        <v>226</v>
      </c>
      <c r="E125" s="385">
        <v>45473</v>
      </c>
      <c r="F125" s="35"/>
      <c r="G125" s="380">
        <v>57309.531010999999</v>
      </c>
      <c r="H125" s="112">
        <v>57573.336159999999</v>
      </c>
      <c r="I125" s="112">
        <v>223592.87831999999</v>
      </c>
      <c r="J125" s="381">
        <v>216550.63951000001</v>
      </c>
      <c r="K125" s="72"/>
      <c r="L125" s="380">
        <v>28723.010254000001</v>
      </c>
      <c r="M125" s="112">
        <v>31049.224877000001</v>
      </c>
      <c r="N125" s="112">
        <v>114947.23897000001</v>
      </c>
      <c r="O125" s="381">
        <v>110184.31935999999</v>
      </c>
      <c r="P125" s="35"/>
      <c r="Q125" s="382">
        <v>0.51409168234000002</v>
      </c>
      <c r="R125" s="383">
        <v>0.52307187338000005</v>
      </c>
      <c r="S125" s="384">
        <v>0.48383287439</v>
      </c>
      <c r="T125" s="35"/>
      <c r="U125" s="380">
        <v>26959.686388999999</v>
      </c>
      <c r="V125" s="112">
        <v>30129.766983000001</v>
      </c>
      <c r="W125" s="112">
        <v>109001.91707</v>
      </c>
      <c r="X125" s="381">
        <v>104808.78565999999</v>
      </c>
      <c r="Y125" s="35"/>
      <c r="Z125" s="382">
        <v>0.48750173930000001</v>
      </c>
      <c r="AA125" s="383">
        <v>0.50067013739999999</v>
      </c>
      <c r="AB125" s="384">
        <v>0.45755666171999998</v>
      </c>
      <c r="AC125" s="35"/>
      <c r="AD125" s="380">
        <v>36941.484431999997</v>
      </c>
      <c r="AE125" s="112">
        <v>40519.954992999999</v>
      </c>
      <c r="AF125" s="112">
        <v>148919.07324999999</v>
      </c>
      <c r="AG125" s="381">
        <v>146295.26978</v>
      </c>
      <c r="AH125" s="35"/>
      <c r="AI125" s="382">
        <v>0.66602780183999999</v>
      </c>
      <c r="AJ125" s="383">
        <v>0.68178502721000001</v>
      </c>
      <c r="AK125" s="384">
        <v>0.66712560897999995</v>
      </c>
      <c r="AL125" s="35"/>
      <c r="AM125" s="380">
        <v>17284.989713999999</v>
      </c>
      <c r="AN125" s="112">
        <v>17997.943713000001</v>
      </c>
      <c r="AO125" s="112">
        <v>68660.238417999994</v>
      </c>
      <c r="AP125" s="381">
        <v>57752.206808000003</v>
      </c>
      <c r="AQ125" s="35"/>
      <c r="AR125" s="113">
        <v>0.30707703633</v>
      </c>
      <c r="AS125" s="114">
        <v>0.29472369369000001</v>
      </c>
      <c r="AT125" s="376">
        <v>0.18047023936000001</v>
      </c>
      <c r="AU125" s="35"/>
      <c r="AV125" s="379">
        <v>8.4767253752000005E-2</v>
      </c>
      <c r="AW125" s="377">
        <v>8.0103530783999996E-2</v>
      </c>
      <c r="AX125" s="378">
        <v>4.2226269592000001E-2</v>
      </c>
      <c r="AY125" s="35"/>
      <c r="AZ125" s="113">
        <v>6.6730945459000005E-2</v>
      </c>
      <c r="BA125" s="114">
        <v>6.5055589070000003E-2</v>
      </c>
      <c r="BB125" s="376">
        <v>3.5743427634999998E-2</v>
      </c>
      <c r="BC125" s="35"/>
      <c r="BD125" s="113">
        <v>5.5119281913000001E-2</v>
      </c>
      <c r="BE125" s="114">
        <v>5.3960354469000001E-2</v>
      </c>
      <c r="BF125" s="376">
        <v>4.0152280314999997E-2</v>
      </c>
      <c r="BG125" s="35"/>
      <c r="BH125" s="113">
        <v>4.5797162763999998E-2</v>
      </c>
      <c r="BI125" s="114">
        <v>4.2983657566999997E-2</v>
      </c>
      <c r="BJ125" s="376">
        <v>2.2545005666000002E-2</v>
      </c>
      <c r="BK125" s="35"/>
      <c r="BL125" s="373">
        <v>0.14913900209</v>
      </c>
      <c r="BM125" s="374">
        <v>0.1458439158</v>
      </c>
      <c r="BN125" s="375">
        <v>0.12492367576000001</v>
      </c>
    </row>
    <row r="126" spans="2:66" ht="15.6" x14ac:dyDescent="0.3">
      <c r="B126" s="283" t="s">
        <v>2289</v>
      </c>
      <c r="C126" s="99" t="s">
        <v>2805</v>
      </c>
      <c r="D126" s="99" t="s">
        <v>227</v>
      </c>
      <c r="E126" s="334"/>
      <c r="F126" s="35"/>
      <c r="G126" s="339"/>
      <c r="H126" s="100"/>
      <c r="I126" s="100"/>
      <c r="J126" s="340"/>
      <c r="K126" s="72"/>
      <c r="L126" s="339"/>
      <c r="M126" s="100"/>
      <c r="N126" s="100"/>
      <c r="O126" s="340"/>
      <c r="P126" s="35"/>
      <c r="Q126" s="346"/>
      <c r="R126" s="347"/>
      <c r="S126" s="348"/>
      <c r="T126" s="35"/>
      <c r="U126" s="339"/>
      <c r="V126" s="100"/>
      <c r="W126" s="100"/>
      <c r="X126" s="340"/>
      <c r="Y126" s="35"/>
      <c r="Z126" s="346"/>
      <c r="AA126" s="347"/>
      <c r="AB126" s="348"/>
      <c r="AC126" s="35"/>
      <c r="AD126" s="339"/>
      <c r="AE126" s="100"/>
      <c r="AF126" s="100"/>
      <c r="AG126" s="340"/>
      <c r="AH126" s="35"/>
      <c r="AI126" s="346"/>
      <c r="AJ126" s="347"/>
      <c r="AK126" s="348"/>
      <c r="AL126" s="35"/>
      <c r="AM126" s="339"/>
      <c r="AN126" s="100"/>
      <c r="AO126" s="100"/>
      <c r="AP126" s="340"/>
      <c r="AQ126" s="35"/>
      <c r="AR126" s="106"/>
      <c r="AS126" s="107"/>
      <c r="AT126" s="353"/>
      <c r="AU126" s="35"/>
      <c r="AV126" s="358"/>
      <c r="AW126" s="359"/>
      <c r="AX126" s="360"/>
      <c r="AY126" s="35"/>
      <c r="AZ126" s="106"/>
      <c r="BA126" s="107"/>
      <c r="BB126" s="353"/>
      <c r="BC126" s="35"/>
      <c r="BD126" s="106"/>
      <c r="BE126" s="107"/>
      <c r="BF126" s="353"/>
      <c r="BG126" s="35"/>
      <c r="BH126" s="106"/>
      <c r="BI126" s="107"/>
      <c r="BJ126" s="353"/>
      <c r="BK126" s="35"/>
      <c r="BL126" s="367"/>
      <c r="BM126" s="368"/>
      <c r="BN126" s="369"/>
    </row>
    <row r="127" spans="2:66" ht="15.6" x14ac:dyDescent="0.3">
      <c r="B127" s="306" t="s">
        <v>564</v>
      </c>
      <c r="C127" s="111" t="s">
        <v>645</v>
      </c>
      <c r="D127" s="111" t="s">
        <v>226</v>
      </c>
      <c r="E127" s="385"/>
      <c r="F127" s="35"/>
      <c r="G127" s="380"/>
      <c r="H127" s="112"/>
      <c r="I127" s="112"/>
      <c r="J127" s="381"/>
      <c r="K127" s="72"/>
      <c r="L127" s="380"/>
      <c r="M127" s="112"/>
      <c r="N127" s="112"/>
      <c r="O127" s="381"/>
      <c r="P127" s="35"/>
      <c r="Q127" s="382"/>
      <c r="R127" s="383"/>
      <c r="S127" s="384"/>
      <c r="T127" s="35"/>
      <c r="U127" s="380"/>
      <c r="V127" s="112"/>
      <c r="W127" s="112"/>
      <c r="X127" s="381"/>
      <c r="Y127" s="35"/>
      <c r="Z127" s="382"/>
      <c r="AA127" s="383"/>
      <c r="AB127" s="384"/>
      <c r="AC127" s="35"/>
      <c r="AD127" s="380"/>
      <c r="AE127" s="112"/>
      <c r="AF127" s="112"/>
      <c r="AG127" s="381"/>
      <c r="AH127" s="35"/>
      <c r="AI127" s="382"/>
      <c r="AJ127" s="383"/>
      <c r="AK127" s="384"/>
      <c r="AL127" s="35"/>
      <c r="AM127" s="380"/>
      <c r="AN127" s="112"/>
      <c r="AO127" s="112"/>
      <c r="AP127" s="381"/>
      <c r="AQ127" s="35"/>
      <c r="AR127" s="113"/>
      <c r="AS127" s="114"/>
      <c r="AT127" s="376"/>
      <c r="AU127" s="35"/>
      <c r="AV127" s="379"/>
      <c r="AW127" s="377"/>
      <c r="AX127" s="378"/>
      <c r="AY127" s="35"/>
      <c r="AZ127" s="113"/>
      <c r="BA127" s="114"/>
      <c r="BB127" s="376"/>
      <c r="BC127" s="35"/>
      <c r="BD127" s="113"/>
      <c r="BE127" s="114"/>
      <c r="BF127" s="376"/>
      <c r="BG127" s="35"/>
      <c r="BH127" s="113"/>
      <c r="BI127" s="114"/>
      <c r="BJ127" s="376"/>
      <c r="BK127" s="35"/>
      <c r="BL127" s="373"/>
      <c r="BM127" s="374"/>
      <c r="BN127" s="375"/>
    </row>
    <row r="128" spans="2:66" ht="15.6" x14ac:dyDescent="0.3">
      <c r="B128" s="283" t="s">
        <v>1459</v>
      </c>
      <c r="C128" s="99" t="s">
        <v>1911</v>
      </c>
      <c r="D128" s="99" t="s">
        <v>104</v>
      </c>
      <c r="E128" s="334"/>
      <c r="F128" s="35"/>
      <c r="G128" s="339"/>
      <c r="H128" s="100"/>
      <c r="I128" s="100"/>
      <c r="J128" s="340"/>
      <c r="K128" s="72"/>
      <c r="L128" s="339"/>
      <c r="M128" s="100"/>
      <c r="N128" s="100"/>
      <c r="O128" s="340"/>
      <c r="P128" s="35"/>
      <c r="Q128" s="346"/>
      <c r="R128" s="347"/>
      <c r="S128" s="348"/>
      <c r="T128" s="35"/>
      <c r="U128" s="339"/>
      <c r="V128" s="100"/>
      <c r="W128" s="100"/>
      <c r="X128" s="340"/>
      <c r="Y128" s="35"/>
      <c r="Z128" s="346"/>
      <c r="AA128" s="347"/>
      <c r="AB128" s="348"/>
      <c r="AC128" s="35"/>
      <c r="AD128" s="339"/>
      <c r="AE128" s="100"/>
      <c r="AF128" s="100"/>
      <c r="AG128" s="340"/>
      <c r="AH128" s="35"/>
      <c r="AI128" s="346"/>
      <c r="AJ128" s="347"/>
      <c r="AK128" s="348"/>
      <c r="AL128" s="35"/>
      <c r="AM128" s="339"/>
      <c r="AN128" s="100"/>
      <c r="AO128" s="100"/>
      <c r="AP128" s="340"/>
      <c r="AQ128" s="35"/>
      <c r="AR128" s="106"/>
      <c r="AS128" s="107"/>
      <c r="AT128" s="353"/>
      <c r="AU128" s="35"/>
      <c r="AV128" s="358"/>
      <c r="AW128" s="359"/>
      <c r="AX128" s="360"/>
      <c r="AY128" s="35"/>
      <c r="AZ128" s="106"/>
      <c r="BA128" s="107"/>
      <c r="BB128" s="353"/>
      <c r="BC128" s="35"/>
      <c r="BD128" s="106"/>
      <c r="BE128" s="107"/>
      <c r="BF128" s="353"/>
      <c r="BG128" s="35"/>
      <c r="BH128" s="106"/>
      <c r="BI128" s="107"/>
      <c r="BJ128" s="353"/>
      <c r="BK128" s="35"/>
      <c r="BL128" s="367"/>
      <c r="BM128" s="368"/>
      <c r="BN128" s="369"/>
    </row>
    <row r="129" spans="2:66" ht="15.6" x14ac:dyDescent="0.3">
      <c r="B129" s="306" t="s">
        <v>264</v>
      </c>
      <c r="C129" s="111" t="s">
        <v>89</v>
      </c>
      <c r="D129" s="111" t="s">
        <v>226</v>
      </c>
      <c r="E129" s="385">
        <v>45473</v>
      </c>
      <c r="F129" s="35"/>
      <c r="G129" s="380">
        <v>281218.54308999999</v>
      </c>
      <c r="H129" s="112">
        <v>333396.05997</v>
      </c>
      <c r="I129" s="112">
        <v>1283314.3916</v>
      </c>
      <c r="J129" s="381">
        <v>1488672.4142</v>
      </c>
      <c r="K129" s="72"/>
      <c r="L129" s="380">
        <v>102550.78115</v>
      </c>
      <c r="M129" s="112">
        <v>148202.17733000001</v>
      </c>
      <c r="N129" s="112">
        <v>435659.41936</v>
      </c>
      <c r="O129" s="381">
        <v>653898.78888999997</v>
      </c>
      <c r="P129" s="35"/>
      <c r="Q129" s="382">
        <v>0.33947988287999997</v>
      </c>
      <c r="R129" s="383">
        <v>0.38607612215999998</v>
      </c>
      <c r="S129" s="384">
        <v>0.40923426532000001</v>
      </c>
      <c r="T129" s="35"/>
      <c r="U129" s="380">
        <v>90178.409725999998</v>
      </c>
      <c r="V129" s="112">
        <v>134211.56375999999</v>
      </c>
      <c r="W129" s="112">
        <v>404874.01267000003</v>
      </c>
      <c r="X129" s="381">
        <v>573258.46129000001</v>
      </c>
      <c r="Y129" s="35"/>
      <c r="Z129" s="382">
        <v>0.31549090021999998</v>
      </c>
      <c r="AA129" s="383">
        <v>0.35540511024999999</v>
      </c>
      <c r="AB129" s="384">
        <v>0.35045270229999997</v>
      </c>
      <c r="AC129" s="35"/>
      <c r="AD129" s="380">
        <v>159547.18921000001</v>
      </c>
      <c r="AE129" s="112">
        <v>196406.24801000001</v>
      </c>
      <c r="AF129" s="112">
        <v>637604.66206999996</v>
      </c>
      <c r="AG129" s="381">
        <v>842252.71964999998</v>
      </c>
      <c r="AH129" s="35"/>
      <c r="AI129" s="382">
        <v>0.49684213490000001</v>
      </c>
      <c r="AJ129" s="383">
        <v>0.51972672696</v>
      </c>
      <c r="AK129" s="384">
        <v>0.57612182470999995</v>
      </c>
      <c r="AL129" s="35"/>
      <c r="AM129" s="380">
        <v>58041.154857000001</v>
      </c>
      <c r="AN129" s="112">
        <v>83208.324336999998</v>
      </c>
      <c r="AO129" s="112">
        <v>288314.99332000001</v>
      </c>
      <c r="AP129" s="381">
        <v>354524.76305000001</v>
      </c>
      <c r="AQ129" s="35"/>
      <c r="AR129" s="113">
        <v>0.22466434974999999</v>
      </c>
      <c r="AS129" s="114">
        <v>0.24543778577</v>
      </c>
      <c r="AT129" s="376">
        <v>0.17760870661</v>
      </c>
      <c r="AU129" s="35"/>
      <c r="AV129" s="379">
        <v>3.0421583457999999</v>
      </c>
      <c r="AW129" s="377">
        <v>3.6175513418</v>
      </c>
      <c r="AX129" s="378">
        <v>2.5756356357999999</v>
      </c>
      <c r="AY129" s="35"/>
      <c r="AZ129" s="113">
        <v>0.14275765100000001</v>
      </c>
      <c r="BA129" s="114"/>
      <c r="BB129" s="376">
        <v>0.12871512956</v>
      </c>
      <c r="BC129" s="35"/>
      <c r="BD129" s="113">
        <v>0.10186808419</v>
      </c>
      <c r="BE129" s="114"/>
      <c r="BF129" s="376">
        <v>0.10702791303</v>
      </c>
      <c r="BG129" s="35"/>
      <c r="BH129" s="113">
        <v>8.9244003900999999E-2</v>
      </c>
      <c r="BI129" s="114"/>
      <c r="BJ129" s="376">
        <v>6.5436697981999997E-2</v>
      </c>
      <c r="BK129" s="35"/>
      <c r="BL129" s="373">
        <v>0.39723260053999998</v>
      </c>
      <c r="BM129" s="374"/>
      <c r="BN129" s="375">
        <v>0.36843181413999998</v>
      </c>
    </row>
    <row r="130" spans="2:66" ht="15.6" x14ac:dyDescent="0.3">
      <c r="B130" s="283" t="s">
        <v>1114</v>
      </c>
      <c r="C130" s="99" t="s">
        <v>1143</v>
      </c>
      <c r="D130" s="99" t="s">
        <v>1147</v>
      </c>
      <c r="E130" s="334">
        <v>40268</v>
      </c>
      <c r="F130" s="35"/>
      <c r="G130" s="339"/>
      <c r="H130" s="100"/>
      <c r="I130" s="100"/>
      <c r="J130" s="340"/>
      <c r="K130" s="72"/>
      <c r="L130" s="339"/>
      <c r="M130" s="100"/>
      <c r="N130" s="100"/>
      <c r="O130" s="340"/>
      <c r="P130" s="35"/>
      <c r="Q130" s="346"/>
      <c r="R130" s="347"/>
      <c r="S130" s="348"/>
      <c r="T130" s="35"/>
      <c r="U130" s="339"/>
      <c r="V130" s="100"/>
      <c r="W130" s="100"/>
      <c r="X130" s="340"/>
      <c r="Y130" s="35"/>
      <c r="Z130" s="346"/>
      <c r="AA130" s="347"/>
      <c r="AB130" s="348"/>
      <c r="AC130" s="35"/>
      <c r="AD130" s="339"/>
      <c r="AE130" s="100"/>
      <c r="AF130" s="100"/>
      <c r="AG130" s="340"/>
      <c r="AH130" s="35"/>
      <c r="AI130" s="346"/>
      <c r="AJ130" s="347"/>
      <c r="AK130" s="348"/>
      <c r="AL130" s="35"/>
      <c r="AM130" s="339"/>
      <c r="AN130" s="100"/>
      <c r="AO130" s="100"/>
      <c r="AP130" s="340"/>
      <c r="AQ130" s="35"/>
      <c r="AR130" s="106"/>
      <c r="AS130" s="107"/>
      <c r="AT130" s="353"/>
      <c r="AU130" s="35"/>
      <c r="AV130" s="358"/>
      <c r="AW130" s="359"/>
      <c r="AX130" s="360"/>
      <c r="AY130" s="35"/>
      <c r="AZ130" s="106"/>
      <c r="BA130" s="107"/>
      <c r="BB130" s="353"/>
      <c r="BC130" s="35"/>
      <c r="BD130" s="106"/>
      <c r="BE130" s="107"/>
      <c r="BF130" s="353"/>
      <c r="BG130" s="35"/>
      <c r="BH130" s="106"/>
      <c r="BI130" s="107"/>
      <c r="BJ130" s="353"/>
      <c r="BK130" s="35"/>
      <c r="BL130" s="367"/>
      <c r="BM130" s="368"/>
      <c r="BN130" s="369"/>
    </row>
    <row r="131" spans="2:66" ht="15.6" x14ac:dyDescent="0.3">
      <c r="B131" s="306" t="s">
        <v>1460</v>
      </c>
      <c r="C131" s="111" t="s">
        <v>2806</v>
      </c>
      <c r="D131" s="111" t="s">
        <v>226</v>
      </c>
      <c r="E131" s="385">
        <v>45473</v>
      </c>
      <c r="F131" s="35"/>
      <c r="G131" s="380">
        <v>59551.571713999998</v>
      </c>
      <c r="H131" s="112"/>
      <c r="I131" s="112">
        <v>223161.33064999999</v>
      </c>
      <c r="J131" s="381"/>
      <c r="K131" s="72"/>
      <c r="L131" s="380">
        <v>21023.396883000001</v>
      </c>
      <c r="M131" s="112"/>
      <c r="N131" s="112">
        <v>78717.306402999995</v>
      </c>
      <c r="O131" s="381"/>
      <c r="P131" s="35"/>
      <c r="Q131" s="382">
        <v>0.35273721560999999</v>
      </c>
      <c r="R131" s="383">
        <v>0.35047978001000002</v>
      </c>
      <c r="S131" s="384"/>
      <c r="T131" s="35"/>
      <c r="U131" s="380">
        <v>19298.209789</v>
      </c>
      <c r="V131" s="112"/>
      <c r="W131" s="112">
        <v>72902.452405999997</v>
      </c>
      <c r="X131" s="381"/>
      <c r="Y131" s="35"/>
      <c r="Z131" s="382">
        <v>0.32668048803999999</v>
      </c>
      <c r="AA131" s="383">
        <v>0.30604003615000003</v>
      </c>
      <c r="AB131" s="384"/>
      <c r="AC131" s="35"/>
      <c r="AD131" s="380">
        <v>43884.383974999997</v>
      </c>
      <c r="AE131" s="112"/>
      <c r="AF131" s="112"/>
      <c r="AG131" s="381"/>
      <c r="AH131" s="35"/>
      <c r="AI131" s="382"/>
      <c r="AJ131" s="383">
        <v>0.67573986115999995</v>
      </c>
      <c r="AK131" s="384"/>
      <c r="AL131" s="35"/>
      <c r="AM131" s="380">
        <v>228762.41800000001</v>
      </c>
      <c r="AN131" s="112"/>
      <c r="AO131" s="112">
        <v>308785.40701999998</v>
      </c>
      <c r="AP131" s="381"/>
      <c r="AQ131" s="35"/>
      <c r="AR131" s="113">
        <v>1.4995525294000001</v>
      </c>
      <c r="AS131" s="114">
        <v>-0.29576178297</v>
      </c>
      <c r="AT131" s="376"/>
      <c r="AU131" s="35"/>
      <c r="AV131" s="379">
        <v>0.51797643098000001</v>
      </c>
      <c r="AW131" s="377">
        <v>-5.2442760943000002E-2</v>
      </c>
      <c r="AX131" s="378"/>
      <c r="AY131" s="35"/>
      <c r="AZ131" s="113"/>
      <c r="BA131" s="114"/>
      <c r="BB131" s="376"/>
      <c r="BC131" s="35"/>
      <c r="BD131" s="113"/>
      <c r="BE131" s="114"/>
      <c r="BF131" s="376"/>
      <c r="BG131" s="35"/>
      <c r="BH131" s="113">
        <v>0.12195547465999999</v>
      </c>
      <c r="BI131" s="114">
        <v>-1.0532176018E-2</v>
      </c>
      <c r="BJ131" s="376"/>
      <c r="BK131" s="35"/>
      <c r="BL131" s="373">
        <v>8.1327911008999998E-2</v>
      </c>
      <c r="BM131" s="374">
        <v>3.5610334482000003E-2</v>
      </c>
      <c r="BN131" s="375"/>
    </row>
    <row r="132" spans="2:66" ht="15.6" x14ac:dyDescent="0.3">
      <c r="B132" s="283" t="s">
        <v>1461</v>
      </c>
      <c r="C132" s="99" t="s">
        <v>1912</v>
      </c>
      <c r="D132" s="99" t="s">
        <v>1956</v>
      </c>
      <c r="E132" s="334">
        <v>45473</v>
      </c>
      <c r="F132" s="35"/>
      <c r="G132" s="339">
        <v>402708.24550999998</v>
      </c>
      <c r="H132" s="100">
        <v>624979.27535000001</v>
      </c>
      <c r="I132" s="100">
        <v>1656949.3707000001</v>
      </c>
      <c r="J132" s="340">
        <v>2065375.443</v>
      </c>
      <c r="K132" s="72"/>
      <c r="L132" s="339">
        <v>45047.555495000001</v>
      </c>
      <c r="M132" s="100">
        <v>304050.81338000001</v>
      </c>
      <c r="N132" s="100">
        <v>349546.59016000002</v>
      </c>
      <c r="O132" s="340">
        <v>784439.84325999999</v>
      </c>
      <c r="P132" s="35"/>
      <c r="Q132" s="346">
        <v>0.21095791841</v>
      </c>
      <c r="R132" s="347">
        <v>0.35433886767</v>
      </c>
      <c r="S132" s="348">
        <v>0.34966570507</v>
      </c>
      <c r="T132" s="35"/>
      <c r="U132" s="339">
        <v>-21748.999134000002</v>
      </c>
      <c r="V132" s="100">
        <v>254349.87779999999</v>
      </c>
      <c r="W132" s="100">
        <v>21562.329675000001</v>
      </c>
      <c r="X132" s="340">
        <v>455885.84311999998</v>
      </c>
      <c r="Y132" s="35"/>
      <c r="Z132" s="346">
        <v>1.3013270083E-2</v>
      </c>
      <c r="AA132" s="347">
        <v>0.20282225167000001</v>
      </c>
      <c r="AB132" s="348">
        <v>0.17941738786</v>
      </c>
      <c r="AC132" s="35"/>
      <c r="AD132" s="339">
        <v>82050.259479999993</v>
      </c>
      <c r="AE132" s="100">
        <v>347809.26853</v>
      </c>
      <c r="AF132" s="100">
        <v>393879.58299999998</v>
      </c>
      <c r="AG132" s="340">
        <v>836216.09676999995</v>
      </c>
      <c r="AH132" s="35"/>
      <c r="AI132" s="346">
        <v>0.23771371048000001</v>
      </c>
      <c r="AJ132" s="347">
        <v>0.38313300594999999</v>
      </c>
      <c r="AK132" s="348">
        <v>0.38105322698999999</v>
      </c>
      <c r="AL132" s="35"/>
      <c r="AM132" s="339">
        <v>-56404.284496</v>
      </c>
      <c r="AN132" s="100">
        <v>123287.90188</v>
      </c>
      <c r="AO132" s="100">
        <v>-248281.41962999999</v>
      </c>
      <c r="AP132" s="340">
        <v>77920.656925999996</v>
      </c>
      <c r="AQ132" s="35"/>
      <c r="AR132" s="106">
        <v>-0.14984249007</v>
      </c>
      <c r="AS132" s="107">
        <v>9.1454257282000007E-3</v>
      </c>
      <c r="AT132" s="353">
        <v>-4.6173426099000003E-3</v>
      </c>
      <c r="AU132" s="35"/>
      <c r="AV132" s="358">
        <v>-0.32535051414999999</v>
      </c>
      <c r="AW132" s="359">
        <v>2.3144915128000002E-2</v>
      </c>
      <c r="AX132" s="360">
        <v>-1.0735379406999999E-2</v>
      </c>
      <c r="AY132" s="35"/>
      <c r="AZ132" s="106">
        <v>-0.17391741433999999</v>
      </c>
      <c r="BA132" s="107">
        <v>1.2967482190000001E-2</v>
      </c>
      <c r="BB132" s="353">
        <v>-6.331688811E-3</v>
      </c>
      <c r="BC132" s="35"/>
      <c r="BD132" s="106">
        <v>2.7117282087E-3</v>
      </c>
      <c r="BE132" s="107">
        <v>5.0874209504999997E-2</v>
      </c>
      <c r="BF132" s="353">
        <v>3.9099051112000002E-2</v>
      </c>
      <c r="BG132" s="35"/>
      <c r="BH132" s="106">
        <v>-3.7576697833000001E-2</v>
      </c>
      <c r="BI132" s="107">
        <v>2.8162694248E-3</v>
      </c>
      <c r="BJ132" s="353">
        <v>-1.2827787851E-3</v>
      </c>
      <c r="BK132" s="35"/>
      <c r="BL132" s="367">
        <v>0.25077464887000001</v>
      </c>
      <c r="BM132" s="368">
        <v>0.30794295513999997</v>
      </c>
      <c r="BN132" s="369">
        <v>0.27781754432</v>
      </c>
    </row>
    <row r="133" spans="2:66" ht="15.6" x14ac:dyDescent="0.3">
      <c r="B133" s="306" t="s">
        <v>1463</v>
      </c>
      <c r="C133" s="111" t="s">
        <v>1913</v>
      </c>
      <c r="D133" s="111" t="s">
        <v>228</v>
      </c>
      <c r="E133" s="385">
        <v>45473</v>
      </c>
      <c r="F133" s="35"/>
      <c r="G133" s="380">
        <v>198633.36522000001</v>
      </c>
      <c r="H133" s="112">
        <v>209796.44198999999</v>
      </c>
      <c r="I133" s="112">
        <v>886131.96351000003</v>
      </c>
      <c r="J133" s="381">
        <v>979918.26517000003</v>
      </c>
      <c r="K133" s="72"/>
      <c r="L133" s="380">
        <v>72209.968930000003</v>
      </c>
      <c r="M133" s="112">
        <v>69118.338180000006</v>
      </c>
      <c r="N133" s="112">
        <v>325238.41295999999</v>
      </c>
      <c r="O133" s="381">
        <v>191560.00408000001</v>
      </c>
      <c r="P133" s="35"/>
      <c r="Q133" s="382">
        <v>0.36703157808999998</v>
      </c>
      <c r="R133" s="383">
        <v>0.35093644009000002</v>
      </c>
      <c r="S133" s="384">
        <v>2.8539018882E-2</v>
      </c>
      <c r="T133" s="35"/>
      <c r="U133" s="380">
        <v>71896.845967000001</v>
      </c>
      <c r="V133" s="112">
        <v>62221.880962000003</v>
      </c>
      <c r="W133" s="112">
        <v>303918.95429999998</v>
      </c>
      <c r="X133" s="381">
        <v>165865.39235000001</v>
      </c>
      <c r="Y133" s="35"/>
      <c r="Z133" s="382">
        <v>0.34297256709000001</v>
      </c>
      <c r="AA133" s="383">
        <v>0.3222700677</v>
      </c>
      <c r="AB133" s="384">
        <v>2.7421711863999999E-3</v>
      </c>
      <c r="AC133" s="35"/>
      <c r="AD133" s="380">
        <v>91476.063544000004</v>
      </c>
      <c r="AE133" s="112">
        <v>84421.71587</v>
      </c>
      <c r="AF133" s="112">
        <v>365789.84386000002</v>
      </c>
      <c r="AG133" s="381">
        <v>225514.04644000001</v>
      </c>
      <c r="AH133" s="35"/>
      <c r="AI133" s="382">
        <v>0.41279387148000002</v>
      </c>
      <c r="AJ133" s="383">
        <v>0.39229475116000001</v>
      </c>
      <c r="AK133" s="384">
        <v>2.8200647448000001E-2</v>
      </c>
      <c r="AL133" s="35"/>
      <c r="AM133" s="380">
        <v>12773.811129</v>
      </c>
      <c r="AN133" s="112">
        <v>10782.448203</v>
      </c>
      <c r="AO133" s="112">
        <v>96978.798177999997</v>
      </c>
      <c r="AP133" s="381">
        <v>7159.0100414999997</v>
      </c>
      <c r="AQ133" s="35"/>
      <c r="AR133" s="113">
        <v>0.1094405824</v>
      </c>
      <c r="AS133" s="114">
        <v>8.7086901100000003E-2</v>
      </c>
      <c r="AT133" s="376">
        <v>-3.7751124403999997E-2</v>
      </c>
      <c r="AU133" s="35"/>
      <c r="AV133" s="379">
        <v>0.14083072215</v>
      </c>
      <c r="AW133" s="377">
        <v>0.11388241203</v>
      </c>
      <c r="AX133" s="378">
        <v>-5.3337732919E-2</v>
      </c>
      <c r="AY133" s="35"/>
      <c r="AZ133" s="113">
        <v>0.13902520786</v>
      </c>
      <c r="BA133" s="114">
        <v>0.11685927385</v>
      </c>
      <c r="BB133" s="376">
        <v>-5.4796936369000002E-2</v>
      </c>
      <c r="BC133" s="35"/>
      <c r="BD133" s="113">
        <v>4.6091498249000003E-2</v>
      </c>
      <c r="BE133" s="114">
        <v>4.6472972488000003E-2</v>
      </c>
      <c r="BF133" s="376">
        <v>4.9935203910999996E-4</v>
      </c>
      <c r="BG133" s="35"/>
      <c r="BH133" s="113">
        <v>1.9094861929E-2</v>
      </c>
      <c r="BI133" s="114">
        <v>1.5646100371000001E-2</v>
      </c>
      <c r="BJ133" s="376">
        <v>-8.2474201229999992E-3</v>
      </c>
      <c r="BK133" s="35"/>
      <c r="BL133" s="373">
        <v>0.17447697652999999</v>
      </c>
      <c r="BM133" s="374">
        <v>0.17966077760999999</v>
      </c>
      <c r="BN133" s="375">
        <v>0.21846819806000001</v>
      </c>
    </row>
    <row r="134" spans="2:66" ht="15.6" x14ac:dyDescent="0.3">
      <c r="B134" s="283" t="s">
        <v>1464</v>
      </c>
      <c r="C134" s="99" t="s">
        <v>1914</v>
      </c>
      <c r="D134" s="99" t="s">
        <v>231</v>
      </c>
      <c r="E134" s="334">
        <v>45473</v>
      </c>
      <c r="F134" s="35"/>
      <c r="G134" s="339">
        <v>383237.41665000003</v>
      </c>
      <c r="H134" s="100">
        <v>319044.56702000002</v>
      </c>
      <c r="I134" s="100">
        <v>1535712.5752999999</v>
      </c>
      <c r="J134" s="340">
        <v>1286460.7153</v>
      </c>
      <c r="K134" s="72"/>
      <c r="L134" s="339">
        <v>104803.86145</v>
      </c>
      <c r="M134" s="100">
        <v>89831.768461</v>
      </c>
      <c r="N134" s="100">
        <v>439733.02867999999</v>
      </c>
      <c r="O134" s="340">
        <v>369313.49536</v>
      </c>
      <c r="P134" s="35"/>
      <c r="Q134" s="346">
        <v>0.28633810502000001</v>
      </c>
      <c r="R134" s="347">
        <v>0.29964599672999997</v>
      </c>
      <c r="S134" s="348">
        <v>0.2828941116</v>
      </c>
      <c r="T134" s="35"/>
      <c r="U134" s="339">
        <v>78700.245215999996</v>
      </c>
      <c r="V134" s="100">
        <v>56710.363733999999</v>
      </c>
      <c r="W134" s="100">
        <v>323104.76098000002</v>
      </c>
      <c r="X134" s="340">
        <v>170727.32670000001</v>
      </c>
      <c r="Y134" s="35"/>
      <c r="Z134" s="346">
        <v>0.21039403216999999</v>
      </c>
      <c r="AA134" s="347">
        <v>0.19982237291999999</v>
      </c>
      <c r="AB134" s="348">
        <v>0.10409211565</v>
      </c>
      <c r="AC134" s="35"/>
      <c r="AD134" s="339">
        <v>136287.77322</v>
      </c>
      <c r="AE134" s="100">
        <v>114298.34427</v>
      </c>
      <c r="AF134" s="100">
        <v>549612.09149000002</v>
      </c>
      <c r="AG134" s="340">
        <v>397286.35428999999</v>
      </c>
      <c r="AH134" s="35"/>
      <c r="AI134" s="346">
        <v>0.35788734188999999</v>
      </c>
      <c r="AJ134" s="347">
        <v>0.36264768838</v>
      </c>
      <c r="AK134" s="348">
        <v>0.28768639126000001</v>
      </c>
      <c r="AL134" s="35"/>
      <c r="AM134" s="339">
        <v>-116894.2215</v>
      </c>
      <c r="AN134" s="100">
        <v>-110541.01463000001</v>
      </c>
      <c r="AO134" s="100">
        <v>-377910.31187999999</v>
      </c>
      <c r="AP134" s="340">
        <v>-474824.16527</v>
      </c>
      <c r="AQ134" s="35"/>
      <c r="AR134" s="106">
        <v>-0.24608140739000001</v>
      </c>
      <c r="AS134" s="107">
        <v>-0.27990466709</v>
      </c>
      <c r="AT134" s="353">
        <v>-0.51175392918999996</v>
      </c>
      <c r="AU134" s="35"/>
      <c r="AV134" s="358">
        <v>-0.67241844211000001</v>
      </c>
      <c r="AW134" s="359">
        <v>-0.67928092985999999</v>
      </c>
      <c r="AX134" s="360">
        <v>-1.0272242176999999</v>
      </c>
      <c r="AY134" s="35"/>
      <c r="AZ134" s="106">
        <v>-0.39236515784999998</v>
      </c>
      <c r="BA134" s="107">
        <v>-0.32113915512000002</v>
      </c>
      <c r="BB134" s="353">
        <v>-0.62512118994999999</v>
      </c>
      <c r="BC134" s="35"/>
      <c r="BD134" s="106">
        <v>3.0337131013E-2</v>
      </c>
      <c r="BE134" s="107">
        <v>2.3001318167E-2</v>
      </c>
      <c r="BF134" s="353">
        <v>1.0603693074E-2</v>
      </c>
      <c r="BG134" s="35"/>
      <c r="BH134" s="106">
        <v>-3.9399049790000001E-2</v>
      </c>
      <c r="BI134" s="107">
        <v>-4.4485577838000001E-2</v>
      </c>
      <c r="BJ134" s="353">
        <v>-6.7723224698000004E-2</v>
      </c>
      <c r="BK134" s="35"/>
      <c r="BL134" s="367">
        <v>0.16010575609</v>
      </c>
      <c r="BM134" s="368">
        <v>0.15893117574999999</v>
      </c>
      <c r="BN134" s="369">
        <v>0.13233552462000001</v>
      </c>
    </row>
    <row r="135" spans="2:66" ht="15.6" x14ac:dyDescent="0.3">
      <c r="B135" s="306" t="s">
        <v>2291</v>
      </c>
      <c r="C135" s="111" t="s">
        <v>2807</v>
      </c>
      <c r="D135" s="111" t="s">
        <v>226</v>
      </c>
      <c r="E135" s="385"/>
      <c r="F135" s="35"/>
      <c r="G135" s="380"/>
      <c r="H135" s="112"/>
      <c r="I135" s="112"/>
      <c r="J135" s="381"/>
      <c r="K135" s="72"/>
      <c r="L135" s="380"/>
      <c r="M135" s="112"/>
      <c r="N135" s="112"/>
      <c r="O135" s="381"/>
      <c r="P135" s="35"/>
      <c r="Q135" s="382"/>
      <c r="R135" s="383"/>
      <c r="S135" s="384"/>
      <c r="T135" s="35"/>
      <c r="U135" s="380"/>
      <c r="V135" s="112"/>
      <c r="W135" s="112"/>
      <c r="X135" s="381"/>
      <c r="Y135" s="35"/>
      <c r="Z135" s="382"/>
      <c r="AA135" s="383"/>
      <c r="AB135" s="384"/>
      <c r="AC135" s="35"/>
      <c r="AD135" s="380"/>
      <c r="AE135" s="112"/>
      <c r="AF135" s="112"/>
      <c r="AG135" s="381"/>
      <c r="AH135" s="35"/>
      <c r="AI135" s="382"/>
      <c r="AJ135" s="383"/>
      <c r="AK135" s="384"/>
      <c r="AL135" s="35"/>
      <c r="AM135" s="380"/>
      <c r="AN135" s="112"/>
      <c r="AO135" s="112"/>
      <c r="AP135" s="381"/>
      <c r="AQ135" s="35"/>
      <c r="AR135" s="113"/>
      <c r="AS135" s="114"/>
      <c r="AT135" s="376"/>
      <c r="AU135" s="35"/>
      <c r="AV135" s="379"/>
      <c r="AW135" s="377"/>
      <c r="AX135" s="378"/>
      <c r="AY135" s="35"/>
      <c r="AZ135" s="113"/>
      <c r="BA135" s="114"/>
      <c r="BB135" s="376"/>
      <c r="BC135" s="35"/>
      <c r="BD135" s="113"/>
      <c r="BE135" s="114"/>
      <c r="BF135" s="376"/>
      <c r="BG135" s="35"/>
      <c r="BH135" s="113"/>
      <c r="BI135" s="114"/>
      <c r="BJ135" s="376"/>
      <c r="BK135" s="35"/>
      <c r="BL135" s="373"/>
      <c r="BM135" s="374"/>
      <c r="BN135" s="375"/>
    </row>
    <row r="136" spans="2:66" ht="15.6" x14ac:dyDescent="0.3">
      <c r="B136" s="283" t="s">
        <v>1465</v>
      </c>
      <c r="C136" s="99" t="s">
        <v>1915</v>
      </c>
      <c r="D136" s="99" t="s">
        <v>226</v>
      </c>
      <c r="E136" s="334"/>
      <c r="F136" s="35"/>
      <c r="G136" s="339"/>
      <c r="H136" s="100"/>
      <c r="I136" s="100"/>
      <c r="J136" s="340"/>
      <c r="K136" s="72"/>
      <c r="L136" s="339"/>
      <c r="M136" s="100"/>
      <c r="N136" s="100"/>
      <c r="O136" s="340"/>
      <c r="P136" s="35"/>
      <c r="Q136" s="346"/>
      <c r="R136" s="347"/>
      <c r="S136" s="348"/>
      <c r="T136" s="35"/>
      <c r="U136" s="339"/>
      <c r="V136" s="100"/>
      <c r="W136" s="100"/>
      <c r="X136" s="340"/>
      <c r="Y136" s="35"/>
      <c r="Z136" s="346"/>
      <c r="AA136" s="347"/>
      <c r="AB136" s="348"/>
      <c r="AC136" s="35"/>
      <c r="AD136" s="339"/>
      <c r="AE136" s="100"/>
      <c r="AF136" s="100"/>
      <c r="AG136" s="340"/>
      <c r="AH136" s="35"/>
      <c r="AI136" s="346"/>
      <c r="AJ136" s="347"/>
      <c r="AK136" s="348"/>
      <c r="AL136" s="35"/>
      <c r="AM136" s="339"/>
      <c r="AN136" s="100"/>
      <c r="AO136" s="100"/>
      <c r="AP136" s="340"/>
      <c r="AQ136" s="35"/>
      <c r="AR136" s="106"/>
      <c r="AS136" s="107"/>
      <c r="AT136" s="353"/>
      <c r="AU136" s="35"/>
      <c r="AV136" s="358"/>
      <c r="AW136" s="359"/>
      <c r="AX136" s="360"/>
      <c r="AY136" s="35"/>
      <c r="AZ136" s="106"/>
      <c r="BA136" s="107"/>
      <c r="BB136" s="353"/>
      <c r="BC136" s="35"/>
      <c r="BD136" s="106"/>
      <c r="BE136" s="107"/>
      <c r="BF136" s="353"/>
      <c r="BG136" s="35"/>
      <c r="BH136" s="106"/>
      <c r="BI136" s="107"/>
      <c r="BJ136" s="353"/>
      <c r="BK136" s="35"/>
      <c r="BL136" s="367"/>
      <c r="BM136" s="368"/>
      <c r="BN136" s="369"/>
    </row>
    <row r="137" spans="2:66" ht="15.6" x14ac:dyDescent="0.3">
      <c r="B137" s="306" t="s">
        <v>1467</v>
      </c>
      <c r="C137" s="111" t="s">
        <v>1917</v>
      </c>
      <c r="D137" s="111" t="s">
        <v>1958</v>
      </c>
      <c r="E137" s="385"/>
      <c r="F137" s="35"/>
      <c r="G137" s="380"/>
      <c r="H137" s="112"/>
      <c r="I137" s="112"/>
      <c r="J137" s="381"/>
      <c r="K137" s="72"/>
      <c r="L137" s="380"/>
      <c r="M137" s="112"/>
      <c r="N137" s="112"/>
      <c r="O137" s="381"/>
      <c r="P137" s="35"/>
      <c r="Q137" s="382"/>
      <c r="R137" s="383"/>
      <c r="S137" s="384"/>
      <c r="T137" s="35"/>
      <c r="U137" s="380"/>
      <c r="V137" s="112"/>
      <c r="W137" s="112"/>
      <c r="X137" s="381"/>
      <c r="Y137" s="35"/>
      <c r="Z137" s="382"/>
      <c r="AA137" s="383"/>
      <c r="AB137" s="384"/>
      <c r="AC137" s="35"/>
      <c r="AD137" s="380"/>
      <c r="AE137" s="112"/>
      <c r="AF137" s="112"/>
      <c r="AG137" s="381"/>
      <c r="AH137" s="35"/>
      <c r="AI137" s="382"/>
      <c r="AJ137" s="383"/>
      <c r="AK137" s="384"/>
      <c r="AL137" s="35"/>
      <c r="AM137" s="380"/>
      <c r="AN137" s="112"/>
      <c r="AO137" s="112"/>
      <c r="AP137" s="381"/>
      <c r="AQ137" s="35"/>
      <c r="AR137" s="113"/>
      <c r="AS137" s="114"/>
      <c r="AT137" s="376"/>
      <c r="AU137" s="35"/>
      <c r="AV137" s="379"/>
      <c r="AW137" s="377"/>
      <c r="AX137" s="378"/>
      <c r="AY137" s="35"/>
      <c r="AZ137" s="113"/>
      <c r="BA137" s="114"/>
      <c r="BB137" s="376"/>
      <c r="BC137" s="35"/>
      <c r="BD137" s="113"/>
      <c r="BE137" s="114"/>
      <c r="BF137" s="376"/>
      <c r="BG137" s="35"/>
      <c r="BH137" s="113"/>
      <c r="BI137" s="114"/>
      <c r="BJ137" s="376"/>
      <c r="BK137" s="35"/>
      <c r="BL137" s="373"/>
      <c r="BM137" s="374"/>
      <c r="BN137" s="375"/>
    </row>
    <row r="138" spans="2:66" ht="15.6" x14ac:dyDescent="0.3">
      <c r="B138" s="283" t="s">
        <v>265</v>
      </c>
      <c r="C138" s="99" t="s">
        <v>269</v>
      </c>
      <c r="D138" s="99" t="s">
        <v>226</v>
      </c>
      <c r="E138" s="334"/>
      <c r="F138" s="35"/>
      <c r="G138" s="339"/>
      <c r="H138" s="100"/>
      <c r="I138" s="100"/>
      <c r="J138" s="340"/>
      <c r="K138" s="72"/>
      <c r="L138" s="339"/>
      <c r="M138" s="100"/>
      <c r="N138" s="100"/>
      <c r="O138" s="340"/>
      <c r="P138" s="35"/>
      <c r="Q138" s="346"/>
      <c r="R138" s="347"/>
      <c r="S138" s="348"/>
      <c r="T138" s="35"/>
      <c r="U138" s="339"/>
      <c r="V138" s="100"/>
      <c r="W138" s="100"/>
      <c r="X138" s="340"/>
      <c r="Y138" s="35"/>
      <c r="Z138" s="346"/>
      <c r="AA138" s="347"/>
      <c r="AB138" s="348"/>
      <c r="AC138" s="35"/>
      <c r="AD138" s="339"/>
      <c r="AE138" s="100"/>
      <c r="AF138" s="100"/>
      <c r="AG138" s="340"/>
      <c r="AH138" s="35"/>
      <c r="AI138" s="346"/>
      <c r="AJ138" s="347"/>
      <c r="AK138" s="348"/>
      <c r="AL138" s="35"/>
      <c r="AM138" s="339"/>
      <c r="AN138" s="100"/>
      <c r="AO138" s="100"/>
      <c r="AP138" s="340"/>
      <c r="AQ138" s="35"/>
      <c r="AR138" s="106"/>
      <c r="AS138" s="107"/>
      <c r="AT138" s="353"/>
      <c r="AU138" s="35"/>
      <c r="AV138" s="358"/>
      <c r="AW138" s="359"/>
      <c r="AX138" s="360"/>
      <c r="AY138" s="35"/>
      <c r="AZ138" s="106"/>
      <c r="BA138" s="107"/>
      <c r="BB138" s="353"/>
      <c r="BC138" s="35"/>
      <c r="BD138" s="106"/>
      <c r="BE138" s="107"/>
      <c r="BF138" s="353"/>
      <c r="BG138" s="35"/>
      <c r="BH138" s="106"/>
      <c r="BI138" s="107"/>
      <c r="BJ138" s="353"/>
      <c r="BK138" s="35"/>
      <c r="BL138" s="367"/>
      <c r="BM138" s="368"/>
      <c r="BN138" s="369"/>
    </row>
    <row r="139" spans="2:66" ht="15.6" x14ac:dyDescent="0.3">
      <c r="B139" s="306" t="s">
        <v>1468</v>
      </c>
      <c r="C139" s="111" t="s">
        <v>1918</v>
      </c>
      <c r="D139" s="111" t="s">
        <v>1959</v>
      </c>
      <c r="E139" s="385">
        <v>45473</v>
      </c>
      <c r="F139" s="35"/>
      <c r="G139" s="380">
        <v>402712.25991000002</v>
      </c>
      <c r="H139" s="112">
        <v>465536.48991</v>
      </c>
      <c r="I139" s="112">
        <v>1872459.2608</v>
      </c>
      <c r="J139" s="381">
        <v>1788436.6081999999</v>
      </c>
      <c r="K139" s="72"/>
      <c r="L139" s="380">
        <v>171751.95957000001</v>
      </c>
      <c r="M139" s="112">
        <v>119115.29945000001</v>
      </c>
      <c r="N139" s="112">
        <v>592759.83362000005</v>
      </c>
      <c r="O139" s="381">
        <v>440037.48527</v>
      </c>
      <c r="P139" s="35"/>
      <c r="Q139" s="382">
        <v>0.31656754624</v>
      </c>
      <c r="R139" s="383">
        <v>0.21702558424999999</v>
      </c>
      <c r="S139" s="384">
        <v>0.29099234470000002</v>
      </c>
      <c r="T139" s="35"/>
      <c r="U139" s="380">
        <v>151049.71444000001</v>
      </c>
      <c r="V139" s="112">
        <v>73778.389280999996</v>
      </c>
      <c r="W139" s="112">
        <v>456497.15039000002</v>
      </c>
      <c r="X139" s="381">
        <v>853546.67513999995</v>
      </c>
      <c r="Y139" s="35"/>
      <c r="Z139" s="382">
        <v>0.24379550462999999</v>
      </c>
      <c r="AA139" s="383">
        <v>0.14078763624000001</v>
      </c>
      <c r="AB139" s="384">
        <v>0.52973208655000004</v>
      </c>
      <c r="AC139" s="35"/>
      <c r="AD139" s="380">
        <v>330495.26578000002</v>
      </c>
      <c r="AE139" s="112">
        <v>275613.51838000002</v>
      </c>
      <c r="AF139" s="112">
        <v>1480059.9867</v>
      </c>
      <c r="AG139" s="381">
        <v>1545234.2420000001</v>
      </c>
      <c r="AH139" s="35"/>
      <c r="AI139" s="382">
        <v>0.79043641571000001</v>
      </c>
      <c r="AJ139" s="383">
        <v>0.57181801533999999</v>
      </c>
      <c r="AK139" s="384">
        <v>0.85993579426</v>
      </c>
      <c r="AL139" s="35"/>
      <c r="AM139" s="380">
        <v>-2386.5589931</v>
      </c>
      <c r="AN139" s="112">
        <v>51769.977348</v>
      </c>
      <c r="AO139" s="112">
        <v>33367.667538000002</v>
      </c>
      <c r="AP139" s="381">
        <v>650405.05810000002</v>
      </c>
      <c r="AQ139" s="35"/>
      <c r="AR139" s="113">
        <v>1.7820236860000001E-2</v>
      </c>
      <c r="AS139" s="114">
        <v>1.2975555109E-2</v>
      </c>
      <c r="AT139" s="376">
        <v>0.47474489682999998</v>
      </c>
      <c r="AU139" s="35"/>
      <c r="AV139" s="379">
        <v>0.11082438637</v>
      </c>
      <c r="AW139" s="377">
        <v>7.3559577203999998E-2</v>
      </c>
      <c r="AX139" s="378">
        <v>2.9259732606000002</v>
      </c>
      <c r="AY139" s="35"/>
      <c r="AZ139" s="113">
        <v>1.6381892017999999E-2</v>
      </c>
      <c r="BA139" s="114">
        <v>1.0364553342E-2</v>
      </c>
      <c r="BB139" s="376">
        <v>0.49878859743999998</v>
      </c>
      <c r="BC139" s="35"/>
      <c r="BD139" s="113">
        <v>5.8075271345999997E-2</v>
      </c>
      <c r="BE139" s="114">
        <v>3.1570109362999997E-2</v>
      </c>
      <c r="BF139" s="376">
        <v>0.17778786299999999</v>
      </c>
      <c r="BG139" s="35"/>
      <c r="BH139" s="113">
        <v>4.6078810732000002E-3</v>
      </c>
      <c r="BI139" s="114">
        <v>3.2268927509999999E-3</v>
      </c>
      <c r="BJ139" s="376">
        <v>0.14630948095999999</v>
      </c>
      <c r="BK139" s="35"/>
      <c r="BL139" s="373">
        <v>0.25857574786999998</v>
      </c>
      <c r="BM139" s="374">
        <v>0.24869015035</v>
      </c>
      <c r="BN139" s="375">
        <v>0.30818547378</v>
      </c>
    </row>
    <row r="140" spans="2:66" ht="15.6" x14ac:dyDescent="0.3">
      <c r="B140" s="283" t="s">
        <v>566</v>
      </c>
      <c r="C140" s="99" t="s">
        <v>647</v>
      </c>
      <c r="D140" s="99" t="s">
        <v>226</v>
      </c>
      <c r="E140" s="334"/>
      <c r="F140" s="35"/>
      <c r="G140" s="339"/>
      <c r="H140" s="100"/>
      <c r="I140" s="100"/>
      <c r="J140" s="340"/>
      <c r="K140" s="72"/>
      <c r="L140" s="339"/>
      <c r="M140" s="100"/>
      <c r="N140" s="100"/>
      <c r="O140" s="340"/>
      <c r="P140" s="35"/>
      <c r="Q140" s="346"/>
      <c r="R140" s="347"/>
      <c r="S140" s="348"/>
      <c r="T140" s="35"/>
      <c r="U140" s="339"/>
      <c r="V140" s="100"/>
      <c r="W140" s="100"/>
      <c r="X140" s="340"/>
      <c r="Y140" s="35"/>
      <c r="Z140" s="346"/>
      <c r="AA140" s="347"/>
      <c r="AB140" s="348"/>
      <c r="AC140" s="35"/>
      <c r="AD140" s="339"/>
      <c r="AE140" s="100"/>
      <c r="AF140" s="100"/>
      <c r="AG140" s="340"/>
      <c r="AH140" s="35"/>
      <c r="AI140" s="346"/>
      <c r="AJ140" s="347"/>
      <c r="AK140" s="348"/>
      <c r="AL140" s="35"/>
      <c r="AM140" s="339"/>
      <c r="AN140" s="100"/>
      <c r="AO140" s="100"/>
      <c r="AP140" s="340"/>
      <c r="AQ140" s="35"/>
      <c r="AR140" s="106"/>
      <c r="AS140" s="107"/>
      <c r="AT140" s="353"/>
      <c r="AU140" s="35"/>
      <c r="AV140" s="358"/>
      <c r="AW140" s="359"/>
      <c r="AX140" s="360"/>
      <c r="AY140" s="35"/>
      <c r="AZ140" s="106"/>
      <c r="BA140" s="107"/>
      <c r="BB140" s="353"/>
      <c r="BC140" s="35"/>
      <c r="BD140" s="106"/>
      <c r="BE140" s="107"/>
      <c r="BF140" s="353"/>
      <c r="BG140" s="35"/>
      <c r="BH140" s="106"/>
      <c r="BI140" s="107"/>
      <c r="BJ140" s="353"/>
      <c r="BK140" s="35"/>
      <c r="BL140" s="367"/>
      <c r="BM140" s="368"/>
      <c r="BN140" s="369"/>
    </row>
    <row r="141" spans="2:66" ht="15.6" x14ac:dyDescent="0.3">
      <c r="B141" s="306" t="s">
        <v>2295</v>
      </c>
      <c r="C141" s="111" t="s">
        <v>2808</v>
      </c>
      <c r="D141" s="111" t="s">
        <v>104</v>
      </c>
      <c r="E141" s="385"/>
      <c r="F141" s="35"/>
      <c r="G141" s="380"/>
      <c r="H141" s="112"/>
      <c r="I141" s="112"/>
      <c r="J141" s="381"/>
      <c r="K141" s="72"/>
      <c r="L141" s="380"/>
      <c r="M141" s="112"/>
      <c r="N141" s="112"/>
      <c r="O141" s="381"/>
      <c r="P141" s="35"/>
      <c r="Q141" s="382"/>
      <c r="R141" s="383"/>
      <c r="S141" s="384"/>
      <c r="T141" s="35"/>
      <c r="U141" s="380"/>
      <c r="V141" s="112"/>
      <c r="W141" s="112"/>
      <c r="X141" s="381"/>
      <c r="Y141" s="35"/>
      <c r="Z141" s="382"/>
      <c r="AA141" s="383"/>
      <c r="AB141" s="384"/>
      <c r="AC141" s="35"/>
      <c r="AD141" s="380"/>
      <c r="AE141" s="112"/>
      <c r="AF141" s="112"/>
      <c r="AG141" s="381"/>
      <c r="AH141" s="35"/>
      <c r="AI141" s="382"/>
      <c r="AJ141" s="383"/>
      <c r="AK141" s="384"/>
      <c r="AL141" s="35"/>
      <c r="AM141" s="380"/>
      <c r="AN141" s="112"/>
      <c r="AO141" s="112"/>
      <c r="AP141" s="381"/>
      <c r="AQ141" s="35"/>
      <c r="AR141" s="113"/>
      <c r="AS141" s="114"/>
      <c r="AT141" s="376"/>
      <c r="AU141" s="35"/>
      <c r="AV141" s="379"/>
      <c r="AW141" s="377"/>
      <c r="AX141" s="378"/>
      <c r="AY141" s="35"/>
      <c r="AZ141" s="113"/>
      <c r="BA141" s="114"/>
      <c r="BB141" s="376"/>
      <c r="BC141" s="35"/>
      <c r="BD141" s="113"/>
      <c r="BE141" s="114"/>
      <c r="BF141" s="376"/>
      <c r="BG141" s="35"/>
      <c r="BH141" s="113"/>
      <c r="BI141" s="114"/>
      <c r="BJ141" s="376"/>
      <c r="BK141" s="35"/>
      <c r="BL141" s="373"/>
      <c r="BM141" s="374"/>
      <c r="BN141" s="375"/>
    </row>
    <row r="142" spans="2:66" ht="15.6" x14ac:dyDescent="0.3">
      <c r="B142" s="283" t="s">
        <v>1472</v>
      </c>
      <c r="C142" s="99" t="s">
        <v>1919</v>
      </c>
      <c r="D142" s="99" t="s">
        <v>227</v>
      </c>
      <c r="E142" s="334">
        <v>45473</v>
      </c>
      <c r="F142" s="35"/>
      <c r="G142" s="339">
        <v>143571.8965</v>
      </c>
      <c r="H142" s="100"/>
      <c r="I142" s="100">
        <v>600704.32521000004</v>
      </c>
      <c r="J142" s="340"/>
      <c r="K142" s="72"/>
      <c r="L142" s="339">
        <v>78243.607562000005</v>
      </c>
      <c r="M142" s="100"/>
      <c r="N142" s="100">
        <v>309133.65596</v>
      </c>
      <c r="O142" s="340"/>
      <c r="P142" s="35"/>
      <c r="Q142" s="346">
        <v>0.51461866177000004</v>
      </c>
      <c r="R142" s="347">
        <v>0.46493792155000002</v>
      </c>
      <c r="S142" s="348"/>
      <c r="T142" s="35"/>
      <c r="U142" s="339">
        <v>25371.992391</v>
      </c>
      <c r="V142" s="100"/>
      <c r="W142" s="100">
        <v>72903.456005</v>
      </c>
      <c r="X142" s="340"/>
      <c r="Y142" s="35"/>
      <c r="Z142" s="346">
        <v>0.12136329462000001</v>
      </c>
      <c r="AA142" s="347">
        <v>7.2346458429999996E-2</v>
      </c>
      <c r="AB142" s="348"/>
      <c r="AC142" s="35"/>
      <c r="AD142" s="339"/>
      <c r="AE142" s="100"/>
      <c r="AF142" s="100"/>
      <c r="AG142" s="340"/>
      <c r="AH142" s="35"/>
      <c r="AI142" s="346"/>
      <c r="AJ142" s="347">
        <v>0.36243304708000001</v>
      </c>
      <c r="AK142" s="348"/>
      <c r="AL142" s="35"/>
      <c r="AM142" s="339">
        <v>-9175.9078530000006</v>
      </c>
      <c r="AN142" s="100"/>
      <c r="AO142" s="100">
        <v>-49174.35557</v>
      </c>
      <c r="AP142" s="340"/>
      <c r="AQ142" s="35"/>
      <c r="AR142" s="106">
        <v>-8.1861164481000004E-2</v>
      </c>
      <c r="AS142" s="107">
        <v>-9.5301048861999998E-2</v>
      </c>
      <c r="AT142" s="353"/>
      <c r="AU142" s="35"/>
      <c r="AV142" s="358">
        <v>-6.5848548428000003E-2</v>
      </c>
      <c r="AW142" s="359">
        <v>-7.9754628817999995E-2</v>
      </c>
      <c r="AX142" s="360"/>
      <c r="AY142" s="35"/>
      <c r="AZ142" s="106"/>
      <c r="BA142" s="107"/>
      <c r="BB142" s="353"/>
      <c r="BC142" s="35"/>
      <c r="BD142" s="106"/>
      <c r="BE142" s="107"/>
      <c r="BF142" s="353"/>
      <c r="BG142" s="35"/>
      <c r="BH142" s="106">
        <v>-1.9424950425E-2</v>
      </c>
      <c r="BI142" s="107">
        <v>-2.2454702470000001E-2</v>
      </c>
      <c r="BJ142" s="353"/>
      <c r="BK142" s="35"/>
      <c r="BL142" s="367">
        <v>0.23729140121</v>
      </c>
      <c r="BM142" s="368">
        <v>0.23561862893999999</v>
      </c>
      <c r="BN142" s="369"/>
    </row>
    <row r="143" spans="2:66" ht="15.6" x14ac:dyDescent="0.3">
      <c r="B143" s="306" t="s">
        <v>401</v>
      </c>
      <c r="C143" s="111" t="s">
        <v>90</v>
      </c>
      <c r="D143" s="111" t="s">
        <v>226</v>
      </c>
      <c r="E143" s="385">
        <v>45473</v>
      </c>
      <c r="F143" s="35"/>
      <c r="G143" s="380">
        <v>3516472.2373000002</v>
      </c>
      <c r="H143" s="112">
        <v>3229596.3755999999</v>
      </c>
      <c r="I143" s="112">
        <v>13314645.741</v>
      </c>
      <c r="J143" s="381">
        <v>12743916.536</v>
      </c>
      <c r="K143" s="72"/>
      <c r="L143" s="380">
        <v>684537.98054000002</v>
      </c>
      <c r="M143" s="112">
        <v>492310.60168999998</v>
      </c>
      <c r="N143" s="112">
        <v>1917639.2914</v>
      </c>
      <c r="O143" s="381">
        <v>1521965.3674000001</v>
      </c>
      <c r="P143" s="35"/>
      <c r="Q143" s="382">
        <v>0.14402480761</v>
      </c>
      <c r="R143" s="383">
        <v>0.16260973946000001</v>
      </c>
      <c r="S143" s="384">
        <v>0.10905944886000001</v>
      </c>
      <c r="T143" s="35"/>
      <c r="U143" s="380">
        <v>413496.93734</v>
      </c>
      <c r="V143" s="112">
        <v>135977.25765000001</v>
      </c>
      <c r="W143" s="112">
        <v>999457.38610999996</v>
      </c>
      <c r="X143" s="381">
        <v>-2570219.5424000002</v>
      </c>
      <c r="Y143" s="35"/>
      <c r="Z143" s="382">
        <v>7.5064512080000007E-2</v>
      </c>
      <c r="AA143" s="383">
        <v>7.5893997830000004E-2</v>
      </c>
      <c r="AB143" s="384">
        <v>-0.19988862017</v>
      </c>
      <c r="AC143" s="35"/>
      <c r="AD143" s="380">
        <v>596279.45615999994</v>
      </c>
      <c r="AE143" s="112">
        <v>310033.04284000001</v>
      </c>
      <c r="AF143" s="112">
        <v>1699999.7637</v>
      </c>
      <c r="AG143" s="381">
        <v>-1899744.3607000001</v>
      </c>
      <c r="AH143" s="35"/>
      <c r="AI143" s="382">
        <v>0.12767893316000001</v>
      </c>
      <c r="AJ143" s="383">
        <v>0.12670536547</v>
      </c>
      <c r="AK143" s="384">
        <v>-0.1492132588</v>
      </c>
      <c r="AL143" s="35"/>
      <c r="AM143" s="380">
        <v>119612.97184</v>
      </c>
      <c r="AN143" s="112">
        <v>-14706.096167</v>
      </c>
      <c r="AO143" s="112">
        <v>-467885.99456000002</v>
      </c>
      <c r="AP143" s="381">
        <v>-5781085.7551999995</v>
      </c>
      <c r="AQ143" s="35"/>
      <c r="AR143" s="113">
        <v>-3.5140701724000002E-2</v>
      </c>
      <c r="AS143" s="114">
        <v>-1.3103217142000001E-2</v>
      </c>
      <c r="AT143" s="376">
        <v>-0.47760426935</v>
      </c>
      <c r="AU143" s="35"/>
      <c r="AV143" s="379">
        <v>-9.4314860523E-4</v>
      </c>
      <c r="AW143" s="377">
        <v>-3.4754288104999999E-4</v>
      </c>
      <c r="AX143" s="378">
        <v>-1.1858888010999999E-2</v>
      </c>
      <c r="AY143" s="35"/>
      <c r="AZ143" s="113">
        <v>-0.48968702373</v>
      </c>
      <c r="BA143" s="114">
        <v>-0.15402829898000001</v>
      </c>
      <c r="BB143" s="376">
        <v>-1.3908205391999999</v>
      </c>
      <c r="BC143" s="35"/>
      <c r="BD143" s="113">
        <v>4.3412181068000003E-2</v>
      </c>
      <c r="BE143" s="114">
        <v>4.3601133697999998E-2</v>
      </c>
      <c r="BF143" s="376">
        <v>-9.8149021650000001E-2</v>
      </c>
      <c r="BG143" s="35"/>
      <c r="BH143" s="113">
        <v>-2.3092954432000001E-2</v>
      </c>
      <c r="BI143" s="114">
        <v>-8.7470168474000007E-3</v>
      </c>
      <c r="BJ143" s="376">
        <v>-0.28712730766</v>
      </c>
      <c r="BK143" s="35"/>
      <c r="BL143" s="373">
        <v>0.65715689495999996</v>
      </c>
      <c r="BM143" s="374">
        <v>0.66754727118000001</v>
      </c>
      <c r="BN143" s="375">
        <v>0.60118245602999998</v>
      </c>
    </row>
    <row r="144" spans="2:66" ht="15.6" x14ac:dyDescent="0.3">
      <c r="B144" s="283" t="s">
        <v>1473</v>
      </c>
      <c r="C144" s="99" t="s">
        <v>1920</v>
      </c>
      <c r="D144" s="99" t="s">
        <v>226</v>
      </c>
      <c r="E144" s="334"/>
      <c r="F144" s="35"/>
      <c r="G144" s="339"/>
      <c r="H144" s="100"/>
      <c r="I144" s="100"/>
      <c r="J144" s="340"/>
      <c r="K144" s="72"/>
      <c r="L144" s="339"/>
      <c r="M144" s="100"/>
      <c r="N144" s="100"/>
      <c r="O144" s="340"/>
      <c r="P144" s="35"/>
      <c r="Q144" s="346"/>
      <c r="R144" s="347"/>
      <c r="S144" s="348"/>
      <c r="T144" s="35"/>
      <c r="U144" s="339"/>
      <c r="V144" s="100"/>
      <c r="W144" s="100"/>
      <c r="X144" s="340"/>
      <c r="Y144" s="35"/>
      <c r="Z144" s="346"/>
      <c r="AA144" s="347"/>
      <c r="AB144" s="348"/>
      <c r="AC144" s="35"/>
      <c r="AD144" s="339"/>
      <c r="AE144" s="100"/>
      <c r="AF144" s="100"/>
      <c r="AG144" s="340"/>
      <c r="AH144" s="35"/>
      <c r="AI144" s="346"/>
      <c r="AJ144" s="347"/>
      <c r="AK144" s="348"/>
      <c r="AL144" s="35"/>
      <c r="AM144" s="339"/>
      <c r="AN144" s="100"/>
      <c r="AO144" s="100"/>
      <c r="AP144" s="340"/>
      <c r="AQ144" s="35"/>
      <c r="AR144" s="106"/>
      <c r="AS144" s="107"/>
      <c r="AT144" s="353"/>
      <c r="AU144" s="35"/>
      <c r="AV144" s="358"/>
      <c r="AW144" s="359"/>
      <c r="AX144" s="360"/>
      <c r="AY144" s="35"/>
      <c r="AZ144" s="106"/>
      <c r="BA144" s="107"/>
      <c r="BB144" s="353"/>
      <c r="BC144" s="35"/>
      <c r="BD144" s="106"/>
      <c r="BE144" s="107"/>
      <c r="BF144" s="353"/>
      <c r="BG144" s="35"/>
      <c r="BH144" s="106"/>
      <c r="BI144" s="107"/>
      <c r="BJ144" s="353"/>
      <c r="BK144" s="35"/>
      <c r="BL144" s="367"/>
      <c r="BM144" s="368"/>
      <c r="BN144" s="369"/>
    </row>
    <row r="145" spans="2:66" ht="15.6" x14ac:dyDescent="0.3">
      <c r="B145" s="306" t="s">
        <v>571</v>
      </c>
      <c r="C145" s="111" t="s">
        <v>649</v>
      </c>
      <c r="D145" s="111" t="s">
        <v>231</v>
      </c>
      <c r="E145" s="385"/>
      <c r="F145" s="35"/>
      <c r="G145" s="380"/>
      <c r="H145" s="112"/>
      <c r="I145" s="112"/>
      <c r="J145" s="381"/>
      <c r="K145" s="72"/>
      <c r="L145" s="380"/>
      <c r="M145" s="112"/>
      <c r="N145" s="112"/>
      <c r="O145" s="381"/>
      <c r="P145" s="35"/>
      <c r="Q145" s="382"/>
      <c r="R145" s="383"/>
      <c r="S145" s="384"/>
      <c r="T145" s="35"/>
      <c r="U145" s="380"/>
      <c r="V145" s="112"/>
      <c r="W145" s="112"/>
      <c r="X145" s="381"/>
      <c r="Y145" s="35"/>
      <c r="Z145" s="382"/>
      <c r="AA145" s="383"/>
      <c r="AB145" s="384"/>
      <c r="AC145" s="35"/>
      <c r="AD145" s="380"/>
      <c r="AE145" s="112"/>
      <c r="AF145" s="112"/>
      <c r="AG145" s="381"/>
      <c r="AH145" s="35"/>
      <c r="AI145" s="382"/>
      <c r="AJ145" s="383"/>
      <c r="AK145" s="384"/>
      <c r="AL145" s="35"/>
      <c r="AM145" s="380"/>
      <c r="AN145" s="112"/>
      <c r="AO145" s="112"/>
      <c r="AP145" s="381"/>
      <c r="AQ145" s="35"/>
      <c r="AR145" s="113"/>
      <c r="AS145" s="114"/>
      <c r="AT145" s="376"/>
      <c r="AU145" s="35"/>
      <c r="AV145" s="379"/>
      <c r="AW145" s="377"/>
      <c r="AX145" s="378"/>
      <c r="AY145" s="35"/>
      <c r="AZ145" s="113"/>
      <c r="BA145" s="114"/>
      <c r="BB145" s="376"/>
      <c r="BC145" s="35"/>
      <c r="BD145" s="113"/>
      <c r="BE145" s="114"/>
      <c r="BF145" s="376"/>
      <c r="BG145" s="35"/>
      <c r="BH145" s="113"/>
      <c r="BI145" s="114"/>
      <c r="BJ145" s="376"/>
      <c r="BK145" s="35"/>
      <c r="BL145" s="373"/>
      <c r="BM145" s="374"/>
      <c r="BN145" s="375"/>
    </row>
    <row r="146" spans="2:66" ht="15.6" x14ac:dyDescent="0.3">
      <c r="B146" s="283" t="s">
        <v>572</v>
      </c>
      <c r="C146" s="99" t="s">
        <v>650</v>
      </c>
      <c r="D146" s="99" t="s">
        <v>226</v>
      </c>
      <c r="E146" s="334"/>
      <c r="F146" s="35"/>
      <c r="G146" s="339"/>
      <c r="H146" s="100"/>
      <c r="I146" s="100"/>
      <c r="J146" s="340"/>
      <c r="K146" s="72"/>
      <c r="L146" s="339"/>
      <c r="M146" s="100"/>
      <c r="N146" s="100"/>
      <c r="O146" s="340"/>
      <c r="P146" s="35"/>
      <c r="Q146" s="346"/>
      <c r="R146" s="347"/>
      <c r="S146" s="348"/>
      <c r="T146" s="35"/>
      <c r="U146" s="339"/>
      <c r="V146" s="100"/>
      <c r="W146" s="100"/>
      <c r="X146" s="340"/>
      <c r="Y146" s="35"/>
      <c r="Z146" s="346"/>
      <c r="AA146" s="347"/>
      <c r="AB146" s="348"/>
      <c r="AC146" s="35"/>
      <c r="AD146" s="339"/>
      <c r="AE146" s="100"/>
      <c r="AF146" s="100"/>
      <c r="AG146" s="340"/>
      <c r="AH146" s="35"/>
      <c r="AI146" s="346"/>
      <c r="AJ146" s="347"/>
      <c r="AK146" s="348"/>
      <c r="AL146" s="35"/>
      <c r="AM146" s="339"/>
      <c r="AN146" s="100"/>
      <c r="AO146" s="100"/>
      <c r="AP146" s="340"/>
      <c r="AQ146" s="35"/>
      <c r="AR146" s="106"/>
      <c r="AS146" s="107"/>
      <c r="AT146" s="353"/>
      <c r="AU146" s="35"/>
      <c r="AV146" s="358"/>
      <c r="AW146" s="359"/>
      <c r="AX146" s="360"/>
      <c r="AY146" s="35"/>
      <c r="AZ146" s="106"/>
      <c r="BA146" s="107"/>
      <c r="BB146" s="353"/>
      <c r="BC146" s="35"/>
      <c r="BD146" s="106"/>
      <c r="BE146" s="107"/>
      <c r="BF146" s="353"/>
      <c r="BG146" s="35"/>
      <c r="BH146" s="106"/>
      <c r="BI146" s="107"/>
      <c r="BJ146" s="353"/>
      <c r="BK146" s="35"/>
      <c r="BL146" s="367"/>
      <c r="BM146" s="368"/>
      <c r="BN146" s="369"/>
    </row>
    <row r="147" spans="2:66" ht="15.6" x14ac:dyDescent="0.3">
      <c r="B147" s="306" t="s">
        <v>53</v>
      </c>
      <c r="C147" s="111" t="s">
        <v>91</v>
      </c>
      <c r="D147" s="111" t="s">
        <v>226</v>
      </c>
      <c r="E147" s="385"/>
      <c r="F147" s="35"/>
      <c r="G147" s="380"/>
      <c r="H147" s="112"/>
      <c r="I147" s="112"/>
      <c r="J147" s="381"/>
      <c r="K147" s="72"/>
      <c r="L147" s="380"/>
      <c r="M147" s="112"/>
      <c r="N147" s="112"/>
      <c r="O147" s="381"/>
      <c r="P147" s="35"/>
      <c r="Q147" s="382"/>
      <c r="R147" s="383"/>
      <c r="S147" s="384"/>
      <c r="T147" s="35"/>
      <c r="U147" s="380"/>
      <c r="V147" s="112"/>
      <c r="W147" s="112"/>
      <c r="X147" s="381"/>
      <c r="Y147" s="35"/>
      <c r="Z147" s="382"/>
      <c r="AA147" s="383"/>
      <c r="AB147" s="384"/>
      <c r="AC147" s="35"/>
      <c r="AD147" s="380"/>
      <c r="AE147" s="112"/>
      <c r="AF147" s="112"/>
      <c r="AG147" s="381"/>
      <c r="AH147" s="35"/>
      <c r="AI147" s="382"/>
      <c r="AJ147" s="383"/>
      <c r="AK147" s="384"/>
      <c r="AL147" s="35"/>
      <c r="AM147" s="380"/>
      <c r="AN147" s="112"/>
      <c r="AO147" s="112"/>
      <c r="AP147" s="381"/>
      <c r="AQ147" s="35"/>
      <c r="AR147" s="113"/>
      <c r="AS147" s="114"/>
      <c r="AT147" s="376"/>
      <c r="AU147" s="35"/>
      <c r="AV147" s="379"/>
      <c r="AW147" s="377"/>
      <c r="AX147" s="378"/>
      <c r="AY147" s="35"/>
      <c r="AZ147" s="113"/>
      <c r="BA147" s="114"/>
      <c r="BB147" s="376"/>
      <c r="BC147" s="35"/>
      <c r="BD147" s="113"/>
      <c r="BE147" s="114"/>
      <c r="BF147" s="376"/>
      <c r="BG147" s="35"/>
      <c r="BH147" s="113"/>
      <c r="BI147" s="114"/>
      <c r="BJ147" s="376"/>
      <c r="BK147" s="35"/>
      <c r="BL147" s="373"/>
      <c r="BM147" s="374"/>
      <c r="BN147" s="375"/>
    </row>
    <row r="148" spans="2:66" ht="15.6" x14ac:dyDescent="0.3">
      <c r="B148" s="283" t="s">
        <v>1479</v>
      </c>
      <c r="C148" s="99" t="s">
        <v>1921</v>
      </c>
      <c r="D148" s="99" t="s">
        <v>226</v>
      </c>
      <c r="E148" s="334"/>
      <c r="F148" s="35"/>
      <c r="G148" s="339"/>
      <c r="H148" s="100"/>
      <c r="I148" s="100"/>
      <c r="J148" s="340"/>
      <c r="K148" s="72"/>
      <c r="L148" s="339"/>
      <c r="M148" s="100"/>
      <c r="N148" s="100"/>
      <c r="O148" s="340"/>
      <c r="P148" s="35"/>
      <c r="Q148" s="346"/>
      <c r="R148" s="347"/>
      <c r="S148" s="348"/>
      <c r="T148" s="35"/>
      <c r="U148" s="339"/>
      <c r="V148" s="100"/>
      <c r="W148" s="100"/>
      <c r="X148" s="340"/>
      <c r="Y148" s="35"/>
      <c r="Z148" s="346"/>
      <c r="AA148" s="347"/>
      <c r="AB148" s="348"/>
      <c r="AC148" s="35"/>
      <c r="AD148" s="339"/>
      <c r="AE148" s="100"/>
      <c r="AF148" s="100"/>
      <c r="AG148" s="340"/>
      <c r="AH148" s="35"/>
      <c r="AI148" s="346"/>
      <c r="AJ148" s="347"/>
      <c r="AK148" s="348"/>
      <c r="AL148" s="35"/>
      <c r="AM148" s="339"/>
      <c r="AN148" s="100"/>
      <c r="AO148" s="100"/>
      <c r="AP148" s="340"/>
      <c r="AQ148" s="35"/>
      <c r="AR148" s="106"/>
      <c r="AS148" s="107"/>
      <c r="AT148" s="353"/>
      <c r="AU148" s="35"/>
      <c r="AV148" s="358"/>
      <c r="AW148" s="359"/>
      <c r="AX148" s="360"/>
      <c r="AY148" s="35"/>
      <c r="AZ148" s="106"/>
      <c r="BA148" s="107"/>
      <c r="BB148" s="353"/>
      <c r="BC148" s="35"/>
      <c r="BD148" s="106"/>
      <c r="BE148" s="107"/>
      <c r="BF148" s="353"/>
      <c r="BG148" s="35"/>
      <c r="BH148" s="106"/>
      <c r="BI148" s="107"/>
      <c r="BJ148" s="353"/>
      <c r="BK148" s="35"/>
      <c r="BL148" s="367"/>
      <c r="BM148" s="368"/>
      <c r="BN148" s="369"/>
    </row>
    <row r="149" spans="2:66" ht="15.6" x14ac:dyDescent="0.3">
      <c r="B149" s="306" t="s">
        <v>54</v>
      </c>
      <c r="C149" s="111" t="s">
        <v>92</v>
      </c>
      <c r="D149" s="111" t="s">
        <v>232</v>
      </c>
      <c r="E149" s="385">
        <v>45473</v>
      </c>
      <c r="F149" s="35"/>
      <c r="G149" s="380">
        <v>1856905.4797</v>
      </c>
      <c r="H149" s="112">
        <v>1702731.4169000001</v>
      </c>
      <c r="I149" s="112">
        <v>7095471.7180000003</v>
      </c>
      <c r="J149" s="381">
        <v>6193906.6591999996</v>
      </c>
      <c r="K149" s="72"/>
      <c r="L149" s="380">
        <v>881595.69495000003</v>
      </c>
      <c r="M149" s="112">
        <v>853677.42853999999</v>
      </c>
      <c r="N149" s="112">
        <v>3405684.9172</v>
      </c>
      <c r="O149" s="381">
        <v>2645045.0049000001</v>
      </c>
      <c r="P149" s="35"/>
      <c r="Q149" s="382">
        <v>0.47998005664999999</v>
      </c>
      <c r="R149" s="383">
        <v>0.46397488031</v>
      </c>
      <c r="S149" s="384">
        <v>0.37853689783</v>
      </c>
      <c r="T149" s="35"/>
      <c r="U149" s="380">
        <v>694717.48762999999</v>
      </c>
      <c r="V149" s="112">
        <v>700084.02709999995</v>
      </c>
      <c r="W149" s="112">
        <v>2810670.9997</v>
      </c>
      <c r="X149" s="381">
        <v>2211306.6952999998</v>
      </c>
      <c r="Y149" s="35"/>
      <c r="Z149" s="382">
        <v>0.39612179589000002</v>
      </c>
      <c r="AA149" s="383">
        <v>0.39044087375999997</v>
      </c>
      <c r="AB149" s="384">
        <v>0.32013594848999999</v>
      </c>
      <c r="AC149" s="35"/>
      <c r="AD149" s="380">
        <v>944269.46389999997</v>
      </c>
      <c r="AE149" s="112">
        <v>932507.08308999997</v>
      </c>
      <c r="AF149" s="112">
        <v>3771674.4772999999</v>
      </c>
      <c r="AG149" s="381">
        <v>3166089.9733000002</v>
      </c>
      <c r="AH149" s="35"/>
      <c r="AI149" s="382">
        <v>0.53156077949000002</v>
      </c>
      <c r="AJ149" s="383">
        <v>0.53174670982000005</v>
      </c>
      <c r="AK149" s="384">
        <v>0.50873533068999999</v>
      </c>
      <c r="AL149" s="35"/>
      <c r="AM149" s="380">
        <v>355984.67927999998</v>
      </c>
      <c r="AN149" s="112">
        <v>350814.50462999998</v>
      </c>
      <c r="AO149" s="112">
        <v>1394445.9463</v>
      </c>
      <c r="AP149" s="381">
        <v>1096355.7350000001</v>
      </c>
      <c r="AQ149" s="35"/>
      <c r="AR149" s="113">
        <v>0.19652617919000001</v>
      </c>
      <c r="AS149" s="114">
        <v>0.18609485782999999</v>
      </c>
      <c r="AT149" s="376">
        <v>0.15632288159999999</v>
      </c>
      <c r="AU149" s="35"/>
      <c r="AV149" s="379">
        <v>4.1054238921000001</v>
      </c>
      <c r="AW149" s="377">
        <v>3.5356134806999999</v>
      </c>
      <c r="AX149" s="378">
        <v>2.5711058823999999</v>
      </c>
      <c r="AY149" s="35"/>
      <c r="AZ149" s="113">
        <v>0.21292030726</v>
      </c>
      <c r="BA149" s="114">
        <v>0.20171527456999999</v>
      </c>
      <c r="BB149" s="376">
        <v>0.16874191265999999</v>
      </c>
      <c r="BC149" s="35"/>
      <c r="BD149" s="113">
        <v>0.15140609500999999</v>
      </c>
      <c r="BE149" s="114">
        <v>0.1380978316</v>
      </c>
      <c r="BF149" s="376">
        <v>0.10887312544</v>
      </c>
      <c r="BG149" s="35"/>
      <c r="BH149" s="113">
        <v>7.9351925815000002E-2</v>
      </c>
      <c r="BI149" s="114">
        <v>6.6434775350000003E-2</v>
      </c>
      <c r="BJ149" s="376">
        <v>6.0157507993000001E-2</v>
      </c>
      <c r="BK149" s="35"/>
      <c r="BL149" s="373">
        <v>0.40377280088</v>
      </c>
      <c r="BM149" s="374">
        <v>0.35699414871000001</v>
      </c>
      <c r="BN149" s="375">
        <v>0.38482855087000001</v>
      </c>
    </row>
    <row r="150" spans="2:66" ht="15.6" x14ac:dyDescent="0.3">
      <c r="B150" s="283" t="s">
        <v>1483</v>
      </c>
      <c r="C150" s="99" t="s">
        <v>1923</v>
      </c>
      <c r="D150" s="99" t="s">
        <v>1960</v>
      </c>
      <c r="E150" s="334"/>
      <c r="F150" s="35"/>
      <c r="G150" s="339"/>
      <c r="H150" s="100"/>
      <c r="I150" s="100"/>
      <c r="J150" s="340"/>
      <c r="K150" s="72"/>
      <c r="L150" s="339"/>
      <c r="M150" s="100"/>
      <c r="N150" s="100"/>
      <c r="O150" s="340"/>
      <c r="P150" s="35"/>
      <c r="Q150" s="346"/>
      <c r="R150" s="347"/>
      <c r="S150" s="348"/>
      <c r="T150" s="35"/>
      <c r="U150" s="339"/>
      <c r="V150" s="100"/>
      <c r="W150" s="100"/>
      <c r="X150" s="340"/>
      <c r="Y150" s="35"/>
      <c r="Z150" s="346"/>
      <c r="AA150" s="347"/>
      <c r="AB150" s="348"/>
      <c r="AC150" s="35"/>
      <c r="AD150" s="339"/>
      <c r="AE150" s="100"/>
      <c r="AF150" s="100"/>
      <c r="AG150" s="340"/>
      <c r="AH150" s="35"/>
      <c r="AI150" s="346"/>
      <c r="AJ150" s="347"/>
      <c r="AK150" s="348"/>
      <c r="AL150" s="35"/>
      <c r="AM150" s="339"/>
      <c r="AN150" s="100"/>
      <c r="AO150" s="100"/>
      <c r="AP150" s="340"/>
      <c r="AQ150" s="35"/>
      <c r="AR150" s="106"/>
      <c r="AS150" s="107"/>
      <c r="AT150" s="353"/>
      <c r="AU150" s="35"/>
      <c r="AV150" s="358"/>
      <c r="AW150" s="359"/>
      <c r="AX150" s="360"/>
      <c r="AY150" s="35"/>
      <c r="AZ150" s="106"/>
      <c r="BA150" s="107"/>
      <c r="BB150" s="353"/>
      <c r="BC150" s="35"/>
      <c r="BD150" s="106"/>
      <c r="BE150" s="107"/>
      <c r="BF150" s="353"/>
      <c r="BG150" s="35"/>
      <c r="BH150" s="106"/>
      <c r="BI150" s="107"/>
      <c r="BJ150" s="353"/>
      <c r="BK150" s="35"/>
      <c r="BL150" s="367"/>
      <c r="BM150" s="368"/>
      <c r="BN150" s="369"/>
    </row>
    <row r="151" spans="2:66" ht="15.6" x14ac:dyDescent="0.3">
      <c r="B151" s="306" t="s">
        <v>573</v>
      </c>
      <c r="C151" s="111" t="s">
        <v>651</v>
      </c>
      <c r="D151" s="111" t="s">
        <v>226</v>
      </c>
      <c r="E151" s="385">
        <v>45473</v>
      </c>
      <c r="F151" s="35"/>
      <c r="G151" s="380">
        <v>11523326.475</v>
      </c>
      <c r="H151" s="112">
        <v>11403788.35</v>
      </c>
      <c r="I151" s="112">
        <v>44781601.696000002</v>
      </c>
      <c r="J151" s="381">
        <v>46658042.504000001</v>
      </c>
      <c r="K151" s="72"/>
      <c r="L151" s="380">
        <v>2977678.9456000002</v>
      </c>
      <c r="M151" s="112">
        <v>3144357.7124999999</v>
      </c>
      <c r="N151" s="112">
        <v>11459096.124</v>
      </c>
      <c r="O151" s="381">
        <v>13079523.898</v>
      </c>
      <c r="P151" s="35"/>
      <c r="Q151" s="382">
        <v>0.255888483</v>
      </c>
      <c r="R151" s="383">
        <v>0.26434837516999998</v>
      </c>
      <c r="S151" s="384">
        <v>0.29135017646</v>
      </c>
      <c r="T151" s="35"/>
      <c r="U151" s="380">
        <v>2309281.8516000002</v>
      </c>
      <c r="V151" s="112">
        <v>2129711.3448999999</v>
      </c>
      <c r="W151" s="112">
        <v>9884448.9165000003</v>
      </c>
      <c r="X151" s="381">
        <v>9471776.1433000006</v>
      </c>
      <c r="Y151" s="35"/>
      <c r="Z151" s="382">
        <v>0.22072566729000001</v>
      </c>
      <c r="AA151" s="383">
        <v>0.22098189117</v>
      </c>
      <c r="AB151" s="384">
        <v>0.21826723070000001</v>
      </c>
      <c r="AC151" s="35"/>
      <c r="AD151" s="380">
        <v>3020833.7129000002</v>
      </c>
      <c r="AE151" s="112">
        <v>2794984.6332999999</v>
      </c>
      <c r="AF151" s="112">
        <v>12658397.216</v>
      </c>
      <c r="AG151" s="381">
        <v>12037680.823000001</v>
      </c>
      <c r="AH151" s="35"/>
      <c r="AI151" s="382">
        <v>0.28266959503</v>
      </c>
      <c r="AJ151" s="383">
        <v>0.27986378909999998</v>
      </c>
      <c r="AK151" s="384">
        <v>0.27155444411000002</v>
      </c>
      <c r="AL151" s="35"/>
      <c r="AM151" s="380">
        <v>817933.38074000005</v>
      </c>
      <c r="AN151" s="112">
        <v>761507.78933000006</v>
      </c>
      <c r="AO151" s="112">
        <v>4476052.6112000002</v>
      </c>
      <c r="AP151" s="381">
        <v>4575322.8990000002</v>
      </c>
      <c r="AQ151" s="35"/>
      <c r="AR151" s="113">
        <v>0.10134241724</v>
      </c>
      <c r="AS151" s="114">
        <v>0.10209052161</v>
      </c>
      <c r="AT151" s="376">
        <v>0.11187977656</v>
      </c>
      <c r="AU151" s="35"/>
      <c r="AV151" s="379">
        <v>3.6790383025</v>
      </c>
      <c r="AW151" s="377">
        <v>3.6777097160999999</v>
      </c>
      <c r="AX151" s="378">
        <v>3.8869769609000002</v>
      </c>
      <c r="AY151" s="35"/>
      <c r="AZ151" s="113">
        <v>0.15106567781999999</v>
      </c>
      <c r="BA151" s="114">
        <v>0.15880588638000001</v>
      </c>
      <c r="BB151" s="376">
        <v>0.18708353688000001</v>
      </c>
      <c r="BC151" s="35"/>
      <c r="BD151" s="113">
        <v>8.0880682347999999E-2</v>
      </c>
      <c r="BE151" s="114">
        <v>8.4467518219000004E-2</v>
      </c>
      <c r="BF151" s="376">
        <v>8.6525025793999996E-2</v>
      </c>
      <c r="BG151" s="35"/>
      <c r="BH151" s="113">
        <v>4.2769722592999999E-2</v>
      </c>
      <c r="BI151" s="114">
        <v>4.5675599322E-2</v>
      </c>
      <c r="BJ151" s="376">
        <v>5.1853376372999999E-2</v>
      </c>
      <c r="BK151" s="35"/>
      <c r="BL151" s="373">
        <v>0.42203179827999998</v>
      </c>
      <c r="BM151" s="374">
        <v>0.44740293808999998</v>
      </c>
      <c r="BN151" s="375">
        <v>0.46347407873000002</v>
      </c>
    </row>
    <row r="152" spans="2:66" ht="15.6" x14ac:dyDescent="0.3">
      <c r="B152" s="283" t="s">
        <v>55</v>
      </c>
      <c r="C152" s="99" t="s">
        <v>93</v>
      </c>
      <c r="D152" s="99" t="s">
        <v>226</v>
      </c>
      <c r="E152" s="334">
        <v>45473</v>
      </c>
      <c r="F152" s="35"/>
      <c r="G152" s="339">
        <v>110481.22235</v>
      </c>
      <c r="H152" s="100">
        <v>101692.67069</v>
      </c>
      <c r="I152" s="100">
        <v>435696.55254</v>
      </c>
      <c r="J152" s="340">
        <v>357188.99427999998</v>
      </c>
      <c r="K152" s="72"/>
      <c r="L152" s="339">
        <v>104830.95862999999</v>
      </c>
      <c r="M152" s="100">
        <v>95694.750822000002</v>
      </c>
      <c r="N152" s="100">
        <v>413121.59123000002</v>
      </c>
      <c r="O152" s="340">
        <v>322057.12530999997</v>
      </c>
      <c r="P152" s="35"/>
      <c r="Q152" s="346">
        <v>0.94818650462999998</v>
      </c>
      <c r="R152" s="347">
        <v>0.94678446884</v>
      </c>
      <c r="S152" s="348">
        <v>0.88721161892</v>
      </c>
      <c r="T152" s="35"/>
      <c r="U152" s="339">
        <v>99201.770495000004</v>
      </c>
      <c r="V152" s="100">
        <v>91490.767573000005</v>
      </c>
      <c r="W152" s="100">
        <v>382183.63744999998</v>
      </c>
      <c r="X152" s="340">
        <v>300317.54236000002</v>
      </c>
      <c r="Y152" s="35"/>
      <c r="Z152" s="346">
        <v>0.87717847485</v>
      </c>
      <c r="AA152" s="347">
        <v>0.88239005335999998</v>
      </c>
      <c r="AB152" s="348">
        <v>0.83398600940000001</v>
      </c>
      <c r="AC152" s="35"/>
      <c r="AD152" s="339">
        <v>99222.846078999995</v>
      </c>
      <c r="AE152" s="100">
        <v>91540.976878000001</v>
      </c>
      <c r="AF152" s="100">
        <v>382321.13055</v>
      </c>
      <c r="AG152" s="340">
        <v>300515.2415</v>
      </c>
      <c r="AH152" s="35"/>
      <c r="AI152" s="346">
        <v>0.87749404562</v>
      </c>
      <c r="AJ152" s="347">
        <v>0.88286076916</v>
      </c>
      <c r="AK152" s="348">
        <v>0.83451013558999998</v>
      </c>
      <c r="AL152" s="35"/>
      <c r="AM152" s="339">
        <v>59468.272977000001</v>
      </c>
      <c r="AN152" s="100">
        <v>50989.641068999998</v>
      </c>
      <c r="AO152" s="100">
        <v>230653.19897</v>
      </c>
      <c r="AP152" s="340">
        <v>157980.43943999999</v>
      </c>
      <c r="AQ152" s="35"/>
      <c r="AR152" s="106">
        <v>0.52938954331999999</v>
      </c>
      <c r="AS152" s="107">
        <v>0.49849050559000002</v>
      </c>
      <c r="AT152" s="353">
        <v>0.31626548182000003</v>
      </c>
      <c r="AU152" s="35"/>
      <c r="AV152" s="358">
        <v>0.13620932851000001</v>
      </c>
      <c r="AW152" s="359">
        <v>0.11987791145</v>
      </c>
      <c r="AX152" s="360">
        <v>6.2941385646000006E-2</v>
      </c>
      <c r="AY152" s="35"/>
      <c r="AZ152" s="106">
        <v>0.12222212768</v>
      </c>
      <c r="BA152" s="107">
        <v>0.10904234171</v>
      </c>
      <c r="BB152" s="353">
        <v>5.8263793699999997E-2</v>
      </c>
      <c r="BC152" s="35"/>
      <c r="BD152" s="106">
        <v>6.4650201485000003E-2</v>
      </c>
      <c r="BE152" s="107">
        <v>6.3463348463000002E-2</v>
      </c>
      <c r="BF152" s="353">
        <v>5.0130803661999998E-2</v>
      </c>
      <c r="BG152" s="35"/>
      <c r="BH152" s="106">
        <v>5.2197995624000001E-2</v>
      </c>
      <c r="BI152" s="107">
        <v>4.7467370436000002E-2</v>
      </c>
      <c r="BJ152" s="353">
        <v>2.6738051387999999E-2</v>
      </c>
      <c r="BK152" s="35"/>
      <c r="BL152" s="367">
        <v>9.8600352581E-2</v>
      </c>
      <c r="BM152" s="368">
        <v>9.5222215676999997E-2</v>
      </c>
      <c r="BN152" s="369">
        <v>8.4543059313000005E-2</v>
      </c>
    </row>
    <row r="153" spans="2:66" ht="15.6" x14ac:dyDescent="0.3">
      <c r="B153" s="306" t="s">
        <v>575</v>
      </c>
      <c r="C153" s="111" t="s">
        <v>652</v>
      </c>
      <c r="D153" s="111" t="s">
        <v>226</v>
      </c>
      <c r="E153" s="385">
        <v>45473</v>
      </c>
      <c r="F153" s="35"/>
      <c r="G153" s="380">
        <v>1395279.9372</v>
      </c>
      <c r="H153" s="112">
        <v>1458278.0023000001</v>
      </c>
      <c r="I153" s="112">
        <v>5750103.7818</v>
      </c>
      <c r="J153" s="381">
        <v>5967557.8831000002</v>
      </c>
      <c r="K153" s="72"/>
      <c r="L153" s="380">
        <v>376203.18958000001</v>
      </c>
      <c r="M153" s="112">
        <v>453876.42489999998</v>
      </c>
      <c r="N153" s="112">
        <v>1238786.7005</v>
      </c>
      <c r="O153" s="381">
        <v>1725971.0029</v>
      </c>
      <c r="P153" s="35"/>
      <c r="Q153" s="382">
        <v>0.21543727688</v>
      </c>
      <c r="R153" s="383">
        <v>0.25810017428999998</v>
      </c>
      <c r="S153" s="384">
        <v>0.27307541995000001</v>
      </c>
      <c r="T153" s="35"/>
      <c r="U153" s="380">
        <v>325392.96724999999</v>
      </c>
      <c r="V153" s="112">
        <v>397770.66488</v>
      </c>
      <c r="W153" s="112">
        <v>1020184.7212</v>
      </c>
      <c r="X153" s="381">
        <v>1711480.3883</v>
      </c>
      <c r="Y153" s="35"/>
      <c r="Z153" s="382">
        <v>0.17742022752</v>
      </c>
      <c r="AA153" s="383">
        <v>0.22408873201999999</v>
      </c>
      <c r="AB153" s="384">
        <v>0.27390897714000001</v>
      </c>
      <c r="AC153" s="35"/>
      <c r="AD153" s="380"/>
      <c r="AE153" s="112"/>
      <c r="AF153" s="112"/>
      <c r="AG153" s="381"/>
      <c r="AH153" s="35"/>
      <c r="AI153" s="382"/>
      <c r="AJ153" s="383"/>
      <c r="AK153" s="384"/>
      <c r="AL153" s="35"/>
      <c r="AM153" s="380">
        <v>-226488.26212999999</v>
      </c>
      <c r="AN153" s="112">
        <v>-188891.58872999999</v>
      </c>
      <c r="AO153" s="112">
        <v>-1061410.5708000001</v>
      </c>
      <c r="AP153" s="381">
        <v>-633168.62216999999</v>
      </c>
      <c r="AQ153" s="35"/>
      <c r="AR153" s="113">
        <v>-0.18458981109</v>
      </c>
      <c r="AS153" s="114">
        <v>-0.14759768254</v>
      </c>
      <c r="AT153" s="376">
        <v>-0.11631815327</v>
      </c>
      <c r="AU153" s="35"/>
      <c r="AV153" s="379">
        <v>-78.949238578999996</v>
      </c>
      <c r="AW153" s="377">
        <v>-63.512541057</v>
      </c>
      <c r="AX153" s="378">
        <v>-48.391718654000002</v>
      </c>
      <c r="AY153" s="35"/>
      <c r="AZ153" s="113">
        <v>-9.3782898377000004E-2</v>
      </c>
      <c r="BA153" s="114">
        <v>-7.2837409596000005E-2</v>
      </c>
      <c r="BB153" s="376">
        <v>-5.2099885436999997E-2</v>
      </c>
      <c r="BC153" s="35"/>
      <c r="BD153" s="113">
        <v>1.6664818876E-2</v>
      </c>
      <c r="BE153" s="114">
        <v>2.0812317087000001E-2</v>
      </c>
      <c r="BF153" s="376">
        <v>2.4376143364E-2</v>
      </c>
      <c r="BG153" s="35"/>
      <c r="BH153" s="113">
        <v>-2.5304158980000001E-2</v>
      </c>
      <c r="BI153" s="114">
        <v>-1.9738868898E-2</v>
      </c>
      <c r="BJ153" s="376">
        <v>-1.4905910850000001E-2</v>
      </c>
      <c r="BK153" s="35"/>
      <c r="BL153" s="373">
        <v>0.13708318369</v>
      </c>
      <c r="BM153" s="374">
        <v>0.13373427386</v>
      </c>
      <c r="BN153" s="375">
        <v>0.12814776051999999</v>
      </c>
    </row>
    <row r="154" spans="2:66" ht="15.6" x14ac:dyDescent="0.3">
      <c r="B154" s="283" t="s">
        <v>57</v>
      </c>
      <c r="C154" s="99" t="s">
        <v>94</v>
      </c>
      <c r="D154" s="99" t="s">
        <v>104</v>
      </c>
      <c r="E154" s="334"/>
      <c r="F154" s="35"/>
      <c r="G154" s="339"/>
      <c r="H154" s="100"/>
      <c r="I154" s="100"/>
      <c r="J154" s="340"/>
      <c r="K154" s="72"/>
      <c r="L154" s="339"/>
      <c r="M154" s="100"/>
      <c r="N154" s="100"/>
      <c r="O154" s="340"/>
      <c r="P154" s="35"/>
      <c r="Q154" s="346"/>
      <c r="R154" s="347"/>
      <c r="S154" s="348"/>
      <c r="T154" s="35"/>
      <c r="U154" s="339"/>
      <c r="V154" s="100"/>
      <c r="W154" s="100"/>
      <c r="X154" s="340"/>
      <c r="Y154" s="35"/>
      <c r="Z154" s="346"/>
      <c r="AA154" s="347"/>
      <c r="AB154" s="348"/>
      <c r="AC154" s="35"/>
      <c r="AD154" s="339"/>
      <c r="AE154" s="100"/>
      <c r="AF154" s="100"/>
      <c r="AG154" s="340"/>
      <c r="AH154" s="35"/>
      <c r="AI154" s="346"/>
      <c r="AJ154" s="347"/>
      <c r="AK154" s="348"/>
      <c r="AL154" s="35"/>
      <c r="AM154" s="339"/>
      <c r="AN154" s="100"/>
      <c r="AO154" s="100"/>
      <c r="AP154" s="340"/>
      <c r="AQ154" s="35"/>
      <c r="AR154" s="106"/>
      <c r="AS154" s="107"/>
      <c r="AT154" s="353"/>
      <c r="AU154" s="35"/>
      <c r="AV154" s="358"/>
      <c r="AW154" s="359"/>
      <c r="AX154" s="360"/>
      <c r="AY154" s="35"/>
      <c r="AZ154" s="106"/>
      <c r="BA154" s="107"/>
      <c r="BB154" s="353"/>
      <c r="BC154" s="35"/>
      <c r="BD154" s="106"/>
      <c r="BE154" s="107"/>
      <c r="BF154" s="353"/>
      <c r="BG154" s="35"/>
      <c r="BH154" s="106"/>
      <c r="BI154" s="107"/>
      <c r="BJ154" s="353"/>
      <c r="BK154" s="35"/>
      <c r="BL154" s="367"/>
      <c r="BM154" s="368"/>
      <c r="BN154" s="369"/>
    </row>
    <row r="155" spans="2:66" ht="15.6" x14ac:dyDescent="0.3">
      <c r="B155" s="306" t="s">
        <v>402</v>
      </c>
      <c r="C155" s="111" t="s">
        <v>1924</v>
      </c>
      <c r="D155" s="111" t="s">
        <v>226</v>
      </c>
      <c r="E155" s="385">
        <v>45473</v>
      </c>
      <c r="F155" s="35"/>
      <c r="G155" s="380">
        <v>40555.445295999998</v>
      </c>
      <c r="H155" s="112">
        <v>44083.769606000002</v>
      </c>
      <c r="I155" s="112">
        <v>189950.22459</v>
      </c>
      <c r="J155" s="381">
        <v>160296.34362999999</v>
      </c>
      <c r="K155" s="72"/>
      <c r="L155" s="380">
        <v>28301.498573000001</v>
      </c>
      <c r="M155" s="112">
        <v>25459.25561</v>
      </c>
      <c r="N155" s="112">
        <v>104717.55190999999</v>
      </c>
      <c r="O155" s="381">
        <v>114107.96732</v>
      </c>
      <c r="P155" s="35"/>
      <c r="Q155" s="382">
        <v>0.55128943461000002</v>
      </c>
      <c r="R155" s="383">
        <v>0.62641111896000001</v>
      </c>
      <c r="S155" s="384">
        <v>0.78732071422000005</v>
      </c>
      <c r="T155" s="35"/>
      <c r="U155" s="380">
        <v>27545.788345000001</v>
      </c>
      <c r="V155" s="112">
        <v>24617.203728</v>
      </c>
      <c r="W155" s="112">
        <v>101586.32227999999</v>
      </c>
      <c r="X155" s="381">
        <v>110164.44484</v>
      </c>
      <c r="Y155" s="35"/>
      <c r="Z155" s="382">
        <v>0.53480496014000001</v>
      </c>
      <c r="AA155" s="383">
        <v>0.60996851543999997</v>
      </c>
      <c r="AB155" s="384">
        <v>0.76575763489000004</v>
      </c>
      <c r="AC155" s="35"/>
      <c r="AD155" s="380">
        <v>27545.788345000001</v>
      </c>
      <c r="AE155" s="112">
        <v>24617.203728</v>
      </c>
      <c r="AF155" s="112">
        <v>101587.32588</v>
      </c>
      <c r="AG155" s="381">
        <v>110164.44484</v>
      </c>
      <c r="AH155" s="35"/>
      <c r="AI155" s="382">
        <v>0.53481024361999996</v>
      </c>
      <c r="AJ155" s="383">
        <v>0.60996851543999997</v>
      </c>
      <c r="AK155" s="384">
        <v>0.76575763489000004</v>
      </c>
      <c r="AL155" s="35"/>
      <c r="AM155" s="380">
        <v>13843.647918999999</v>
      </c>
      <c r="AN155" s="112">
        <v>9893.3250981000001</v>
      </c>
      <c r="AO155" s="112">
        <v>50605.488086999998</v>
      </c>
      <c r="AP155" s="381">
        <v>57596.348758</v>
      </c>
      <c r="AQ155" s="35"/>
      <c r="AR155" s="113">
        <v>0.26641446829999998</v>
      </c>
      <c r="AS155" s="114">
        <v>0.29356062873</v>
      </c>
      <c r="AT155" s="376">
        <v>0.41476404202</v>
      </c>
      <c r="AU155" s="35"/>
      <c r="AV155" s="379">
        <v>0.20066481482000001</v>
      </c>
      <c r="AW155" s="377">
        <v>0.19517298148000001</v>
      </c>
      <c r="AX155" s="378">
        <v>0.21784139067</v>
      </c>
      <c r="AY155" s="35"/>
      <c r="AZ155" s="113">
        <v>0.11983929214</v>
      </c>
      <c r="BA155" s="114">
        <v>0.12311307078</v>
      </c>
      <c r="BB155" s="376">
        <v>0.14837858632000001</v>
      </c>
      <c r="BC155" s="35"/>
      <c r="BD155" s="113">
        <v>7.0175616248000006E-2</v>
      </c>
      <c r="BE155" s="114">
        <v>7.4134824759999995E-2</v>
      </c>
      <c r="BF155" s="376">
        <v>7.4198962066999996E-2</v>
      </c>
      <c r="BG155" s="35"/>
      <c r="BH155" s="113">
        <v>4.6829550985000003E-2</v>
      </c>
      <c r="BI155" s="114">
        <v>4.8217598578000002E-2</v>
      </c>
      <c r="BJ155" s="376">
        <v>5.6931919642999998E-2</v>
      </c>
      <c r="BK155" s="35"/>
      <c r="BL155" s="373">
        <v>0.17577705627000001</v>
      </c>
      <c r="BM155" s="374">
        <v>0.16425090376000001</v>
      </c>
      <c r="BN155" s="375">
        <v>0.13726339286</v>
      </c>
    </row>
    <row r="156" spans="2:66" ht="15.6" x14ac:dyDescent="0.3">
      <c r="B156" s="283" t="s">
        <v>58</v>
      </c>
      <c r="C156" s="99" t="s">
        <v>95</v>
      </c>
      <c r="D156" s="99" t="s">
        <v>226</v>
      </c>
      <c r="E156" s="334"/>
      <c r="F156" s="35"/>
      <c r="G156" s="339"/>
      <c r="H156" s="100"/>
      <c r="I156" s="100"/>
      <c r="J156" s="340"/>
      <c r="K156" s="72"/>
      <c r="L156" s="339"/>
      <c r="M156" s="100"/>
      <c r="N156" s="100"/>
      <c r="O156" s="340"/>
      <c r="P156" s="35"/>
      <c r="Q156" s="346"/>
      <c r="R156" s="347"/>
      <c r="S156" s="348"/>
      <c r="T156" s="35"/>
      <c r="U156" s="339"/>
      <c r="V156" s="100"/>
      <c r="W156" s="100"/>
      <c r="X156" s="340"/>
      <c r="Y156" s="35"/>
      <c r="Z156" s="346"/>
      <c r="AA156" s="347"/>
      <c r="AB156" s="348"/>
      <c r="AC156" s="35"/>
      <c r="AD156" s="339"/>
      <c r="AE156" s="100"/>
      <c r="AF156" s="100"/>
      <c r="AG156" s="340"/>
      <c r="AH156" s="35"/>
      <c r="AI156" s="346"/>
      <c r="AJ156" s="347"/>
      <c r="AK156" s="348"/>
      <c r="AL156" s="35"/>
      <c r="AM156" s="339"/>
      <c r="AN156" s="100"/>
      <c r="AO156" s="100"/>
      <c r="AP156" s="340"/>
      <c r="AQ156" s="35"/>
      <c r="AR156" s="106"/>
      <c r="AS156" s="107"/>
      <c r="AT156" s="353"/>
      <c r="AU156" s="35"/>
      <c r="AV156" s="358"/>
      <c r="AW156" s="359"/>
      <c r="AX156" s="360"/>
      <c r="AY156" s="35"/>
      <c r="AZ156" s="106"/>
      <c r="BA156" s="107"/>
      <c r="BB156" s="353"/>
      <c r="BC156" s="35"/>
      <c r="BD156" s="106"/>
      <c r="BE156" s="107"/>
      <c r="BF156" s="353"/>
      <c r="BG156" s="35"/>
      <c r="BH156" s="106"/>
      <c r="BI156" s="107"/>
      <c r="BJ156" s="353"/>
      <c r="BK156" s="35"/>
      <c r="BL156" s="367"/>
      <c r="BM156" s="368"/>
      <c r="BN156" s="369"/>
    </row>
    <row r="157" spans="2:66" ht="15.6" x14ac:dyDescent="0.3">
      <c r="B157" s="306" t="s">
        <v>2300</v>
      </c>
      <c r="C157" s="111" t="s">
        <v>2809</v>
      </c>
      <c r="D157" s="111" t="s">
        <v>233</v>
      </c>
      <c r="E157" s="385">
        <v>45473</v>
      </c>
      <c r="F157" s="35"/>
      <c r="G157" s="380">
        <v>340343.58513000002</v>
      </c>
      <c r="H157" s="112">
        <v>415164.00488000002</v>
      </c>
      <c r="I157" s="112">
        <v>1469962.7747</v>
      </c>
      <c r="J157" s="381"/>
      <c r="K157" s="72"/>
      <c r="L157" s="380">
        <v>104181.62992000001</v>
      </c>
      <c r="M157" s="112">
        <v>162067.26764999999</v>
      </c>
      <c r="N157" s="112">
        <v>632546.52190000005</v>
      </c>
      <c r="O157" s="381"/>
      <c r="P157" s="35"/>
      <c r="Q157" s="382">
        <v>0.43031465340000002</v>
      </c>
      <c r="R157" s="383">
        <v>0.38540552742</v>
      </c>
      <c r="S157" s="384"/>
      <c r="T157" s="35"/>
      <c r="U157" s="380">
        <v>53330.260024000003</v>
      </c>
      <c r="V157" s="112">
        <v>98437.434097000005</v>
      </c>
      <c r="W157" s="112">
        <v>429451.15445999999</v>
      </c>
      <c r="X157" s="381"/>
      <c r="Y157" s="35"/>
      <c r="Z157" s="382">
        <v>0.29215104072999998</v>
      </c>
      <c r="AA157" s="383">
        <v>0.25787019289000002</v>
      </c>
      <c r="AB157" s="384"/>
      <c r="AC157" s="35"/>
      <c r="AD157" s="380">
        <v>82578.152679999999</v>
      </c>
      <c r="AE157" s="112"/>
      <c r="AF157" s="112">
        <v>541387.59571999998</v>
      </c>
      <c r="AG157" s="381"/>
      <c r="AH157" s="35"/>
      <c r="AI157" s="382">
        <v>0.36830020803000002</v>
      </c>
      <c r="AJ157" s="383">
        <v>0.31712047535999999</v>
      </c>
      <c r="AK157" s="384"/>
      <c r="AL157" s="35"/>
      <c r="AM157" s="380">
        <v>-195089.6563</v>
      </c>
      <c r="AN157" s="112">
        <v>92687.422670999993</v>
      </c>
      <c r="AO157" s="112">
        <v>12832.019883999999</v>
      </c>
      <c r="AP157" s="381"/>
      <c r="AQ157" s="35"/>
      <c r="AR157" s="113">
        <v>8.7294862873999995E-3</v>
      </c>
      <c r="AS157" s="114">
        <v>0.20571645111</v>
      </c>
      <c r="AT157" s="376"/>
      <c r="AU157" s="35"/>
      <c r="AV157" s="379">
        <v>1.2157307052000001E-2</v>
      </c>
      <c r="AW157" s="377">
        <v>0.27814557741000001</v>
      </c>
      <c r="AX157" s="378"/>
      <c r="AY157" s="35"/>
      <c r="AZ157" s="113">
        <v>8.9370152213000004E-3</v>
      </c>
      <c r="BA157" s="114"/>
      <c r="BB157" s="376"/>
      <c r="BC157" s="35"/>
      <c r="BD157" s="113">
        <v>0.10144660445000001</v>
      </c>
      <c r="BE157" s="114"/>
      <c r="BF157" s="376"/>
      <c r="BG157" s="35"/>
      <c r="BH157" s="113">
        <v>2.7113896814999999E-3</v>
      </c>
      <c r="BI157" s="114">
        <v>6.4857178752999997E-2</v>
      </c>
      <c r="BJ157" s="376"/>
      <c r="BK157" s="35"/>
      <c r="BL157" s="373">
        <v>0.31060128767</v>
      </c>
      <c r="BM157" s="374">
        <v>0.31527463361000002</v>
      </c>
      <c r="BN157" s="375"/>
    </row>
    <row r="158" spans="2:66" ht="15.6" x14ac:dyDescent="0.3">
      <c r="B158" s="283" t="s">
        <v>1484</v>
      </c>
      <c r="C158" s="99" t="s">
        <v>1925</v>
      </c>
      <c r="D158" s="99" t="s">
        <v>1961</v>
      </c>
      <c r="E158" s="334">
        <v>45473</v>
      </c>
      <c r="F158" s="35"/>
      <c r="G158" s="339">
        <v>191256.91080000001</v>
      </c>
      <c r="H158" s="100">
        <v>175681.31143999999</v>
      </c>
      <c r="I158" s="100">
        <v>702749.29235</v>
      </c>
      <c r="J158" s="340">
        <v>686886.30212999997</v>
      </c>
      <c r="K158" s="72"/>
      <c r="L158" s="339">
        <v>77381.515815000006</v>
      </c>
      <c r="M158" s="100">
        <v>43717.660091999998</v>
      </c>
      <c r="N158" s="100">
        <v>238147.07449999999</v>
      </c>
      <c r="O158" s="340">
        <v>147080.83619</v>
      </c>
      <c r="P158" s="35"/>
      <c r="Q158" s="346">
        <v>0.33887913810999998</v>
      </c>
      <c r="R158" s="347">
        <v>0.22196131526999999</v>
      </c>
      <c r="S158" s="348">
        <v>0.26786795717</v>
      </c>
      <c r="T158" s="35"/>
      <c r="U158" s="339">
        <v>54057.869472999999</v>
      </c>
      <c r="V158" s="100">
        <v>25060.719254</v>
      </c>
      <c r="W158" s="100">
        <v>156119.89780000001</v>
      </c>
      <c r="X158" s="340">
        <v>33444.627127</v>
      </c>
      <c r="Y158" s="35"/>
      <c r="Z158" s="346">
        <v>0.22215589471</v>
      </c>
      <c r="AA158" s="347">
        <v>0.10076607474</v>
      </c>
      <c r="AB158" s="348">
        <v>9.5064893620999999E-2</v>
      </c>
      <c r="AC158" s="35"/>
      <c r="AD158" s="339">
        <v>85084.139983000001</v>
      </c>
      <c r="AE158" s="100">
        <v>61309.745258000003</v>
      </c>
      <c r="AF158" s="100">
        <v>288143.37784999999</v>
      </c>
      <c r="AG158" s="340">
        <v>268983.79809</v>
      </c>
      <c r="AH158" s="35"/>
      <c r="AI158" s="346">
        <v>0.41002300675999998</v>
      </c>
      <c r="AJ158" s="347">
        <v>0.34744608864999998</v>
      </c>
      <c r="AK158" s="348">
        <v>0.33525469703999999</v>
      </c>
      <c r="AL158" s="35"/>
      <c r="AM158" s="339">
        <v>15979.307102000001</v>
      </c>
      <c r="AN158" s="100">
        <v>-8050.2252013999996</v>
      </c>
      <c r="AO158" s="100">
        <v>86162.005567</v>
      </c>
      <c r="AP158" s="340">
        <v>-183827.77114</v>
      </c>
      <c r="AQ158" s="35"/>
      <c r="AR158" s="106">
        <v>0.13027880879000001</v>
      </c>
      <c r="AS158" s="107">
        <v>-1.5080151727E-2</v>
      </c>
      <c r="AT158" s="353">
        <v>-0.14978477584</v>
      </c>
      <c r="AU158" s="35"/>
      <c r="AV158" s="358">
        <v>24.45954416</v>
      </c>
      <c r="AW158" s="359">
        <v>-3.2102564103</v>
      </c>
      <c r="AX158" s="360">
        <v>-23.532214735</v>
      </c>
      <c r="AY158" s="35"/>
      <c r="AZ158" s="106">
        <v>0.12795194140999999</v>
      </c>
      <c r="BA158" s="107">
        <v>-1.3999375769999999E-2</v>
      </c>
      <c r="BB158" s="353"/>
      <c r="BC158" s="35"/>
      <c r="BD158" s="106">
        <v>4.7119901270999999E-2</v>
      </c>
      <c r="BE158" s="107">
        <v>2.0557965428000001E-2</v>
      </c>
      <c r="BF158" s="353"/>
      <c r="BG158" s="35"/>
      <c r="BH158" s="106">
        <v>3.3067392596999999E-2</v>
      </c>
      <c r="BI158" s="107">
        <v>-3.8162924767E-3</v>
      </c>
      <c r="BJ158" s="353">
        <v>-3.4895283313999999E-2</v>
      </c>
      <c r="BK158" s="35"/>
      <c r="BL158" s="367">
        <v>0.25382019457999999</v>
      </c>
      <c r="BM158" s="368">
        <v>0.25306724665000002</v>
      </c>
      <c r="BN158" s="369">
        <v>0.23296949318999999</v>
      </c>
    </row>
    <row r="159" spans="2:66" ht="15.6" x14ac:dyDescent="0.3">
      <c r="B159" s="306" t="s">
        <v>1118</v>
      </c>
      <c r="C159" s="111" t="s">
        <v>1144</v>
      </c>
      <c r="D159" s="111" t="s">
        <v>231</v>
      </c>
      <c r="E159" s="385"/>
      <c r="F159" s="35"/>
      <c r="G159" s="380"/>
      <c r="H159" s="112"/>
      <c r="I159" s="112"/>
      <c r="J159" s="381"/>
      <c r="K159" s="72"/>
      <c r="L159" s="380"/>
      <c r="M159" s="112"/>
      <c r="N159" s="112"/>
      <c r="O159" s="381"/>
      <c r="P159" s="35"/>
      <c r="Q159" s="382"/>
      <c r="R159" s="383"/>
      <c r="S159" s="384"/>
      <c r="T159" s="35"/>
      <c r="U159" s="380"/>
      <c r="V159" s="112"/>
      <c r="W159" s="112"/>
      <c r="X159" s="381"/>
      <c r="Y159" s="35"/>
      <c r="Z159" s="382"/>
      <c r="AA159" s="383"/>
      <c r="AB159" s="384"/>
      <c r="AC159" s="35"/>
      <c r="AD159" s="380"/>
      <c r="AE159" s="112"/>
      <c r="AF159" s="112"/>
      <c r="AG159" s="381"/>
      <c r="AH159" s="35"/>
      <c r="AI159" s="382"/>
      <c r="AJ159" s="383"/>
      <c r="AK159" s="384"/>
      <c r="AL159" s="35"/>
      <c r="AM159" s="380"/>
      <c r="AN159" s="112"/>
      <c r="AO159" s="112"/>
      <c r="AP159" s="381"/>
      <c r="AQ159" s="35"/>
      <c r="AR159" s="113"/>
      <c r="AS159" s="114"/>
      <c r="AT159" s="376"/>
      <c r="AU159" s="35"/>
      <c r="AV159" s="379"/>
      <c r="AW159" s="377"/>
      <c r="AX159" s="378"/>
      <c r="AY159" s="35"/>
      <c r="AZ159" s="113"/>
      <c r="BA159" s="114"/>
      <c r="BB159" s="376"/>
      <c r="BC159" s="35"/>
      <c r="BD159" s="113"/>
      <c r="BE159" s="114"/>
      <c r="BF159" s="376"/>
      <c r="BG159" s="35"/>
      <c r="BH159" s="113"/>
      <c r="BI159" s="114"/>
      <c r="BJ159" s="376"/>
      <c r="BK159" s="35"/>
      <c r="BL159" s="373"/>
      <c r="BM159" s="374"/>
      <c r="BN159" s="375"/>
    </row>
    <row r="160" spans="2:66" ht="15.6" x14ac:dyDescent="0.3">
      <c r="B160" s="283" t="s">
        <v>59</v>
      </c>
      <c r="C160" s="99" t="s">
        <v>96</v>
      </c>
      <c r="D160" s="99" t="s">
        <v>226</v>
      </c>
      <c r="E160" s="334"/>
      <c r="F160" s="35"/>
      <c r="G160" s="339"/>
      <c r="H160" s="100"/>
      <c r="I160" s="100"/>
      <c r="J160" s="340"/>
      <c r="K160" s="72"/>
      <c r="L160" s="339"/>
      <c r="M160" s="100"/>
      <c r="N160" s="100"/>
      <c r="O160" s="340"/>
      <c r="P160" s="35"/>
      <c r="Q160" s="346"/>
      <c r="R160" s="347"/>
      <c r="S160" s="348"/>
      <c r="T160" s="35"/>
      <c r="U160" s="339"/>
      <c r="V160" s="100"/>
      <c r="W160" s="100"/>
      <c r="X160" s="340"/>
      <c r="Y160" s="35"/>
      <c r="Z160" s="346"/>
      <c r="AA160" s="347"/>
      <c r="AB160" s="348"/>
      <c r="AC160" s="35"/>
      <c r="AD160" s="339"/>
      <c r="AE160" s="100"/>
      <c r="AF160" s="100"/>
      <c r="AG160" s="340"/>
      <c r="AH160" s="35"/>
      <c r="AI160" s="346"/>
      <c r="AJ160" s="347"/>
      <c r="AK160" s="348"/>
      <c r="AL160" s="35"/>
      <c r="AM160" s="339"/>
      <c r="AN160" s="100"/>
      <c r="AO160" s="100"/>
      <c r="AP160" s="340"/>
      <c r="AQ160" s="35"/>
      <c r="AR160" s="106"/>
      <c r="AS160" s="107"/>
      <c r="AT160" s="353"/>
      <c r="AU160" s="35"/>
      <c r="AV160" s="358"/>
      <c r="AW160" s="359"/>
      <c r="AX160" s="360"/>
      <c r="AY160" s="35"/>
      <c r="AZ160" s="106"/>
      <c r="BA160" s="107"/>
      <c r="BB160" s="353"/>
      <c r="BC160" s="35"/>
      <c r="BD160" s="106"/>
      <c r="BE160" s="107"/>
      <c r="BF160" s="353"/>
      <c r="BG160" s="35"/>
      <c r="BH160" s="106"/>
      <c r="BI160" s="107"/>
      <c r="BJ160" s="353"/>
      <c r="BK160" s="35"/>
      <c r="BL160" s="367"/>
      <c r="BM160" s="368"/>
      <c r="BN160" s="369"/>
    </row>
    <row r="161" spans="2:66" ht="15.6" x14ac:dyDescent="0.3">
      <c r="B161" s="306" t="s">
        <v>1485</v>
      </c>
      <c r="C161" s="111" t="s">
        <v>1926</v>
      </c>
      <c r="D161" s="111" t="s">
        <v>226</v>
      </c>
      <c r="E161" s="385"/>
      <c r="F161" s="35"/>
      <c r="G161" s="380"/>
      <c r="H161" s="112"/>
      <c r="I161" s="112"/>
      <c r="J161" s="381"/>
      <c r="K161" s="72"/>
      <c r="L161" s="380"/>
      <c r="M161" s="112"/>
      <c r="N161" s="112"/>
      <c r="O161" s="381"/>
      <c r="P161" s="35"/>
      <c r="Q161" s="382"/>
      <c r="R161" s="383"/>
      <c r="S161" s="384"/>
      <c r="T161" s="35"/>
      <c r="U161" s="380"/>
      <c r="V161" s="112"/>
      <c r="W161" s="112"/>
      <c r="X161" s="381"/>
      <c r="Y161" s="35"/>
      <c r="Z161" s="382"/>
      <c r="AA161" s="383"/>
      <c r="AB161" s="384"/>
      <c r="AC161" s="35"/>
      <c r="AD161" s="380"/>
      <c r="AE161" s="112"/>
      <c r="AF161" s="112"/>
      <c r="AG161" s="381"/>
      <c r="AH161" s="35"/>
      <c r="AI161" s="382"/>
      <c r="AJ161" s="383"/>
      <c r="AK161" s="384"/>
      <c r="AL161" s="35"/>
      <c r="AM161" s="380"/>
      <c r="AN161" s="112"/>
      <c r="AO161" s="112"/>
      <c r="AP161" s="381"/>
      <c r="AQ161" s="35"/>
      <c r="AR161" s="113"/>
      <c r="AS161" s="114"/>
      <c r="AT161" s="376"/>
      <c r="AU161" s="35"/>
      <c r="AV161" s="379"/>
      <c r="AW161" s="377"/>
      <c r="AX161" s="378"/>
      <c r="AY161" s="35"/>
      <c r="AZ161" s="113"/>
      <c r="BA161" s="114"/>
      <c r="BB161" s="376"/>
      <c r="BC161" s="35"/>
      <c r="BD161" s="113"/>
      <c r="BE161" s="114"/>
      <c r="BF161" s="376"/>
      <c r="BG161" s="35"/>
      <c r="BH161" s="113"/>
      <c r="BI161" s="114"/>
      <c r="BJ161" s="376"/>
      <c r="BK161" s="35"/>
      <c r="BL161" s="373"/>
      <c r="BM161" s="374"/>
      <c r="BN161" s="375"/>
    </row>
    <row r="162" spans="2:66" ht="15.6" x14ac:dyDescent="0.3">
      <c r="B162" s="283" t="s">
        <v>60</v>
      </c>
      <c r="C162" s="99" t="s">
        <v>97</v>
      </c>
      <c r="D162" s="99" t="s">
        <v>226</v>
      </c>
      <c r="E162" s="334">
        <v>45473</v>
      </c>
      <c r="F162" s="35"/>
      <c r="G162" s="339">
        <v>3634504.5403</v>
      </c>
      <c r="H162" s="100">
        <v>3589857.5517000002</v>
      </c>
      <c r="I162" s="100">
        <v>15247522.68</v>
      </c>
      <c r="J162" s="340">
        <v>15673525.914000001</v>
      </c>
      <c r="K162" s="72"/>
      <c r="L162" s="339">
        <v>875958.47800999996</v>
      </c>
      <c r="M162" s="100">
        <v>808877.13031000004</v>
      </c>
      <c r="N162" s="100">
        <v>4158921.2729000002</v>
      </c>
      <c r="O162" s="340">
        <v>4009991.2318000002</v>
      </c>
      <c r="P162" s="35"/>
      <c r="Q162" s="346">
        <v>0.27276045822</v>
      </c>
      <c r="R162" s="347">
        <v>0.26804943067999998</v>
      </c>
      <c r="S162" s="348">
        <v>0.24060960070000001</v>
      </c>
      <c r="T162" s="35"/>
      <c r="U162" s="339">
        <v>625845.48976999999</v>
      </c>
      <c r="V162" s="100">
        <v>588184.22316000005</v>
      </c>
      <c r="W162" s="100">
        <v>3161876.5394000001</v>
      </c>
      <c r="X162" s="340">
        <v>2917377.1359999999</v>
      </c>
      <c r="Y162" s="35"/>
      <c r="Z162" s="346">
        <v>0.20736985317000001</v>
      </c>
      <c r="AA162" s="347">
        <v>0.20597052976999999</v>
      </c>
      <c r="AB162" s="348">
        <v>0.17189071477000001</v>
      </c>
      <c r="AC162" s="35"/>
      <c r="AD162" s="339">
        <v>740416.37902999995</v>
      </c>
      <c r="AE162" s="100">
        <v>697259.75370999996</v>
      </c>
      <c r="AF162" s="100">
        <v>3602186.6376</v>
      </c>
      <c r="AG162" s="340">
        <v>3350779.6708</v>
      </c>
      <c r="AH162" s="35"/>
      <c r="AI162" s="346">
        <v>0.23624733755999999</v>
      </c>
      <c r="AJ162" s="347">
        <v>0.23438200694</v>
      </c>
      <c r="AK162" s="348">
        <v>0.19741827448999999</v>
      </c>
      <c r="AL162" s="35"/>
      <c r="AM162" s="339">
        <v>273670.47320000001</v>
      </c>
      <c r="AN162" s="100">
        <v>261530.85441</v>
      </c>
      <c r="AO162" s="100">
        <v>1566500.9927999999</v>
      </c>
      <c r="AP162" s="340">
        <v>833968.18435999996</v>
      </c>
      <c r="AQ162" s="35"/>
      <c r="AR162" s="106">
        <v>0.10273806608</v>
      </c>
      <c r="AS162" s="107">
        <v>0.10416572664</v>
      </c>
      <c r="AT162" s="353">
        <v>4.7470709622E-2</v>
      </c>
      <c r="AU162" s="35"/>
      <c r="AV162" s="358">
        <v>1.7724154106000001</v>
      </c>
      <c r="AW162" s="359">
        <v>1.7537519876000001</v>
      </c>
      <c r="AX162" s="360">
        <v>0.80308359445999999</v>
      </c>
      <c r="AY162" s="35"/>
      <c r="AZ162" s="106">
        <v>0.71455734753</v>
      </c>
      <c r="BA162" s="107">
        <v>0.90242465196999999</v>
      </c>
      <c r="BB162" s="353">
        <v>0.51534568458999996</v>
      </c>
      <c r="BC162" s="35"/>
      <c r="BD162" s="106">
        <v>0.13753310509</v>
      </c>
      <c r="BE162" s="107">
        <v>0.13770563969999999</v>
      </c>
      <c r="BF162" s="353">
        <v>0.11615878910000001</v>
      </c>
      <c r="BG162" s="35"/>
      <c r="BH162" s="106">
        <v>7.6457290405999995E-2</v>
      </c>
      <c r="BI162" s="107">
        <v>7.3509289212999998E-2</v>
      </c>
      <c r="BJ162" s="353">
        <v>3.5362129854000002E-2</v>
      </c>
      <c r="BK162" s="35"/>
      <c r="BL162" s="367">
        <v>0.74419631707</v>
      </c>
      <c r="BM162" s="368">
        <v>0.70569554477999996</v>
      </c>
      <c r="BN162" s="369">
        <v>0.74492524200999999</v>
      </c>
    </row>
    <row r="163" spans="2:66" ht="15.6" x14ac:dyDescent="0.3">
      <c r="B163" s="306" t="s">
        <v>1486</v>
      </c>
      <c r="C163" s="111" t="s">
        <v>1927</v>
      </c>
      <c r="D163" s="111" t="s">
        <v>233</v>
      </c>
      <c r="E163" s="385">
        <v>45473</v>
      </c>
      <c r="F163" s="35"/>
      <c r="G163" s="380">
        <v>2250339.4646999999</v>
      </c>
      <c r="H163" s="112">
        <v>1557774.0159</v>
      </c>
      <c r="I163" s="112">
        <v>8739148.4888000004</v>
      </c>
      <c r="J163" s="381"/>
      <c r="K163" s="72"/>
      <c r="L163" s="380">
        <v>1260261.7171</v>
      </c>
      <c r="M163" s="112">
        <v>813561.24003999995</v>
      </c>
      <c r="N163" s="112">
        <v>4985625.1074000001</v>
      </c>
      <c r="O163" s="381"/>
      <c r="P163" s="35"/>
      <c r="Q163" s="382">
        <v>0.57049323669999996</v>
      </c>
      <c r="R163" s="383">
        <v>0.57436305354999995</v>
      </c>
      <c r="S163" s="384"/>
      <c r="T163" s="35"/>
      <c r="U163" s="380">
        <v>1192944.2944</v>
      </c>
      <c r="V163" s="112">
        <v>740158.37451999995</v>
      </c>
      <c r="W163" s="112">
        <v>4777070.1601</v>
      </c>
      <c r="X163" s="381"/>
      <c r="Y163" s="35"/>
      <c r="Z163" s="382">
        <v>0.54662878954000005</v>
      </c>
      <c r="AA163" s="383">
        <v>0.53458275422000001</v>
      </c>
      <c r="AB163" s="384"/>
      <c r="AC163" s="35"/>
      <c r="AD163" s="380"/>
      <c r="AE163" s="112"/>
      <c r="AF163" s="112"/>
      <c r="AG163" s="381"/>
      <c r="AH163" s="35"/>
      <c r="AI163" s="382"/>
      <c r="AJ163" s="383"/>
      <c r="AK163" s="384"/>
      <c r="AL163" s="35"/>
      <c r="AM163" s="380">
        <v>425807.08562000003</v>
      </c>
      <c r="AN163" s="112">
        <v>545509.45216999995</v>
      </c>
      <c r="AO163" s="112">
        <v>2465740.966</v>
      </c>
      <c r="AP163" s="381"/>
      <c r="AQ163" s="35"/>
      <c r="AR163" s="113">
        <v>0.28214888088000001</v>
      </c>
      <c r="AS163" s="114">
        <v>0.32183557258000001</v>
      </c>
      <c r="AT163" s="376"/>
      <c r="AU163" s="35"/>
      <c r="AV163" s="379">
        <v>4.7082811987E-3</v>
      </c>
      <c r="AW163" s="377">
        <v>4.7479359717E-3</v>
      </c>
      <c r="AX163" s="378"/>
      <c r="AY163" s="35"/>
      <c r="AZ163" s="113">
        <v>0.38024695256000002</v>
      </c>
      <c r="BA163" s="114"/>
      <c r="BB163" s="376"/>
      <c r="BC163" s="35"/>
      <c r="BD163" s="113">
        <v>0.15181775717000001</v>
      </c>
      <c r="BE163" s="114"/>
      <c r="BF163" s="376"/>
      <c r="BG163" s="35"/>
      <c r="BH163" s="113">
        <v>8.9007307778000005E-2</v>
      </c>
      <c r="BI163" s="114">
        <v>0.11409247609000001</v>
      </c>
      <c r="BJ163" s="376"/>
      <c r="BK163" s="35"/>
      <c r="BL163" s="373">
        <v>0.31546220385000001</v>
      </c>
      <c r="BM163" s="374">
        <v>0.35450548605999999</v>
      </c>
      <c r="BN163" s="375"/>
    </row>
    <row r="164" spans="2:66" ht="15.6" x14ac:dyDescent="0.3">
      <c r="B164" s="283" t="s">
        <v>2305</v>
      </c>
      <c r="C164" s="99" t="s">
        <v>2810</v>
      </c>
      <c r="D164" s="99" t="s">
        <v>233</v>
      </c>
      <c r="E164" s="334">
        <v>45473</v>
      </c>
      <c r="F164" s="35"/>
      <c r="G164" s="339">
        <v>829227.88659000001</v>
      </c>
      <c r="H164" s="100">
        <v>688614.33903999999</v>
      </c>
      <c r="I164" s="100">
        <v>3018649.8810000001</v>
      </c>
      <c r="J164" s="340">
        <v>3095173.5144000002</v>
      </c>
      <c r="K164" s="72"/>
      <c r="L164" s="339">
        <v>325466.22999000002</v>
      </c>
      <c r="M164" s="100">
        <v>194017.12192999999</v>
      </c>
      <c r="N164" s="100">
        <v>1032158.6637</v>
      </c>
      <c r="O164" s="340">
        <v>1266766.1155000001</v>
      </c>
      <c r="P164" s="35"/>
      <c r="Q164" s="346">
        <v>0.34192725371999999</v>
      </c>
      <c r="R164" s="347">
        <v>0.31897116255000002</v>
      </c>
      <c r="S164" s="348">
        <v>0.48439400134999999</v>
      </c>
      <c r="T164" s="35"/>
      <c r="U164" s="339">
        <v>270069.55913000001</v>
      </c>
      <c r="V164" s="100">
        <v>182063.12328</v>
      </c>
      <c r="W164" s="100">
        <v>746118.82992000005</v>
      </c>
      <c r="X164" s="340">
        <v>1070708.1945</v>
      </c>
      <c r="Y164" s="35"/>
      <c r="Z164" s="346">
        <v>0.24716971471999999</v>
      </c>
      <c r="AA164" s="347">
        <v>0.24155287825999999</v>
      </c>
      <c r="AB164" s="348">
        <v>0.42279092414000002</v>
      </c>
      <c r="AC164" s="35"/>
      <c r="AD164" s="339">
        <v>448924.99411999999</v>
      </c>
      <c r="AE164" s="100">
        <v>333903.38316000003</v>
      </c>
      <c r="AF164" s="100">
        <v>1429864.9706999999</v>
      </c>
      <c r="AG164" s="340">
        <v>1553882.7948</v>
      </c>
      <c r="AH164" s="35"/>
      <c r="AI164" s="346">
        <v>0.47367698376</v>
      </c>
      <c r="AJ164" s="347">
        <v>0.45415069352999998</v>
      </c>
      <c r="AK164" s="348">
        <v>0.54816110141999996</v>
      </c>
      <c r="AL164" s="35"/>
      <c r="AM164" s="339">
        <v>136671.14812999999</v>
      </c>
      <c r="AN164" s="100">
        <v>185817.31484000001</v>
      </c>
      <c r="AO164" s="100">
        <v>580078.35361999995</v>
      </c>
      <c r="AP164" s="340">
        <v>1043596.2159</v>
      </c>
      <c r="AQ164" s="35"/>
      <c r="AR164" s="106">
        <v>0.19216483410999999</v>
      </c>
      <c r="AS164" s="107">
        <v>0.2519001649</v>
      </c>
      <c r="AT164" s="353">
        <v>0.38757212428999999</v>
      </c>
      <c r="AU164" s="35"/>
      <c r="AV164" s="358">
        <v>1.9723723466</v>
      </c>
      <c r="AW164" s="359">
        <v>2.4207289171999999</v>
      </c>
      <c r="AX164" s="360">
        <v>4.2294617470000002</v>
      </c>
      <c r="AY164" s="35"/>
      <c r="AZ164" s="106">
        <v>0.13284177111000001</v>
      </c>
      <c r="BA164" s="107">
        <v>0.1702462122</v>
      </c>
      <c r="BB164" s="353">
        <v>0.40595813502</v>
      </c>
      <c r="BC164" s="35"/>
      <c r="BD164" s="106">
        <v>9.7914012809000001E-2</v>
      </c>
      <c r="BE164" s="107">
        <v>9.9758733656999998E-2</v>
      </c>
      <c r="BF164" s="353">
        <v>0.25370198208</v>
      </c>
      <c r="BG164" s="35"/>
      <c r="BH164" s="106">
        <v>7.3417678427999997E-2</v>
      </c>
      <c r="BI164" s="107">
        <v>0.10381005988</v>
      </c>
      <c r="BJ164" s="353">
        <v>0.17515178978000001</v>
      </c>
      <c r="BK164" s="35"/>
      <c r="BL164" s="367">
        <v>0.38205574275999998</v>
      </c>
      <c r="BM164" s="368">
        <v>0.4121079473</v>
      </c>
      <c r="BN164" s="369">
        <v>0.45192050410000001</v>
      </c>
    </row>
    <row r="165" spans="2:66" ht="15.6" x14ac:dyDescent="0.3">
      <c r="B165" s="306" t="s">
        <v>1487</v>
      </c>
      <c r="C165" s="111" t="s">
        <v>1928</v>
      </c>
      <c r="D165" s="111" t="s">
        <v>226</v>
      </c>
      <c r="E165" s="385"/>
      <c r="F165" s="35"/>
      <c r="G165" s="380"/>
      <c r="H165" s="112"/>
      <c r="I165" s="112"/>
      <c r="J165" s="381"/>
      <c r="K165" s="72"/>
      <c r="L165" s="380"/>
      <c r="M165" s="112"/>
      <c r="N165" s="112"/>
      <c r="O165" s="381"/>
      <c r="P165" s="35"/>
      <c r="Q165" s="382"/>
      <c r="R165" s="383"/>
      <c r="S165" s="384"/>
      <c r="T165" s="35"/>
      <c r="U165" s="380"/>
      <c r="V165" s="112"/>
      <c r="W165" s="112"/>
      <c r="X165" s="381"/>
      <c r="Y165" s="35"/>
      <c r="Z165" s="382"/>
      <c r="AA165" s="383"/>
      <c r="AB165" s="384"/>
      <c r="AC165" s="35"/>
      <c r="AD165" s="380"/>
      <c r="AE165" s="112"/>
      <c r="AF165" s="112"/>
      <c r="AG165" s="381"/>
      <c r="AH165" s="35"/>
      <c r="AI165" s="382"/>
      <c r="AJ165" s="383"/>
      <c r="AK165" s="384"/>
      <c r="AL165" s="35"/>
      <c r="AM165" s="380"/>
      <c r="AN165" s="112"/>
      <c r="AO165" s="112"/>
      <c r="AP165" s="381"/>
      <c r="AQ165" s="35"/>
      <c r="AR165" s="113"/>
      <c r="AS165" s="114"/>
      <c r="AT165" s="376"/>
      <c r="AU165" s="35"/>
      <c r="AV165" s="379"/>
      <c r="AW165" s="377"/>
      <c r="AX165" s="378"/>
      <c r="AY165" s="35"/>
      <c r="AZ165" s="113"/>
      <c r="BA165" s="114"/>
      <c r="BB165" s="376"/>
      <c r="BC165" s="35"/>
      <c r="BD165" s="113"/>
      <c r="BE165" s="114"/>
      <c r="BF165" s="376"/>
      <c r="BG165" s="35"/>
      <c r="BH165" s="113"/>
      <c r="BI165" s="114"/>
      <c r="BJ165" s="376"/>
      <c r="BK165" s="35"/>
      <c r="BL165" s="373"/>
      <c r="BM165" s="374"/>
      <c r="BN165" s="375"/>
    </row>
    <row r="166" spans="2:66" ht="15.6" x14ac:dyDescent="0.3">
      <c r="B166" s="283" t="s">
        <v>454</v>
      </c>
      <c r="C166" s="99" t="s">
        <v>459</v>
      </c>
      <c r="D166" s="99" t="s">
        <v>226</v>
      </c>
      <c r="E166" s="334"/>
      <c r="F166" s="35"/>
      <c r="G166" s="339"/>
      <c r="H166" s="100"/>
      <c r="I166" s="100"/>
      <c r="J166" s="340"/>
      <c r="K166" s="72"/>
      <c r="L166" s="339"/>
      <c r="M166" s="100"/>
      <c r="N166" s="100"/>
      <c r="O166" s="340"/>
      <c r="P166" s="35"/>
      <c r="Q166" s="346"/>
      <c r="R166" s="347"/>
      <c r="S166" s="348"/>
      <c r="T166" s="35"/>
      <c r="U166" s="339"/>
      <c r="V166" s="100"/>
      <c r="W166" s="100"/>
      <c r="X166" s="340"/>
      <c r="Y166" s="35"/>
      <c r="Z166" s="346"/>
      <c r="AA166" s="347"/>
      <c r="AB166" s="348"/>
      <c r="AC166" s="35"/>
      <c r="AD166" s="339"/>
      <c r="AE166" s="100"/>
      <c r="AF166" s="100"/>
      <c r="AG166" s="340"/>
      <c r="AH166" s="35"/>
      <c r="AI166" s="346"/>
      <c r="AJ166" s="347"/>
      <c r="AK166" s="348"/>
      <c r="AL166" s="35"/>
      <c r="AM166" s="339"/>
      <c r="AN166" s="100"/>
      <c r="AO166" s="100"/>
      <c r="AP166" s="340"/>
      <c r="AQ166" s="35"/>
      <c r="AR166" s="106"/>
      <c r="AS166" s="107"/>
      <c r="AT166" s="353"/>
      <c r="AU166" s="35"/>
      <c r="AV166" s="358"/>
      <c r="AW166" s="359"/>
      <c r="AX166" s="360"/>
      <c r="AY166" s="35"/>
      <c r="AZ166" s="106"/>
      <c r="BA166" s="107"/>
      <c r="BB166" s="353"/>
      <c r="BC166" s="35"/>
      <c r="BD166" s="106"/>
      <c r="BE166" s="107"/>
      <c r="BF166" s="353"/>
      <c r="BG166" s="35"/>
      <c r="BH166" s="106"/>
      <c r="BI166" s="107"/>
      <c r="BJ166" s="353"/>
      <c r="BK166" s="35"/>
      <c r="BL166" s="367"/>
      <c r="BM166" s="368"/>
      <c r="BN166" s="369"/>
    </row>
    <row r="167" spans="2:66" ht="15.6" x14ac:dyDescent="0.3">
      <c r="B167" s="306" t="s">
        <v>581</v>
      </c>
      <c r="C167" s="111" t="s">
        <v>987</v>
      </c>
      <c r="D167" s="111" t="s">
        <v>226</v>
      </c>
      <c r="E167" s="385"/>
      <c r="F167" s="35"/>
      <c r="G167" s="380"/>
      <c r="H167" s="112"/>
      <c r="I167" s="112"/>
      <c r="J167" s="381"/>
      <c r="K167" s="72"/>
      <c r="L167" s="380"/>
      <c r="M167" s="112"/>
      <c r="N167" s="112"/>
      <c r="O167" s="381"/>
      <c r="P167" s="35"/>
      <c r="Q167" s="382"/>
      <c r="R167" s="383"/>
      <c r="S167" s="384"/>
      <c r="T167" s="35"/>
      <c r="U167" s="380"/>
      <c r="V167" s="112"/>
      <c r="W167" s="112"/>
      <c r="X167" s="381"/>
      <c r="Y167" s="35"/>
      <c r="Z167" s="382"/>
      <c r="AA167" s="383"/>
      <c r="AB167" s="384"/>
      <c r="AC167" s="35"/>
      <c r="AD167" s="380"/>
      <c r="AE167" s="112"/>
      <c r="AF167" s="112"/>
      <c r="AG167" s="381"/>
      <c r="AH167" s="35"/>
      <c r="AI167" s="382"/>
      <c r="AJ167" s="383"/>
      <c r="AK167" s="384"/>
      <c r="AL167" s="35"/>
      <c r="AM167" s="380"/>
      <c r="AN167" s="112"/>
      <c r="AO167" s="112"/>
      <c r="AP167" s="381"/>
      <c r="AQ167" s="35"/>
      <c r="AR167" s="113"/>
      <c r="AS167" s="114"/>
      <c r="AT167" s="376"/>
      <c r="AU167" s="35"/>
      <c r="AV167" s="379"/>
      <c r="AW167" s="377"/>
      <c r="AX167" s="378"/>
      <c r="AY167" s="35"/>
      <c r="AZ167" s="113"/>
      <c r="BA167" s="114"/>
      <c r="BB167" s="376"/>
      <c r="BC167" s="35"/>
      <c r="BD167" s="113"/>
      <c r="BE167" s="114"/>
      <c r="BF167" s="376"/>
      <c r="BG167" s="35"/>
      <c r="BH167" s="113"/>
      <c r="BI167" s="114"/>
      <c r="BJ167" s="376"/>
      <c r="BK167" s="35"/>
      <c r="BL167" s="373"/>
      <c r="BM167" s="374"/>
      <c r="BN167" s="375"/>
    </row>
    <row r="168" spans="2:66" ht="15.6" x14ac:dyDescent="0.3">
      <c r="B168" s="283" t="s">
        <v>582</v>
      </c>
      <c r="C168" s="99" t="s">
        <v>98</v>
      </c>
      <c r="D168" s="99" t="s">
        <v>226</v>
      </c>
      <c r="E168" s="334">
        <v>45473</v>
      </c>
      <c r="F168" s="35"/>
      <c r="G168" s="339">
        <v>17117593.375</v>
      </c>
      <c r="H168" s="100">
        <v>13782216.716</v>
      </c>
      <c r="I168" s="100">
        <v>71043744.461999997</v>
      </c>
      <c r="J168" s="340">
        <v>75079430.569000006</v>
      </c>
      <c r="K168" s="72"/>
      <c r="L168" s="339">
        <v>382789.81138999999</v>
      </c>
      <c r="M168" s="100">
        <v>1432424.3944999999</v>
      </c>
      <c r="N168" s="100">
        <v>5044452.0805000002</v>
      </c>
      <c r="O168" s="340">
        <v>5944790.0554</v>
      </c>
      <c r="P168" s="35"/>
      <c r="Q168" s="346">
        <v>7.1004873386999998E-2</v>
      </c>
      <c r="R168" s="347">
        <v>9.5657826372999993E-2</v>
      </c>
      <c r="S168" s="348">
        <v>4.9255726138999999E-2</v>
      </c>
      <c r="T168" s="35"/>
      <c r="U168" s="339">
        <v>62694.844534000003</v>
      </c>
      <c r="V168" s="100">
        <v>557213.45031999995</v>
      </c>
      <c r="W168" s="100">
        <v>1468442.3218</v>
      </c>
      <c r="X168" s="340">
        <v>3152985.3446999998</v>
      </c>
      <c r="Y168" s="35"/>
      <c r="Z168" s="346">
        <v>2.0669551315999998E-2</v>
      </c>
      <c r="AA168" s="347">
        <v>4.5179472615999999E-2</v>
      </c>
      <c r="AB168" s="348">
        <v>1.5813512262999999E-2</v>
      </c>
      <c r="AC168" s="35"/>
      <c r="AD168" s="339">
        <v>1640145.105</v>
      </c>
      <c r="AE168" s="100">
        <v>2129109.8791999999</v>
      </c>
      <c r="AF168" s="100">
        <v>9318852.4999000002</v>
      </c>
      <c r="AG168" s="340">
        <v>9630098.6337000001</v>
      </c>
      <c r="AH168" s="35"/>
      <c r="AI168" s="346">
        <v>0.13117062692000001</v>
      </c>
      <c r="AJ168" s="347">
        <v>0.14368269728999999</v>
      </c>
      <c r="AK168" s="348">
        <v>9.4767663757999998E-2</v>
      </c>
      <c r="AL168" s="35"/>
      <c r="AM168" s="339">
        <v>-804055.61045000004</v>
      </c>
      <c r="AN168" s="100">
        <v>79727.145871999994</v>
      </c>
      <c r="AO168" s="100">
        <v>-2157818.6543000001</v>
      </c>
      <c r="AP168" s="340">
        <v>1091546.102</v>
      </c>
      <c r="AQ168" s="35"/>
      <c r="AR168" s="106">
        <v>-3.0893405719999999E-2</v>
      </c>
      <c r="AS168" s="107">
        <v>5.8405504905999998E-3</v>
      </c>
      <c r="AT168" s="353">
        <v>1.5734608738000001E-3</v>
      </c>
      <c r="AU168" s="35"/>
      <c r="AV168" s="358">
        <v>-0.10443175001</v>
      </c>
      <c r="AW168" s="359">
        <v>2.1215273489999999E-2</v>
      </c>
      <c r="AX168" s="360">
        <v>8.29043883E-3</v>
      </c>
      <c r="AY168" s="35"/>
      <c r="AZ168" s="106">
        <v>-0.10683073505</v>
      </c>
      <c r="BA168" s="107">
        <v>1.7737318581999999E-2</v>
      </c>
      <c r="BB168" s="353">
        <v>7.0862553930000002E-3</v>
      </c>
      <c r="BC168" s="35"/>
      <c r="BD168" s="106">
        <v>1.5287743524000001E-2</v>
      </c>
      <c r="BE168" s="107">
        <v>3.3328526907999999E-2</v>
      </c>
      <c r="BF168" s="353">
        <v>1.7880074926000002E-2</v>
      </c>
      <c r="BG168" s="35"/>
      <c r="BH168" s="106">
        <v>-2.0643230235999999E-2</v>
      </c>
      <c r="BI168" s="107">
        <v>4.1155017939000001E-3</v>
      </c>
      <c r="BJ168" s="353">
        <v>1.5099745847000001E-3</v>
      </c>
      <c r="BK168" s="35"/>
      <c r="BL168" s="367">
        <v>0.66820830383999996</v>
      </c>
      <c r="BM168" s="368">
        <v>0.70464279018999998</v>
      </c>
      <c r="BN168" s="369">
        <v>0.95965181581000003</v>
      </c>
    </row>
    <row r="169" spans="2:66" ht="15.6" x14ac:dyDescent="0.3">
      <c r="B169" s="306" t="s">
        <v>1490</v>
      </c>
      <c r="C169" s="111" t="s">
        <v>1929</v>
      </c>
      <c r="D169" s="111" t="s">
        <v>104</v>
      </c>
      <c r="E169" s="385"/>
      <c r="F169" s="35"/>
      <c r="G169" s="380"/>
      <c r="H169" s="112"/>
      <c r="I169" s="112"/>
      <c r="J169" s="381"/>
      <c r="K169" s="72"/>
      <c r="L169" s="380"/>
      <c r="M169" s="112"/>
      <c r="N169" s="112"/>
      <c r="O169" s="381"/>
      <c r="P169" s="35"/>
      <c r="Q169" s="382"/>
      <c r="R169" s="383"/>
      <c r="S169" s="384"/>
      <c r="T169" s="35"/>
      <c r="U169" s="380"/>
      <c r="V169" s="112"/>
      <c r="W169" s="112"/>
      <c r="X169" s="381"/>
      <c r="Y169" s="35"/>
      <c r="Z169" s="382"/>
      <c r="AA169" s="383"/>
      <c r="AB169" s="384"/>
      <c r="AC169" s="35"/>
      <c r="AD169" s="380"/>
      <c r="AE169" s="112"/>
      <c r="AF169" s="112"/>
      <c r="AG169" s="381"/>
      <c r="AH169" s="35"/>
      <c r="AI169" s="382"/>
      <c r="AJ169" s="383"/>
      <c r="AK169" s="384"/>
      <c r="AL169" s="35"/>
      <c r="AM169" s="380"/>
      <c r="AN169" s="112"/>
      <c r="AO169" s="112"/>
      <c r="AP169" s="381"/>
      <c r="AQ169" s="35"/>
      <c r="AR169" s="113"/>
      <c r="AS169" s="114"/>
      <c r="AT169" s="376"/>
      <c r="AU169" s="35"/>
      <c r="AV169" s="379"/>
      <c r="AW169" s="377"/>
      <c r="AX169" s="378"/>
      <c r="AY169" s="35"/>
      <c r="AZ169" s="113"/>
      <c r="BA169" s="114"/>
      <c r="BB169" s="376"/>
      <c r="BC169" s="35"/>
      <c r="BD169" s="113"/>
      <c r="BE169" s="114"/>
      <c r="BF169" s="376"/>
      <c r="BG169" s="35"/>
      <c r="BH169" s="113"/>
      <c r="BI169" s="114"/>
      <c r="BJ169" s="376"/>
      <c r="BK169" s="35"/>
      <c r="BL169" s="373"/>
      <c r="BM169" s="374"/>
      <c r="BN169" s="375"/>
    </row>
    <row r="170" spans="2:66" ht="15.6" x14ac:dyDescent="0.3">
      <c r="B170" s="283" t="s">
        <v>61</v>
      </c>
      <c r="C170" s="99" t="s">
        <v>99</v>
      </c>
      <c r="D170" s="99" t="s">
        <v>226</v>
      </c>
      <c r="E170" s="334"/>
      <c r="F170" s="35"/>
      <c r="G170" s="339"/>
      <c r="H170" s="100"/>
      <c r="I170" s="100"/>
      <c r="J170" s="340"/>
      <c r="K170" s="72"/>
      <c r="L170" s="339"/>
      <c r="M170" s="100"/>
      <c r="N170" s="100"/>
      <c r="O170" s="340"/>
      <c r="P170" s="35"/>
      <c r="Q170" s="346"/>
      <c r="R170" s="347"/>
      <c r="S170" s="348"/>
      <c r="T170" s="35"/>
      <c r="U170" s="339"/>
      <c r="V170" s="100"/>
      <c r="W170" s="100"/>
      <c r="X170" s="340"/>
      <c r="Y170" s="35"/>
      <c r="Z170" s="346"/>
      <c r="AA170" s="347"/>
      <c r="AB170" s="348"/>
      <c r="AC170" s="35"/>
      <c r="AD170" s="339"/>
      <c r="AE170" s="100"/>
      <c r="AF170" s="100"/>
      <c r="AG170" s="340"/>
      <c r="AH170" s="35"/>
      <c r="AI170" s="346"/>
      <c r="AJ170" s="347"/>
      <c r="AK170" s="348"/>
      <c r="AL170" s="35"/>
      <c r="AM170" s="339"/>
      <c r="AN170" s="100"/>
      <c r="AO170" s="100"/>
      <c r="AP170" s="340"/>
      <c r="AQ170" s="35"/>
      <c r="AR170" s="106"/>
      <c r="AS170" s="107"/>
      <c r="AT170" s="353"/>
      <c r="AU170" s="35"/>
      <c r="AV170" s="358"/>
      <c r="AW170" s="359"/>
      <c r="AX170" s="360"/>
      <c r="AY170" s="35"/>
      <c r="AZ170" s="106"/>
      <c r="BA170" s="107"/>
      <c r="BB170" s="353"/>
      <c r="BC170" s="35"/>
      <c r="BD170" s="106"/>
      <c r="BE170" s="107"/>
      <c r="BF170" s="353"/>
      <c r="BG170" s="35"/>
      <c r="BH170" s="106"/>
      <c r="BI170" s="107"/>
      <c r="BJ170" s="353"/>
      <c r="BK170" s="35"/>
      <c r="BL170" s="367"/>
      <c r="BM170" s="368"/>
      <c r="BN170" s="369"/>
    </row>
    <row r="171" spans="2:66" ht="15.6" x14ac:dyDescent="0.3">
      <c r="B171" s="306" t="s">
        <v>2306</v>
      </c>
      <c r="C171" s="111" t="s">
        <v>2811</v>
      </c>
      <c r="D171" s="111" t="s">
        <v>231</v>
      </c>
      <c r="E171" s="385">
        <v>45473</v>
      </c>
      <c r="F171" s="35"/>
      <c r="G171" s="380">
        <v>245547.6153</v>
      </c>
      <c r="H171" s="112">
        <v>216904.1967</v>
      </c>
      <c r="I171" s="112">
        <v>981661.56438999996</v>
      </c>
      <c r="J171" s="381">
        <v>745146.87815</v>
      </c>
      <c r="K171" s="72"/>
      <c r="L171" s="380">
        <v>46536.896766999998</v>
      </c>
      <c r="M171" s="112">
        <v>37367.229062999999</v>
      </c>
      <c r="N171" s="112">
        <v>185186.139</v>
      </c>
      <c r="O171" s="381">
        <v>135197.96739000001</v>
      </c>
      <c r="P171" s="35"/>
      <c r="Q171" s="382">
        <v>0.18864560425999999</v>
      </c>
      <c r="R171" s="383">
        <v>0.17862992539</v>
      </c>
      <c r="S171" s="384">
        <v>0.17893016919999999</v>
      </c>
      <c r="T171" s="35"/>
      <c r="U171" s="380">
        <v>-20187.398716</v>
      </c>
      <c r="V171" s="112">
        <v>-2360.8833522999998</v>
      </c>
      <c r="W171" s="112">
        <v>-57034.544819000002</v>
      </c>
      <c r="X171" s="381">
        <v>-35811.786641999999</v>
      </c>
      <c r="Y171" s="35"/>
      <c r="Z171" s="382">
        <v>-5.8100008076999998E-2</v>
      </c>
      <c r="AA171" s="383">
        <v>-4.3535737285000001E-2</v>
      </c>
      <c r="AB171" s="384">
        <v>-0.13637336394999999</v>
      </c>
      <c r="AC171" s="35"/>
      <c r="AD171" s="380">
        <v>3084.060465</v>
      </c>
      <c r="AE171" s="112">
        <v>18872.422438000001</v>
      </c>
      <c r="AF171" s="112">
        <v>32699.270444000002</v>
      </c>
      <c r="AG171" s="381">
        <v>41694.643519999998</v>
      </c>
      <c r="AH171" s="35"/>
      <c r="AI171" s="382">
        <v>3.3310126044999999E-2</v>
      </c>
      <c r="AJ171" s="383">
        <v>4.7831825058000002E-2</v>
      </c>
      <c r="AK171" s="384">
        <v>-2.4281293416999999E-2</v>
      </c>
      <c r="AL171" s="35"/>
      <c r="AM171" s="380">
        <v>-38673.69672</v>
      </c>
      <c r="AN171" s="112">
        <v>-29592.109011</v>
      </c>
      <c r="AO171" s="112">
        <v>-135601.31133999999</v>
      </c>
      <c r="AP171" s="381">
        <v>-106421.75958</v>
      </c>
      <c r="AQ171" s="35"/>
      <c r="AR171" s="113">
        <v>-0.13813448163</v>
      </c>
      <c r="AS171" s="114">
        <v>-0.13313374150999999</v>
      </c>
      <c r="AT171" s="376">
        <v>-0.18381835907999999</v>
      </c>
      <c r="AU171" s="35"/>
      <c r="AV171" s="379">
        <v>-0.15441670166999999</v>
      </c>
      <c r="AW171" s="377">
        <v>-0.13869103230999999</v>
      </c>
      <c r="AX171" s="378">
        <v>-6.1843251875999997E-2</v>
      </c>
      <c r="AY171" s="35"/>
      <c r="AZ171" s="113">
        <v>-0.32872416389999998</v>
      </c>
      <c r="BA171" s="114">
        <v>-0.25672215177000002</v>
      </c>
      <c r="BB171" s="376"/>
      <c r="BC171" s="35"/>
      <c r="BD171" s="113">
        <v>-1.2743018278E-2</v>
      </c>
      <c r="BE171" s="114">
        <v>-9.6977281757000006E-3</v>
      </c>
      <c r="BF171" s="376"/>
      <c r="BG171" s="35"/>
      <c r="BH171" s="113">
        <v>-3.7904333462999998E-2</v>
      </c>
      <c r="BI171" s="114">
        <v>-3.5026221682000001E-2</v>
      </c>
      <c r="BJ171" s="376">
        <v>-1.7323172420000001E-2</v>
      </c>
      <c r="BK171" s="35"/>
      <c r="BL171" s="373">
        <v>0.27440167736999999</v>
      </c>
      <c r="BM171" s="374">
        <v>0.26309049293999998</v>
      </c>
      <c r="BN171" s="375">
        <v>9.4240708638999998E-2</v>
      </c>
    </row>
    <row r="172" spans="2:66" ht="15.6" x14ac:dyDescent="0.3">
      <c r="B172" s="283" t="s">
        <v>2307</v>
      </c>
      <c r="C172" s="99" t="s">
        <v>2812</v>
      </c>
      <c r="D172" s="99" t="s">
        <v>104</v>
      </c>
      <c r="E172" s="334">
        <v>45382</v>
      </c>
      <c r="F172" s="35"/>
      <c r="G172" s="339"/>
      <c r="H172" s="100">
        <v>0</v>
      </c>
      <c r="I172" s="100"/>
      <c r="J172" s="340">
        <v>35.564924226999999</v>
      </c>
      <c r="K172" s="72"/>
      <c r="L172" s="339"/>
      <c r="M172" s="100">
        <v>-4485.3645612999999</v>
      </c>
      <c r="N172" s="100"/>
      <c r="O172" s="340">
        <v>-6524.0715412</v>
      </c>
      <c r="P172" s="35"/>
      <c r="Q172" s="346"/>
      <c r="R172" s="347">
        <v>-461.02941177000002</v>
      </c>
      <c r="S172" s="348"/>
      <c r="T172" s="35"/>
      <c r="U172" s="339"/>
      <c r="V172" s="100">
        <v>-5215.4915351</v>
      </c>
      <c r="W172" s="100"/>
      <c r="X172" s="340">
        <v>-8745.7297214999999</v>
      </c>
      <c r="Y172" s="35"/>
      <c r="Z172" s="346"/>
      <c r="AA172" s="347">
        <v>-808.94117646999996</v>
      </c>
      <c r="AB172" s="348"/>
      <c r="AC172" s="35"/>
      <c r="AD172" s="339"/>
      <c r="AE172" s="100">
        <v>-5215.4915351</v>
      </c>
      <c r="AF172" s="100"/>
      <c r="AG172" s="340">
        <v>-8745.7297214999999</v>
      </c>
      <c r="AH172" s="35"/>
      <c r="AI172" s="346"/>
      <c r="AJ172" s="347">
        <v>-808.94117646999996</v>
      </c>
      <c r="AK172" s="348"/>
      <c r="AL172" s="35"/>
      <c r="AM172" s="339"/>
      <c r="AN172" s="100">
        <v>-10703.996165</v>
      </c>
      <c r="AO172" s="100"/>
      <c r="AP172" s="340">
        <v>-32102.930946</v>
      </c>
      <c r="AQ172" s="35"/>
      <c r="AR172" s="106"/>
      <c r="AS172" s="107">
        <v>-1528.7647059000001</v>
      </c>
      <c r="AT172" s="353"/>
      <c r="AU172" s="35"/>
      <c r="AV172" s="358"/>
      <c r="AW172" s="359">
        <v>-0.10871647709</v>
      </c>
      <c r="AX172" s="360">
        <v>-0.22378256628000001</v>
      </c>
      <c r="AY172" s="35"/>
      <c r="AZ172" s="106"/>
      <c r="BA172" s="107">
        <v>-0.12015867658</v>
      </c>
      <c r="BB172" s="353">
        <v>-5.0053833696E-2</v>
      </c>
      <c r="BC172" s="35"/>
      <c r="BD172" s="106"/>
      <c r="BE172" s="107">
        <v>-2.0612294837E-2</v>
      </c>
      <c r="BF172" s="353">
        <v>-8.2657800812000002E-3</v>
      </c>
      <c r="BG172" s="35"/>
      <c r="BH172" s="106"/>
      <c r="BI172" s="107">
        <v>-3.7435585340999999E-2</v>
      </c>
      <c r="BJ172" s="353">
        <v>-1.1619307141E-2</v>
      </c>
      <c r="BK172" s="35"/>
      <c r="BL172" s="367"/>
      <c r="BM172" s="368">
        <v>2.4487473577000001E-5</v>
      </c>
      <c r="BN172" s="369">
        <v>0</v>
      </c>
    </row>
    <row r="173" spans="2:66" ht="15.6" x14ac:dyDescent="0.3">
      <c r="B173" s="306" t="s">
        <v>1119</v>
      </c>
      <c r="C173" s="111" t="s">
        <v>1145</v>
      </c>
      <c r="D173" s="111" t="s">
        <v>226</v>
      </c>
      <c r="E173" s="385">
        <v>45473</v>
      </c>
      <c r="F173" s="35"/>
      <c r="G173" s="380">
        <v>900283.71640000003</v>
      </c>
      <c r="H173" s="112">
        <v>1044239.5226</v>
      </c>
      <c r="I173" s="112">
        <v>3725325.2535999999</v>
      </c>
      <c r="J173" s="381">
        <v>3883002.4857000001</v>
      </c>
      <c r="K173" s="72"/>
      <c r="L173" s="380">
        <v>737119.55553000001</v>
      </c>
      <c r="M173" s="112">
        <v>866002.76684000005</v>
      </c>
      <c r="N173" s="112">
        <v>3049112.1286999998</v>
      </c>
      <c r="O173" s="381">
        <v>3184874.5293999999</v>
      </c>
      <c r="P173" s="35"/>
      <c r="Q173" s="382">
        <v>0.81848212470000004</v>
      </c>
      <c r="R173" s="383">
        <v>0.82338955699000005</v>
      </c>
      <c r="S173" s="384">
        <v>0.82560762018</v>
      </c>
      <c r="T173" s="35"/>
      <c r="U173" s="380">
        <v>742226.87205999997</v>
      </c>
      <c r="V173" s="112">
        <v>843030.96386999998</v>
      </c>
      <c r="W173" s="112">
        <v>2996775.4319000002</v>
      </c>
      <c r="X173" s="381">
        <v>3079308.4201000002</v>
      </c>
      <c r="Y173" s="35"/>
      <c r="Z173" s="382">
        <v>0.80443323146000001</v>
      </c>
      <c r="AA173" s="383">
        <v>0.80196304352000003</v>
      </c>
      <c r="AB173" s="384">
        <v>0.80039943796000002</v>
      </c>
      <c r="AC173" s="35"/>
      <c r="AD173" s="380">
        <v>809962.79558000003</v>
      </c>
      <c r="AE173" s="112">
        <v>913391.98233999999</v>
      </c>
      <c r="AF173" s="112">
        <v>3267115.9629000002</v>
      </c>
      <c r="AG173" s="381">
        <v>3359813.1616000002</v>
      </c>
      <c r="AH173" s="35"/>
      <c r="AI173" s="382">
        <v>0.87700153423000005</v>
      </c>
      <c r="AJ173" s="383">
        <v>0.87225328151000003</v>
      </c>
      <c r="AK173" s="384">
        <v>0.87217445793000004</v>
      </c>
      <c r="AL173" s="35"/>
      <c r="AM173" s="380">
        <v>356881.89701000002</v>
      </c>
      <c r="AN173" s="112">
        <v>593690.51025000005</v>
      </c>
      <c r="AO173" s="112">
        <v>1964235.4005</v>
      </c>
      <c r="AP173" s="381">
        <v>2113171.5630999999</v>
      </c>
      <c r="AQ173" s="35"/>
      <c r="AR173" s="113">
        <v>0.52726547799000001</v>
      </c>
      <c r="AS173" s="114">
        <v>0.58809338040000003</v>
      </c>
      <c r="AT173" s="376">
        <v>0.52065313825000004</v>
      </c>
      <c r="AU173" s="35"/>
      <c r="AV173" s="379">
        <v>0.27902765585</v>
      </c>
      <c r="AW173" s="377">
        <v>0.32097480909999998</v>
      </c>
      <c r="AX173" s="378">
        <v>0.27517540122</v>
      </c>
      <c r="AY173" s="35"/>
      <c r="AZ173" s="113">
        <v>0.15705267615999999</v>
      </c>
      <c r="BA173" s="114">
        <v>0.19586698088000001</v>
      </c>
      <c r="BB173" s="376">
        <v>0.19108040014</v>
      </c>
      <c r="BC173" s="35"/>
      <c r="BD173" s="113">
        <v>0.10885268306</v>
      </c>
      <c r="BE173" s="114">
        <v>0.11657415509000001</v>
      </c>
      <c r="BF173" s="376">
        <v>0.11412353976</v>
      </c>
      <c r="BG173" s="35"/>
      <c r="BH173" s="113">
        <v>9.7392111690000005E-2</v>
      </c>
      <c r="BI173" s="114">
        <v>0.11247121993</v>
      </c>
      <c r="BJ173" s="376">
        <v>9.4060316884000003E-2</v>
      </c>
      <c r="BK173" s="35"/>
      <c r="BL173" s="373">
        <v>0.18471171687999999</v>
      </c>
      <c r="BM173" s="374">
        <v>0.19124721290999999</v>
      </c>
      <c r="BN173" s="375">
        <v>0.18065831160000001</v>
      </c>
    </row>
    <row r="174" spans="2:66" ht="15.6" x14ac:dyDescent="0.3">
      <c r="B174" s="283" t="s">
        <v>1492</v>
      </c>
      <c r="C174" s="99" t="s">
        <v>1930</v>
      </c>
      <c r="D174" s="99" t="s">
        <v>232</v>
      </c>
      <c r="E174" s="334">
        <v>45473</v>
      </c>
      <c r="F174" s="35"/>
      <c r="G174" s="339">
        <v>1162538.2482</v>
      </c>
      <c r="H174" s="100">
        <v>934181.77260999999</v>
      </c>
      <c r="I174" s="100">
        <v>4162633.5865000002</v>
      </c>
      <c r="J174" s="340">
        <v>3307799.4599000001</v>
      </c>
      <c r="K174" s="72"/>
      <c r="L174" s="339">
        <v>453505.42105</v>
      </c>
      <c r="M174" s="100">
        <v>211711.71776</v>
      </c>
      <c r="N174" s="100">
        <v>1263533.4506000001</v>
      </c>
      <c r="O174" s="340">
        <v>459540.66210000002</v>
      </c>
      <c r="P174" s="35"/>
      <c r="Q174" s="346">
        <v>0.30354183820000002</v>
      </c>
      <c r="R174" s="347">
        <v>0.23466562481</v>
      </c>
      <c r="S174" s="348">
        <v>5.4382013843000003E-2</v>
      </c>
      <c r="T174" s="35"/>
      <c r="U174" s="339">
        <v>402959.14532000001</v>
      </c>
      <c r="V174" s="100">
        <v>187891.58674</v>
      </c>
      <c r="W174" s="100">
        <v>1152399.8887</v>
      </c>
      <c r="X174" s="340">
        <v>296807.07513000001</v>
      </c>
      <c r="Y174" s="35"/>
      <c r="Z174" s="346">
        <v>0.27684394141000002</v>
      </c>
      <c r="AA174" s="347">
        <v>0.21293816162000001</v>
      </c>
      <c r="AB174" s="348">
        <v>-1.3193721968E-2</v>
      </c>
      <c r="AC174" s="35"/>
      <c r="AD174" s="339">
        <v>581851.71348000003</v>
      </c>
      <c r="AE174" s="100">
        <v>347607.38527999999</v>
      </c>
      <c r="AF174" s="100">
        <v>1833703.2689</v>
      </c>
      <c r="AG174" s="340">
        <v>865860.50714</v>
      </c>
      <c r="AH174" s="35"/>
      <c r="AI174" s="346">
        <v>0.44051517646999999</v>
      </c>
      <c r="AJ174" s="347">
        <v>0.38115963465000002</v>
      </c>
      <c r="AK174" s="348">
        <v>0.17034184138</v>
      </c>
      <c r="AL174" s="35"/>
      <c r="AM174" s="339">
        <v>114972.32895</v>
      </c>
      <c r="AN174" s="100">
        <v>-36132.916986999997</v>
      </c>
      <c r="AO174" s="100">
        <v>247627.07292000001</v>
      </c>
      <c r="AP174" s="340">
        <v>-364310.34733999998</v>
      </c>
      <c r="AQ174" s="35"/>
      <c r="AR174" s="106">
        <v>5.9488078346999998E-2</v>
      </c>
      <c r="AS174" s="107">
        <v>-2.7129937995E-3</v>
      </c>
      <c r="AT174" s="353">
        <v>-0.1715105633</v>
      </c>
      <c r="AU174" s="35"/>
      <c r="AV174" s="358">
        <v>4.2703952099999998E-3</v>
      </c>
      <c r="AW174" s="359">
        <v>-1.9716680427999999E-3</v>
      </c>
      <c r="AX174" s="360">
        <v>-9.5845161962000006E-2</v>
      </c>
      <c r="AY174" s="35"/>
      <c r="AZ174" s="106">
        <v>3.8482767762999998E-2</v>
      </c>
      <c r="BA174" s="107">
        <v>-1.7713468448E-3</v>
      </c>
      <c r="BB174" s="353">
        <v>-0.11770781986999999</v>
      </c>
      <c r="BC174" s="35"/>
      <c r="BD174" s="106">
        <v>5.9604672902E-2</v>
      </c>
      <c r="BE174" s="107">
        <v>4.5578228052999999E-2</v>
      </c>
      <c r="BF174" s="353">
        <v>-2.5188536410000002E-3</v>
      </c>
      <c r="BG174" s="35"/>
      <c r="BH174" s="106">
        <v>1.323423724E-2</v>
      </c>
      <c r="BI174" s="107">
        <v>-5.8372428683999998E-4</v>
      </c>
      <c r="BJ174" s="353">
        <v>-3.3574939013000002E-2</v>
      </c>
      <c r="BK174" s="35"/>
      <c r="BL174" s="367">
        <v>0.22246873001</v>
      </c>
      <c r="BM174" s="368">
        <v>0.215158725</v>
      </c>
      <c r="BN174" s="369">
        <v>0.19576018157</v>
      </c>
    </row>
    <row r="175" spans="2:66" ht="15.6" x14ac:dyDescent="0.3">
      <c r="B175" s="306" t="s">
        <v>584</v>
      </c>
      <c r="C175" s="111" t="s">
        <v>988</v>
      </c>
      <c r="D175" s="111" t="s">
        <v>232</v>
      </c>
      <c r="E175" s="385">
        <v>45473</v>
      </c>
      <c r="F175" s="35"/>
      <c r="G175" s="380">
        <v>3587603.3369999998</v>
      </c>
      <c r="H175" s="112">
        <v>2890290.2620999999</v>
      </c>
      <c r="I175" s="112">
        <v>12556560.997</v>
      </c>
      <c r="J175" s="381">
        <v>10792339.436000001</v>
      </c>
      <c r="K175" s="72"/>
      <c r="L175" s="380">
        <v>1773543.5160999999</v>
      </c>
      <c r="M175" s="112">
        <v>1121104.7382</v>
      </c>
      <c r="N175" s="112">
        <v>5353641.9380000001</v>
      </c>
      <c r="O175" s="381">
        <v>3722622.4599000001</v>
      </c>
      <c r="P175" s="35"/>
      <c r="Q175" s="382">
        <v>0.42636211768999999</v>
      </c>
      <c r="R175" s="383">
        <v>0.37478427855000002</v>
      </c>
      <c r="S175" s="384">
        <v>0.31970303738</v>
      </c>
      <c r="T175" s="35"/>
      <c r="U175" s="380">
        <v>-859195.35991</v>
      </c>
      <c r="V175" s="112">
        <v>951307.32964999997</v>
      </c>
      <c r="W175" s="112">
        <v>2143611.7034999998</v>
      </c>
      <c r="X175" s="381">
        <v>3630366.0003999998</v>
      </c>
      <c r="Y175" s="35"/>
      <c r="Z175" s="382">
        <v>0.17071646478999999</v>
      </c>
      <c r="AA175" s="383">
        <v>0.31765992096000001</v>
      </c>
      <c r="AB175" s="384">
        <v>0.30850678575000001</v>
      </c>
      <c r="AC175" s="35"/>
      <c r="AD175" s="380">
        <v>-264489.54736000003</v>
      </c>
      <c r="AE175" s="112">
        <v>1514420.3733000001</v>
      </c>
      <c r="AF175" s="112">
        <v>4463300.8793000001</v>
      </c>
      <c r="AG175" s="381">
        <v>5681587.6496000001</v>
      </c>
      <c r="AH175" s="35"/>
      <c r="AI175" s="382">
        <v>0.35545567612000001</v>
      </c>
      <c r="AJ175" s="383">
        <v>0.51658938666999998</v>
      </c>
      <c r="AK175" s="384">
        <v>0.50836894101999996</v>
      </c>
      <c r="AL175" s="35"/>
      <c r="AM175" s="380">
        <v>-1750601.2374</v>
      </c>
      <c r="AN175" s="112">
        <v>174983.61129999999</v>
      </c>
      <c r="AO175" s="112">
        <v>-899342.34031</v>
      </c>
      <c r="AP175" s="381">
        <v>824374.02303000004</v>
      </c>
      <c r="AQ175" s="35"/>
      <c r="AR175" s="113">
        <v>-7.1181867539999999E-2</v>
      </c>
      <c r="AS175" s="114">
        <v>6.6002536543999998E-2</v>
      </c>
      <c r="AT175" s="376">
        <v>5.2229902165000001E-2</v>
      </c>
      <c r="AU175" s="35"/>
      <c r="AV175" s="379">
        <v>-0.48397753435000002</v>
      </c>
      <c r="AW175" s="377">
        <v>0.38837305379999998</v>
      </c>
      <c r="AX175" s="378">
        <v>0.27799089277</v>
      </c>
      <c r="AY175" s="35"/>
      <c r="AZ175" s="113">
        <v>-5.9072941247000001E-2</v>
      </c>
      <c r="BA175" s="114">
        <v>4.6156155211E-2</v>
      </c>
      <c r="BB175" s="376">
        <v>3.3784927562000001E-2</v>
      </c>
      <c r="BC175" s="35"/>
      <c r="BD175" s="113">
        <v>3.8101891970000003E-2</v>
      </c>
      <c r="BE175" s="114">
        <v>6.3595576838000004E-2</v>
      </c>
      <c r="BF175" s="376">
        <v>5.7466176984E-2</v>
      </c>
      <c r="BG175" s="35"/>
      <c r="BH175" s="113">
        <v>-1.8098887819000001E-2</v>
      </c>
      <c r="BI175" s="114">
        <v>1.4661655783999999E-2</v>
      </c>
      <c r="BJ175" s="376">
        <v>1.1186104031E-2</v>
      </c>
      <c r="BK175" s="35"/>
      <c r="BL175" s="373">
        <v>0.25426261553000001</v>
      </c>
      <c r="BM175" s="374">
        <v>0.22213776246</v>
      </c>
      <c r="BN175" s="375">
        <v>0.21417049559000001</v>
      </c>
    </row>
    <row r="176" spans="2:66" ht="15.6" x14ac:dyDescent="0.3">
      <c r="B176" s="283" t="s">
        <v>1493</v>
      </c>
      <c r="C176" s="99" t="s">
        <v>1931</v>
      </c>
      <c r="D176" s="99" t="s">
        <v>1962</v>
      </c>
      <c r="E176" s="334"/>
      <c r="F176" s="35"/>
      <c r="G176" s="339"/>
      <c r="H176" s="100"/>
      <c r="I176" s="100"/>
      <c r="J176" s="340"/>
      <c r="K176" s="72"/>
      <c r="L176" s="339"/>
      <c r="M176" s="100"/>
      <c r="N176" s="100"/>
      <c r="O176" s="340"/>
      <c r="P176" s="35"/>
      <c r="Q176" s="346"/>
      <c r="R176" s="347"/>
      <c r="S176" s="348"/>
      <c r="T176" s="35"/>
      <c r="U176" s="339"/>
      <c r="V176" s="100"/>
      <c r="W176" s="100"/>
      <c r="X176" s="340"/>
      <c r="Y176" s="35"/>
      <c r="Z176" s="346"/>
      <c r="AA176" s="347"/>
      <c r="AB176" s="348"/>
      <c r="AC176" s="35"/>
      <c r="AD176" s="339"/>
      <c r="AE176" s="100"/>
      <c r="AF176" s="100"/>
      <c r="AG176" s="340"/>
      <c r="AH176" s="35"/>
      <c r="AI176" s="346"/>
      <c r="AJ176" s="347"/>
      <c r="AK176" s="348"/>
      <c r="AL176" s="35"/>
      <c r="AM176" s="339"/>
      <c r="AN176" s="100"/>
      <c r="AO176" s="100"/>
      <c r="AP176" s="340"/>
      <c r="AQ176" s="35"/>
      <c r="AR176" s="106"/>
      <c r="AS176" s="107"/>
      <c r="AT176" s="353"/>
      <c r="AU176" s="35"/>
      <c r="AV176" s="358"/>
      <c r="AW176" s="359"/>
      <c r="AX176" s="360"/>
      <c r="AY176" s="35"/>
      <c r="AZ176" s="106"/>
      <c r="BA176" s="107"/>
      <c r="BB176" s="353"/>
      <c r="BC176" s="35"/>
      <c r="BD176" s="106"/>
      <c r="BE176" s="107"/>
      <c r="BF176" s="353"/>
      <c r="BG176" s="35"/>
      <c r="BH176" s="106"/>
      <c r="BI176" s="107"/>
      <c r="BJ176" s="353"/>
      <c r="BK176" s="35"/>
      <c r="BL176" s="367"/>
      <c r="BM176" s="368"/>
      <c r="BN176" s="369"/>
    </row>
    <row r="177" spans="2:66" ht="15.6" x14ac:dyDescent="0.3">
      <c r="B177" s="306" t="s">
        <v>403</v>
      </c>
      <c r="C177" s="111" t="s">
        <v>21</v>
      </c>
      <c r="D177" s="111" t="s">
        <v>231</v>
      </c>
      <c r="E177" s="385">
        <v>45473</v>
      </c>
      <c r="F177" s="35"/>
      <c r="G177" s="380">
        <v>6773786.0464000003</v>
      </c>
      <c r="H177" s="112">
        <v>6437813.0016000001</v>
      </c>
      <c r="I177" s="112">
        <v>27126173.467</v>
      </c>
      <c r="J177" s="381">
        <v>24867032.675999999</v>
      </c>
      <c r="K177" s="72"/>
      <c r="L177" s="380">
        <v>2894829.8210999998</v>
      </c>
      <c r="M177" s="112">
        <v>2033332.4923</v>
      </c>
      <c r="N177" s="112">
        <v>11040544.057</v>
      </c>
      <c r="O177" s="381">
        <v>8583513.9179999996</v>
      </c>
      <c r="P177" s="35"/>
      <c r="Q177" s="382">
        <v>0.40700705799999998</v>
      </c>
      <c r="R177" s="383">
        <v>0.37228879837000001</v>
      </c>
      <c r="S177" s="384">
        <v>0.34933418632000002</v>
      </c>
      <c r="T177" s="35"/>
      <c r="U177" s="380">
        <v>2224586.1046000002</v>
      </c>
      <c r="V177" s="112">
        <v>1120170.6359000001</v>
      </c>
      <c r="W177" s="112">
        <v>7789223.7432000004</v>
      </c>
      <c r="X177" s="381">
        <v>5293238.5515000001</v>
      </c>
      <c r="Y177" s="35"/>
      <c r="Z177" s="382">
        <v>0.2871478999</v>
      </c>
      <c r="AA177" s="383">
        <v>0.24816072669</v>
      </c>
      <c r="AB177" s="384">
        <v>0.21061039947999999</v>
      </c>
      <c r="AC177" s="35"/>
      <c r="AD177" s="380">
        <v>3016867.4887000001</v>
      </c>
      <c r="AE177" s="112">
        <v>1821815.3356000001</v>
      </c>
      <c r="AF177" s="112"/>
      <c r="AG177" s="381">
        <v>8003342.2631000001</v>
      </c>
      <c r="AH177" s="35"/>
      <c r="AI177" s="382"/>
      <c r="AJ177" s="383">
        <v>0.35728711059000001</v>
      </c>
      <c r="AK177" s="384">
        <v>0.32173118810000001</v>
      </c>
      <c r="AL177" s="35"/>
      <c r="AM177" s="380">
        <v>1213818.155</v>
      </c>
      <c r="AN177" s="112">
        <v>777975.39526999998</v>
      </c>
      <c r="AO177" s="112">
        <v>4079969.1242999998</v>
      </c>
      <c r="AP177" s="381">
        <v>3362166.7226999998</v>
      </c>
      <c r="AQ177" s="35"/>
      <c r="AR177" s="113">
        <v>0.15040710144</v>
      </c>
      <c r="AS177" s="114">
        <v>0.13778833427000001</v>
      </c>
      <c r="AT177" s="376">
        <v>0.14151734788000001</v>
      </c>
      <c r="AU177" s="35"/>
      <c r="AV177" s="379">
        <v>5.9477370910999996</v>
      </c>
      <c r="AW177" s="377">
        <v>5.1550550472000003</v>
      </c>
      <c r="AX177" s="378">
        <v>4.5665283689000002</v>
      </c>
      <c r="AY177" s="35"/>
      <c r="AZ177" s="113"/>
      <c r="BA177" s="114"/>
      <c r="BB177" s="376">
        <v>0.11943915009</v>
      </c>
      <c r="BC177" s="35"/>
      <c r="BD177" s="113"/>
      <c r="BE177" s="114"/>
      <c r="BF177" s="376">
        <v>6.3869084936000006E-2</v>
      </c>
      <c r="BG177" s="35"/>
      <c r="BH177" s="113">
        <v>6.2853909489999998E-2</v>
      </c>
      <c r="BI177" s="114">
        <v>5.7320256133E-2</v>
      </c>
      <c r="BJ177" s="376">
        <v>5.4560198253E-2</v>
      </c>
      <c r="BK177" s="35"/>
      <c r="BL177" s="373">
        <v>0.41789190063999998</v>
      </c>
      <c r="BM177" s="374">
        <v>0.41600224314000001</v>
      </c>
      <c r="BN177" s="375">
        <v>0.38553717314000002</v>
      </c>
    </row>
    <row r="178" spans="2:66" ht="15.6" x14ac:dyDescent="0.3">
      <c r="B178" s="283" t="s">
        <v>2314</v>
      </c>
      <c r="C178" s="99" t="s">
        <v>2813</v>
      </c>
      <c r="D178" s="99" t="s">
        <v>2781</v>
      </c>
      <c r="E178" s="334">
        <v>45473</v>
      </c>
      <c r="F178" s="35"/>
      <c r="G178" s="339">
        <v>26478.962352999999</v>
      </c>
      <c r="H178" s="100">
        <v>30025.164264999999</v>
      </c>
      <c r="I178" s="100">
        <v>106663.53084000001</v>
      </c>
      <c r="J178" s="340">
        <v>111386.20458999999</v>
      </c>
      <c r="K178" s="72"/>
      <c r="L178" s="339">
        <v>12356.313845000001</v>
      </c>
      <c r="M178" s="100">
        <v>15305.469743</v>
      </c>
      <c r="N178" s="100">
        <v>50172.936814000001</v>
      </c>
      <c r="O178" s="340">
        <v>52507.426511999998</v>
      </c>
      <c r="P178" s="35"/>
      <c r="Q178" s="346">
        <v>0.47038511116999998</v>
      </c>
      <c r="R178" s="347">
        <v>0.47708143661000002</v>
      </c>
      <c r="S178" s="348">
        <v>0.45946049763000002</v>
      </c>
      <c r="T178" s="35"/>
      <c r="U178" s="339">
        <v>12247.925127</v>
      </c>
      <c r="V178" s="100">
        <v>15138.105394</v>
      </c>
      <c r="W178" s="100">
        <v>49526.618904000003</v>
      </c>
      <c r="X178" s="340">
        <v>51706.169690000002</v>
      </c>
      <c r="Y178" s="35"/>
      <c r="Z178" s="346">
        <v>0.46432570262</v>
      </c>
      <c r="AA178" s="347">
        <v>0.47064342914000001</v>
      </c>
      <c r="AB178" s="348">
        <v>0.45215253570000002</v>
      </c>
      <c r="AC178" s="35"/>
      <c r="AD178" s="339">
        <v>26370.573635000001</v>
      </c>
      <c r="AE178" s="100">
        <v>29857.799916</v>
      </c>
      <c r="AF178" s="100">
        <v>106015.20573</v>
      </c>
      <c r="AG178" s="340">
        <v>110585.9938</v>
      </c>
      <c r="AH178" s="35"/>
      <c r="AI178" s="346">
        <v>0.99392177340999999</v>
      </c>
      <c r="AJ178" s="347">
        <v>0.99356199252999999</v>
      </c>
      <c r="AK178" s="348">
        <v>0.99269203806999995</v>
      </c>
      <c r="AL178" s="35"/>
      <c r="AM178" s="339">
        <v>6053.7106168</v>
      </c>
      <c r="AN178" s="100">
        <v>6403.7784152000004</v>
      </c>
      <c r="AO178" s="100">
        <v>30699.097158</v>
      </c>
      <c r="AP178" s="340">
        <v>24229.127643</v>
      </c>
      <c r="AQ178" s="35"/>
      <c r="AR178" s="106">
        <v>0.28781249706000001</v>
      </c>
      <c r="AS178" s="107">
        <v>0.26026086471999998</v>
      </c>
      <c r="AT178" s="353">
        <v>0.12221870108000001</v>
      </c>
      <c r="AU178" s="35"/>
      <c r="AV178" s="358">
        <v>72.830952381000003</v>
      </c>
      <c r="AW178" s="359">
        <v>66.702380951999999</v>
      </c>
      <c r="AX178" s="360">
        <v>30.302380952</v>
      </c>
      <c r="AY178" s="35"/>
      <c r="AZ178" s="106"/>
      <c r="BA178" s="107"/>
      <c r="BB178" s="353"/>
      <c r="BC178" s="35"/>
      <c r="BD178" s="106">
        <v>0.22787377170000001</v>
      </c>
      <c r="BE178" s="107">
        <v>0.28410089089000001</v>
      </c>
      <c r="BF178" s="353">
        <v>0.18103112001999999</v>
      </c>
      <c r="BG178" s="35"/>
      <c r="BH178" s="106">
        <v>0.24684673053</v>
      </c>
      <c r="BI178" s="107">
        <v>0.25908868111</v>
      </c>
      <c r="BJ178" s="353">
        <v>7.9803610506999995E-2</v>
      </c>
      <c r="BK178" s="35"/>
      <c r="BL178" s="367">
        <v>0.85766508768000005</v>
      </c>
      <c r="BM178" s="368">
        <v>0.99549612037000001</v>
      </c>
      <c r="BN178" s="369">
        <v>0.65295744267</v>
      </c>
    </row>
    <row r="179" spans="2:66" ht="15.6" x14ac:dyDescent="0.3">
      <c r="B179" s="306" t="s">
        <v>404</v>
      </c>
      <c r="C179" s="111" t="s">
        <v>408</v>
      </c>
      <c r="D179" s="111" t="s">
        <v>226</v>
      </c>
      <c r="E179" s="385"/>
      <c r="F179" s="35"/>
      <c r="G179" s="380"/>
      <c r="H179" s="112"/>
      <c r="I179" s="112"/>
      <c r="J179" s="381"/>
      <c r="K179" s="72"/>
      <c r="L179" s="380"/>
      <c r="M179" s="112"/>
      <c r="N179" s="112"/>
      <c r="O179" s="381"/>
      <c r="P179" s="35"/>
      <c r="Q179" s="382"/>
      <c r="R179" s="383"/>
      <c r="S179" s="384"/>
      <c r="T179" s="35"/>
      <c r="U179" s="380"/>
      <c r="V179" s="112"/>
      <c r="W179" s="112"/>
      <c r="X179" s="381"/>
      <c r="Y179" s="35"/>
      <c r="Z179" s="382"/>
      <c r="AA179" s="383"/>
      <c r="AB179" s="384"/>
      <c r="AC179" s="35"/>
      <c r="AD179" s="380"/>
      <c r="AE179" s="112"/>
      <c r="AF179" s="112"/>
      <c r="AG179" s="381"/>
      <c r="AH179" s="35"/>
      <c r="AI179" s="382"/>
      <c r="AJ179" s="383"/>
      <c r="AK179" s="384"/>
      <c r="AL179" s="35"/>
      <c r="AM179" s="380"/>
      <c r="AN179" s="112"/>
      <c r="AO179" s="112"/>
      <c r="AP179" s="381"/>
      <c r="AQ179" s="35"/>
      <c r="AR179" s="113"/>
      <c r="AS179" s="114"/>
      <c r="AT179" s="376"/>
      <c r="AU179" s="35"/>
      <c r="AV179" s="379"/>
      <c r="AW179" s="377"/>
      <c r="AX179" s="378"/>
      <c r="AY179" s="35"/>
      <c r="AZ179" s="113"/>
      <c r="BA179" s="114"/>
      <c r="BB179" s="376"/>
      <c r="BC179" s="35"/>
      <c r="BD179" s="113"/>
      <c r="BE179" s="114"/>
      <c r="BF179" s="376"/>
      <c r="BG179" s="35"/>
      <c r="BH179" s="113"/>
      <c r="BI179" s="114"/>
      <c r="BJ179" s="376"/>
      <c r="BK179" s="35"/>
      <c r="BL179" s="373"/>
      <c r="BM179" s="374"/>
      <c r="BN179" s="375"/>
    </row>
    <row r="180" spans="2:66" ht="15.6" x14ac:dyDescent="0.3">
      <c r="B180" s="283" t="s">
        <v>1498</v>
      </c>
      <c r="C180" s="99" t="s">
        <v>1932</v>
      </c>
      <c r="D180" s="99" t="s">
        <v>1959</v>
      </c>
      <c r="E180" s="334">
        <v>45473</v>
      </c>
      <c r="F180" s="35"/>
      <c r="G180" s="339">
        <v>1649625.1035</v>
      </c>
      <c r="H180" s="100">
        <v>1404382.4976999999</v>
      </c>
      <c r="I180" s="100">
        <v>7218748.8306999998</v>
      </c>
      <c r="J180" s="340">
        <v>6561408.4354999997</v>
      </c>
      <c r="K180" s="72"/>
      <c r="L180" s="339">
        <v>514013.42284000001</v>
      </c>
      <c r="M180" s="100">
        <v>534508.38428</v>
      </c>
      <c r="N180" s="100">
        <v>1682662.5869</v>
      </c>
      <c r="O180" s="340">
        <v>2058412.04</v>
      </c>
      <c r="P180" s="35"/>
      <c r="Q180" s="346">
        <v>0.23309615369</v>
      </c>
      <c r="R180" s="347">
        <v>0.28485987465000001</v>
      </c>
      <c r="S180" s="348">
        <v>0.34593909386999999</v>
      </c>
      <c r="T180" s="35"/>
      <c r="U180" s="339">
        <v>364927.75211</v>
      </c>
      <c r="V180" s="100">
        <v>398002.88290999999</v>
      </c>
      <c r="W180" s="100">
        <v>2523664.6997000002</v>
      </c>
      <c r="X180" s="340">
        <v>2030567.8424</v>
      </c>
      <c r="Y180" s="35"/>
      <c r="Z180" s="346">
        <v>0.34959862975</v>
      </c>
      <c r="AA180" s="347">
        <v>0.28487610585000001</v>
      </c>
      <c r="AB180" s="348">
        <v>0.35219006273999998</v>
      </c>
      <c r="AC180" s="35"/>
      <c r="AD180" s="339">
        <v>575579.21823</v>
      </c>
      <c r="AE180" s="100">
        <v>600915.42001</v>
      </c>
      <c r="AF180" s="100">
        <v>3693787.1474000001</v>
      </c>
      <c r="AG180" s="340">
        <v>3097223.7275999999</v>
      </c>
      <c r="AH180" s="35"/>
      <c r="AI180" s="346">
        <v>0.51169354054000005</v>
      </c>
      <c r="AJ180" s="347">
        <v>0.44157461696</v>
      </c>
      <c r="AK180" s="348">
        <v>0.50833753706999996</v>
      </c>
      <c r="AL180" s="35"/>
      <c r="AM180" s="339">
        <v>106702.67121</v>
      </c>
      <c r="AN180" s="100">
        <v>230406.31557999999</v>
      </c>
      <c r="AO180" s="100">
        <v>1367234.3565</v>
      </c>
      <c r="AP180" s="340">
        <v>1061124.4935000001</v>
      </c>
      <c r="AQ180" s="35"/>
      <c r="AR180" s="106">
        <v>0.18940046100999999</v>
      </c>
      <c r="AS180" s="107">
        <v>0.15926845044999999</v>
      </c>
      <c r="AT180" s="353">
        <v>0.17301409914999999</v>
      </c>
      <c r="AU180" s="35"/>
      <c r="AV180" s="358">
        <v>3.9349527792000001</v>
      </c>
      <c r="AW180" s="359">
        <v>2.8895671145000001</v>
      </c>
      <c r="AX180" s="360">
        <v>3.1448395307000001</v>
      </c>
      <c r="AY180" s="35"/>
      <c r="AZ180" s="106">
        <v>0.21696810260999999</v>
      </c>
      <c r="BA180" s="107">
        <v>0.16316445207999999</v>
      </c>
      <c r="BB180" s="353">
        <v>0.2049300886</v>
      </c>
      <c r="BC180" s="35"/>
      <c r="BD180" s="106">
        <v>0.10471476084</v>
      </c>
      <c r="BE180" s="107">
        <v>7.3501888180000002E-2</v>
      </c>
      <c r="BF180" s="353">
        <v>0.1086350093</v>
      </c>
      <c r="BG180" s="35"/>
      <c r="BH180" s="106">
        <v>6.2938414663E-2</v>
      </c>
      <c r="BI180" s="107">
        <v>5.1345632698999999E-2</v>
      </c>
      <c r="BJ180" s="353">
        <v>5.7769808979999997E-2</v>
      </c>
      <c r="BK180" s="35"/>
      <c r="BL180" s="367">
        <v>0.33230338683999999</v>
      </c>
      <c r="BM180" s="368">
        <v>0.32238420448999999</v>
      </c>
      <c r="BN180" s="369">
        <v>0.33390231931999997</v>
      </c>
    </row>
    <row r="181" spans="2:66" ht="15.6" x14ac:dyDescent="0.3">
      <c r="B181" s="306" t="s">
        <v>1499</v>
      </c>
      <c r="C181" s="111" t="s">
        <v>1933</v>
      </c>
      <c r="D181" s="111" t="s">
        <v>226</v>
      </c>
      <c r="E181" s="385"/>
      <c r="F181" s="35"/>
      <c r="G181" s="380"/>
      <c r="H181" s="112"/>
      <c r="I181" s="112"/>
      <c r="J181" s="381"/>
      <c r="K181" s="72"/>
      <c r="L181" s="380"/>
      <c r="M181" s="112"/>
      <c r="N181" s="112"/>
      <c r="O181" s="381"/>
      <c r="P181" s="35"/>
      <c r="Q181" s="382"/>
      <c r="R181" s="383"/>
      <c r="S181" s="384"/>
      <c r="T181" s="35"/>
      <c r="U181" s="380"/>
      <c r="V181" s="112"/>
      <c r="W181" s="112"/>
      <c r="X181" s="381"/>
      <c r="Y181" s="35"/>
      <c r="Z181" s="382"/>
      <c r="AA181" s="383"/>
      <c r="AB181" s="384"/>
      <c r="AC181" s="35"/>
      <c r="AD181" s="380"/>
      <c r="AE181" s="112"/>
      <c r="AF181" s="112"/>
      <c r="AG181" s="381"/>
      <c r="AH181" s="35"/>
      <c r="AI181" s="382"/>
      <c r="AJ181" s="383"/>
      <c r="AK181" s="384"/>
      <c r="AL181" s="35"/>
      <c r="AM181" s="380"/>
      <c r="AN181" s="112"/>
      <c r="AO181" s="112"/>
      <c r="AP181" s="381"/>
      <c r="AQ181" s="35"/>
      <c r="AR181" s="113"/>
      <c r="AS181" s="114"/>
      <c r="AT181" s="376"/>
      <c r="AU181" s="35"/>
      <c r="AV181" s="379"/>
      <c r="AW181" s="377"/>
      <c r="AX181" s="378"/>
      <c r="AY181" s="35"/>
      <c r="AZ181" s="113"/>
      <c r="BA181" s="114"/>
      <c r="BB181" s="376"/>
      <c r="BC181" s="35"/>
      <c r="BD181" s="113"/>
      <c r="BE181" s="114"/>
      <c r="BF181" s="376"/>
      <c r="BG181" s="35"/>
      <c r="BH181" s="113"/>
      <c r="BI181" s="114"/>
      <c r="BJ181" s="376"/>
      <c r="BK181" s="35"/>
      <c r="BL181" s="373"/>
      <c r="BM181" s="374"/>
      <c r="BN181" s="375"/>
    </row>
    <row r="182" spans="2:66" ht="15.6" x14ac:dyDescent="0.3">
      <c r="B182" s="283" t="s">
        <v>455</v>
      </c>
      <c r="C182" s="99" t="s">
        <v>460</v>
      </c>
      <c r="D182" s="99" t="s">
        <v>226</v>
      </c>
      <c r="E182" s="334"/>
      <c r="F182" s="35"/>
      <c r="G182" s="339"/>
      <c r="H182" s="100"/>
      <c r="I182" s="100"/>
      <c r="J182" s="340"/>
      <c r="K182" s="72"/>
      <c r="L182" s="339"/>
      <c r="M182" s="100"/>
      <c r="N182" s="100"/>
      <c r="O182" s="340"/>
      <c r="P182" s="35"/>
      <c r="Q182" s="346"/>
      <c r="R182" s="347"/>
      <c r="S182" s="348"/>
      <c r="T182" s="35"/>
      <c r="U182" s="339"/>
      <c r="V182" s="100"/>
      <c r="W182" s="100"/>
      <c r="X182" s="340"/>
      <c r="Y182" s="35"/>
      <c r="Z182" s="346"/>
      <c r="AA182" s="347"/>
      <c r="AB182" s="348"/>
      <c r="AC182" s="35"/>
      <c r="AD182" s="339"/>
      <c r="AE182" s="100"/>
      <c r="AF182" s="100"/>
      <c r="AG182" s="340"/>
      <c r="AH182" s="35"/>
      <c r="AI182" s="346"/>
      <c r="AJ182" s="347"/>
      <c r="AK182" s="348"/>
      <c r="AL182" s="35"/>
      <c r="AM182" s="339"/>
      <c r="AN182" s="100"/>
      <c r="AO182" s="100"/>
      <c r="AP182" s="340"/>
      <c r="AQ182" s="35"/>
      <c r="AR182" s="106"/>
      <c r="AS182" s="107"/>
      <c r="AT182" s="353"/>
      <c r="AU182" s="35"/>
      <c r="AV182" s="358"/>
      <c r="AW182" s="359"/>
      <c r="AX182" s="360"/>
      <c r="AY182" s="35"/>
      <c r="AZ182" s="106"/>
      <c r="BA182" s="107"/>
      <c r="BB182" s="353"/>
      <c r="BC182" s="35"/>
      <c r="BD182" s="106"/>
      <c r="BE182" s="107"/>
      <c r="BF182" s="353"/>
      <c r="BG182" s="35"/>
      <c r="BH182" s="106"/>
      <c r="BI182" s="107"/>
      <c r="BJ182" s="353"/>
      <c r="BK182" s="35"/>
      <c r="BL182" s="367"/>
      <c r="BM182" s="368"/>
      <c r="BN182" s="369"/>
    </row>
    <row r="183" spans="2:66" ht="15.6" x14ac:dyDescent="0.3">
      <c r="B183" s="306" t="s">
        <v>2317</v>
      </c>
      <c r="C183" s="111" t="s">
        <v>2814</v>
      </c>
      <c r="D183" s="111" t="s">
        <v>2782</v>
      </c>
      <c r="E183" s="385"/>
      <c r="F183" s="35"/>
      <c r="G183" s="380"/>
      <c r="H183" s="112"/>
      <c r="I183" s="112"/>
      <c r="J183" s="381"/>
      <c r="K183" s="72"/>
      <c r="L183" s="380"/>
      <c r="M183" s="112"/>
      <c r="N183" s="112"/>
      <c r="O183" s="381"/>
      <c r="P183" s="35"/>
      <c r="Q183" s="382"/>
      <c r="R183" s="383"/>
      <c r="S183" s="384"/>
      <c r="T183" s="35"/>
      <c r="U183" s="380"/>
      <c r="V183" s="112"/>
      <c r="W183" s="112"/>
      <c r="X183" s="381"/>
      <c r="Y183" s="35"/>
      <c r="Z183" s="382"/>
      <c r="AA183" s="383"/>
      <c r="AB183" s="384"/>
      <c r="AC183" s="35"/>
      <c r="AD183" s="380"/>
      <c r="AE183" s="112"/>
      <c r="AF183" s="112"/>
      <c r="AG183" s="381"/>
      <c r="AH183" s="35"/>
      <c r="AI183" s="382"/>
      <c r="AJ183" s="383"/>
      <c r="AK183" s="384"/>
      <c r="AL183" s="35"/>
      <c r="AM183" s="380"/>
      <c r="AN183" s="112"/>
      <c r="AO183" s="112"/>
      <c r="AP183" s="381"/>
      <c r="AQ183" s="35"/>
      <c r="AR183" s="113"/>
      <c r="AS183" s="114"/>
      <c r="AT183" s="376"/>
      <c r="AU183" s="35"/>
      <c r="AV183" s="379"/>
      <c r="AW183" s="377"/>
      <c r="AX183" s="378"/>
      <c r="AY183" s="35"/>
      <c r="AZ183" s="113"/>
      <c r="BA183" s="114"/>
      <c r="BB183" s="376"/>
      <c r="BC183" s="35"/>
      <c r="BD183" s="113"/>
      <c r="BE183" s="114"/>
      <c r="BF183" s="376"/>
      <c r="BG183" s="35"/>
      <c r="BH183" s="113"/>
      <c r="BI183" s="114"/>
      <c r="BJ183" s="376"/>
      <c r="BK183" s="35"/>
      <c r="BL183" s="373"/>
      <c r="BM183" s="374"/>
      <c r="BN183" s="375"/>
    </row>
    <row r="184" spans="2:66" ht="15.6" x14ac:dyDescent="0.3">
      <c r="B184" s="283" t="s">
        <v>62</v>
      </c>
      <c r="C184" s="99" t="s">
        <v>22</v>
      </c>
      <c r="D184" s="99" t="s">
        <v>226</v>
      </c>
      <c r="E184" s="334">
        <v>45473</v>
      </c>
      <c r="F184" s="35"/>
      <c r="G184" s="339">
        <v>914387.29651999997</v>
      </c>
      <c r="H184" s="100">
        <v>709733.62786999997</v>
      </c>
      <c r="I184" s="100">
        <v>3644260.5285</v>
      </c>
      <c r="J184" s="340">
        <v>2452587.5095000002</v>
      </c>
      <c r="K184" s="72"/>
      <c r="L184" s="339">
        <v>569232.45663999999</v>
      </c>
      <c r="M184" s="100">
        <v>458487.31271999999</v>
      </c>
      <c r="N184" s="100">
        <v>2282224.8160999999</v>
      </c>
      <c r="O184" s="340">
        <v>1739641.5321</v>
      </c>
      <c r="P184" s="35"/>
      <c r="Q184" s="346">
        <v>0.62625182756999997</v>
      </c>
      <c r="R184" s="347">
        <v>0.63097049595999999</v>
      </c>
      <c r="S184" s="348">
        <v>0.80949942232000005</v>
      </c>
      <c r="T184" s="35"/>
      <c r="U184" s="339">
        <v>648858.02035000001</v>
      </c>
      <c r="V184" s="100">
        <v>492385.91564999998</v>
      </c>
      <c r="W184" s="100">
        <v>2499060.4608</v>
      </c>
      <c r="X184" s="340">
        <v>1905137.6769000001</v>
      </c>
      <c r="Y184" s="35"/>
      <c r="Z184" s="346">
        <v>0.68575241567</v>
      </c>
      <c r="AA184" s="347">
        <v>0.69452719655999995</v>
      </c>
      <c r="AB184" s="348">
        <v>0.93302967265000003</v>
      </c>
      <c r="AC184" s="35"/>
      <c r="AD184" s="339">
        <v>654171.07472999999</v>
      </c>
      <c r="AE184" s="100">
        <v>496348.26662000001</v>
      </c>
      <c r="AF184" s="100">
        <v>2517950.2056999998</v>
      </c>
      <c r="AG184" s="340">
        <v>1926116.7981</v>
      </c>
      <c r="AH184" s="35"/>
      <c r="AI184" s="346">
        <v>0.69093583895999999</v>
      </c>
      <c r="AJ184" s="347">
        <v>0.69985836301000004</v>
      </c>
      <c r="AK184" s="348">
        <v>0.94257595116000004</v>
      </c>
      <c r="AL184" s="35"/>
      <c r="AM184" s="339">
        <v>404589.99408999999</v>
      </c>
      <c r="AN184" s="100">
        <v>230571.58786999999</v>
      </c>
      <c r="AO184" s="100">
        <v>1544012.341</v>
      </c>
      <c r="AP184" s="340">
        <v>975386.87540999998</v>
      </c>
      <c r="AQ184" s="35"/>
      <c r="AR184" s="106">
        <v>0.42368330390999998</v>
      </c>
      <c r="AS184" s="107">
        <v>0.40683724178000003</v>
      </c>
      <c r="AT184" s="353">
        <v>0.55387180743999997</v>
      </c>
      <c r="AU184" s="35"/>
      <c r="AV184" s="358">
        <v>1.4886109973999999</v>
      </c>
      <c r="AW184" s="359">
        <v>1.3235006971000001</v>
      </c>
      <c r="AX184" s="360">
        <v>1.4022440317</v>
      </c>
      <c r="AY184" s="35"/>
      <c r="AZ184" s="106">
        <v>0.2286414775</v>
      </c>
      <c r="BA184" s="107">
        <v>0.20646884409999999</v>
      </c>
      <c r="BB184" s="353">
        <v>0.21866309092</v>
      </c>
      <c r="BC184" s="35"/>
      <c r="BD184" s="106">
        <v>9.2520838607E-2</v>
      </c>
      <c r="BE184" s="107">
        <v>9.2312453668000005E-2</v>
      </c>
      <c r="BF184" s="353">
        <v>0.1043081568</v>
      </c>
      <c r="BG184" s="35"/>
      <c r="BH184" s="106">
        <v>7.7653271423999998E-2</v>
      </c>
      <c r="BI184" s="107">
        <v>7.0330515383999995E-2</v>
      </c>
      <c r="BJ184" s="353">
        <v>8.3725704444000001E-2</v>
      </c>
      <c r="BK184" s="35"/>
      <c r="BL184" s="367">
        <v>0.18328140548999999</v>
      </c>
      <c r="BM184" s="368">
        <v>0.17287137990000001</v>
      </c>
      <c r="BN184" s="369">
        <v>0.15116440902</v>
      </c>
    </row>
    <row r="185" spans="2:66" ht="15.6" x14ac:dyDescent="0.3">
      <c r="B185" s="306" t="s">
        <v>1511</v>
      </c>
      <c r="C185" s="111" t="s">
        <v>1937</v>
      </c>
      <c r="D185" s="111" t="s">
        <v>104</v>
      </c>
      <c r="E185" s="385"/>
      <c r="F185" s="35"/>
      <c r="G185" s="380"/>
      <c r="H185" s="112"/>
      <c r="I185" s="112"/>
      <c r="J185" s="381"/>
      <c r="K185" s="72"/>
      <c r="L185" s="380"/>
      <c r="M185" s="112"/>
      <c r="N185" s="112"/>
      <c r="O185" s="381"/>
      <c r="P185" s="35"/>
      <c r="Q185" s="382"/>
      <c r="R185" s="383"/>
      <c r="S185" s="384"/>
      <c r="T185" s="35"/>
      <c r="U185" s="380"/>
      <c r="V185" s="112"/>
      <c r="W185" s="112"/>
      <c r="X185" s="381"/>
      <c r="Y185" s="35"/>
      <c r="Z185" s="382"/>
      <c r="AA185" s="383"/>
      <c r="AB185" s="384"/>
      <c r="AC185" s="35"/>
      <c r="AD185" s="380"/>
      <c r="AE185" s="112"/>
      <c r="AF185" s="112"/>
      <c r="AG185" s="381"/>
      <c r="AH185" s="35"/>
      <c r="AI185" s="382"/>
      <c r="AJ185" s="383"/>
      <c r="AK185" s="384"/>
      <c r="AL185" s="35"/>
      <c r="AM185" s="380"/>
      <c r="AN185" s="112"/>
      <c r="AO185" s="112"/>
      <c r="AP185" s="381"/>
      <c r="AQ185" s="35"/>
      <c r="AR185" s="113"/>
      <c r="AS185" s="114"/>
      <c r="AT185" s="376"/>
      <c r="AU185" s="35"/>
      <c r="AV185" s="379"/>
      <c r="AW185" s="377"/>
      <c r="AX185" s="378"/>
      <c r="AY185" s="35"/>
      <c r="AZ185" s="113"/>
      <c r="BA185" s="114"/>
      <c r="BB185" s="376"/>
      <c r="BC185" s="35"/>
      <c r="BD185" s="113"/>
      <c r="BE185" s="114"/>
      <c r="BF185" s="376"/>
      <c r="BG185" s="35"/>
      <c r="BH185" s="113"/>
      <c r="BI185" s="114"/>
      <c r="BJ185" s="376"/>
      <c r="BK185" s="35"/>
      <c r="BL185" s="373"/>
      <c r="BM185" s="374"/>
      <c r="BN185" s="375"/>
    </row>
    <row r="186" spans="2:66" ht="15.6" x14ac:dyDescent="0.3">
      <c r="B186" s="283" t="s">
        <v>596</v>
      </c>
      <c r="C186" s="99" t="s">
        <v>989</v>
      </c>
      <c r="D186" s="99" t="s">
        <v>226</v>
      </c>
      <c r="E186" s="334"/>
      <c r="F186" s="35"/>
      <c r="G186" s="339"/>
      <c r="H186" s="100"/>
      <c r="I186" s="100"/>
      <c r="J186" s="340"/>
      <c r="K186" s="72"/>
      <c r="L186" s="339"/>
      <c r="M186" s="100"/>
      <c r="N186" s="100"/>
      <c r="O186" s="340"/>
      <c r="P186" s="35"/>
      <c r="Q186" s="346"/>
      <c r="R186" s="347"/>
      <c r="S186" s="348"/>
      <c r="T186" s="35"/>
      <c r="U186" s="339"/>
      <c r="V186" s="100"/>
      <c r="W186" s="100"/>
      <c r="X186" s="340"/>
      <c r="Y186" s="35"/>
      <c r="Z186" s="346"/>
      <c r="AA186" s="347"/>
      <c r="AB186" s="348"/>
      <c r="AC186" s="35"/>
      <c r="AD186" s="339"/>
      <c r="AE186" s="100"/>
      <c r="AF186" s="100"/>
      <c r="AG186" s="340"/>
      <c r="AH186" s="35"/>
      <c r="AI186" s="346"/>
      <c r="AJ186" s="347"/>
      <c r="AK186" s="348"/>
      <c r="AL186" s="35"/>
      <c r="AM186" s="339"/>
      <c r="AN186" s="100"/>
      <c r="AO186" s="100"/>
      <c r="AP186" s="340"/>
      <c r="AQ186" s="35"/>
      <c r="AR186" s="106"/>
      <c r="AS186" s="107"/>
      <c r="AT186" s="353"/>
      <c r="AU186" s="35"/>
      <c r="AV186" s="358"/>
      <c r="AW186" s="359"/>
      <c r="AX186" s="360"/>
      <c r="AY186" s="35"/>
      <c r="AZ186" s="106"/>
      <c r="BA186" s="107"/>
      <c r="BB186" s="353"/>
      <c r="BC186" s="35"/>
      <c r="BD186" s="106"/>
      <c r="BE186" s="107"/>
      <c r="BF186" s="353"/>
      <c r="BG186" s="35"/>
      <c r="BH186" s="106"/>
      <c r="BI186" s="107"/>
      <c r="BJ186" s="353"/>
      <c r="BK186" s="35"/>
      <c r="BL186" s="367"/>
      <c r="BM186" s="368"/>
      <c r="BN186" s="369"/>
    </row>
    <row r="187" spans="2:66" ht="15.6" x14ac:dyDescent="0.3">
      <c r="B187" s="306" t="s">
        <v>1512</v>
      </c>
      <c r="C187" s="111" t="s">
        <v>1938</v>
      </c>
      <c r="D187" s="111" t="s">
        <v>227</v>
      </c>
      <c r="E187" s="385">
        <v>45473</v>
      </c>
      <c r="F187" s="35"/>
      <c r="G187" s="380">
        <v>6325224.3552000001</v>
      </c>
      <c r="H187" s="112">
        <v>6133129.3417999996</v>
      </c>
      <c r="I187" s="112">
        <v>24817550.98</v>
      </c>
      <c r="J187" s="381">
        <v>23994754.791999999</v>
      </c>
      <c r="K187" s="72"/>
      <c r="L187" s="380">
        <v>3399506.7601999999</v>
      </c>
      <c r="M187" s="112">
        <v>3065612.7862</v>
      </c>
      <c r="N187" s="112">
        <v>13155415.688999999</v>
      </c>
      <c r="O187" s="381">
        <v>12046181.886</v>
      </c>
      <c r="P187" s="35"/>
      <c r="Q187" s="382">
        <v>0.53008516836999997</v>
      </c>
      <c r="R187" s="383">
        <v>0.51764334092999997</v>
      </c>
      <c r="S187" s="384">
        <v>0.50508199858000002</v>
      </c>
      <c r="T187" s="35"/>
      <c r="U187" s="380">
        <v>1379165.1442</v>
      </c>
      <c r="V187" s="112">
        <v>1086640.2346000001</v>
      </c>
      <c r="W187" s="112">
        <v>5405491.8891000003</v>
      </c>
      <c r="X187" s="381">
        <v>3714579.5569000002</v>
      </c>
      <c r="Y187" s="35"/>
      <c r="Z187" s="382">
        <v>0.21780923885</v>
      </c>
      <c r="AA187" s="383">
        <v>0.19792393965999999</v>
      </c>
      <c r="AB187" s="384">
        <v>0.14676258445000001</v>
      </c>
      <c r="AC187" s="35"/>
      <c r="AD187" s="380">
        <v>3140998.6644000001</v>
      </c>
      <c r="AE187" s="112">
        <v>3005654.5079999999</v>
      </c>
      <c r="AF187" s="112">
        <v>12446378.847999999</v>
      </c>
      <c r="AG187" s="381">
        <v>11403073.914000001</v>
      </c>
      <c r="AH187" s="35"/>
      <c r="AI187" s="382">
        <v>0.50151519213999995</v>
      </c>
      <c r="AJ187" s="383">
        <v>0.496533487</v>
      </c>
      <c r="AK187" s="384">
        <v>0.46385134487000002</v>
      </c>
      <c r="AL187" s="35"/>
      <c r="AM187" s="380">
        <v>784031.79841000005</v>
      </c>
      <c r="AN187" s="112">
        <v>655306.74147999997</v>
      </c>
      <c r="AO187" s="112">
        <v>3110311.6104000001</v>
      </c>
      <c r="AP187" s="381">
        <v>2117953.9992999998</v>
      </c>
      <c r="AQ187" s="35"/>
      <c r="AR187" s="113">
        <v>0.12532709665</v>
      </c>
      <c r="AS187" s="114">
        <v>0.11904987573</v>
      </c>
      <c r="AT187" s="376">
        <v>7.7598367101999993E-2</v>
      </c>
      <c r="AU187" s="35"/>
      <c r="AV187" s="379">
        <v>1.2803508438</v>
      </c>
      <c r="AW187" s="377">
        <v>1.1721566069</v>
      </c>
      <c r="AX187" s="378">
        <v>0.69040152571000002</v>
      </c>
      <c r="AY187" s="35"/>
      <c r="AZ187" s="113">
        <v>0.12200738794</v>
      </c>
      <c r="BA187" s="114">
        <v>0.11037695398</v>
      </c>
      <c r="BB187" s="376"/>
      <c r="BC187" s="35"/>
      <c r="BD187" s="113">
        <v>8.8185659961000001E-2</v>
      </c>
      <c r="BE187" s="114">
        <v>7.9399606112999996E-2</v>
      </c>
      <c r="BF187" s="376"/>
      <c r="BG187" s="35"/>
      <c r="BH187" s="113">
        <v>5.7354981833000002E-2</v>
      </c>
      <c r="BI187" s="114">
        <v>5.1346615815000003E-2</v>
      </c>
      <c r="BJ187" s="376">
        <v>2.9618921603999999E-2</v>
      </c>
      <c r="BK187" s="35"/>
      <c r="BL187" s="373">
        <v>0.45764230851999999</v>
      </c>
      <c r="BM187" s="374">
        <v>0.43130339696999997</v>
      </c>
      <c r="BN187" s="375">
        <v>0.38169516590000002</v>
      </c>
    </row>
    <row r="188" spans="2:66" ht="15.6" x14ac:dyDescent="0.3">
      <c r="B188" s="283" t="s">
        <v>456</v>
      </c>
      <c r="C188" s="99" t="s">
        <v>461</v>
      </c>
      <c r="D188" s="99" t="s">
        <v>226</v>
      </c>
      <c r="E188" s="334"/>
      <c r="F188" s="35"/>
      <c r="G188" s="339"/>
      <c r="H188" s="100"/>
      <c r="I188" s="100"/>
      <c r="J188" s="340"/>
      <c r="K188" s="72"/>
      <c r="L188" s="339"/>
      <c r="M188" s="100"/>
      <c r="N188" s="100"/>
      <c r="O188" s="340"/>
      <c r="P188" s="35"/>
      <c r="Q188" s="346"/>
      <c r="R188" s="347"/>
      <c r="S188" s="348"/>
      <c r="T188" s="35"/>
      <c r="U188" s="339"/>
      <c r="V188" s="100"/>
      <c r="W188" s="100"/>
      <c r="X188" s="340"/>
      <c r="Y188" s="35"/>
      <c r="Z188" s="346"/>
      <c r="AA188" s="347"/>
      <c r="AB188" s="348"/>
      <c r="AC188" s="35"/>
      <c r="AD188" s="339"/>
      <c r="AE188" s="100"/>
      <c r="AF188" s="100"/>
      <c r="AG188" s="340"/>
      <c r="AH188" s="35"/>
      <c r="AI188" s="346"/>
      <c r="AJ188" s="347"/>
      <c r="AK188" s="348"/>
      <c r="AL188" s="35"/>
      <c r="AM188" s="339"/>
      <c r="AN188" s="100"/>
      <c r="AO188" s="100"/>
      <c r="AP188" s="340"/>
      <c r="AQ188" s="35"/>
      <c r="AR188" s="106"/>
      <c r="AS188" s="107"/>
      <c r="AT188" s="353"/>
      <c r="AU188" s="35"/>
      <c r="AV188" s="358"/>
      <c r="AW188" s="359"/>
      <c r="AX188" s="360"/>
      <c r="AY188" s="35"/>
      <c r="AZ188" s="106"/>
      <c r="BA188" s="107"/>
      <c r="BB188" s="353"/>
      <c r="BC188" s="35"/>
      <c r="BD188" s="106"/>
      <c r="BE188" s="107"/>
      <c r="BF188" s="353"/>
      <c r="BG188" s="35"/>
      <c r="BH188" s="106"/>
      <c r="BI188" s="107"/>
      <c r="BJ188" s="353"/>
      <c r="BK188" s="35"/>
      <c r="BL188" s="367"/>
      <c r="BM188" s="368"/>
      <c r="BN188" s="369"/>
    </row>
    <row r="189" spans="2:66" ht="15.6" x14ac:dyDescent="0.3">
      <c r="B189" s="306" t="s">
        <v>63</v>
      </c>
      <c r="C189" s="111" t="s">
        <v>23</v>
      </c>
      <c r="D189" s="111" t="s">
        <v>226</v>
      </c>
      <c r="E189" s="385">
        <v>45473</v>
      </c>
      <c r="F189" s="35"/>
      <c r="G189" s="380">
        <v>1668555.9959</v>
      </c>
      <c r="H189" s="112">
        <v>1542054.3193999999</v>
      </c>
      <c r="I189" s="112">
        <v>6835775.3607000001</v>
      </c>
      <c r="J189" s="381">
        <v>5721242.5400999999</v>
      </c>
      <c r="K189" s="72"/>
      <c r="L189" s="380">
        <v>873234.70967999997</v>
      </c>
      <c r="M189" s="112">
        <v>1012914.1466</v>
      </c>
      <c r="N189" s="112">
        <v>3604879.2944</v>
      </c>
      <c r="O189" s="381">
        <v>3436526.7031</v>
      </c>
      <c r="P189" s="35"/>
      <c r="Q189" s="382">
        <v>0.52735485064999998</v>
      </c>
      <c r="R189" s="383">
        <v>0.59671264886999997</v>
      </c>
      <c r="S189" s="384">
        <v>0.60170294116</v>
      </c>
      <c r="T189" s="35"/>
      <c r="U189" s="380">
        <v>943734.54550000001</v>
      </c>
      <c r="V189" s="112">
        <v>1089468.6921000001</v>
      </c>
      <c r="W189" s="112">
        <v>3756696.7622000002</v>
      </c>
      <c r="X189" s="381">
        <v>3713291.8974000001</v>
      </c>
      <c r="Y189" s="35"/>
      <c r="Z189" s="382">
        <v>0.54956410414000001</v>
      </c>
      <c r="AA189" s="383">
        <v>0.63430837093000003</v>
      </c>
      <c r="AB189" s="384">
        <v>0.64035724703999997</v>
      </c>
      <c r="AC189" s="35"/>
      <c r="AD189" s="380">
        <v>953711.32554999995</v>
      </c>
      <c r="AE189" s="112">
        <v>1096026.2365000001</v>
      </c>
      <c r="AF189" s="112">
        <v>3787842.4610000001</v>
      </c>
      <c r="AG189" s="381">
        <v>3741183.1661999999</v>
      </c>
      <c r="AH189" s="35"/>
      <c r="AI189" s="382">
        <v>0.55412038300999999</v>
      </c>
      <c r="AJ189" s="383">
        <v>0.63831270137999996</v>
      </c>
      <c r="AK189" s="384">
        <v>0.64540222399000002</v>
      </c>
      <c r="AL189" s="35"/>
      <c r="AM189" s="380">
        <v>538370.77639999997</v>
      </c>
      <c r="AN189" s="112">
        <v>628512.75517999998</v>
      </c>
      <c r="AO189" s="112">
        <v>2680529.2681999998</v>
      </c>
      <c r="AP189" s="381">
        <v>2478231.9119000002</v>
      </c>
      <c r="AQ189" s="35"/>
      <c r="AR189" s="113">
        <v>0.40087296624000002</v>
      </c>
      <c r="AS189" s="114">
        <v>0.46534506118000002</v>
      </c>
      <c r="AT189" s="376">
        <v>0.42560521193</v>
      </c>
      <c r="AU189" s="35"/>
      <c r="AV189" s="379">
        <v>4.0537011392000002</v>
      </c>
      <c r="AW189" s="377">
        <v>4.3120185058000002</v>
      </c>
      <c r="AX189" s="378">
        <v>3.4334532173999999</v>
      </c>
      <c r="AY189" s="35"/>
      <c r="AZ189" s="113">
        <v>0.14752948692000001</v>
      </c>
      <c r="BA189" s="114">
        <v>0.1685123362</v>
      </c>
      <c r="BB189" s="376">
        <v>0.14809122577</v>
      </c>
      <c r="BC189" s="35"/>
      <c r="BD189" s="113">
        <v>7.3514426541000003E-2</v>
      </c>
      <c r="BE189" s="114">
        <v>8.3621816582999997E-2</v>
      </c>
      <c r="BF189" s="376">
        <v>8.0332540152000004E-2</v>
      </c>
      <c r="BG189" s="35"/>
      <c r="BH189" s="113">
        <v>7.0817422571999994E-2</v>
      </c>
      <c r="BI189" s="114">
        <v>8.0542157985999993E-2</v>
      </c>
      <c r="BJ189" s="376">
        <v>7.1945893055000001E-2</v>
      </c>
      <c r="BK189" s="35"/>
      <c r="BL189" s="373">
        <v>0.17665801521999999</v>
      </c>
      <c r="BM189" s="374">
        <v>0.17308050456999999</v>
      </c>
      <c r="BN189" s="375">
        <v>0.16904373122999999</v>
      </c>
    </row>
    <row r="190" spans="2:66" ht="15.6" x14ac:dyDescent="0.3">
      <c r="B190" s="283" t="s">
        <v>1515</v>
      </c>
      <c r="C190" s="99" t="s">
        <v>1939</v>
      </c>
      <c r="D190" s="99" t="s">
        <v>228</v>
      </c>
      <c r="E190" s="334">
        <v>45473</v>
      </c>
      <c r="F190" s="35"/>
      <c r="G190" s="339">
        <v>65124.558294000002</v>
      </c>
      <c r="H190" s="100">
        <v>63291.966769999999</v>
      </c>
      <c r="I190" s="100">
        <v>268028.23827999999</v>
      </c>
      <c r="J190" s="340">
        <v>268537.14448000002</v>
      </c>
      <c r="K190" s="72"/>
      <c r="L190" s="339">
        <v>25719.237728</v>
      </c>
      <c r="M190" s="100">
        <v>15298.147553000001</v>
      </c>
      <c r="N190" s="100">
        <v>94485.857665000003</v>
      </c>
      <c r="O190" s="340">
        <v>69948.883763999998</v>
      </c>
      <c r="P190" s="35"/>
      <c r="Q190" s="346">
        <v>0.35252202631000001</v>
      </c>
      <c r="R190" s="347">
        <v>0.28955993849</v>
      </c>
      <c r="S190" s="348">
        <v>0.27489038337999999</v>
      </c>
      <c r="T190" s="35"/>
      <c r="U190" s="339">
        <v>17718.544585</v>
      </c>
      <c r="V190" s="100">
        <v>6160.0540815000004</v>
      </c>
      <c r="W190" s="100">
        <v>61146.290906000002</v>
      </c>
      <c r="X190" s="340">
        <v>40837.947257</v>
      </c>
      <c r="Y190" s="35"/>
      <c r="Z190" s="346">
        <v>0.22813376419</v>
      </c>
      <c r="AA190" s="347">
        <v>0.16577952281</v>
      </c>
      <c r="AB190" s="348">
        <v>0.19713283725</v>
      </c>
      <c r="AC190" s="35"/>
      <c r="AD190" s="339">
        <v>31462.836179999998</v>
      </c>
      <c r="AE190" s="100">
        <v>18545.015930000001</v>
      </c>
      <c r="AF190" s="100">
        <v>114713.40035</v>
      </c>
      <c r="AG190" s="340">
        <v>89869.425438999999</v>
      </c>
      <c r="AH190" s="35"/>
      <c r="AI190" s="346">
        <v>0.42798998004</v>
      </c>
      <c r="AJ190" s="347">
        <v>0.35829164711</v>
      </c>
      <c r="AK190" s="348">
        <v>0.36248744076</v>
      </c>
      <c r="AL190" s="35"/>
      <c r="AM190" s="339">
        <v>5740.5876538000002</v>
      </c>
      <c r="AN190" s="100">
        <v>-3562.7685858</v>
      </c>
      <c r="AO190" s="100">
        <v>14103.580121999999</v>
      </c>
      <c r="AP190" s="340">
        <v>-1355.6512293000001</v>
      </c>
      <c r="AQ190" s="35"/>
      <c r="AR190" s="106">
        <v>5.2619754593000001E-2</v>
      </c>
      <c r="AS190" s="107">
        <v>5.9677117793999999E-3</v>
      </c>
      <c r="AT190" s="353">
        <v>3.6016614762E-2</v>
      </c>
      <c r="AU190" s="35"/>
      <c r="AV190" s="358">
        <v>3.2828657645000002E-2</v>
      </c>
      <c r="AW190" s="359">
        <v>3.6535976066999999E-3</v>
      </c>
      <c r="AX190" s="360">
        <v>2.1856175945999999E-2</v>
      </c>
      <c r="AY190" s="35"/>
      <c r="AZ190" s="106">
        <v>4.8230689105000002E-2</v>
      </c>
      <c r="BA190" s="107">
        <v>5.3515093036000001E-3</v>
      </c>
      <c r="BB190" s="353">
        <v>2.7887484314E-2</v>
      </c>
      <c r="BC190" s="35"/>
      <c r="BD190" s="106">
        <v>6.3500853140999999E-2</v>
      </c>
      <c r="BE190" s="107">
        <v>4.6490583534999998E-2</v>
      </c>
      <c r="BF190" s="353">
        <v>5.9452441304999999E-2</v>
      </c>
      <c r="BG190" s="35"/>
      <c r="BH190" s="106">
        <v>1.9684857382000001E-2</v>
      </c>
      <c r="BI190" s="107">
        <v>2.1609701706000002E-3</v>
      </c>
      <c r="BJ190" s="353">
        <v>1.3638046593000001E-2</v>
      </c>
      <c r="BK190" s="35"/>
      <c r="BL190" s="367">
        <v>0.37409633576000001</v>
      </c>
      <c r="BM190" s="368">
        <v>0.36211034487999999</v>
      </c>
      <c r="BN190" s="369">
        <v>0.37865986805000001</v>
      </c>
    </row>
    <row r="191" spans="2:66" ht="15.6" x14ac:dyDescent="0.3">
      <c r="B191" s="306" t="s">
        <v>1516</v>
      </c>
      <c r="C191" s="111" t="s">
        <v>1940</v>
      </c>
      <c r="D191" s="111" t="s">
        <v>226</v>
      </c>
      <c r="E191" s="385"/>
      <c r="F191" s="35"/>
      <c r="G191" s="380"/>
      <c r="H191" s="112"/>
      <c r="I191" s="112"/>
      <c r="J191" s="381"/>
      <c r="K191" s="72"/>
      <c r="L191" s="380"/>
      <c r="M191" s="112"/>
      <c r="N191" s="112"/>
      <c r="O191" s="381"/>
      <c r="P191" s="35"/>
      <c r="Q191" s="382"/>
      <c r="R191" s="383"/>
      <c r="S191" s="384"/>
      <c r="T191" s="35"/>
      <c r="U191" s="380"/>
      <c r="V191" s="112"/>
      <c r="W191" s="112"/>
      <c r="X191" s="381"/>
      <c r="Y191" s="35"/>
      <c r="Z191" s="382"/>
      <c r="AA191" s="383"/>
      <c r="AB191" s="384"/>
      <c r="AC191" s="35"/>
      <c r="AD191" s="380"/>
      <c r="AE191" s="112"/>
      <c r="AF191" s="112"/>
      <c r="AG191" s="381"/>
      <c r="AH191" s="35"/>
      <c r="AI191" s="382"/>
      <c r="AJ191" s="383"/>
      <c r="AK191" s="384"/>
      <c r="AL191" s="35"/>
      <c r="AM191" s="380"/>
      <c r="AN191" s="112"/>
      <c r="AO191" s="112"/>
      <c r="AP191" s="381"/>
      <c r="AQ191" s="35"/>
      <c r="AR191" s="113"/>
      <c r="AS191" s="114"/>
      <c r="AT191" s="376"/>
      <c r="AU191" s="35"/>
      <c r="AV191" s="379"/>
      <c r="AW191" s="377"/>
      <c r="AX191" s="378"/>
      <c r="AY191" s="35"/>
      <c r="AZ191" s="113"/>
      <c r="BA191" s="114"/>
      <c r="BB191" s="376"/>
      <c r="BC191" s="35"/>
      <c r="BD191" s="113"/>
      <c r="BE191" s="114"/>
      <c r="BF191" s="376"/>
      <c r="BG191" s="35"/>
      <c r="BH191" s="113"/>
      <c r="BI191" s="114"/>
      <c r="BJ191" s="376"/>
      <c r="BK191" s="35"/>
      <c r="BL191" s="373"/>
      <c r="BM191" s="374"/>
      <c r="BN191" s="375"/>
    </row>
    <row r="192" spans="2:66" ht="15.6" x14ac:dyDescent="0.3">
      <c r="B192" s="283" t="s">
        <v>2324</v>
      </c>
      <c r="C192" s="99" t="s">
        <v>2815</v>
      </c>
      <c r="D192" s="99" t="s">
        <v>2783</v>
      </c>
      <c r="E192" s="334"/>
      <c r="F192" s="35"/>
      <c r="G192" s="339"/>
      <c r="H192" s="100"/>
      <c r="I192" s="100"/>
      <c r="J192" s="340"/>
      <c r="K192" s="72"/>
      <c r="L192" s="339"/>
      <c r="M192" s="100"/>
      <c r="N192" s="100"/>
      <c r="O192" s="340"/>
      <c r="P192" s="35"/>
      <c r="Q192" s="346"/>
      <c r="R192" s="347"/>
      <c r="S192" s="348"/>
      <c r="T192" s="35"/>
      <c r="U192" s="339"/>
      <c r="V192" s="100"/>
      <c r="W192" s="100"/>
      <c r="X192" s="340"/>
      <c r="Y192" s="35"/>
      <c r="Z192" s="346"/>
      <c r="AA192" s="347"/>
      <c r="AB192" s="348"/>
      <c r="AC192" s="35"/>
      <c r="AD192" s="339"/>
      <c r="AE192" s="100"/>
      <c r="AF192" s="100"/>
      <c r="AG192" s="340"/>
      <c r="AH192" s="35"/>
      <c r="AI192" s="346"/>
      <c r="AJ192" s="347"/>
      <c r="AK192" s="348"/>
      <c r="AL192" s="35"/>
      <c r="AM192" s="339"/>
      <c r="AN192" s="100"/>
      <c r="AO192" s="100"/>
      <c r="AP192" s="340"/>
      <c r="AQ192" s="35"/>
      <c r="AR192" s="106"/>
      <c r="AS192" s="107"/>
      <c r="AT192" s="353"/>
      <c r="AU192" s="35"/>
      <c r="AV192" s="358"/>
      <c r="AW192" s="359"/>
      <c r="AX192" s="360"/>
      <c r="AY192" s="35"/>
      <c r="AZ192" s="106"/>
      <c r="BA192" s="107"/>
      <c r="BB192" s="353"/>
      <c r="BC192" s="35"/>
      <c r="BD192" s="106"/>
      <c r="BE192" s="107"/>
      <c r="BF192" s="353"/>
      <c r="BG192" s="35"/>
      <c r="BH192" s="106"/>
      <c r="BI192" s="107"/>
      <c r="BJ192" s="353"/>
      <c r="BK192" s="35"/>
      <c r="BL192" s="367"/>
      <c r="BM192" s="368"/>
      <c r="BN192" s="369"/>
    </row>
    <row r="193" spans="2:66" ht="15.6" x14ac:dyDescent="0.3">
      <c r="B193" s="306" t="s">
        <v>1517</v>
      </c>
      <c r="C193" s="111" t="s">
        <v>1941</v>
      </c>
      <c r="D193" s="111" t="s">
        <v>227</v>
      </c>
      <c r="E193" s="385">
        <v>45473</v>
      </c>
      <c r="F193" s="35"/>
      <c r="G193" s="380">
        <v>176765.94136999999</v>
      </c>
      <c r="H193" s="112">
        <v>137382.07214999999</v>
      </c>
      <c r="I193" s="112">
        <v>660032.09429000004</v>
      </c>
      <c r="J193" s="381">
        <v>536414.24580999999</v>
      </c>
      <c r="K193" s="72"/>
      <c r="L193" s="380">
        <v>90129.233363000007</v>
      </c>
      <c r="M193" s="112">
        <v>51719.768042999996</v>
      </c>
      <c r="N193" s="112">
        <v>331975.57465999998</v>
      </c>
      <c r="O193" s="381">
        <v>226287.06052999999</v>
      </c>
      <c r="P193" s="35"/>
      <c r="Q193" s="382">
        <v>0.50296883672000003</v>
      </c>
      <c r="R193" s="383">
        <v>0.45007854158999999</v>
      </c>
      <c r="S193" s="384">
        <v>0.46358561262999998</v>
      </c>
      <c r="T193" s="35"/>
      <c r="U193" s="380">
        <v>19304.231384999999</v>
      </c>
      <c r="V193" s="112">
        <v>-10779.310122000001</v>
      </c>
      <c r="W193" s="112">
        <v>28348.667737</v>
      </c>
      <c r="X193" s="381">
        <v>15904.843319</v>
      </c>
      <c r="Y193" s="35"/>
      <c r="Z193" s="382">
        <v>4.2950438293E-2</v>
      </c>
      <c r="AA193" s="383">
        <v>-2.0618048364999999E-2</v>
      </c>
      <c r="AB193" s="384">
        <v>3.6732938595E-2</v>
      </c>
      <c r="AC193" s="35"/>
      <c r="AD193" s="380">
        <v>80974.401094000001</v>
      </c>
      <c r="AE193" s="112">
        <v>44123.518639000002</v>
      </c>
      <c r="AF193" s="112">
        <v>251823.12135</v>
      </c>
      <c r="AG193" s="381">
        <v>201039.10240999999</v>
      </c>
      <c r="AH193" s="35"/>
      <c r="AI193" s="382">
        <v>0.38153163085000003</v>
      </c>
      <c r="AJ193" s="383">
        <v>0.33498693321</v>
      </c>
      <c r="AK193" s="384">
        <v>0.35014752904000002</v>
      </c>
      <c r="AL193" s="35"/>
      <c r="AM193" s="380">
        <v>-33151.893701000001</v>
      </c>
      <c r="AN193" s="112">
        <v>-39203.00677</v>
      </c>
      <c r="AO193" s="112">
        <v>-162326.15549999999</v>
      </c>
      <c r="AP193" s="381">
        <v>-136004.45435000001</v>
      </c>
      <c r="AQ193" s="35"/>
      <c r="AR193" s="113">
        <v>-0.24537720571999999</v>
      </c>
      <c r="AS193" s="114">
        <v>-0.27717785620000002</v>
      </c>
      <c r="AT193" s="376">
        <v>-0.25353691411000001</v>
      </c>
      <c r="AU193" s="35"/>
      <c r="AV193" s="379">
        <v>-0.60479884731</v>
      </c>
      <c r="AW193" s="377">
        <v>-0.68464349908</v>
      </c>
      <c r="AX193" s="378">
        <v>-0.60970915720999996</v>
      </c>
      <c r="AY193" s="35"/>
      <c r="AZ193" s="113">
        <v>-0.41369975390000002</v>
      </c>
      <c r="BA193" s="114">
        <v>-0.36625696347999998</v>
      </c>
      <c r="BB193" s="376">
        <v>-0.34085966389</v>
      </c>
      <c r="BC193" s="35"/>
      <c r="BD193" s="113">
        <v>1.1046409623999999E-2</v>
      </c>
      <c r="BE193" s="114">
        <v>-4.7277453901000003E-3</v>
      </c>
      <c r="BF193" s="376">
        <v>8.2599836116000001E-3</v>
      </c>
      <c r="BG193" s="35"/>
      <c r="BH193" s="113">
        <v>-7.7791248388000001E-2</v>
      </c>
      <c r="BI193" s="114">
        <v>-7.3690129344999994E-2</v>
      </c>
      <c r="BJ193" s="376">
        <v>-7.0824342060999995E-2</v>
      </c>
      <c r="BK193" s="35"/>
      <c r="BL193" s="373">
        <v>0.31702719964999998</v>
      </c>
      <c r="BM193" s="374">
        <v>0.26585864526000003</v>
      </c>
      <c r="BN193" s="375">
        <v>0.27934528709000001</v>
      </c>
    </row>
    <row r="194" spans="2:66" ht="15.6" x14ac:dyDescent="0.3">
      <c r="B194" s="283" t="s">
        <v>1518</v>
      </c>
      <c r="C194" s="99" t="s">
        <v>1942</v>
      </c>
      <c r="D194" s="99" t="s">
        <v>104</v>
      </c>
      <c r="E194" s="334"/>
      <c r="F194" s="35"/>
      <c r="G194" s="339"/>
      <c r="H194" s="100"/>
      <c r="I194" s="100"/>
      <c r="J194" s="340"/>
      <c r="K194" s="72"/>
      <c r="L194" s="339"/>
      <c r="M194" s="100"/>
      <c r="N194" s="100"/>
      <c r="O194" s="340"/>
      <c r="P194" s="35"/>
      <c r="Q194" s="346"/>
      <c r="R194" s="347"/>
      <c r="S194" s="348"/>
      <c r="T194" s="35"/>
      <c r="U194" s="339"/>
      <c r="V194" s="100"/>
      <c r="W194" s="100"/>
      <c r="X194" s="340"/>
      <c r="Y194" s="35"/>
      <c r="Z194" s="346"/>
      <c r="AA194" s="347"/>
      <c r="AB194" s="348"/>
      <c r="AC194" s="35"/>
      <c r="AD194" s="339"/>
      <c r="AE194" s="100"/>
      <c r="AF194" s="100"/>
      <c r="AG194" s="340"/>
      <c r="AH194" s="35"/>
      <c r="AI194" s="346"/>
      <c r="AJ194" s="347"/>
      <c r="AK194" s="348"/>
      <c r="AL194" s="35"/>
      <c r="AM194" s="339"/>
      <c r="AN194" s="100"/>
      <c r="AO194" s="100"/>
      <c r="AP194" s="340"/>
      <c r="AQ194" s="35"/>
      <c r="AR194" s="106"/>
      <c r="AS194" s="107"/>
      <c r="AT194" s="353"/>
      <c r="AU194" s="35"/>
      <c r="AV194" s="358"/>
      <c r="AW194" s="359"/>
      <c r="AX194" s="360"/>
      <c r="AY194" s="35"/>
      <c r="AZ194" s="106"/>
      <c r="BA194" s="107"/>
      <c r="BB194" s="353"/>
      <c r="BC194" s="35"/>
      <c r="BD194" s="106"/>
      <c r="BE194" s="107"/>
      <c r="BF194" s="353"/>
      <c r="BG194" s="35"/>
      <c r="BH194" s="106"/>
      <c r="BI194" s="107"/>
      <c r="BJ194" s="353"/>
      <c r="BK194" s="35"/>
      <c r="BL194" s="367"/>
      <c r="BM194" s="368"/>
      <c r="BN194" s="369"/>
    </row>
    <row r="195" spans="2:66" ht="15.6" x14ac:dyDescent="0.3">
      <c r="B195" s="306" t="s">
        <v>1519</v>
      </c>
      <c r="C195" s="111" t="s">
        <v>1943</v>
      </c>
      <c r="D195" s="111" t="s">
        <v>1958</v>
      </c>
      <c r="E195" s="385"/>
      <c r="F195" s="35"/>
      <c r="G195" s="380"/>
      <c r="H195" s="112"/>
      <c r="I195" s="112"/>
      <c r="J195" s="381"/>
      <c r="K195" s="72"/>
      <c r="L195" s="380"/>
      <c r="M195" s="112"/>
      <c r="N195" s="112"/>
      <c r="O195" s="381"/>
      <c r="P195" s="35"/>
      <c r="Q195" s="382"/>
      <c r="R195" s="383"/>
      <c r="S195" s="384"/>
      <c r="T195" s="35"/>
      <c r="U195" s="380"/>
      <c r="V195" s="112"/>
      <c r="W195" s="112"/>
      <c r="X195" s="381"/>
      <c r="Y195" s="35"/>
      <c r="Z195" s="382"/>
      <c r="AA195" s="383"/>
      <c r="AB195" s="384"/>
      <c r="AC195" s="35"/>
      <c r="AD195" s="380"/>
      <c r="AE195" s="112"/>
      <c r="AF195" s="112"/>
      <c r="AG195" s="381"/>
      <c r="AH195" s="35"/>
      <c r="AI195" s="382"/>
      <c r="AJ195" s="383"/>
      <c r="AK195" s="384"/>
      <c r="AL195" s="35"/>
      <c r="AM195" s="380"/>
      <c r="AN195" s="112"/>
      <c r="AO195" s="112"/>
      <c r="AP195" s="381"/>
      <c r="AQ195" s="35"/>
      <c r="AR195" s="113"/>
      <c r="AS195" s="114"/>
      <c r="AT195" s="376"/>
      <c r="AU195" s="35"/>
      <c r="AV195" s="379"/>
      <c r="AW195" s="377"/>
      <c r="AX195" s="378"/>
      <c r="AY195" s="35"/>
      <c r="AZ195" s="113"/>
      <c r="BA195" s="114"/>
      <c r="BB195" s="376"/>
      <c r="BC195" s="35"/>
      <c r="BD195" s="113"/>
      <c r="BE195" s="114"/>
      <c r="BF195" s="376"/>
      <c r="BG195" s="35"/>
      <c r="BH195" s="113"/>
      <c r="BI195" s="114"/>
      <c r="BJ195" s="376"/>
      <c r="BK195" s="35"/>
      <c r="BL195" s="373"/>
      <c r="BM195" s="374"/>
      <c r="BN195" s="375"/>
    </row>
    <row r="196" spans="2:66" ht="15.6" x14ac:dyDescent="0.3">
      <c r="B196" s="283" t="s">
        <v>1520</v>
      </c>
      <c r="C196" s="99" t="s">
        <v>1944</v>
      </c>
      <c r="D196" s="99" t="s">
        <v>226</v>
      </c>
      <c r="E196" s="334"/>
      <c r="F196" s="35"/>
      <c r="G196" s="339"/>
      <c r="H196" s="100"/>
      <c r="I196" s="100"/>
      <c r="J196" s="340"/>
      <c r="K196" s="72"/>
      <c r="L196" s="339"/>
      <c r="M196" s="100"/>
      <c r="N196" s="100"/>
      <c r="O196" s="340"/>
      <c r="P196" s="35"/>
      <c r="Q196" s="346"/>
      <c r="R196" s="347"/>
      <c r="S196" s="348"/>
      <c r="T196" s="35"/>
      <c r="U196" s="339"/>
      <c r="V196" s="100"/>
      <c r="W196" s="100"/>
      <c r="X196" s="340"/>
      <c r="Y196" s="35"/>
      <c r="Z196" s="346"/>
      <c r="AA196" s="347"/>
      <c r="AB196" s="348"/>
      <c r="AC196" s="35"/>
      <c r="AD196" s="339"/>
      <c r="AE196" s="100"/>
      <c r="AF196" s="100"/>
      <c r="AG196" s="340"/>
      <c r="AH196" s="35"/>
      <c r="AI196" s="346"/>
      <c r="AJ196" s="347"/>
      <c r="AK196" s="348"/>
      <c r="AL196" s="35"/>
      <c r="AM196" s="339"/>
      <c r="AN196" s="100"/>
      <c r="AO196" s="100"/>
      <c r="AP196" s="340"/>
      <c r="AQ196" s="35"/>
      <c r="AR196" s="106"/>
      <c r="AS196" s="107"/>
      <c r="AT196" s="353"/>
      <c r="AU196" s="35"/>
      <c r="AV196" s="358"/>
      <c r="AW196" s="359"/>
      <c r="AX196" s="360"/>
      <c r="AY196" s="35"/>
      <c r="AZ196" s="106"/>
      <c r="BA196" s="107"/>
      <c r="BB196" s="353"/>
      <c r="BC196" s="35"/>
      <c r="BD196" s="106"/>
      <c r="BE196" s="107"/>
      <c r="BF196" s="353"/>
      <c r="BG196" s="35"/>
      <c r="BH196" s="106"/>
      <c r="BI196" s="107"/>
      <c r="BJ196" s="353"/>
      <c r="BK196" s="35"/>
      <c r="BL196" s="367"/>
      <c r="BM196" s="368"/>
      <c r="BN196" s="369"/>
    </row>
    <row r="197" spans="2:66" ht="15.6" x14ac:dyDescent="0.3">
      <c r="B197" s="306" t="s">
        <v>1521</v>
      </c>
      <c r="C197" s="111" t="s">
        <v>1945</v>
      </c>
      <c r="D197" s="111" t="s">
        <v>1965</v>
      </c>
      <c r="E197" s="385">
        <v>45473</v>
      </c>
      <c r="F197" s="35"/>
      <c r="G197" s="380">
        <v>256024.18776</v>
      </c>
      <c r="H197" s="112">
        <v>225638.52367</v>
      </c>
      <c r="I197" s="112">
        <v>970360.03333999997</v>
      </c>
      <c r="J197" s="381">
        <v>823421.09227000002</v>
      </c>
      <c r="K197" s="72"/>
      <c r="L197" s="380">
        <v>128896.26480999999</v>
      </c>
      <c r="M197" s="112">
        <v>101720.91342</v>
      </c>
      <c r="N197" s="112">
        <v>467287.84941999998</v>
      </c>
      <c r="O197" s="381">
        <v>370466.21732</v>
      </c>
      <c r="P197" s="35"/>
      <c r="Q197" s="382">
        <v>0.48156131061000002</v>
      </c>
      <c r="R197" s="383">
        <v>0.44999864124</v>
      </c>
      <c r="S197" s="384">
        <v>0.46541370894</v>
      </c>
      <c r="T197" s="35"/>
      <c r="U197" s="380">
        <v>63008.971096000001</v>
      </c>
      <c r="V197" s="112">
        <v>52060.772904999998</v>
      </c>
      <c r="W197" s="112">
        <v>249045.15865</v>
      </c>
      <c r="X197" s="381">
        <v>205109.19417999999</v>
      </c>
      <c r="Y197" s="35"/>
      <c r="Z197" s="382">
        <v>0.25665232500000001</v>
      </c>
      <c r="AA197" s="383">
        <v>0.25125572379</v>
      </c>
      <c r="AB197" s="384">
        <v>0.26790409876999999</v>
      </c>
      <c r="AC197" s="35"/>
      <c r="AD197" s="380">
        <v>122563.5536</v>
      </c>
      <c r="AE197" s="112">
        <v>108575.52955000001</v>
      </c>
      <c r="AF197" s="112">
        <v>482595.74862999999</v>
      </c>
      <c r="AG197" s="381">
        <v>409493.49151999998</v>
      </c>
      <c r="AH197" s="35"/>
      <c r="AI197" s="382">
        <v>0.49733679464000002</v>
      </c>
      <c r="AJ197" s="383">
        <v>0.49882127279999999</v>
      </c>
      <c r="AK197" s="384">
        <v>0.50827182038999996</v>
      </c>
      <c r="AL197" s="35"/>
      <c r="AM197" s="380">
        <v>41246.925172000003</v>
      </c>
      <c r="AN197" s="112">
        <v>30228.093538000001</v>
      </c>
      <c r="AO197" s="112">
        <v>168114.91592</v>
      </c>
      <c r="AP197" s="381">
        <v>125080.79247</v>
      </c>
      <c r="AQ197" s="35"/>
      <c r="AR197" s="113">
        <v>0.17325004137</v>
      </c>
      <c r="AS197" s="114">
        <v>0.16430732509000001</v>
      </c>
      <c r="AT197" s="376">
        <v>0.19192038299</v>
      </c>
      <c r="AU197" s="35"/>
      <c r="AV197" s="379">
        <v>0.47447159111999998</v>
      </c>
      <c r="AW197" s="377">
        <v>0.41101589224000001</v>
      </c>
      <c r="AX197" s="378">
        <v>0.36644295219</v>
      </c>
      <c r="AY197" s="35"/>
      <c r="AZ197" s="113">
        <v>0.15405137590000001</v>
      </c>
      <c r="BA197" s="114">
        <v>0.13855169467</v>
      </c>
      <c r="BB197" s="376">
        <v>0.13311741420000001</v>
      </c>
      <c r="BC197" s="35"/>
      <c r="BD197" s="113">
        <v>0.12634981813000001</v>
      </c>
      <c r="BE197" s="114">
        <v>0.12173560458</v>
      </c>
      <c r="BF197" s="376">
        <v>0.13639984991000001</v>
      </c>
      <c r="BG197" s="35"/>
      <c r="BH197" s="113">
        <v>7.5269479131999995E-2</v>
      </c>
      <c r="BI197" s="114">
        <v>7.1945659854000005E-2</v>
      </c>
      <c r="BJ197" s="376">
        <v>6.7837441883000005E-2</v>
      </c>
      <c r="BK197" s="35"/>
      <c r="BL197" s="373">
        <v>0.43445576425999999</v>
      </c>
      <c r="BM197" s="374">
        <v>0.43787250393999999</v>
      </c>
      <c r="BN197" s="375">
        <v>0.35346658247000001</v>
      </c>
    </row>
    <row r="198" spans="2:66" ht="15.6" x14ac:dyDescent="0.3">
      <c r="B198" s="283" t="s">
        <v>1522</v>
      </c>
      <c r="C198" s="99" t="s">
        <v>1946</v>
      </c>
      <c r="D198" s="99" t="s">
        <v>1966</v>
      </c>
      <c r="E198" s="334"/>
      <c r="F198" s="35"/>
      <c r="G198" s="339"/>
      <c r="H198" s="100"/>
      <c r="I198" s="100"/>
      <c r="J198" s="340"/>
      <c r="K198" s="72"/>
      <c r="L198" s="339"/>
      <c r="M198" s="100"/>
      <c r="N198" s="100"/>
      <c r="O198" s="340"/>
      <c r="P198" s="35"/>
      <c r="Q198" s="346"/>
      <c r="R198" s="347"/>
      <c r="S198" s="348"/>
      <c r="T198" s="35"/>
      <c r="U198" s="339"/>
      <c r="V198" s="100"/>
      <c r="W198" s="100"/>
      <c r="X198" s="340"/>
      <c r="Y198" s="35"/>
      <c r="Z198" s="346"/>
      <c r="AA198" s="347"/>
      <c r="AB198" s="348"/>
      <c r="AC198" s="35"/>
      <c r="AD198" s="339"/>
      <c r="AE198" s="100"/>
      <c r="AF198" s="100"/>
      <c r="AG198" s="340"/>
      <c r="AH198" s="35"/>
      <c r="AI198" s="346"/>
      <c r="AJ198" s="347"/>
      <c r="AK198" s="348"/>
      <c r="AL198" s="35"/>
      <c r="AM198" s="339"/>
      <c r="AN198" s="100"/>
      <c r="AO198" s="100"/>
      <c r="AP198" s="340"/>
      <c r="AQ198" s="35"/>
      <c r="AR198" s="106"/>
      <c r="AS198" s="107"/>
      <c r="AT198" s="353"/>
      <c r="AU198" s="35"/>
      <c r="AV198" s="358"/>
      <c r="AW198" s="359"/>
      <c r="AX198" s="360"/>
      <c r="AY198" s="35"/>
      <c r="AZ198" s="106"/>
      <c r="BA198" s="107"/>
      <c r="BB198" s="353"/>
      <c r="BC198" s="35"/>
      <c r="BD198" s="106"/>
      <c r="BE198" s="107"/>
      <c r="BF198" s="353"/>
      <c r="BG198" s="35"/>
      <c r="BH198" s="106"/>
      <c r="BI198" s="107"/>
      <c r="BJ198" s="353"/>
      <c r="BK198" s="35"/>
      <c r="BL198" s="367"/>
      <c r="BM198" s="368"/>
      <c r="BN198" s="369"/>
    </row>
    <row r="199" spans="2:66" ht="15.6" x14ac:dyDescent="0.3">
      <c r="B199" s="306" t="s">
        <v>601</v>
      </c>
      <c r="C199" s="111" t="s">
        <v>990</v>
      </c>
      <c r="D199" s="111" t="s">
        <v>226</v>
      </c>
      <c r="E199" s="385">
        <v>45473</v>
      </c>
      <c r="F199" s="35"/>
      <c r="G199" s="380">
        <v>196937.2825</v>
      </c>
      <c r="H199" s="112">
        <v>195302.68934000001</v>
      </c>
      <c r="I199" s="112">
        <v>780984.87112000003</v>
      </c>
      <c r="J199" s="381">
        <v>727628.01488999999</v>
      </c>
      <c r="K199" s="72"/>
      <c r="L199" s="380">
        <v>33102.717338000002</v>
      </c>
      <c r="M199" s="112">
        <v>26279.340921999999</v>
      </c>
      <c r="N199" s="112">
        <v>85548.806431000005</v>
      </c>
      <c r="O199" s="381">
        <v>194403.10595999999</v>
      </c>
      <c r="P199" s="35"/>
      <c r="Q199" s="382">
        <v>0.10953964615</v>
      </c>
      <c r="R199" s="383">
        <v>0.15206118570999999</v>
      </c>
      <c r="S199" s="384">
        <v>0.31103852057999998</v>
      </c>
      <c r="T199" s="35"/>
      <c r="U199" s="380">
        <v>31881.337062999999</v>
      </c>
      <c r="V199" s="112">
        <v>25829.549233000002</v>
      </c>
      <c r="W199" s="112">
        <v>86479.142926999994</v>
      </c>
      <c r="X199" s="381">
        <v>169873.76850999999</v>
      </c>
      <c r="Y199" s="35"/>
      <c r="Z199" s="382">
        <v>0.11073088112</v>
      </c>
      <c r="AA199" s="383">
        <v>0.1476769956</v>
      </c>
      <c r="AB199" s="384">
        <v>0.27610135304</v>
      </c>
      <c r="AC199" s="35"/>
      <c r="AD199" s="380">
        <v>70814.965985999996</v>
      </c>
      <c r="AE199" s="112">
        <v>69762.690925000003</v>
      </c>
      <c r="AF199" s="112">
        <v>233505.42801</v>
      </c>
      <c r="AG199" s="381">
        <v>343055.07497999998</v>
      </c>
      <c r="AH199" s="35"/>
      <c r="AI199" s="382">
        <v>0.29898841404999998</v>
      </c>
      <c r="AJ199" s="383">
        <v>0.35454323760000001</v>
      </c>
      <c r="AK199" s="384">
        <v>0.51246236597999995</v>
      </c>
      <c r="AL199" s="35"/>
      <c r="AM199" s="380">
        <v>-27370.158478000001</v>
      </c>
      <c r="AN199" s="112">
        <v>-83786.777369000003</v>
      </c>
      <c r="AO199" s="112">
        <v>-97881.033895</v>
      </c>
      <c r="AP199" s="381">
        <v>-94546.212975000002</v>
      </c>
      <c r="AQ199" s="35"/>
      <c r="AR199" s="113">
        <v>-0.12533025608000001</v>
      </c>
      <c r="AS199" s="114">
        <v>-0.15564946846</v>
      </c>
      <c r="AT199" s="376">
        <v>-2.5742862923000001E-2</v>
      </c>
      <c r="AU199" s="35"/>
      <c r="AV199" s="379">
        <v>-7.7121628090000005E-2</v>
      </c>
      <c r="AW199" s="377">
        <v>-9.4857477743000004E-2</v>
      </c>
      <c r="AX199" s="378">
        <v>-1.6069049477E-2</v>
      </c>
      <c r="AY199" s="35"/>
      <c r="AZ199" s="113">
        <v>-8.3293549767E-2</v>
      </c>
      <c r="BA199" s="114">
        <v>-9.6116699659999999E-2</v>
      </c>
      <c r="BB199" s="376">
        <v>-1.4670633428000001E-2</v>
      </c>
      <c r="BC199" s="35"/>
      <c r="BD199" s="113">
        <v>1.9754937037E-2</v>
      </c>
      <c r="BE199" s="114">
        <v>2.4756810346999999E-2</v>
      </c>
      <c r="BF199" s="376">
        <v>4.3280993552999997E-2</v>
      </c>
      <c r="BG199" s="35"/>
      <c r="BH199" s="113">
        <v>-3.1525082853E-2</v>
      </c>
      <c r="BI199" s="114">
        <v>-3.7711384739000001E-2</v>
      </c>
      <c r="BJ199" s="376">
        <v>-5.5913247556000001E-3</v>
      </c>
      <c r="BK199" s="35"/>
      <c r="BL199" s="373">
        <v>0.25153609223000001</v>
      </c>
      <c r="BM199" s="374">
        <v>0.24228405733</v>
      </c>
      <c r="BN199" s="375">
        <v>0.21719902609</v>
      </c>
    </row>
    <row r="200" spans="2:66" ht="15.6" x14ac:dyDescent="0.3">
      <c r="B200" s="283" t="s">
        <v>1125</v>
      </c>
      <c r="C200" s="99" t="s">
        <v>1146</v>
      </c>
      <c r="D200" s="99" t="s">
        <v>226</v>
      </c>
      <c r="E200" s="334"/>
      <c r="F200" s="35"/>
      <c r="G200" s="339"/>
      <c r="H200" s="100"/>
      <c r="I200" s="100"/>
      <c r="J200" s="340"/>
      <c r="K200" s="72"/>
      <c r="L200" s="339"/>
      <c r="M200" s="100"/>
      <c r="N200" s="100"/>
      <c r="O200" s="340"/>
      <c r="P200" s="35"/>
      <c r="Q200" s="346"/>
      <c r="R200" s="347"/>
      <c r="S200" s="348"/>
      <c r="T200" s="35"/>
      <c r="U200" s="339"/>
      <c r="V200" s="100"/>
      <c r="W200" s="100"/>
      <c r="X200" s="340"/>
      <c r="Y200" s="35"/>
      <c r="Z200" s="346"/>
      <c r="AA200" s="347"/>
      <c r="AB200" s="348"/>
      <c r="AC200" s="35"/>
      <c r="AD200" s="339"/>
      <c r="AE200" s="100"/>
      <c r="AF200" s="100"/>
      <c r="AG200" s="340"/>
      <c r="AH200" s="35"/>
      <c r="AI200" s="346"/>
      <c r="AJ200" s="347"/>
      <c r="AK200" s="348"/>
      <c r="AL200" s="35"/>
      <c r="AM200" s="339"/>
      <c r="AN200" s="100"/>
      <c r="AO200" s="100"/>
      <c r="AP200" s="340"/>
      <c r="AQ200" s="35"/>
      <c r="AR200" s="106"/>
      <c r="AS200" s="107"/>
      <c r="AT200" s="353"/>
      <c r="AU200" s="35"/>
      <c r="AV200" s="358"/>
      <c r="AW200" s="359"/>
      <c r="AX200" s="360"/>
      <c r="AY200" s="35"/>
      <c r="AZ200" s="106"/>
      <c r="BA200" s="107"/>
      <c r="BB200" s="353"/>
      <c r="BC200" s="35"/>
      <c r="BD200" s="106"/>
      <c r="BE200" s="107"/>
      <c r="BF200" s="353"/>
      <c r="BG200" s="35"/>
      <c r="BH200" s="106"/>
      <c r="BI200" s="107"/>
      <c r="BJ200" s="353"/>
      <c r="BK200" s="35"/>
      <c r="BL200" s="367"/>
      <c r="BM200" s="368"/>
      <c r="BN200" s="369"/>
    </row>
    <row r="201" spans="2:66" ht="15.6" x14ac:dyDescent="0.3">
      <c r="B201" s="306" t="s">
        <v>64</v>
      </c>
      <c r="C201" s="111" t="s">
        <v>24</v>
      </c>
      <c r="D201" s="111" t="s">
        <v>234</v>
      </c>
      <c r="E201" s="385"/>
      <c r="F201" s="35"/>
      <c r="G201" s="380">
        <v>51921206.691</v>
      </c>
      <c r="H201" s="112">
        <v>49956166.211999997</v>
      </c>
      <c r="I201" s="112">
        <v>210849175.16999999</v>
      </c>
      <c r="J201" s="381">
        <v>215914654.97999999</v>
      </c>
      <c r="K201" s="72"/>
      <c r="L201" s="380">
        <v>18667949.467</v>
      </c>
      <c r="M201" s="112">
        <v>19248992.223999999</v>
      </c>
      <c r="N201" s="112">
        <v>85736479.488999993</v>
      </c>
      <c r="O201" s="381">
        <v>84403933.407000005</v>
      </c>
      <c r="P201" s="35"/>
      <c r="Q201" s="382">
        <v>0.40662468526000001</v>
      </c>
      <c r="R201" s="383">
        <v>0.42318302846</v>
      </c>
      <c r="S201" s="384">
        <v>0.4516970703</v>
      </c>
      <c r="T201" s="35"/>
      <c r="U201" s="380">
        <v>21038450.872000001</v>
      </c>
      <c r="V201" s="112">
        <v>14861954.218</v>
      </c>
      <c r="W201" s="112">
        <v>70334241.950000003</v>
      </c>
      <c r="X201" s="381">
        <v>65733394.215999998</v>
      </c>
      <c r="Y201" s="35"/>
      <c r="Z201" s="382">
        <v>0.33357608297000002</v>
      </c>
      <c r="AA201" s="383">
        <v>0.31370815029999999</v>
      </c>
      <c r="AB201" s="384">
        <v>0.39877620215999998</v>
      </c>
      <c r="AC201" s="35"/>
      <c r="AD201" s="380">
        <v>25190340.927999999</v>
      </c>
      <c r="AE201" s="112">
        <v>18890204.899999999</v>
      </c>
      <c r="AF201" s="112">
        <v>86107811.208000004</v>
      </c>
      <c r="AG201" s="381">
        <v>82535728.857999995</v>
      </c>
      <c r="AH201" s="35"/>
      <c r="AI201" s="382">
        <v>0.40838581009000002</v>
      </c>
      <c r="AJ201" s="383">
        <v>0.38724250959000001</v>
      </c>
      <c r="AK201" s="384">
        <v>0.47111801791000002</v>
      </c>
      <c r="AL201" s="35"/>
      <c r="AM201" s="380">
        <v>14644520.112</v>
      </c>
      <c r="AN201" s="112">
        <v>4783482.3085000003</v>
      </c>
      <c r="AO201" s="112">
        <v>48904387.375</v>
      </c>
      <c r="AP201" s="381">
        <v>59559741.781000003</v>
      </c>
      <c r="AQ201" s="35"/>
      <c r="AR201" s="113">
        <v>0.23316340859000001</v>
      </c>
      <c r="AS201" s="114">
        <v>0.19490930762</v>
      </c>
      <c r="AT201" s="376">
        <v>0.42531389619999999</v>
      </c>
      <c r="AU201" s="35"/>
      <c r="AV201" s="379">
        <v>11.315219997</v>
      </c>
      <c r="AW201" s="377">
        <v>9.0954611952000004</v>
      </c>
      <c r="AX201" s="378">
        <v>20.512231513</v>
      </c>
      <c r="AY201" s="35"/>
      <c r="AZ201" s="113">
        <v>0.24046929458999999</v>
      </c>
      <c r="BA201" s="114">
        <v>0.20626673685999999</v>
      </c>
      <c r="BB201" s="376">
        <v>0.49157549903999997</v>
      </c>
      <c r="BC201" s="35"/>
      <c r="BD201" s="113">
        <v>0.12661122728999999</v>
      </c>
      <c r="BE201" s="114">
        <v>0.11791591964000001</v>
      </c>
      <c r="BF201" s="376">
        <v>0.167217118</v>
      </c>
      <c r="BG201" s="35"/>
      <c r="BH201" s="113">
        <v>0.10173983297</v>
      </c>
      <c r="BI201" s="114">
        <v>8.8937331134E-2</v>
      </c>
      <c r="BJ201" s="376">
        <v>0.21248293401000001</v>
      </c>
      <c r="BK201" s="35"/>
      <c r="BL201" s="373">
        <v>0.43634562382999997</v>
      </c>
      <c r="BM201" s="374">
        <v>0.45630109827999998</v>
      </c>
      <c r="BN201" s="375">
        <v>0.49959085726000002</v>
      </c>
    </row>
    <row r="202" spans="2:66" ht="15.6" x14ac:dyDescent="0.3">
      <c r="B202" s="283" t="s">
        <v>603</v>
      </c>
      <c r="C202" s="99" t="s">
        <v>991</v>
      </c>
      <c r="D202" s="99" t="s">
        <v>226</v>
      </c>
      <c r="E202" s="334"/>
      <c r="F202" s="35"/>
      <c r="G202" s="339"/>
      <c r="H202" s="100"/>
      <c r="I202" s="100"/>
      <c r="J202" s="340"/>
      <c r="K202" s="72"/>
      <c r="L202" s="339"/>
      <c r="M202" s="100"/>
      <c r="N202" s="100"/>
      <c r="O202" s="340"/>
      <c r="P202" s="35"/>
      <c r="Q202" s="346"/>
      <c r="R202" s="347"/>
      <c r="S202" s="348"/>
      <c r="T202" s="35"/>
      <c r="U202" s="339"/>
      <c r="V202" s="100"/>
      <c r="W202" s="100"/>
      <c r="X202" s="340"/>
      <c r="Y202" s="35"/>
      <c r="Z202" s="346"/>
      <c r="AA202" s="347"/>
      <c r="AB202" s="348"/>
      <c r="AC202" s="35"/>
      <c r="AD202" s="339"/>
      <c r="AE202" s="100"/>
      <c r="AF202" s="100"/>
      <c r="AG202" s="340"/>
      <c r="AH202" s="35"/>
      <c r="AI202" s="346"/>
      <c r="AJ202" s="347"/>
      <c r="AK202" s="348"/>
      <c r="AL202" s="35"/>
      <c r="AM202" s="339"/>
      <c r="AN202" s="100"/>
      <c r="AO202" s="100"/>
      <c r="AP202" s="340"/>
      <c r="AQ202" s="35"/>
      <c r="AR202" s="106"/>
      <c r="AS202" s="107"/>
      <c r="AT202" s="353"/>
      <c r="AU202" s="35"/>
      <c r="AV202" s="358"/>
      <c r="AW202" s="359"/>
      <c r="AX202" s="360"/>
      <c r="AY202" s="35"/>
      <c r="AZ202" s="106"/>
      <c r="BA202" s="107"/>
      <c r="BB202" s="353"/>
      <c r="BC202" s="35"/>
      <c r="BD202" s="106"/>
      <c r="BE202" s="107"/>
      <c r="BF202" s="353"/>
      <c r="BG202" s="35"/>
      <c r="BH202" s="106"/>
      <c r="BI202" s="107"/>
      <c r="BJ202" s="353"/>
      <c r="BK202" s="35"/>
      <c r="BL202" s="367"/>
      <c r="BM202" s="368"/>
      <c r="BN202" s="369"/>
    </row>
    <row r="203" spans="2:66" ht="15.6" x14ac:dyDescent="0.3">
      <c r="B203" s="306" t="s">
        <v>1524</v>
      </c>
      <c r="C203" s="111" t="s">
        <v>1947</v>
      </c>
      <c r="D203" s="111" t="s">
        <v>226</v>
      </c>
      <c r="E203" s="385"/>
      <c r="F203" s="35"/>
      <c r="G203" s="380"/>
      <c r="H203" s="112"/>
      <c r="I203" s="112"/>
      <c r="J203" s="381"/>
      <c r="K203" s="72"/>
      <c r="L203" s="380"/>
      <c r="M203" s="112"/>
      <c r="N203" s="112"/>
      <c r="O203" s="381"/>
      <c r="P203" s="35"/>
      <c r="Q203" s="382"/>
      <c r="R203" s="383"/>
      <c r="S203" s="384"/>
      <c r="T203" s="35"/>
      <c r="U203" s="380"/>
      <c r="V203" s="112"/>
      <c r="W203" s="112"/>
      <c r="X203" s="381"/>
      <c r="Y203" s="35"/>
      <c r="Z203" s="382"/>
      <c r="AA203" s="383"/>
      <c r="AB203" s="384"/>
      <c r="AC203" s="35"/>
      <c r="AD203" s="380"/>
      <c r="AE203" s="112"/>
      <c r="AF203" s="112"/>
      <c r="AG203" s="381"/>
      <c r="AH203" s="35"/>
      <c r="AI203" s="382"/>
      <c r="AJ203" s="383"/>
      <c r="AK203" s="384"/>
      <c r="AL203" s="35"/>
      <c r="AM203" s="380"/>
      <c r="AN203" s="112"/>
      <c r="AO203" s="112"/>
      <c r="AP203" s="381"/>
      <c r="AQ203" s="35"/>
      <c r="AR203" s="113"/>
      <c r="AS203" s="114"/>
      <c r="AT203" s="376"/>
      <c r="AU203" s="35"/>
      <c r="AV203" s="379"/>
      <c r="AW203" s="377"/>
      <c r="AX203" s="378"/>
      <c r="AY203" s="35"/>
      <c r="AZ203" s="113"/>
      <c r="BA203" s="114"/>
      <c r="BB203" s="376"/>
      <c r="BC203" s="35"/>
      <c r="BD203" s="113"/>
      <c r="BE203" s="114"/>
      <c r="BF203" s="376"/>
      <c r="BG203" s="35"/>
      <c r="BH203" s="113"/>
      <c r="BI203" s="114"/>
      <c r="BJ203" s="376"/>
      <c r="BK203" s="35"/>
      <c r="BL203" s="373"/>
      <c r="BM203" s="374"/>
      <c r="BN203" s="375"/>
    </row>
    <row r="204" spans="2:66" ht="15.6" x14ac:dyDescent="0.3">
      <c r="B204" s="283" t="s">
        <v>66</v>
      </c>
      <c r="C204" s="99" t="s">
        <v>100</v>
      </c>
      <c r="D204" s="99" t="s">
        <v>226</v>
      </c>
      <c r="E204" s="334"/>
      <c r="F204" s="35"/>
      <c r="G204" s="339"/>
      <c r="H204" s="100"/>
      <c r="I204" s="100"/>
      <c r="J204" s="340"/>
      <c r="K204" s="72"/>
      <c r="L204" s="339"/>
      <c r="M204" s="100"/>
      <c r="N204" s="100"/>
      <c r="O204" s="340"/>
      <c r="P204" s="35"/>
      <c r="Q204" s="346"/>
      <c r="R204" s="347"/>
      <c r="S204" s="348"/>
      <c r="T204" s="35"/>
      <c r="U204" s="339"/>
      <c r="V204" s="100"/>
      <c r="W204" s="100"/>
      <c r="X204" s="340"/>
      <c r="Y204" s="35"/>
      <c r="Z204" s="346"/>
      <c r="AA204" s="347"/>
      <c r="AB204" s="348"/>
      <c r="AC204" s="35"/>
      <c r="AD204" s="339"/>
      <c r="AE204" s="100"/>
      <c r="AF204" s="100"/>
      <c r="AG204" s="340"/>
      <c r="AH204" s="35"/>
      <c r="AI204" s="346"/>
      <c r="AJ204" s="347"/>
      <c r="AK204" s="348"/>
      <c r="AL204" s="35"/>
      <c r="AM204" s="339"/>
      <c r="AN204" s="100"/>
      <c r="AO204" s="100"/>
      <c r="AP204" s="340"/>
      <c r="AQ204" s="35"/>
      <c r="AR204" s="106"/>
      <c r="AS204" s="107"/>
      <c r="AT204" s="353"/>
      <c r="AU204" s="35"/>
      <c r="AV204" s="358"/>
      <c r="AW204" s="359"/>
      <c r="AX204" s="360"/>
      <c r="AY204" s="35"/>
      <c r="AZ204" s="106"/>
      <c r="BA204" s="107"/>
      <c r="BB204" s="353"/>
      <c r="BC204" s="35"/>
      <c r="BD204" s="106"/>
      <c r="BE204" s="107"/>
      <c r="BF204" s="353"/>
      <c r="BG204" s="35"/>
      <c r="BH204" s="106"/>
      <c r="BI204" s="107"/>
      <c r="BJ204" s="353"/>
      <c r="BK204" s="35"/>
      <c r="BL204" s="367"/>
      <c r="BM204" s="368"/>
      <c r="BN204" s="369"/>
    </row>
    <row r="205" spans="2:66" ht="15.6" x14ac:dyDescent="0.3">
      <c r="B205" s="306" t="s">
        <v>67</v>
      </c>
      <c r="C205" s="111" t="s">
        <v>101</v>
      </c>
      <c r="D205" s="111" t="s">
        <v>103</v>
      </c>
      <c r="E205" s="385"/>
      <c r="F205" s="35"/>
      <c r="G205" s="380"/>
      <c r="H205" s="112"/>
      <c r="I205" s="112"/>
      <c r="J205" s="381"/>
      <c r="K205" s="72"/>
      <c r="L205" s="380"/>
      <c r="M205" s="112"/>
      <c r="N205" s="112"/>
      <c r="O205" s="381"/>
      <c r="P205" s="35"/>
      <c r="Q205" s="382"/>
      <c r="R205" s="383"/>
      <c r="S205" s="384"/>
      <c r="T205" s="35"/>
      <c r="U205" s="380"/>
      <c r="V205" s="112"/>
      <c r="W205" s="112"/>
      <c r="X205" s="381"/>
      <c r="Y205" s="35"/>
      <c r="Z205" s="382"/>
      <c r="AA205" s="383"/>
      <c r="AB205" s="384"/>
      <c r="AC205" s="35"/>
      <c r="AD205" s="380"/>
      <c r="AE205" s="112"/>
      <c r="AF205" s="112"/>
      <c r="AG205" s="381"/>
      <c r="AH205" s="35"/>
      <c r="AI205" s="382"/>
      <c r="AJ205" s="383"/>
      <c r="AK205" s="384"/>
      <c r="AL205" s="35"/>
      <c r="AM205" s="380"/>
      <c r="AN205" s="112"/>
      <c r="AO205" s="112"/>
      <c r="AP205" s="381"/>
      <c r="AQ205" s="35"/>
      <c r="AR205" s="113"/>
      <c r="AS205" s="114"/>
      <c r="AT205" s="376"/>
      <c r="AU205" s="35"/>
      <c r="AV205" s="379"/>
      <c r="AW205" s="377"/>
      <c r="AX205" s="378"/>
      <c r="AY205" s="35"/>
      <c r="AZ205" s="113"/>
      <c r="BA205" s="114"/>
      <c r="BB205" s="376"/>
      <c r="BC205" s="35"/>
      <c r="BD205" s="113"/>
      <c r="BE205" s="114"/>
      <c r="BF205" s="376"/>
      <c r="BG205" s="35"/>
      <c r="BH205" s="113"/>
      <c r="BI205" s="114"/>
      <c r="BJ205" s="376"/>
      <c r="BK205" s="35"/>
      <c r="BL205" s="373"/>
      <c r="BM205" s="374"/>
      <c r="BN205" s="375"/>
    </row>
    <row r="206" spans="2:66" ht="15.6" x14ac:dyDescent="0.3">
      <c r="B206" s="283" t="s">
        <v>1525</v>
      </c>
      <c r="C206" s="99" t="s">
        <v>1948</v>
      </c>
      <c r="D206" s="99" t="s">
        <v>226</v>
      </c>
      <c r="E206" s="334"/>
      <c r="F206" s="35"/>
      <c r="G206" s="339"/>
      <c r="H206" s="100"/>
      <c r="I206" s="100"/>
      <c r="J206" s="340"/>
      <c r="K206" s="72"/>
      <c r="L206" s="339"/>
      <c r="M206" s="100"/>
      <c r="N206" s="100"/>
      <c r="O206" s="340"/>
      <c r="P206" s="35"/>
      <c r="Q206" s="346"/>
      <c r="R206" s="347"/>
      <c r="S206" s="348"/>
      <c r="T206" s="35"/>
      <c r="U206" s="339"/>
      <c r="V206" s="100"/>
      <c r="W206" s="100"/>
      <c r="X206" s="340"/>
      <c r="Y206" s="35"/>
      <c r="Z206" s="346"/>
      <c r="AA206" s="347"/>
      <c r="AB206" s="348"/>
      <c r="AC206" s="35"/>
      <c r="AD206" s="339"/>
      <c r="AE206" s="100"/>
      <c r="AF206" s="100"/>
      <c r="AG206" s="340"/>
      <c r="AH206" s="35"/>
      <c r="AI206" s="346"/>
      <c r="AJ206" s="347"/>
      <c r="AK206" s="348"/>
      <c r="AL206" s="35"/>
      <c r="AM206" s="339"/>
      <c r="AN206" s="100"/>
      <c r="AO206" s="100"/>
      <c r="AP206" s="340"/>
      <c r="AQ206" s="35"/>
      <c r="AR206" s="106"/>
      <c r="AS206" s="107"/>
      <c r="AT206" s="353"/>
      <c r="AU206" s="35"/>
      <c r="AV206" s="358"/>
      <c r="AW206" s="359"/>
      <c r="AX206" s="360"/>
      <c r="AY206" s="35"/>
      <c r="AZ206" s="106"/>
      <c r="BA206" s="107"/>
      <c r="BB206" s="353"/>
      <c r="BC206" s="35"/>
      <c r="BD206" s="106"/>
      <c r="BE206" s="107"/>
      <c r="BF206" s="353"/>
      <c r="BG206" s="35"/>
      <c r="BH206" s="106"/>
      <c r="BI206" s="107"/>
      <c r="BJ206" s="353"/>
      <c r="BK206" s="35"/>
      <c r="BL206" s="367"/>
      <c r="BM206" s="368"/>
      <c r="BN206" s="369"/>
    </row>
    <row r="207" spans="2:66" ht="15.6" x14ac:dyDescent="0.3">
      <c r="B207" s="306" t="s">
        <v>1526</v>
      </c>
      <c r="C207" s="111" t="s">
        <v>1949</v>
      </c>
      <c r="D207" s="111" t="s">
        <v>227</v>
      </c>
      <c r="E207" s="385"/>
      <c r="F207" s="35"/>
      <c r="G207" s="380">
        <v>413615.36205</v>
      </c>
      <c r="H207" s="112">
        <v>222705.46345000001</v>
      </c>
      <c r="I207" s="112">
        <v>1328689.1205</v>
      </c>
      <c r="J207" s="381">
        <v>822803.93622999999</v>
      </c>
      <c r="K207" s="72"/>
      <c r="L207" s="380">
        <v>233960.05846999999</v>
      </c>
      <c r="M207" s="112">
        <v>154308.88402999999</v>
      </c>
      <c r="N207" s="112">
        <v>788593.15696000005</v>
      </c>
      <c r="O207" s="381">
        <v>577230.22649999999</v>
      </c>
      <c r="P207" s="35"/>
      <c r="Q207" s="382">
        <v>0.59351216534999995</v>
      </c>
      <c r="R207" s="383">
        <v>0.64732551749</v>
      </c>
      <c r="S207" s="384">
        <v>0.68871228977999999</v>
      </c>
      <c r="T207" s="35"/>
      <c r="U207" s="380">
        <v>74245.268188999995</v>
      </c>
      <c r="V207" s="112">
        <v>69101.601745000007</v>
      </c>
      <c r="W207" s="112">
        <v>273997.64656000002</v>
      </c>
      <c r="X207" s="381">
        <v>261817.46586</v>
      </c>
      <c r="Y207" s="35"/>
      <c r="Z207" s="382">
        <v>0.20621651998000001</v>
      </c>
      <c r="AA207" s="383">
        <v>0.24719336351999999</v>
      </c>
      <c r="AB207" s="384">
        <v>0.27835315585999998</v>
      </c>
      <c r="AC207" s="35"/>
      <c r="AD207" s="380">
        <v>194973.23879</v>
      </c>
      <c r="AE207" s="112">
        <v>119844.38039000001</v>
      </c>
      <c r="AF207" s="112">
        <v>638809.98476000002</v>
      </c>
      <c r="AG207" s="381">
        <v>443607.57604000001</v>
      </c>
      <c r="AH207" s="35"/>
      <c r="AI207" s="382">
        <v>0.48078212948999999</v>
      </c>
      <c r="AJ207" s="383">
        <v>0.48431598322000002</v>
      </c>
      <c r="AK207" s="384">
        <v>0.48466124645000003</v>
      </c>
      <c r="AL207" s="35"/>
      <c r="AM207" s="380">
        <v>30121.023995</v>
      </c>
      <c r="AN207" s="112">
        <v>19322.214126999999</v>
      </c>
      <c r="AO207" s="112">
        <v>-5523.8102179999996</v>
      </c>
      <c r="AP207" s="381">
        <v>87598.500425000006</v>
      </c>
      <c r="AQ207" s="35"/>
      <c r="AR207" s="113">
        <v>1.5182140363000001E-4</v>
      </c>
      <c r="AS207" s="114">
        <v>4.7453309955999999E-3</v>
      </c>
      <c r="AT207" s="376">
        <v>7.1639058704999994E-2</v>
      </c>
      <c r="AU207" s="35"/>
      <c r="AV207" s="379">
        <v>-4.8037706989999998E-2</v>
      </c>
      <c r="AW207" s="377">
        <v>4.6559838219999997E-2</v>
      </c>
      <c r="AX207" s="378">
        <v>0.57880602999999997</v>
      </c>
      <c r="AY207" s="35"/>
      <c r="AZ207" s="113">
        <v>1.0119811519E-4</v>
      </c>
      <c r="BA207" s="114">
        <v>2.2008191882E-3</v>
      </c>
      <c r="BB207" s="376">
        <v>6.2071617703000001E-2</v>
      </c>
      <c r="BC207" s="35"/>
      <c r="BD207" s="113">
        <v>4.6828041017999998E-2</v>
      </c>
      <c r="BE207" s="114">
        <v>4.0426707116E-2</v>
      </c>
      <c r="BF207" s="376">
        <v>7.8776569606000005E-2</v>
      </c>
      <c r="BG207" s="35"/>
      <c r="BH207" s="113">
        <v>2.8526714414000002E-5</v>
      </c>
      <c r="BI207" s="114">
        <v>6.6404760513E-4</v>
      </c>
      <c r="BJ207" s="376">
        <v>2.1504864357000001E-2</v>
      </c>
      <c r="BK207" s="35"/>
      <c r="BL207" s="373">
        <v>0.18789652665000001</v>
      </c>
      <c r="BM207" s="374">
        <v>0.13993704670000001</v>
      </c>
      <c r="BN207" s="375">
        <v>0.30018351365000001</v>
      </c>
    </row>
    <row r="208" spans="2:66" ht="15.6" x14ac:dyDescent="0.3">
      <c r="B208" s="283" t="s">
        <v>1527</v>
      </c>
      <c r="C208" s="99" t="s">
        <v>1950</v>
      </c>
      <c r="D208" s="99" t="s">
        <v>228</v>
      </c>
      <c r="E208" s="334"/>
      <c r="F208" s="35"/>
      <c r="G208" s="339">
        <v>199014.73293</v>
      </c>
      <c r="H208" s="100">
        <v>317100.00248999998</v>
      </c>
      <c r="I208" s="100">
        <v>887343.30779999995</v>
      </c>
      <c r="J208" s="340">
        <v>1079751.0995</v>
      </c>
      <c r="K208" s="72"/>
      <c r="L208" s="339">
        <v>-115684.88441</v>
      </c>
      <c r="M208" s="100">
        <v>32724.960425000001</v>
      </c>
      <c r="N208" s="100">
        <v>-139025.59194000001</v>
      </c>
      <c r="O208" s="340">
        <v>-5259.4246768000003</v>
      </c>
      <c r="P208" s="35"/>
      <c r="Q208" s="346">
        <v>-0.15667621621</v>
      </c>
      <c r="R208" s="347">
        <v>9.1057375093999998E-2</v>
      </c>
      <c r="S208" s="348">
        <v>-2.6004193413999999E-2</v>
      </c>
      <c r="T208" s="35"/>
      <c r="U208" s="339">
        <v>-126386.26311</v>
      </c>
      <c r="V208" s="100">
        <v>19570.122568999999</v>
      </c>
      <c r="W208" s="100">
        <v>-176438.76801999999</v>
      </c>
      <c r="X208" s="340">
        <v>-64081.717293000002</v>
      </c>
      <c r="Y208" s="35"/>
      <c r="Z208" s="346">
        <v>-0.19883935166</v>
      </c>
      <c r="AA208" s="347">
        <v>4.9228892238999997E-2</v>
      </c>
      <c r="AB208" s="348">
        <v>-9.9536139474000002E-2</v>
      </c>
      <c r="AC208" s="35"/>
      <c r="AD208" s="339">
        <v>88115.009688000006</v>
      </c>
      <c r="AE208" s="100">
        <v>41623.513671000001</v>
      </c>
      <c r="AF208" s="100">
        <v>331469.76065000001</v>
      </c>
      <c r="AG208" s="340">
        <v>-20869.288331</v>
      </c>
      <c r="AH208" s="35"/>
      <c r="AI208" s="346">
        <v>0.37355300675000003</v>
      </c>
      <c r="AJ208" s="347">
        <v>0.15792411398</v>
      </c>
      <c r="AK208" s="348">
        <v>-7.7784599255999995E-2</v>
      </c>
      <c r="AL208" s="35"/>
      <c r="AM208" s="339">
        <v>-171717.83718999999</v>
      </c>
      <c r="AN208" s="100">
        <v>-12378.685685</v>
      </c>
      <c r="AO208" s="100">
        <v>-333131.72099</v>
      </c>
      <c r="AP208" s="340">
        <v>-130204.23362</v>
      </c>
      <c r="AQ208" s="35"/>
      <c r="AR208" s="106">
        <v>-0.37542596880000001</v>
      </c>
      <c r="AS208" s="107">
        <v>-7.1215151180999997E-2</v>
      </c>
      <c r="AT208" s="353">
        <v>-8.1653095514999996E-2</v>
      </c>
      <c r="AU208" s="35"/>
      <c r="AV208" s="358">
        <v>-0.97568125616000001</v>
      </c>
      <c r="AW208" s="359">
        <v>-0.28820156352999998</v>
      </c>
      <c r="AX208" s="360">
        <v>-0.12845602725999999</v>
      </c>
      <c r="AY208" s="35"/>
      <c r="AZ208" s="106"/>
      <c r="BA208" s="107">
        <v>-0.31436889607000001</v>
      </c>
      <c r="BB208" s="353"/>
      <c r="BC208" s="35"/>
      <c r="BD208" s="106">
        <v>-0.11511506847</v>
      </c>
      <c r="BE208" s="107">
        <v>3.5412030434E-2</v>
      </c>
      <c r="BF208" s="353"/>
      <c r="BG208" s="35"/>
      <c r="BH208" s="106">
        <v>-0.3086786789</v>
      </c>
      <c r="BI208" s="107">
        <v>-5.3649763614999998E-2</v>
      </c>
      <c r="BJ208" s="353">
        <v>-4.0288358571999999E-2</v>
      </c>
      <c r="BK208" s="35"/>
      <c r="BL208" s="367">
        <v>0.82220918251999997</v>
      </c>
      <c r="BM208" s="368">
        <v>0.75334760547000001</v>
      </c>
      <c r="BN208" s="369">
        <v>0.49340883303999999</v>
      </c>
    </row>
    <row r="209" spans="2:66" ht="15.6" x14ac:dyDescent="0.3">
      <c r="B209" s="306" t="s">
        <v>1528</v>
      </c>
      <c r="C209" s="111" t="s">
        <v>1951</v>
      </c>
      <c r="D209" s="111" t="s">
        <v>228</v>
      </c>
      <c r="E209" s="385"/>
      <c r="F209" s="35"/>
      <c r="G209" s="380"/>
      <c r="H209" s="112"/>
      <c r="I209" s="112"/>
      <c r="J209" s="381"/>
      <c r="K209" s="72"/>
      <c r="L209" s="380"/>
      <c r="M209" s="112"/>
      <c r="N209" s="112"/>
      <c r="O209" s="381"/>
      <c r="P209" s="35"/>
      <c r="Q209" s="382"/>
      <c r="R209" s="383"/>
      <c r="S209" s="384"/>
      <c r="T209" s="35"/>
      <c r="U209" s="380"/>
      <c r="V209" s="112"/>
      <c r="W209" s="112"/>
      <c r="X209" s="381"/>
      <c r="Y209" s="35"/>
      <c r="Z209" s="382"/>
      <c r="AA209" s="383"/>
      <c r="AB209" s="384"/>
      <c r="AC209" s="35"/>
      <c r="AD209" s="380"/>
      <c r="AE209" s="112"/>
      <c r="AF209" s="112"/>
      <c r="AG209" s="381"/>
      <c r="AH209" s="35"/>
      <c r="AI209" s="382"/>
      <c r="AJ209" s="383"/>
      <c r="AK209" s="384"/>
      <c r="AL209" s="35"/>
      <c r="AM209" s="380"/>
      <c r="AN209" s="112"/>
      <c r="AO209" s="112"/>
      <c r="AP209" s="381"/>
      <c r="AQ209" s="35"/>
      <c r="AR209" s="113"/>
      <c r="AS209" s="114"/>
      <c r="AT209" s="376"/>
      <c r="AU209" s="35"/>
      <c r="AV209" s="379"/>
      <c r="AW209" s="377"/>
      <c r="AX209" s="378"/>
      <c r="AY209" s="35"/>
      <c r="AZ209" s="113"/>
      <c r="BA209" s="114"/>
      <c r="BB209" s="376"/>
      <c r="BC209" s="35"/>
      <c r="BD209" s="113"/>
      <c r="BE209" s="114"/>
      <c r="BF209" s="376"/>
      <c r="BG209" s="35"/>
      <c r="BH209" s="113"/>
      <c r="BI209" s="114"/>
      <c r="BJ209" s="376"/>
      <c r="BK209" s="35"/>
      <c r="BL209" s="373"/>
      <c r="BM209" s="374"/>
      <c r="BN209" s="375"/>
    </row>
    <row r="210" spans="2:66" ht="15.6" x14ac:dyDescent="0.3">
      <c r="B210" s="283" t="s">
        <v>604</v>
      </c>
      <c r="C210" s="99" t="s">
        <v>992</v>
      </c>
      <c r="D210" s="99" t="s">
        <v>228</v>
      </c>
      <c r="E210" s="334"/>
      <c r="F210" s="35"/>
      <c r="G210" s="339">
        <v>248387.80115000001</v>
      </c>
      <c r="H210" s="100">
        <v>245332.07745000001</v>
      </c>
      <c r="I210" s="100">
        <v>952999.77368999994</v>
      </c>
      <c r="J210" s="340">
        <v>858880.36774999998</v>
      </c>
      <c r="K210" s="72"/>
      <c r="L210" s="339">
        <v>82770.843733999995</v>
      </c>
      <c r="M210" s="100">
        <v>56576.472254</v>
      </c>
      <c r="N210" s="100">
        <v>301395.90581000003</v>
      </c>
      <c r="O210" s="340">
        <v>221745.21049999999</v>
      </c>
      <c r="P210" s="35"/>
      <c r="Q210" s="346">
        <v>0.31626020712000003</v>
      </c>
      <c r="R210" s="347">
        <v>0.28420376881999998</v>
      </c>
      <c r="S210" s="348">
        <v>0.24093199938000001</v>
      </c>
      <c r="T210" s="35"/>
      <c r="U210" s="339">
        <v>75980.491274999993</v>
      </c>
      <c r="V210" s="100">
        <v>50694.661403999999</v>
      </c>
      <c r="W210" s="100">
        <v>269967.19201</v>
      </c>
      <c r="X210" s="340">
        <v>197721.10417999999</v>
      </c>
      <c r="Y210" s="35"/>
      <c r="Z210" s="346">
        <v>0.28328148596000002</v>
      </c>
      <c r="AA210" s="347">
        <v>0.25110082108999998</v>
      </c>
      <c r="AB210" s="348">
        <v>0.20977624223999999</v>
      </c>
      <c r="AC210" s="35"/>
      <c r="AD210" s="339">
        <v>111474.7856</v>
      </c>
      <c r="AE210" s="100">
        <v>84003.304996000006</v>
      </c>
      <c r="AF210" s="100">
        <v>404810.78591999999</v>
      </c>
      <c r="AG210" s="340">
        <v>324056.08325000003</v>
      </c>
      <c r="AH210" s="35"/>
      <c r="AI210" s="346">
        <v>0.42477532219000003</v>
      </c>
      <c r="AJ210" s="347">
        <v>0.39291040330999999</v>
      </c>
      <c r="AK210" s="348">
        <v>0.34918278833999999</v>
      </c>
      <c r="AL210" s="35"/>
      <c r="AM210" s="339">
        <v>25309.769238000001</v>
      </c>
      <c r="AN210" s="100">
        <v>9192.4868853999997</v>
      </c>
      <c r="AO210" s="100">
        <v>104496.76008000001</v>
      </c>
      <c r="AP210" s="340">
        <v>58390.283389999997</v>
      </c>
      <c r="AQ210" s="35"/>
      <c r="AR210" s="106">
        <v>0.10965035141</v>
      </c>
      <c r="AS210" s="107">
        <v>8.5198919915999996E-2</v>
      </c>
      <c r="AT210" s="353">
        <v>3.0029139302000001E-2</v>
      </c>
      <c r="AU210" s="35"/>
      <c r="AV210" s="358">
        <v>7.1743117132999995E-2</v>
      </c>
      <c r="AW210" s="359">
        <v>5.4938433400999999E-2</v>
      </c>
      <c r="AX210" s="360">
        <v>1.6875988434000001E-2</v>
      </c>
      <c r="AY210" s="35"/>
      <c r="AZ210" s="106">
        <v>6.7575289802999997E-2</v>
      </c>
      <c r="BA210" s="107">
        <v>5.2076528043000003E-2</v>
      </c>
      <c r="BB210" s="353">
        <v>1.6870017761E-2</v>
      </c>
      <c r="BC210" s="35"/>
      <c r="BD210" s="106">
        <v>5.0652903922000003E-2</v>
      </c>
      <c r="BE210" s="107">
        <v>4.4984487902999998E-2</v>
      </c>
      <c r="BF210" s="353">
        <v>3.6088953307000002E-2</v>
      </c>
      <c r="BG210" s="35"/>
      <c r="BH210" s="106">
        <v>2.5849803412000001E-2</v>
      </c>
      <c r="BI210" s="107">
        <v>2.0370482698E-2</v>
      </c>
      <c r="BJ210" s="353">
        <v>6.8508646714999996E-3</v>
      </c>
      <c r="BK210" s="35"/>
      <c r="BL210" s="367">
        <v>0.23574756558000001</v>
      </c>
      <c r="BM210" s="368">
        <v>0.23909320350999999</v>
      </c>
      <c r="BN210" s="369">
        <v>0.22814056049000001</v>
      </c>
    </row>
    <row r="211" spans="2:66" ht="15.6" x14ac:dyDescent="0.3">
      <c r="B211" s="306" t="s">
        <v>605</v>
      </c>
      <c r="C211" s="111" t="s">
        <v>993</v>
      </c>
      <c r="D211" s="111" t="s">
        <v>228</v>
      </c>
      <c r="E211" s="385"/>
      <c r="F211" s="35"/>
      <c r="G211" s="380">
        <v>120056.56269999999</v>
      </c>
      <c r="H211" s="112">
        <v>89372.562527000002</v>
      </c>
      <c r="I211" s="112">
        <v>519349.56</v>
      </c>
      <c r="J211" s="381">
        <v>356378.32321</v>
      </c>
      <c r="K211" s="72"/>
      <c r="L211" s="380">
        <v>31430.721003999999</v>
      </c>
      <c r="M211" s="112">
        <v>43217.659098999997</v>
      </c>
      <c r="N211" s="112">
        <v>154489.04904000001</v>
      </c>
      <c r="O211" s="381">
        <v>142297.35389</v>
      </c>
      <c r="P211" s="35"/>
      <c r="Q211" s="382">
        <v>0.29746640978</v>
      </c>
      <c r="R211" s="383">
        <v>0.29876447816000001</v>
      </c>
      <c r="S211" s="384">
        <v>0.22322844831999999</v>
      </c>
      <c r="T211" s="35"/>
      <c r="U211" s="380">
        <v>30901.824204</v>
      </c>
      <c r="V211" s="112">
        <v>41852.593625000001</v>
      </c>
      <c r="W211" s="112">
        <v>139709.04303</v>
      </c>
      <c r="X211" s="381">
        <v>140685.42600000001</v>
      </c>
      <c r="Y211" s="35"/>
      <c r="Z211" s="382">
        <v>0.26900772386999999</v>
      </c>
      <c r="AA211" s="383">
        <v>0.26512863777000001</v>
      </c>
      <c r="AB211" s="384">
        <v>0.21969321979</v>
      </c>
      <c r="AC211" s="35"/>
      <c r="AD211" s="380">
        <v>46834.965741</v>
      </c>
      <c r="AE211" s="112">
        <v>56957.226149000002</v>
      </c>
      <c r="AF211" s="112">
        <v>201435.41428999999</v>
      </c>
      <c r="AG211" s="381">
        <v>191990.96726999999</v>
      </c>
      <c r="AH211" s="35"/>
      <c r="AI211" s="382">
        <v>0.38786095110000002</v>
      </c>
      <c r="AJ211" s="383">
        <v>0.41501812151</v>
      </c>
      <c r="AK211" s="384">
        <v>0.34170219706999999</v>
      </c>
      <c r="AL211" s="35"/>
      <c r="AM211" s="380">
        <v>7674.5233896</v>
      </c>
      <c r="AN211" s="112">
        <v>19709.244185</v>
      </c>
      <c r="AO211" s="112">
        <v>25422.172353000002</v>
      </c>
      <c r="AP211" s="381">
        <v>48572.272249000001</v>
      </c>
      <c r="AQ211" s="35"/>
      <c r="AR211" s="113">
        <v>4.8950021933E-2</v>
      </c>
      <c r="AS211" s="114">
        <v>4.5260416255999997E-2</v>
      </c>
      <c r="AT211" s="376">
        <v>-8.8782891406E-2</v>
      </c>
      <c r="AU211" s="35"/>
      <c r="AV211" s="379">
        <v>5.0763527054000002E-2</v>
      </c>
      <c r="AW211" s="377">
        <v>3.4511022044E-2</v>
      </c>
      <c r="AX211" s="378">
        <v>-6.3262525050000004E-2</v>
      </c>
      <c r="AY211" s="35"/>
      <c r="AZ211" s="113">
        <v>7.6641115593999998E-2</v>
      </c>
      <c r="BA211" s="114">
        <v>5.6589296306E-2</v>
      </c>
      <c r="BB211" s="376">
        <v>-0.12452909084</v>
      </c>
      <c r="BC211" s="35"/>
      <c r="BD211" s="113">
        <v>6.8452111718999994E-2</v>
      </c>
      <c r="BE211" s="114">
        <v>5.0940026029000003E-2</v>
      </c>
      <c r="BF211" s="376">
        <v>4.4902749423000002E-2</v>
      </c>
      <c r="BG211" s="35"/>
      <c r="BH211" s="113">
        <v>1.6487704355E-2</v>
      </c>
      <c r="BI211" s="114">
        <v>1.1467341615E-2</v>
      </c>
      <c r="BJ211" s="376">
        <v>-2.2085377951999999E-2</v>
      </c>
      <c r="BK211" s="35"/>
      <c r="BL211" s="373">
        <v>0.33682731292000001</v>
      </c>
      <c r="BM211" s="374">
        <v>0.25336359150999999</v>
      </c>
      <c r="BN211" s="375">
        <v>0.2487571378</v>
      </c>
    </row>
    <row r="212" spans="2:66" ht="15.6" x14ac:dyDescent="0.3">
      <c r="B212" s="283" t="s">
        <v>1529</v>
      </c>
      <c r="C212" s="99" t="s">
        <v>1952</v>
      </c>
      <c r="D212" s="99" t="s">
        <v>1967</v>
      </c>
      <c r="E212" s="334"/>
      <c r="F212" s="35"/>
      <c r="G212" s="339"/>
      <c r="H212" s="100"/>
      <c r="I212" s="100"/>
      <c r="J212" s="340"/>
      <c r="K212" s="72"/>
      <c r="L212" s="339"/>
      <c r="M212" s="100"/>
      <c r="N212" s="100"/>
      <c r="O212" s="340"/>
      <c r="P212" s="35"/>
      <c r="Q212" s="346"/>
      <c r="R212" s="347"/>
      <c r="S212" s="348"/>
      <c r="T212" s="35"/>
      <c r="U212" s="339"/>
      <c r="V212" s="100"/>
      <c r="W212" s="100"/>
      <c r="X212" s="340"/>
      <c r="Y212" s="35"/>
      <c r="Z212" s="346"/>
      <c r="AA212" s="347"/>
      <c r="AB212" s="348"/>
      <c r="AC212" s="35"/>
      <c r="AD212" s="339"/>
      <c r="AE212" s="100"/>
      <c r="AF212" s="100"/>
      <c r="AG212" s="340"/>
      <c r="AH212" s="35"/>
      <c r="AI212" s="346"/>
      <c r="AJ212" s="347"/>
      <c r="AK212" s="348"/>
      <c r="AL212" s="35"/>
      <c r="AM212" s="339"/>
      <c r="AN212" s="100"/>
      <c r="AO212" s="100"/>
      <c r="AP212" s="340"/>
      <c r="AQ212" s="35"/>
      <c r="AR212" s="106"/>
      <c r="AS212" s="107"/>
      <c r="AT212" s="353"/>
      <c r="AU212" s="35"/>
      <c r="AV212" s="358"/>
      <c r="AW212" s="359"/>
      <c r="AX212" s="360"/>
      <c r="AY212" s="35"/>
      <c r="AZ212" s="106"/>
      <c r="BA212" s="107"/>
      <c r="BB212" s="353"/>
      <c r="BC212" s="35"/>
      <c r="BD212" s="106"/>
      <c r="BE212" s="107"/>
      <c r="BF212" s="353"/>
      <c r="BG212" s="35"/>
      <c r="BH212" s="106"/>
      <c r="BI212" s="107"/>
      <c r="BJ212" s="353"/>
      <c r="BK212" s="35"/>
      <c r="BL212" s="367"/>
      <c r="BM212" s="368"/>
      <c r="BN212" s="369"/>
    </row>
    <row r="213" spans="2:66" ht="15.6" x14ac:dyDescent="0.3">
      <c r="B213" s="306" t="s">
        <v>1530</v>
      </c>
      <c r="C213" s="111" t="s">
        <v>1953</v>
      </c>
      <c r="D213" s="111" t="s">
        <v>104</v>
      </c>
      <c r="E213" s="385"/>
      <c r="F213" s="35"/>
      <c r="G213" s="380"/>
      <c r="H213" s="112"/>
      <c r="I213" s="112"/>
      <c r="J213" s="381"/>
      <c r="K213" s="72"/>
      <c r="L213" s="380"/>
      <c r="M213" s="112"/>
      <c r="N213" s="112"/>
      <c r="O213" s="381"/>
      <c r="P213" s="35"/>
      <c r="Q213" s="382"/>
      <c r="R213" s="383"/>
      <c r="S213" s="384"/>
      <c r="T213" s="35"/>
      <c r="U213" s="380"/>
      <c r="V213" s="112"/>
      <c r="W213" s="112"/>
      <c r="X213" s="381"/>
      <c r="Y213" s="35"/>
      <c r="Z213" s="382"/>
      <c r="AA213" s="383"/>
      <c r="AB213" s="384"/>
      <c r="AC213" s="35"/>
      <c r="AD213" s="380"/>
      <c r="AE213" s="112"/>
      <c r="AF213" s="112"/>
      <c r="AG213" s="381"/>
      <c r="AH213" s="35"/>
      <c r="AI213" s="382"/>
      <c r="AJ213" s="383"/>
      <c r="AK213" s="384"/>
      <c r="AL213" s="35"/>
      <c r="AM213" s="380"/>
      <c r="AN213" s="112"/>
      <c r="AO213" s="112"/>
      <c r="AP213" s="381"/>
      <c r="AQ213" s="35"/>
      <c r="AR213" s="113"/>
      <c r="AS213" s="114"/>
      <c r="AT213" s="376"/>
      <c r="AU213" s="35"/>
      <c r="AV213" s="379"/>
      <c r="AW213" s="377"/>
      <c r="AX213" s="378"/>
      <c r="AY213" s="35"/>
      <c r="AZ213" s="113"/>
      <c r="BA213" s="114"/>
      <c r="BB213" s="376"/>
      <c r="BC213" s="35"/>
      <c r="BD213" s="113"/>
      <c r="BE213" s="114"/>
      <c r="BF213" s="376"/>
      <c r="BG213" s="35"/>
      <c r="BH213" s="113"/>
      <c r="BI213" s="114"/>
      <c r="BJ213" s="376"/>
      <c r="BK213" s="35"/>
      <c r="BL213" s="373"/>
      <c r="BM213" s="374"/>
      <c r="BN213" s="375"/>
    </row>
    <row r="214" spans="2:66" ht="15.6" x14ac:dyDescent="0.3">
      <c r="B214" s="283" t="s">
        <v>1531</v>
      </c>
      <c r="C214" s="99" t="s">
        <v>1954</v>
      </c>
      <c r="D214" s="99" t="s">
        <v>226</v>
      </c>
      <c r="E214" s="334"/>
      <c r="F214" s="35"/>
      <c r="G214" s="339"/>
      <c r="H214" s="100"/>
      <c r="I214" s="100"/>
      <c r="J214" s="340"/>
      <c r="K214" s="72"/>
      <c r="L214" s="339"/>
      <c r="M214" s="100"/>
      <c r="N214" s="100"/>
      <c r="O214" s="340"/>
      <c r="P214" s="35"/>
      <c r="Q214" s="346"/>
      <c r="R214" s="347"/>
      <c r="S214" s="348"/>
      <c r="T214" s="35"/>
      <c r="U214" s="339"/>
      <c r="V214" s="100"/>
      <c r="W214" s="100"/>
      <c r="X214" s="340"/>
      <c r="Y214" s="35"/>
      <c r="Z214" s="346"/>
      <c r="AA214" s="347"/>
      <c r="AB214" s="348"/>
      <c r="AC214" s="35"/>
      <c r="AD214" s="339"/>
      <c r="AE214" s="100"/>
      <c r="AF214" s="100"/>
      <c r="AG214" s="340"/>
      <c r="AH214" s="35"/>
      <c r="AI214" s="346"/>
      <c r="AJ214" s="347"/>
      <c r="AK214" s="348"/>
      <c r="AL214" s="35"/>
      <c r="AM214" s="339"/>
      <c r="AN214" s="100"/>
      <c r="AO214" s="100"/>
      <c r="AP214" s="340"/>
      <c r="AQ214" s="35"/>
      <c r="AR214" s="106"/>
      <c r="AS214" s="107"/>
      <c r="AT214" s="353"/>
      <c r="AU214" s="35"/>
      <c r="AV214" s="358"/>
      <c r="AW214" s="359"/>
      <c r="AX214" s="360"/>
      <c r="AY214" s="35"/>
      <c r="AZ214" s="106"/>
      <c r="BA214" s="107"/>
      <c r="BB214" s="353"/>
      <c r="BC214" s="35"/>
      <c r="BD214" s="106"/>
      <c r="BE214" s="107"/>
      <c r="BF214" s="353"/>
      <c r="BG214" s="35"/>
      <c r="BH214" s="106"/>
      <c r="BI214" s="107"/>
      <c r="BJ214" s="353"/>
      <c r="BK214" s="35"/>
      <c r="BL214" s="367"/>
      <c r="BM214" s="368"/>
      <c r="BN214" s="369"/>
    </row>
    <row r="215" spans="2:66" ht="15.6" x14ac:dyDescent="0.3">
      <c r="B215" s="306"/>
      <c r="C215" s="111"/>
      <c r="D215" s="111"/>
      <c r="E215" s="385"/>
      <c r="F215" s="35"/>
      <c r="G215" s="380"/>
      <c r="H215" s="112"/>
      <c r="I215" s="112"/>
      <c r="J215" s="381"/>
      <c r="K215" s="72"/>
      <c r="L215" s="380"/>
      <c r="M215" s="112"/>
      <c r="N215" s="112"/>
      <c r="O215" s="381"/>
      <c r="P215" s="35"/>
      <c r="Q215" s="382"/>
      <c r="R215" s="383"/>
      <c r="S215" s="384"/>
      <c r="T215" s="35"/>
      <c r="U215" s="380"/>
      <c r="V215" s="112"/>
      <c r="W215" s="112"/>
      <c r="X215" s="381"/>
      <c r="Y215" s="35"/>
      <c r="Z215" s="382"/>
      <c r="AA215" s="383"/>
      <c r="AB215" s="384"/>
      <c r="AC215" s="35"/>
      <c r="AD215" s="380"/>
      <c r="AE215" s="112"/>
      <c r="AF215" s="112"/>
      <c r="AG215" s="381"/>
      <c r="AH215" s="35"/>
      <c r="AI215" s="382"/>
      <c r="AJ215" s="383"/>
      <c r="AK215" s="384"/>
      <c r="AL215" s="35"/>
      <c r="AM215" s="380"/>
      <c r="AN215" s="112"/>
      <c r="AO215" s="112"/>
      <c r="AP215" s="381"/>
      <c r="AQ215" s="35"/>
      <c r="AR215" s="113"/>
      <c r="AS215" s="114"/>
      <c r="AT215" s="376"/>
      <c r="AU215" s="35"/>
      <c r="AV215" s="379"/>
      <c r="AW215" s="377"/>
      <c r="AX215" s="378"/>
      <c r="AY215" s="35"/>
      <c r="AZ215" s="113"/>
      <c r="BA215" s="114"/>
      <c r="BB215" s="376"/>
      <c r="BC215" s="35"/>
      <c r="BD215" s="113"/>
      <c r="BE215" s="114"/>
      <c r="BF215" s="376"/>
      <c r="BG215" s="35"/>
      <c r="BH215" s="113"/>
      <c r="BI215" s="114"/>
      <c r="BJ215" s="376"/>
      <c r="BK215" s="35"/>
      <c r="BL215" s="373"/>
      <c r="BM215" s="374"/>
      <c r="BN215" s="375"/>
    </row>
    <row r="216" spans="2:66" ht="15.6" x14ac:dyDescent="0.3">
      <c r="B216" s="283"/>
      <c r="C216" s="99"/>
      <c r="D216" s="99"/>
      <c r="E216" s="334"/>
      <c r="F216" s="35"/>
      <c r="G216" s="339"/>
      <c r="H216" s="100"/>
      <c r="I216" s="100"/>
      <c r="J216" s="340"/>
      <c r="K216" s="72"/>
      <c r="L216" s="339"/>
      <c r="M216" s="100"/>
      <c r="N216" s="100"/>
      <c r="O216" s="340"/>
      <c r="P216" s="35"/>
      <c r="Q216" s="346"/>
      <c r="R216" s="347"/>
      <c r="S216" s="348"/>
      <c r="T216" s="35"/>
      <c r="U216" s="339"/>
      <c r="V216" s="100"/>
      <c r="W216" s="100"/>
      <c r="X216" s="340"/>
      <c r="Y216" s="35"/>
      <c r="Z216" s="346"/>
      <c r="AA216" s="347"/>
      <c r="AB216" s="348"/>
      <c r="AC216" s="35"/>
      <c r="AD216" s="339"/>
      <c r="AE216" s="100"/>
      <c r="AF216" s="100"/>
      <c r="AG216" s="340"/>
      <c r="AH216" s="35"/>
      <c r="AI216" s="346"/>
      <c r="AJ216" s="347"/>
      <c r="AK216" s="348"/>
      <c r="AL216" s="35"/>
      <c r="AM216" s="339"/>
      <c r="AN216" s="100"/>
      <c r="AO216" s="100"/>
      <c r="AP216" s="340"/>
      <c r="AQ216" s="35"/>
      <c r="AR216" s="106"/>
      <c r="AS216" s="107"/>
      <c r="AT216" s="353"/>
      <c r="AU216" s="35"/>
      <c r="AV216" s="358"/>
      <c r="AW216" s="359"/>
      <c r="AX216" s="360"/>
      <c r="AY216" s="35"/>
      <c r="AZ216" s="106"/>
      <c r="BA216" s="107"/>
      <c r="BB216" s="353"/>
      <c r="BC216" s="35"/>
      <c r="BD216" s="106"/>
      <c r="BE216" s="107"/>
      <c r="BF216" s="353"/>
      <c r="BG216" s="35"/>
      <c r="BH216" s="106"/>
      <c r="BI216" s="107"/>
      <c r="BJ216" s="353"/>
      <c r="BK216" s="35"/>
      <c r="BL216" s="367"/>
      <c r="BM216" s="368"/>
      <c r="BN216" s="369"/>
    </row>
    <row r="217" spans="2:66" ht="15.6" x14ac:dyDescent="0.3">
      <c r="B217" s="306"/>
      <c r="C217" s="111"/>
      <c r="D217" s="111"/>
      <c r="E217" s="385"/>
      <c r="F217" s="35"/>
      <c r="G217" s="380"/>
      <c r="H217" s="112"/>
      <c r="I217" s="112"/>
      <c r="J217" s="381"/>
      <c r="K217" s="72"/>
      <c r="L217" s="380"/>
      <c r="M217" s="112"/>
      <c r="N217" s="112"/>
      <c r="O217" s="381"/>
      <c r="P217" s="35"/>
      <c r="Q217" s="382"/>
      <c r="R217" s="383"/>
      <c r="S217" s="384"/>
      <c r="T217" s="35"/>
      <c r="U217" s="380"/>
      <c r="V217" s="112"/>
      <c r="W217" s="112"/>
      <c r="X217" s="381"/>
      <c r="Y217" s="35"/>
      <c r="Z217" s="382"/>
      <c r="AA217" s="383"/>
      <c r="AB217" s="384"/>
      <c r="AC217" s="35"/>
      <c r="AD217" s="380"/>
      <c r="AE217" s="112"/>
      <c r="AF217" s="112"/>
      <c r="AG217" s="381"/>
      <c r="AH217" s="35"/>
      <c r="AI217" s="382"/>
      <c r="AJ217" s="383"/>
      <c r="AK217" s="384"/>
      <c r="AL217" s="35"/>
      <c r="AM217" s="380"/>
      <c r="AN217" s="112"/>
      <c r="AO217" s="112"/>
      <c r="AP217" s="381"/>
      <c r="AQ217" s="35"/>
      <c r="AR217" s="113"/>
      <c r="AS217" s="114"/>
      <c r="AT217" s="376"/>
      <c r="AU217" s="35"/>
      <c r="AV217" s="379"/>
      <c r="AW217" s="377"/>
      <c r="AX217" s="378"/>
      <c r="AY217" s="35"/>
      <c r="AZ217" s="113"/>
      <c r="BA217" s="114"/>
      <c r="BB217" s="376"/>
      <c r="BC217" s="35"/>
      <c r="BD217" s="113"/>
      <c r="BE217" s="114"/>
      <c r="BF217" s="376"/>
      <c r="BG217" s="35"/>
      <c r="BH217" s="113"/>
      <c r="BI217" s="114"/>
      <c r="BJ217" s="376"/>
      <c r="BK217" s="35"/>
      <c r="BL217" s="373"/>
      <c r="BM217" s="374"/>
      <c r="BN217" s="375"/>
    </row>
    <row r="218" spans="2:66" ht="15.6" x14ac:dyDescent="0.3">
      <c r="B218" s="283"/>
      <c r="C218" s="99"/>
      <c r="D218" s="99"/>
      <c r="E218" s="334"/>
      <c r="F218" s="35"/>
      <c r="G218" s="339"/>
      <c r="H218" s="100"/>
      <c r="I218" s="100"/>
      <c r="J218" s="340"/>
      <c r="K218" s="72"/>
      <c r="L218" s="339"/>
      <c r="M218" s="100"/>
      <c r="N218" s="100"/>
      <c r="O218" s="340"/>
      <c r="P218" s="35"/>
      <c r="Q218" s="346"/>
      <c r="R218" s="347"/>
      <c r="S218" s="348"/>
      <c r="T218" s="35"/>
      <c r="U218" s="339"/>
      <c r="V218" s="100"/>
      <c r="W218" s="100"/>
      <c r="X218" s="340"/>
      <c r="Y218" s="35"/>
      <c r="Z218" s="346"/>
      <c r="AA218" s="347"/>
      <c r="AB218" s="348"/>
      <c r="AC218" s="35"/>
      <c r="AD218" s="339"/>
      <c r="AE218" s="100"/>
      <c r="AF218" s="100"/>
      <c r="AG218" s="340"/>
      <c r="AH218" s="35"/>
      <c r="AI218" s="346"/>
      <c r="AJ218" s="347"/>
      <c r="AK218" s="348"/>
      <c r="AL218" s="35"/>
      <c r="AM218" s="339"/>
      <c r="AN218" s="100"/>
      <c r="AO218" s="100"/>
      <c r="AP218" s="340"/>
      <c r="AQ218" s="35"/>
      <c r="AR218" s="106"/>
      <c r="AS218" s="107"/>
      <c r="AT218" s="353"/>
      <c r="AU218" s="35"/>
      <c r="AV218" s="358"/>
      <c r="AW218" s="359"/>
      <c r="AX218" s="360"/>
      <c r="AY218" s="35"/>
      <c r="AZ218" s="106"/>
      <c r="BA218" s="107"/>
      <c r="BB218" s="353"/>
      <c r="BC218" s="35"/>
      <c r="BD218" s="106"/>
      <c r="BE218" s="107"/>
      <c r="BF218" s="353"/>
      <c r="BG218" s="35"/>
      <c r="BH218" s="106"/>
      <c r="BI218" s="107"/>
      <c r="BJ218" s="353"/>
      <c r="BK218" s="35"/>
      <c r="BL218" s="367"/>
      <c r="BM218" s="368"/>
      <c r="BN218" s="369"/>
    </row>
    <row r="219" spans="2:66" ht="15.6" x14ac:dyDescent="0.3">
      <c r="B219" s="306"/>
      <c r="C219" s="111"/>
      <c r="D219" s="111"/>
      <c r="E219" s="385"/>
      <c r="F219" s="35"/>
      <c r="G219" s="380"/>
      <c r="H219" s="112"/>
      <c r="I219" s="112"/>
      <c r="J219" s="381"/>
      <c r="K219" s="72"/>
      <c r="L219" s="380"/>
      <c r="M219" s="112"/>
      <c r="N219" s="112"/>
      <c r="O219" s="381"/>
      <c r="P219" s="35"/>
      <c r="Q219" s="382"/>
      <c r="R219" s="383"/>
      <c r="S219" s="384"/>
      <c r="T219" s="35"/>
      <c r="U219" s="380"/>
      <c r="V219" s="112"/>
      <c r="W219" s="112"/>
      <c r="X219" s="381"/>
      <c r="Y219" s="35"/>
      <c r="Z219" s="382"/>
      <c r="AA219" s="383"/>
      <c r="AB219" s="384"/>
      <c r="AC219" s="35"/>
      <c r="AD219" s="380"/>
      <c r="AE219" s="112"/>
      <c r="AF219" s="112"/>
      <c r="AG219" s="381"/>
      <c r="AH219" s="35"/>
      <c r="AI219" s="382"/>
      <c r="AJ219" s="383"/>
      <c r="AK219" s="384"/>
      <c r="AL219" s="35"/>
      <c r="AM219" s="380"/>
      <c r="AN219" s="112"/>
      <c r="AO219" s="112"/>
      <c r="AP219" s="381"/>
      <c r="AQ219" s="35"/>
      <c r="AR219" s="113"/>
      <c r="AS219" s="114"/>
      <c r="AT219" s="376"/>
      <c r="AU219" s="35"/>
      <c r="AV219" s="379"/>
      <c r="AW219" s="377"/>
      <c r="AX219" s="378"/>
      <c r="AY219" s="35"/>
      <c r="AZ219" s="113"/>
      <c r="BA219" s="114"/>
      <c r="BB219" s="376"/>
      <c r="BC219" s="35"/>
      <c r="BD219" s="113"/>
      <c r="BE219" s="114"/>
      <c r="BF219" s="376"/>
      <c r="BG219" s="35"/>
      <c r="BH219" s="113"/>
      <c r="BI219" s="114"/>
      <c r="BJ219" s="376"/>
      <c r="BK219" s="35"/>
      <c r="BL219" s="373"/>
      <c r="BM219" s="374"/>
      <c r="BN219" s="375"/>
    </row>
    <row r="220" spans="2:66" ht="15.6" x14ac:dyDescent="0.3">
      <c r="B220" s="283"/>
      <c r="C220" s="99"/>
      <c r="D220" s="99"/>
      <c r="E220" s="334"/>
      <c r="F220" s="35"/>
      <c r="G220" s="339"/>
      <c r="H220" s="100"/>
      <c r="I220" s="100"/>
      <c r="J220" s="340"/>
      <c r="K220" s="72"/>
      <c r="L220" s="339"/>
      <c r="M220" s="100"/>
      <c r="N220" s="100"/>
      <c r="O220" s="340"/>
      <c r="P220" s="35"/>
      <c r="Q220" s="346"/>
      <c r="R220" s="347"/>
      <c r="S220" s="348"/>
      <c r="T220" s="35"/>
      <c r="U220" s="339"/>
      <c r="V220" s="100"/>
      <c r="W220" s="100"/>
      <c r="X220" s="340"/>
      <c r="Y220" s="35"/>
      <c r="Z220" s="346"/>
      <c r="AA220" s="347"/>
      <c r="AB220" s="348"/>
      <c r="AC220" s="35"/>
      <c r="AD220" s="339"/>
      <c r="AE220" s="100"/>
      <c r="AF220" s="100"/>
      <c r="AG220" s="340"/>
      <c r="AH220" s="35"/>
      <c r="AI220" s="346"/>
      <c r="AJ220" s="347"/>
      <c r="AK220" s="348"/>
      <c r="AL220" s="35"/>
      <c r="AM220" s="339"/>
      <c r="AN220" s="100"/>
      <c r="AO220" s="100"/>
      <c r="AP220" s="340"/>
      <c r="AQ220" s="35"/>
      <c r="AR220" s="106"/>
      <c r="AS220" s="107"/>
      <c r="AT220" s="353"/>
      <c r="AU220" s="35"/>
      <c r="AV220" s="358"/>
      <c r="AW220" s="359"/>
      <c r="AX220" s="360"/>
      <c r="AY220" s="35"/>
      <c r="AZ220" s="106"/>
      <c r="BA220" s="107"/>
      <c r="BB220" s="353"/>
      <c r="BC220" s="35"/>
      <c r="BD220" s="106"/>
      <c r="BE220" s="107"/>
      <c r="BF220" s="353"/>
      <c r="BG220" s="35"/>
      <c r="BH220" s="106"/>
      <c r="BI220" s="107"/>
      <c r="BJ220" s="353"/>
      <c r="BK220" s="35"/>
      <c r="BL220" s="367"/>
      <c r="BM220" s="368"/>
      <c r="BN220" s="369"/>
    </row>
    <row r="221" spans="2:66" ht="15.6" x14ac:dyDescent="0.3">
      <c r="B221" s="306"/>
      <c r="C221" s="111"/>
      <c r="D221" s="111"/>
      <c r="E221" s="385"/>
      <c r="F221" s="35"/>
      <c r="G221" s="380"/>
      <c r="H221" s="112"/>
      <c r="I221" s="112"/>
      <c r="J221" s="381"/>
      <c r="K221" s="72"/>
      <c r="L221" s="380"/>
      <c r="M221" s="112"/>
      <c r="N221" s="112"/>
      <c r="O221" s="381"/>
      <c r="P221" s="35"/>
      <c r="Q221" s="382"/>
      <c r="R221" s="383"/>
      <c r="S221" s="384"/>
      <c r="T221" s="35"/>
      <c r="U221" s="380"/>
      <c r="V221" s="112"/>
      <c r="W221" s="112"/>
      <c r="X221" s="381"/>
      <c r="Y221" s="35"/>
      <c r="Z221" s="382"/>
      <c r="AA221" s="383"/>
      <c r="AB221" s="384"/>
      <c r="AC221" s="35"/>
      <c r="AD221" s="380"/>
      <c r="AE221" s="112"/>
      <c r="AF221" s="112"/>
      <c r="AG221" s="381"/>
      <c r="AH221" s="35"/>
      <c r="AI221" s="382"/>
      <c r="AJ221" s="383"/>
      <c r="AK221" s="384"/>
      <c r="AL221" s="35"/>
      <c r="AM221" s="380"/>
      <c r="AN221" s="112"/>
      <c r="AO221" s="112"/>
      <c r="AP221" s="381"/>
      <c r="AQ221" s="35"/>
      <c r="AR221" s="113"/>
      <c r="AS221" s="114"/>
      <c r="AT221" s="376"/>
      <c r="AU221" s="35"/>
      <c r="AV221" s="379"/>
      <c r="AW221" s="377"/>
      <c r="AX221" s="378"/>
      <c r="AY221" s="35"/>
      <c r="AZ221" s="113"/>
      <c r="BA221" s="114"/>
      <c r="BB221" s="376"/>
      <c r="BC221" s="35"/>
      <c r="BD221" s="113"/>
      <c r="BE221" s="114"/>
      <c r="BF221" s="376"/>
      <c r="BG221" s="35"/>
      <c r="BH221" s="113"/>
      <c r="BI221" s="114"/>
      <c r="BJ221" s="376"/>
      <c r="BK221" s="35"/>
      <c r="BL221" s="373"/>
      <c r="BM221" s="374"/>
      <c r="BN221" s="375"/>
    </row>
    <row r="222" spans="2:66" ht="15.6" x14ac:dyDescent="0.3">
      <c r="B222" s="283"/>
      <c r="C222" s="99"/>
      <c r="D222" s="99"/>
      <c r="E222" s="334"/>
      <c r="F222" s="35"/>
      <c r="G222" s="339"/>
      <c r="H222" s="100"/>
      <c r="I222" s="100"/>
      <c r="J222" s="340"/>
      <c r="K222" s="72"/>
      <c r="L222" s="339"/>
      <c r="M222" s="100"/>
      <c r="N222" s="100"/>
      <c r="O222" s="340"/>
      <c r="P222" s="35"/>
      <c r="Q222" s="346"/>
      <c r="R222" s="347"/>
      <c r="S222" s="348"/>
      <c r="T222" s="35"/>
      <c r="U222" s="339"/>
      <c r="V222" s="100"/>
      <c r="W222" s="100"/>
      <c r="X222" s="340"/>
      <c r="Y222" s="35"/>
      <c r="Z222" s="346"/>
      <c r="AA222" s="347"/>
      <c r="AB222" s="348"/>
      <c r="AC222" s="35"/>
      <c r="AD222" s="339"/>
      <c r="AE222" s="100"/>
      <c r="AF222" s="100"/>
      <c r="AG222" s="340"/>
      <c r="AH222" s="35"/>
      <c r="AI222" s="346"/>
      <c r="AJ222" s="347"/>
      <c r="AK222" s="348"/>
      <c r="AL222" s="35"/>
      <c r="AM222" s="339"/>
      <c r="AN222" s="100"/>
      <c r="AO222" s="100"/>
      <c r="AP222" s="340"/>
      <c r="AQ222" s="35"/>
      <c r="AR222" s="106"/>
      <c r="AS222" s="107"/>
      <c r="AT222" s="353"/>
      <c r="AU222" s="35"/>
      <c r="AV222" s="358"/>
      <c r="AW222" s="359"/>
      <c r="AX222" s="360"/>
      <c r="AY222" s="35"/>
      <c r="AZ222" s="106"/>
      <c r="BA222" s="107"/>
      <c r="BB222" s="353"/>
      <c r="BC222" s="35"/>
      <c r="BD222" s="106"/>
      <c r="BE222" s="107"/>
      <c r="BF222" s="353"/>
      <c r="BG222" s="35"/>
      <c r="BH222" s="106"/>
      <c r="BI222" s="107"/>
      <c r="BJ222" s="353"/>
      <c r="BK222" s="35"/>
      <c r="BL222" s="367"/>
      <c r="BM222" s="368"/>
      <c r="BN222" s="369"/>
    </row>
    <row r="223" spans="2:66" ht="15.6" x14ac:dyDescent="0.3">
      <c r="B223" s="306"/>
      <c r="C223" s="111"/>
      <c r="D223" s="111"/>
      <c r="E223" s="385"/>
      <c r="F223" s="35"/>
      <c r="G223" s="380"/>
      <c r="H223" s="112"/>
      <c r="I223" s="112"/>
      <c r="J223" s="381"/>
      <c r="K223" s="72"/>
      <c r="L223" s="380"/>
      <c r="M223" s="112"/>
      <c r="N223" s="112"/>
      <c r="O223" s="381"/>
      <c r="P223" s="35"/>
      <c r="Q223" s="382"/>
      <c r="R223" s="383"/>
      <c r="S223" s="384"/>
      <c r="T223" s="35"/>
      <c r="U223" s="380"/>
      <c r="V223" s="112"/>
      <c r="W223" s="112"/>
      <c r="X223" s="381"/>
      <c r="Y223" s="35"/>
      <c r="Z223" s="382"/>
      <c r="AA223" s="383"/>
      <c r="AB223" s="384"/>
      <c r="AC223" s="35"/>
      <c r="AD223" s="380"/>
      <c r="AE223" s="112"/>
      <c r="AF223" s="112"/>
      <c r="AG223" s="381"/>
      <c r="AH223" s="35"/>
      <c r="AI223" s="382"/>
      <c r="AJ223" s="383"/>
      <c r="AK223" s="384"/>
      <c r="AL223" s="35"/>
      <c r="AM223" s="380"/>
      <c r="AN223" s="112"/>
      <c r="AO223" s="112"/>
      <c r="AP223" s="381"/>
      <c r="AQ223" s="35"/>
      <c r="AR223" s="113"/>
      <c r="AS223" s="114"/>
      <c r="AT223" s="376"/>
      <c r="AU223" s="35"/>
      <c r="AV223" s="379"/>
      <c r="AW223" s="377"/>
      <c r="AX223" s="378"/>
      <c r="AY223" s="35"/>
      <c r="AZ223" s="113"/>
      <c r="BA223" s="114"/>
      <c r="BB223" s="376"/>
      <c r="BC223" s="35"/>
      <c r="BD223" s="113"/>
      <c r="BE223" s="114"/>
      <c r="BF223" s="376"/>
      <c r="BG223" s="35"/>
      <c r="BH223" s="113"/>
      <c r="BI223" s="114"/>
      <c r="BJ223" s="376"/>
      <c r="BK223" s="35"/>
      <c r="BL223" s="373"/>
      <c r="BM223" s="374"/>
      <c r="BN223" s="375"/>
    </row>
    <row r="224" spans="2:66" ht="15.6" x14ac:dyDescent="0.3">
      <c r="B224" s="283"/>
      <c r="C224" s="99"/>
      <c r="D224" s="99"/>
      <c r="E224" s="334"/>
      <c r="F224" s="35"/>
      <c r="G224" s="339"/>
      <c r="H224" s="100"/>
      <c r="I224" s="100"/>
      <c r="J224" s="340"/>
      <c r="K224" s="72"/>
      <c r="L224" s="339"/>
      <c r="M224" s="100"/>
      <c r="N224" s="100"/>
      <c r="O224" s="340"/>
      <c r="P224" s="35"/>
      <c r="Q224" s="346"/>
      <c r="R224" s="347"/>
      <c r="S224" s="348"/>
      <c r="T224" s="35"/>
      <c r="U224" s="339"/>
      <c r="V224" s="100"/>
      <c r="W224" s="100"/>
      <c r="X224" s="340"/>
      <c r="Y224" s="35"/>
      <c r="Z224" s="346"/>
      <c r="AA224" s="347"/>
      <c r="AB224" s="348"/>
      <c r="AC224" s="35"/>
      <c r="AD224" s="339"/>
      <c r="AE224" s="100"/>
      <c r="AF224" s="100"/>
      <c r="AG224" s="340"/>
      <c r="AH224" s="35"/>
      <c r="AI224" s="346"/>
      <c r="AJ224" s="347"/>
      <c r="AK224" s="348"/>
      <c r="AL224" s="35"/>
      <c r="AM224" s="339"/>
      <c r="AN224" s="100"/>
      <c r="AO224" s="100"/>
      <c r="AP224" s="340"/>
      <c r="AQ224" s="35"/>
      <c r="AR224" s="106"/>
      <c r="AS224" s="107"/>
      <c r="AT224" s="353"/>
      <c r="AU224" s="35"/>
      <c r="AV224" s="358"/>
      <c r="AW224" s="359"/>
      <c r="AX224" s="360"/>
      <c r="AY224" s="35"/>
      <c r="AZ224" s="106"/>
      <c r="BA224" s="107"/>
      <c r="BB224" s="353"/>
      <c r="BC224" s="35"/>
      <c r="BD224" s="106"/>
      <c r="BE224" s="107"/>
      <c r="BF224" s="353"/>
      <c r="BG224" s="35"/>
      <c r="BH224" s="106"/>
      <c r="BI224" s="107"/>
      <c r="BJ224" s="353"/>
      <c r="BK224" s="35"/>
      <c r="BL224" s="367"/>
      <c r="BM224" s="368"/>
      <c r="BN224" s="369"/>
    </row>
    <row r="225" spans="2:66" ht="15.6" x14ac:dyDescent="0.3">
      <c r="B225" s="306"/>
      <c r="C225" s="111"/>
      <c r="D225" s="111"/>
      <c r="E225" s="385"/>
      <c r="F225" s="35"/>
      <c r="G225" s="380"/>
      <c r="H225" s="112"/>
      <c r="I225" s="112"/>
      <c r="J225" s="381"/>
      <c r="K225" s="72"/>
      <c r="L225" s="380"/>
      <c r="M225" s="112"/>
      <c r="N225" s="112"/>
      <c r="O225" s="381"/>
      <c r="P225" s="35"/>
      <c r="Q225" s="382"/>
      <c r="R225" s="383"/>
      <c r="S225" s="384"/>
      <c r="T225" s="35"/>
      <c r="U225" s="380"/>
      <c r="V225" s="112"/>
      <c r="W225" s="112"/>
      <c r="X225" s="381"/>
      <c r="Y225" s="35"/>
      <c r="Z225" s="382"/>
      <c r="AA225" s="383"/>
      <c r="AB225" s="384"/>
      <c r="AC225" s="35"/>
      <c r="AD225" s="380"/>
      <c r="AE225" s="112"/>
      <c r="AF225" s="112"/>
      <c r="AG225" s="381"/>
      <c r="AH225" s="35"/>
      <c r="AI225" s="382"/>
      <c r="AJ225" s="383"/>
      <c r="AK225" s="384"/>
      <c r="AL225" s="35"/>
      <c r="AM225" s="380"/>
      <c r="AN225" s="112"/>
      <c r="AO225" s="112"/>
      <c r="AP225" s="381"/>
      <c r="AQ225" s="35"/>
      <c r="AR225" s="113"/>
      <c r="AS225" s="114"/>
      <c r="AT225" s="376"/>
      <c r="AU225" s="35"/>
      <c r="AV225" s="379"/>
      <c r="AW225" s="377"/>
      <c r="AX225" s="378"/>
      <c r="AY225" s="35"/>
      <c r="AZ225" s="113"/>
      <c r="BA225" s="114"/>
      <c r="BB225" s="376"/>
      <c r="BC225" s="35"/>
      <c r="BD225" s="113"/>
      <c r="BE225" s="114"/>
      <c r="BF225" s="376"/>
      <c r="BG225" s="35"/>
      <c r="BH225" s="113"/>
      <c r="BI225" s="114"/>
      <c r="BJ225" s="376"/>
      <c r="BK225" s="35"/>
      <c r="BL225" s="373"/>
      <c r="BM225" s="374"/>
      <c r="BN225" s="375"/>
    </row>
    <row r="226" spans="2:66" ht="15.6" x14ac:dyDescent="0.3">
      <c r="B226" s="283"/>
      <c r="C226" s="99"/>
      <c r="D226" s="99"/>
      <c r="E226" s="334"/>
      <c r="F226" s="35"/>
      <c r="G226" s="339"/>
      <c r="H226" s="100"/>
      <c r="I226" s="100"/>
      <c r="J226" s="340"/>
      <c r="K226" s="72"/>
      <c r="L226" s="339"/>
      <c r="M226" s="100"/>
      <c r="N226" s="100"/>
      <c r="O226" s="340"/>
      <c r="P226" s="35"/>
      <c r="Q226" s="346"/>
      <c r="R226" s="347"/>
      <c r="S226" s="348"/>
      <c r="T226" s="35"/>
      <c r="U226" s="339"/>
      <c r="V226" s="100"/>
      <c r="W226" s="100"/>
      <c r="X226" s="340"/>
      <c r="Y226" s="35"/>
      <c r="Z226" s="346"/>
      <c r="AA226" s="347"/>
      <c r="AB226" s="348"/>
      <c r="AC226" s="35"/>
      <c r="AD226" s="339"/>
      <c r="AE226" s="100"/>
      <c r="AF226" s="100"/>
      <c r="AG226" s="340"/>
      <c r="AH226" s="35"/>
      <c r="AI226" s="346"/>
      <c r="AJ226" s="347"/>
      <c r="AK226" s="348"/>
      <c r="AL226" s="35"/>
      <c r="AM226" s="339"/>
      <c r="AN226" s="100"/>
      <c r="AO226" s="100"/>
      <c r="AP226" s="340"/>
      <c r="AQ226" s="35"/>
      <c r="AR226" s="106"/>
      <c r="AS226" s="107"/>
      <c r="AT226" s="353"/>
      <c r="AU226" s="35"/>
      <c r="AV226" s="358"/>
      <c r="AW226" s="359"/>
      <c r="AX226" s="360"/>
      <c r="AY226" s="35"/>
      <c r="AZ226" s="106"/>
      <c r="BA226" s="107"/>
      <c r="BB226" s="353"/>
      <c r="BC226" s="35"/>
      <c r="BD226" s="106"/>
      <c r="BE226" s="107"/>
      <c r="BF226" s="353"/>
      <c r="BG226" s="35"/>
      <c r="BH226" s="106"/>
      <c r="BI226" s="107"/>
      <c r="BJ226" s="353"/>
      <c r="BK226" s="35"/>
      <c r="BL226" s="367"/>
      <c r="BM226" s="368"/>
      <c r="BN226" s="369"/>
    </row>
    <row r="227" spans="2:66" ht="15.6" x14ac:dyDescent="0.3">
      <c r="B227" s="306"/>
      <c r="C227" s="111"/>
      <c r="D227" s="111"/>
      <c r="E227" s="385"/>
      <c r="F227" s="35"/>
      <c r="G227" s="380"/>
      <c r="H227" s="112"/>
      <c r="I227" s="112"/>
      <c r="J227" s="381"/>
      <c r="K227" s="72"/>
      <c r="L227" s="380"/>
      <c r="M227" s="112"/>
      <c r="N227" s="112"/>
      <c r="O227" s="381"/>
      <c r="P227" s="35"/>
      <c r="Q227" s="382"/>
      <c r="R227" s="383"/>
      <c r="S227" s="384"/>
      <c r="T227" s="35"/>
      <c r="U227" s="380"/>
      <c r="V227" s="112"/>
      <c r="W227" s="112"/>
      <c r="X227" s="381"/>
      <c r="Y227" s="35"/>
      <c r="Z227" s="382"/>
      <c r="AA227" s="383"/>
      <c r="AB227" s="384"/>
      <c r="AC227" s="35"/>
      <c r="AD227" s="380"/>
      <c r="AE227" s="112"/>
      <c r="AF227" s="112"/>
      <c r="AG227" s="381"/>
      <c r="AH227" s="35"/>
      <c r="AI227" s="382"/>
      <c r="AJ227" s="383"/>
      <c r="AK227" s="384"/>
      <c r="AL227" s="35"/>
      <c r="AM227" s="380"/>
      <c r="AN227" s="112"/>
      <c r="AO227" s="112"/>
      <c r="AP227" s="381"/>
      <c r="AQ227" s="35"/>
      <c r="AR227" s="113"/>
      <c r="AS227" s="114"/>
      <c r="AT227" s="376"/>
      <c r="AU227" s="35"/>
      <c r="AV227" s="379"/>
      <c r="AW227" s="377"/>
      <c r="AX227" s="378"/>
      <c r="AY227" s="35"/>
      <c r="AZ227" s="113"/>
      <c r="BA227" s="114"/>
      <c r="BB227" s="376"/>
      <c r="BC227" s="35"/>
      <c r="BD227" s="113"/>
      <c r="BE227" s="114"/>
      <c r="BF227" s="376"/>
      <c r="BG227" s="35"/>
      <c r="BH227" s="113"/>
      <c r="BI227" s="114"/>
      <c r="BJ227" s="376"/>
      <c r="BK227" s="35"/>
      <c r="BL227" s="373"/>
      <c r="BM227" s="374"/>
      <c r="BN227" s="375"/>
    </row>
    <row r="228" spans="2:66" ht="15.6" x14ac:dyDescent="0.3">
      <c r="B228" s="283"/>
      <c r="C228" s="99"/>
      <c r="D228" s="99"/>
      <c r="E228" s="334"/>
      <c r="F228" s="35"/>
      <c r="G228" s="339"/>
      <c r="H228" s="100"/>
      <c r="I228" s="100"/>
      <c r="J228" s="340"/>
      <c r="K228" s="72"/>
      <c r="L228" s="339"/>
      <c r="M228" s="100"/>
      <c r="N228" s="100"/>
      <c r="O228" s="340"/>
      <c r="P228" s="35"/>
      <c r="Q228" s="346"/>
      <c r="R228" s="347"/>
      <c r="S228" s="348"/>
      <c r="T228" s="35"/>
      <c r="U228" s="339"/>
      <c r="V228" s="100"/>
      <c r="W228" s="100"/>
      <c r="X228" s="340"/>
      <c r="Y228" s="35"/>
      <c r="Z228" s="346"/>
      <c r="AA228" s="347"/>
      <c r="AB228" s="348"/>
      <c r="AC228" s="35"/>
      <c r="AD228" s="339"/>
      <c r="AE228" s="100"/>
      <c r="AF228" s="100"/>
      <c r="AG228" s="340"/>
      <c r="AH228" s="35"/>
      <c r="AI228" s="346"/>
      <c r="AJ228" s="347"/>
      <c r="AK228" s="348"/>
      <c r="AL228" s="35"/>
      <c r="AM228" s="339"/>
      <c r="AN228" s="100"/>
      <c r="AO228" s="100"/>
      <c r="AP228" s="340"/>
      <c r="AQ228" s="35"/>
      <c r="AR228" s="106"/>
      <c r="AS228" s="107"/>
      <c r="AT228" s="353"/>
      <c r="AU228" s="35"/>
      <c r="AV228" s="358"/>
      <c r="AW228" s="359"/>
      <c r="AX228" s="360"/>
      <c r="AY228" s="35"/>
      <c r="AZ228" s="106"/>
      <c r="BA228" s="107"/>
      <c r="BB228" s="353"/>
      <c r="BC228" s="35"/>
      <c r="BD228" s="106"/>
      <c r="BE228" s="107"/>
      <c r="BF228" s="353"/>
      <c r="BG228" s="35"/>
      <c r="BH228" s="106"/>
      <c r="BI228" s="107"/>
      <c r="BJ228" s="353"/>
      <c r="BK228" s="35"/>
      <c r="BL228" s="367"/>
      <c r="BM228" s="368"/>
      <c r="BN228" s="369"/>
    </row>
    <row r="229" spans="2:66" ht="15.6" x14ac:dyDescent="0.3">
      <c r="B229" s="306"/>
      <c r="C229" s="111"/>
      <c r="D229" s="111"/>
      <c r="E229" s="385"/>
      <c r="F229" s="35"/>
      <c r="G229" s="380"/>
      <c r="H229" s="112"/>
      <c r="I229" s="112"/>
      <c r="J229" s="381"/>
      <c r="K229" s="72"/>
      <c r="L229" s="380"/>
      <c r="M229" s="112"/>
      <c r="N229" s="112"/>
      <c r="O229" s="381"/>
      <c r="P229" s="35"/>
      <c r="Q229" s="382"/>
      <c r="R229" s="383"/>
      <c r="S229" s="384"/>
      <c r="T229" s="35"/>
      <c r="U229" s="380"/>
      <c r="V229" s="112"/>
      <c r="W229" s="112"/>
      <c r="X229" s="381"/>
      <c r="Y229" s="35"/>
      <c r="Z229" s="382"/>
      <c r="AA229" s="383"/>
      <c r="AB229" s="384"/>
      <c r="AC229" s="35"/>
      <c r="AD229" s="380"/>
      <c r="AE229" s="112"/>
      <c r="AF229" s="112"/>
      <c r="AG229" s="381"/>
      <c r="AH229" s="35"/>
      <c r="AI229" s="382"/>
      <c r="AJ229" s="383"/>
      <c r="AK229" s="384"/>
      <c r="AL229" s="35"/>
      <c r="AM229" s="380"/>
      <c r="AN229" s="112"/>
      <c r="AO229" s="112"/>
      <c r="AP229" s="381"/>
      <c r="AQ229" s="35"/>
      <c r="AR229" s="113"/>
      <c r="AS229" s="114"/>
      <c r="AT229" s="376"/>
      <c r="AU229" s="35"/>
      <c r="AV229" s="379"/>
      <c r="AW229" s="377"/>
      <c r="AX229" s="378"/>
      <c r="AY229" s="35"/>
      <c r="AZ229" s="113"/>
      <c r="BA229" s="114"/>
      <c r="BB229" s="376"/>
      <c r="BC229" s="35"/>
      <c r="BD229" s="113"/>
      <c r="BE229" s="114"/>
      <c r="BF229" s="376"/>
      <c r="BG229" s="35"/>
      <c r="BH229" s="113"/>
      <c r="BI229" s="114"/>
      <c r="BJ229" s="376"/>
      <c r="BK229" s="35"/>
      <c r="BL229" s="373"/>
      <c r="BM229" s="374"/>
      <c r="BN229" s="375"/>
    </row>
    <row r="230" spans="2:66" ht="15.6" x14ac:dyDescent="0.3">
      <c r="B230" s="283"/>
      <c r="C230" s="99"/>
      <c r="D230" s="99"/>
      <c r="E230" s="334"/>
      <c r="F230" s="35"/>
      <c r="G230" s="339"/>
      <c r="H230" s="100"/>
      <c r="I230" s="100"/>
      <c r="J230" s="340"/>
      <c r="K230" s="72"/>
      <c r="L230" s="339"/>
      <c r="M230" s="100"/>
      <c r="N230" s="100"/>
      <c r="O230" s="340"/>
      <c r="P230" s="35"/>
      <c r="Q230" s="346"/>
      <c r="R230" s="347"/>
      <c r="S230" s="348"/>
      <c r="T230" s="35"/>
      <c r="U230" s="339"/>
      <c r="V230" s="100"/>
      <c r="W230" s="100"/>
      <c r="X230" s="340"/>
      <c r="Y230" s="35"/>
      <c r="Z230" s="346"/>
      <c r="AA230" s="347"/>
      <c r="AB230" s="348"/>
      <c r="AC230" s="35"/>
      <c r="AD230" s="339"/>
      <c r="AE230" s="100"/>
      <c r="AF230" s="100"/>
      <c r="AG230" s="340"/>
      <c r="AH230" s="35"/>
      <c r="AI230" s="346"/>
      <c r="AJ230" s="347"/>
      <c r="AK230" s="348"/>
      <c r="AL230" s="35"/>
      <c r="AM230" s="339"/>
      <c r="AN230" s="100"/>
      <c r="AO230" s="100"/>
      <c r="AP230" s="340"/>
      <c r="AQ230" s="35"/>
      <c r="AR230" s="106"/>
      <c r="AS230" s="107"/>
      <c r="AT230" s="353"/>
      <c r="AU230" s="35"/>
      <c r="AV230" s="358"/>
      <c r="AW230" s="359"/>
      <c r="AX230" s="360"/>
      <c r="AY230" s="35"/>
      <c r="AZ230" s="106"/>
      <c r="BA230" s="107"/>
      <c r="BB230" s="353"/>
      <c r="BC230" s="35"/>
      <c r="BD230" s="106"/>
      <c r="BE230" s="107"/>
      <c r="BF230" s="353"/>
      <c r="BG230" s="35"/>
      <c r="BH230" s="106"/>
      <c r="BI230" s="107"/>
      <c r="BJ230" s="353"/>
      <c r="BK230" s="35"/>
      <c r="BL230" s="367"/>
      <c r="BM230" s="368"/>
      <c r="BN230" s="369"/>
    </row>
    <row r="231" spans="2:66" ht="15.6" x14ac:dyDescent="0.3">
      <c r="B231" s="306"/>
      <c r="C231" s="111"/>
      <c r="D231" s="111"/>
      <c r="E231" s="385"/>
      <c r="F231" s="35"/>
      <c r="G231" s="380"/>
      <c r="H231" s="112"/>
      <c r="I231" s="112"/>
      <c r="J231" s="381"/>
      <c r="K231" s="72"/>
      <c r="L231" s="380"/>
      <c r="M231" s="112"/>
      <c r="N231" s="112"/>
      <c r="O231" s="381"/>
      <c r="P231" s="35"/>
      <c r="Q231" s="382"/>
      <c r="R231" s="383"/>
      <c r="S231" s="384"/>
      <c r="T231" s="35"/>
      <c r="U231" s="380"/>
      <c r="V231" s="112"/>
      <c r="W231" s="112"/>
      <c r="X231" s="381"/>
      <c r="Y231" s="35"/>
      <c r="Z231" s="382"/>
      <c r="AA231" s="383"/>
      <c r="AB231" s="384"/>
      <c r="AC231" s="35"/>
      <c r="AD231" s="380"/>
      <c r="AE231" s="112"/>
      <c r="AF231" s="112"/>
      <c r="AG231" s="381"/>
      <c r="AH231" s="35"/>
      <c r="AI231" s="382"/>
      <c r="AJ231" s="383"/>
      <c r="AK231" s="384"/>
      <c r="AL231" s="35"/>
      <c r="AM231" s="380"/>
      <c r="AN231" s="112"/>
      <c r="AO231" s="112"/>
      <c r="AP231" s="381"/>
      <c r="AQ231" s="35"/>
      <c r="AR231" s="113"/>
      <c r="AS231" s="114"/>
      <c r="AT231" s="376"/>
      <c r="AU231" s="35"/>
      <c r="AV231" s="379"/>
      <c r="AW231" s="377"/>
      <c r="AX231" s="378"/>
      <c r="AY231" s="35"/>
      <c r="AZ231" s="113"/>
      <c r="BA231" s="114"/>
      <c r="BB231" s="376"/>
      <c r="BC231" s="35"/>
      <c r="BD231" s="113"/>
      <c r="BE231" s="114"/>
      <c r="BF231" s="376"/>
      <c r="BG231" s="35"/>
      <c r="BH231" s="113"/>
      <c r="BI231" s="114"/>
      <c r="BJ231" s="376"/>
      <c r="BK231" s="35"/>
      <c r="BL231" s="373"/>
      <c r="BM231" s="374"/>
      <c r="BN231" s="375"/>
    </row>
    <row r="232" spans="2:66" ht="15.6" x14ac:dyDescent="0.3">
      <c r="B232" s="283"/>
      <c r="C232" s="99"/>
      <c r="D232" s="99"/>
      <c r="E232" s="334"/>
      <c r="F232" s="35"/>
      <c r="G232" s="339"/>
      <c r="H232" s="100"/>
      <c r="I232" s="100"/>
      <c r="J232" s="340"/>
      <c r="K232" s="72"/>
      <c r="L232" s="339"/>
      <c r="M232" s="100"/>
      <c r="N232" s="100"/>
      <c r="O232" s="340"/>
      <c r="P232" s="35"/>
      <c r="Q232" s="346"/>
      <c r="R232" s="347"/>
      <c r="S232" s="348"/>
      <c r="T232" s="35"/>
      <c r="U232" s="339"/>
      <c r="V232" s="100"/>
      <c r="W232" s="100"/>
      <c r="X232" s="340"/>
      <c r="Y232" s="35"/>
      <c r="Z232" s="346"/>
      <c r="AA232" s="347"/>
      <c r="AB232" s="348"/>
      <c r="AC232" s="35"/>
      <c r="AD232" s="339"/>
      <c r="AE232" s="100"/>
      <c r="AF232" s="100"/>
      <c r="AG232" s="340"/>
      <c r="AH232" s="35"/>
      <c r="AI232" s="346"/>
      <c r="AJ232" s="347"/>
      <c r="AK232" s="348"/>
      <c r="AL232" s="35"/>
      <c r="AM232" s="339"/>
      <c r="AN232" s="100"/>
      <c r="AO232" s="100"/>
      <c r="AP232" s="340"/>
      <c r="AQ232" s="35"/>
      <c r="AR232" s="106"/>
      <c r="AS232" s="107"/>
      <c r="AT232" s="353"/>
      <c r="AU232" s="35"/>
      <c r="AV232" s="358"/>
      <c r="AW232" s="359"/>
      <c r="AX232" s="360"/>
      <c r="AY232" s="35"/>
      <c r="AZ232" s="106"/>
      <c r="BA232" s="107"/>
      <c r="BB232" s="353"/>
      <c r="BC232" s="35"/>
      <c r="BD232" s="106"/>
      <c r="BE232" s="107"/>
      <c r="BF232" s="353"/>
      <c r="BG232" s="35"/>
      <c r="BH232" s="106"/>
      <c r="BI232" s="107"/>
      <c r="BJ232" s="353"/>
      <c r="BK232" s="35"/>
      <c r="BL232" s="367"/>
      <c r="BM232" s="368"/>
      <c r="BN232" s="369"/>
    </row>
    <row r="233" spans="2:66" ht="15.6" x14ac:dyDescent="0.3">
      <c r="B233" s="306"/>
      <c r="C233" s="111"/>
      <c r="D233" s="111"/>
      <c r="E233" s="385"/>
      <c r="F233" s="35"/>
      <c r="G233" s="380"/>
      <c r="H233" s="112"/>
      <c r="I233" s="112"/>
      <c r="J233" s="381"/>
      <c r="K233" s="72"/>
      <c r="L233" s="380"/>
      <c r="M233" s="112"/>
      <c r="N233" s="112"/>
      <c r="O233" s="381"/>
      <c r="P233" s="35"/>
      <c r="Q233" s="382"/>
      <c r="R233" s="383"/>
      <c r="S233" s="384"/>
      <c r="T233" s="35"/>
      <c r="U233" s="380"/>
      <c r="V233" s="112"/>
      <c r="W233" s="112"/>
      <c r="X233" s="381"/>
      <c r="Y233" s="35"/>
      <c r="Z233" s="382"/>
      <c r="AA233" s="383"/>
      <c r="AB233" s="384"/>
      <c r="AC233" s="35"/>
      <c r="AD233" s="380"/>
      <c r="AE233" s="112"/>
      <c r="AF233" s="112"/>
      <c r="AG233" s="381"/>
      <c r="AH233" s="35"/>
      <c r="AI233" s="382"/>
      <c r="AJ233" s="383"/>
      <c r="AK233" s="384"/>
      <c r="AL233" s="35"/>
      <c r="AM233" s="380"/>
      <c r="AN233" s="112"/>
      <c r="AO233" s="112"/>
      <c r="AP233" s="381"/>
      <c r="AQ233" s="35"/>
      <c r="AR233" s="113"/>
      <c r="AS233" s="114"/>
      <c r="AT233" s="376"/>
      <c r="AU233" s="35"/>
      <c r="AV233" s="379"/>
      <c r="AW233" s="377"/>
      <c r="AX233" s="378"/>
      <c r="AY233" s="35"/>
      <c r="AZ233" s="113"/>
      <c r="BA233" s="114"/>
      <c r="BB233" s="376"/>
      <c r="BC233" s="35"/>
      <c r="BD233" s="113"/>
      <c r="BE233" s="114"/>
      <c r="BF233" s="376"/>
      <c r="BG233" s="35"/>
      <c r="BH233" s="113"/>
      <c r="BI233" s="114"/>
      <c r="BJ233" s="376"/>
      <c r="BK233" s="35"/>
      <c r="BL233" s="373"/>
      <c r="BM233" s="374"/>
      <c r="BN233" s="375"/>
    </row>
    <row r="234" spans="2:66" ht="15.6" x14ac:dyDescent="0.3">
      <c r="B234" s="283"/>
      <c r="C234" s="99"/>
      <c r="D234" s="99"/>
      <c r="E234" s="334"/>
      <c r="F234" s="35"/>
      <c r="G234" s="339"/>
      <c r="H234" s="100"/>
      <c r="I234" s="100"/>
      <c r="J234" s="340"/>
      <c r="K234" s="72"/>
      <c r="L234" s="339"/>
      <c r="M234" s="100"/>
      <c r="N234" s="100"/>
      <c r="O234" s="340"/>
      <c r="P234" s="35"/>
      <c r="Q234" s="346"/>
      <c r="R234" s="347"/>
      <c r="S234" s="348"/>
      <c r="T234" s="35"/>
      <c r="U234" s="339"/>
      <c r="V234" s="100"/>
      <c r="W234" s="100"/>
      <c r="X234" s="340"/>
      <c r="Y234" s="35"/>
      <c r="Z234" s="346"/>
      <c r="AA234" s="347"/>
      <c r="AB234" s="348"/>
      <c r="AC234" s="35"/>
      <c r="AD234" s="339"/>
      <c r="AE234" s="100"/>
      <c r="AF234" s="100"/>
      <c r="AG234" s="340"/>
      <c r="AH234" s="35"/>
      <c r="AI234" s="346"/>
      <c r="AJ234" s="347"/>
      <c r="AK234" s="348"/>
      <c r="AL234" s="35"/>
      <c r="AM234" s="339"/>
      <c r="AN234" s="100"/>
      <c r="AO234" s="100"/>
      <c r="AP234" s="340"/>
      <c r="AQ234" s="35"/>
      <c r="AR234" s="106"/>
      <c r="AS234" s="107"/>
      <c r="AT234" s="353"/>
      <c r="AU234" s="35"/>
      <c r="AV234" s="358"/>
      <c r="AW234" s="359"/>
      <c r="AX234" s="360"/>
      <c r="AY234" s="35"/>
      <c r="AZ234" s="106"/>
      <c r="BA234" s="107"/>
      <c r="BB234" s="353"/>
      <c r="BC234" s="35"/>
      <c r="BD234" s="106"/>
      <c r="BE234" s="107"/>
      <c r="BF234" s="353"/>
      <c r="BG234" s="35"/>
      <c r="BH234" s="106"/>
      <c r="BI234" s="107"/>
      <c r="BJ234" s="353"/>
      <c r="BK234" s="35"/>
      <c r="BL234" s="367"/>
      <c r="BM234" s="368"/>
      <c r="BN234" s="369"/>
    </row>
    <row r="235" spans="2:66" ht="15.6" x14ac:dyDescent="0.3">
      <c r="B235" s="306"/>
      <c r="C235" s="111"/>
      <c r="D235" s="111"/>
      <c r="E235" s="385"/>
      <c r="F235" s="35"/>
      <c r="G235" s="380"/>
      <c r="H235" s="112"/>
      <c r="I235" s="112"/>
      <c r="J235" s="381"/>
      <c r="K235" s="72"/>
      <c r="L235" s="380"/>
      <c r="M235" s="112"/>
      <c r="N235" s="112"/>
      <c r="O235" s="381"/>
      <c r="P235" s="35"/>
      <c r="Q235" s="382"/>
      <c r="R235" s="383"/>
      <c r="S235" s="384"/>
      <c r="T235" s="35"/>
      <c r="U235" s="380"/>
      <c r="V235" s="112"/>
      <c r="W235" s="112"/>
      <c r="X235" s="381"/>
      <c r="Y235" s="35"/>
      <c r="Z235" s="382"/>
      <c r="AA235" s="383"/>
      <c r="AB235" s="384"/>
      <c r="AC235" s="35"/>
      <c r="AD235" s="380"/>
      <c r="AE235" s="112"/>
      <c r="AF235" s="112"/>
      <c r="AG235" s="381"/>
      <c r="AH235" s="35"/>
      <c r="AI235" s="382"/>
      <c r="AJ235" s="383"/>
      <c r="AK235" s="384"/>
      <c r="AL235" s="35"/>
      <c r="AM235" s="380"/>
      <c r="AN235" s="112"/>
      <c r="AO235" s="112"/>
      <c r="AP235" s="381"/>
      <c r="AQ235" s="35"/>
      <c r="AR235" s="113"/>
      <c r="AS235" s="114"/>
      <c r="AT235" s="376"/>
      <c r="AU235" s="35"/>
      <c r="AV235" s="379"/>
      <c r="AW235" s="377"/>
      <c r="AX235" s="378"/>
      <c r="AY235" s="35"/>
      <c r="AZ235" s="113"/>
      <c r="BA235" s="114"/>
      <c r="BB235" s="376"/>
      <c r="BC235" s="35"/>
      <c r="BD235" s="113"/>
      <c r="BE235" s="114"/>
      <c r="BF235" s="376"/>
      <c r="BG235" s="35"/>
      <c r="BH235" s="113"/>
      <c r="BI235" s="114"/>
      <c r="BJ235" s="376"/>
      <c r="BK235" s="35"/>
      <c r="BL235" s="373"/>
      <c r="BM235" s="374"/>
      <c r="BN235" s="375"/>
    </row>
    <row r="236" spans="2:66" ht="15.6" x14ac:dyDescent="0.3">
      <c r="B236" s="283"/>
      <c r="C236" s="99"/>
      <c r="D236" s="99"/>
      <c r="E236" s="334"/>
      <c r="F236" s="35"/>
      <c r="G236" s="339"/>
      <c r="H236" s="100"/>
      <c r="I236" s="100"/>
      <c r="J236" s="340"/>
      <c r="K236" s="72"/>
      <c r="L236" s="339"/>
      <c r="M236" s="100"/>
      <c r="N236" s="100"/>
      <c r="O236" s="340"/>
      <c r="P236" s="35"/>
      <c r="Q236" s="346"/>
      <c r="R236" s="347"/>
      <c r="S236" s="348"/>
      <c r="T236" s="35"/>
      <c r="U236" s="339"/>
      <c r="V236" s="100"/>
      <c r="W236" s="100"/>
      <c r="X236" s="340"/>
      <c r="Y236" s="35"/>
      <c r="Z236" s="346"/>
      <c r="AA236" s="347"/>
      <c r="AB236" s="348"/>
      <c r="AC236" s="35"/>
      <c r="AD236" s="339"/>
      <c r="AE236" s="100"/>
      <c r="AF236" s="100"/>
      <c r="AG236" s="340"/>
      <c r="AH236" s="35"/>
      <c r="AI236" s="346"/>
      <c r="AJ236" s="347"/>
      <c r="AK236" s="348"/>
      <c r="AL236" s="35"/>
      <c r="AM236" s="339"/>
      <c r="AN236" s="100"/>
      <c r="AO236" s="100"/>
      <c r="AP236" s="340"/>
      <c r="AQ236" s="35"/>
      <c r="AR236" s="106"/>
      <c r="AS236" s="107"/>
      <c r="AT236" s="353"/>
      <c r="AU236" s="35"/>
      <c r="AV236" s="358"/>
      <c r="AW236" s="359"/>
      <c r="AX236" s="360"/>
      <c r="AY236" s="35"/>
      <c r="AZ236" s="106"/>
      <c r="BA236" s="107"/>
      <c r="BB236" s="353"/>
      <c r="BC236" s="35"/>
      <c r="BD236" s="106"/>
      <c r="BE236" s="107"/>
      <c r="BF236" s="353"/>
      <c r="BG236" s="35"/>
      <c r="BH236" s="106"/>
      <c r="BI236" s="107"/>
      <c r="BJ236" s="353"/>
      <c r="BK236" s="35"/>
      <c r="BL236" s="367"/>
      <c r="BM236" s="368"/>
      <c r="BN236" s="369"/>
    </row>
    <row r="237" spans="2:66" ht="15.6" x14ac:dyDescent="0.3">
      <c r="B237" s="306"/>
      <c r="C237" s="111"/>
      <c r="D237" s="111"/>
      <c r="E237" s="385"/>
      <c r="F237" s="35"/>
      <c r="G237" s="380"/>
      <c r="H237" s="112"/>
      <c r="I237" s="112"/>
      <c r="J237" s="381"/>
      <c r="K237" s="72"/>
      <c r="L237" s="380"/>
      <c r="M237" s="112"/>
      <c r="N237" s="112"/>
      <c r="O237" s="381"/>
      <c r="P237" s="35"/>
      <c r="Q237" s="382"/>
      <c r="R237" s="383"/>
      <c r="S237" s="384"/>
      <c r="T237" s="35"/>
      <c r="U237" s="380"/>
      <c r="V237" s="112"/>
      <c r="W237" s="112"/>
      <c r="X237" s="381"/>
      <c r="Y237" s="35"/>
      <c r="Z237" s="382"/>
      <c r="AA237" s="383"/>
      <c r="AB237" s="384"/>
      <c r="AC237" s="35"/>
      <c r="AD237" s="380"/>
      <c r="AE237" s="112"/>
      <c r="AF237" s="112"/>
      <c r="AG237" s="381"/>
      <c r="AH237" s="35"/>
      <c r="AI237" s="382"/>
      <c r="AJ237" s="383"/>
      <c r="AK237" s="384"/>
      <c r="AL237" s="35"/>
      <c r="AM237" s="380"/>
      <c r="AN237" s="112"/>
      <c r="AO237" s="112"/>
      <c r="AP237" s="381"/>
      <c r="AQ237" s="35"/>
      <c r="AR237" s="113"/>
      <c r="AS237" s="114"/>
      <c r="AT237" s="376"/>
      <c r="AU237" s="35"/>
      <c r="AV237" s="379"/>
      <c r="AW237" s="377"/>
      <c r="AX237" s="378"/>
      <c r="AY237" s="35"/>
      <c r="AZ237" s="113"/>
      <c r="BA237" s="114"/>
      <c r="BB237" s="376"/>
      <c r="BC237" s="35"/>
      <c r="BD237" s="113"/>
      <c r="BE237" s="114"/>
      <c r="BF237" s="376"/>
      <c r="BG237" s="35"/>
      <c r="BH237" s="113"/>
      <c r="BI237" s="114"/>
      <c r="BJ237" s="376"/>
      <c r="BK237" s="35"/>
      <c r="BL237" s="373"/>
      <c r="BM237" s="374"/>
      <c r="BN237" s="375"/>
    </row>
    <row r="238" spans="2:66" ht="15.6" x14ac:dyDescent="0.3">
      <c r="B238" s="283"/>
      <c r="C238" s="99"/>
      <c r="D238" s="99"/>
      <c r="E238" s="334"/>
      <c r="F238" s="35"/>
      <c r="G238" s="339"/>
      <c r="H238" s="100"/>
      <c r="I238" s="100"/>
      <c r="J238" s="340"/>
      <c r="K238" s="72"/>
      <c r="L238" s="339"/>
      <c r="M238" s="100"/>
      <c r="N238" s="100"/>
      <c r="O238" s="340"/>
      <c r="P238" s="35"/>
      <c r="Q238" s="346"/>
      <c r="R238" s="347"/>
      <c r="S238" s="348"/>
      <c r="T238" s="35"/>
      <c r="U238" s="339"/>
      <c r="V238" s="100"/>
      <c r="W238" s="100"/>
      <c r="X238" s="340"/>
      <c r="Y238" s="35"/>
      <c r="Z238" s="346"/>
      <c r="AA238" s="347"/>
      <c r="AB238" s="348"/>
      <c r="AC238" s="35"/>
      <c r="AD238" s="339"/>
      <c r="AE238" s="100"/>
      <c r="AF238" s="100"/>
      <c r="AG238" s="340"/>
      <c r="AH238" s="35"/>
      <c r="AI238" s="346"/>
      <c r="AJ238" s="347"/>
      <c r="AK238" s="348"/>
      <c r="AL238" s="35"/>
      <c r="AM238" s="339"/>
      <c r="AN238" s="100"/>
      <c r="AO238" s="100"/>
      <c r="AP238" s="340"/>
      <c r="AQ238" s="35"/>
      <c r="AR238" s="106"/>
      <c r="AS238" s="107"/>
      <c r="AT238" s="353"/>
      <c r="AU238" s="35"/>
      <c r="AV238" s="358"/>
      <c r="AW238" s="359"/>
      <c r="AX238" s="360"/>
      <c r="AY238" s="35"/>
      <c r="AZ238" s="106"/>
      <c r="BA238" s="107"/>
      <c r="BB238" s="353"/>
      <c r="BC238" s="35"/>
      <c r="BD238" s="106"/>
      <c r="BE238" s="107"/>
      <c r="BF238" s="353"/>
      <c r="BG238" s="35"/>
      <c r="BH238" s="106"/>
      <c r="BI238" s="107"/>
      <c r="BJ238" s="353"/>
      <c r="BK238" s="35"/>
      <c r="BL238" s="367"/>
      <c r="BM238" s="368"/>
      <c r="BN238" s="369"/>
    </row>
    <row r="239" spans="2:66" ht="15.6" x14ac:dyDescent="0.3">
      <c r="B239" s="306"/>
      <c r="C239" s="111"/>
      <c r="D239" s="111"/>
      <c r="E239" s="385"/>
      <c r="F239" s="35"/>
      <c r="G239" s="380"/>
      <c r="H239" s="112"/>
      <c r="I239" s="112"/>
      <c r="J239" s="381"/>
      <c r="K239" s="72"/>
      <c r="L239" s="380"/>
      <c r="M239" s="112"/>
      <c r="N239" s="112"/>
      <c r="O239" s="381"/>
      <c r="P239" s="35"/>
      <c r="Q239" s="382"/>
      <c r="R239" s="383"/>
      <c r="S239" s="384"/>
      <c r="T239" s="35"/>
      <c r="U239" s="380"/>
      <c r="V239" s="112"/>
      <c r="W239" s="112"/>
      <c r="X239" s="381"/>
      <c r="Y239" s="35"/>
      <c r="Z239" s="382"/>
      <c r="AA239" s="383"/>
      <c r="AB239" s="384"/>
      <c r="AC239" s="35"/>
      <c r="AD239" s="380"/>
      <c r="AE239" s="112"/>
      <c r="AF239" s="112"/>
      <c r="AG239" s="381"/>
      <c r="AH239" s="35"/>
      <c r="AI239" s="382"/>
      <c r="AJ239" s="383"/>
      <c r="AK239" s="384"/>
      <c r="AL239" s="35"/>
      <c r="AM239" s="380"/>
      <c r="AN239" s="112"/>
      <c r="AO239" s="112"/>
      <c r="AP239" s="381"/>
      <c r="AQ239" s="35"/>
      <c r="AR239" s="113"/>
      <c r="AS239" s="114"/>
      <c r="AT239" s="376"/>
      <c r="AU239" s="35"/>
      <c r="AV239" s="379"/>
      <c r="AW239" s="377"/>
      <c r="AX239" s="378"/>
      <c r="AY239" s="35"/>
      <c r="AZ239" s="113"/>
      <c r="BA239" s="114"/>
      <c r="BB239" s="376"/>
      <c r="BC239" s="35"/>
      <c r="BD239" s="113"/>
      <c r="BE239" s="114"/>
      <c r="BF239" s="376"/>
      <c r="BG239" s="35"/>
      <c r="BH239" s="113"/>
      <c r="BI239" s="114"/>
      <c r="BJ239" s="376"/>
      <c r="BK239" s="35"/>
      <c r="BL239" s="373"/>
      <c r="BM239" s="374"/>
      <c r="BN239" s="375"/>
    </row>
    <row r="240" spans="2:66" ht="15.6" x14ac:dyDescent="0.3">
      <c r="B240" s="283"/>
      <c r="C240" s="99"/>
      <c r="D240" s="99"/>
      <c r="E240" s="334"/>
      <c r="F240" s="35"/>
      <c r="G240" s="339"/>
      <c r="H240" s="100"/>
      <c r="I240" s="100"/>
      <c r="J240" s="340"/>
      <c r="K240" s="72"/>
      <c r="L240" s="339"/>
      <c r="M240" s="100"/>
      <c r="N240" s="100"/>
      <c r="O240" s="340"/>
      <c r="P240" s="35"/>
      <c r="Q240" s="346"/>
      <c r="R240" s="347"/>
      <c r="S240" s="348"/>
      <c r="T240" s="35"/>
      <c r="U240" s="339"/>
      <c r="V240" s="100"/>
      <c r="W240" s="100"/>
      <c r="X240" s="340"/>
      <c r="Y240" s="35"/>
      <c r="Z240" s="346"/>
      <c r="AA240" s="347"/>
      <c r="AB240" s="348"/>
      <c r="AC240" s="35"/>
      <c r="AD240" s="339"/>
      <c r="AE240" s="100"/>
      <c r="AF240" s="100"/>
      <c r="AG240" s="340"/>
      <c r="AH240" s="35"/>
      <c r="AI240" s="346"/>
      <c r="AJ240" s="347"/>
      <c r="AK240" s="348"/>
      <c r="AL240" s="35"/>
      <c r="AM240" s="339"/>
      <c r="AN240" s="100"/>
      <c r="AO240" s="100"/>
      <c r="AP240" s="340"/>
      <c r="AQ240" s="35"/>
      <c r="AR240" s="106"/>
      <c r="AS240" s="107"/>
      <c r="AT240" s="353"/>
      <c r="AU240" s="35"/>
      <c r="AV240" s="358"/>
      <c r="AW240" s="359"/>
      <c r="AX240" s="360"/>
      <c r="AY240" s="35"/>
      <c r="AZ240" s="106"/>
      <c r="BA240" s="107"/>
      <c r="BB240" s="353"/>
      <c r="BC240" s="35"/>
      <c r="BD240" s="106"/>
      <c r="BE240" s="107"/>
      <c r="BF240" s="353"/>
      <c r="BG240" s="35"/>
      <c r="BH240" s="106"/>
      <c r="BI240" s="107"/>
      <c r="BJ240" s="353"/>
      <c r="BK240" s="35"/>
      <c r="BL240" s="367"/>
      <c r="BM240" s="368"/>
      <c r="BN240" s="369"/>
    </row>
    <row r="241" spans="2:67" ht="15.6" x14ac:dyDescent="0.3">
      <c r="B241" s="306"/>
      <c r="C241" s="111"/>
      <c r="D241" s="111"/>
      <c r="E241" s="385"/>
      <c r="F241" s="35"/>
      <c r="G241" s="380"/>
      <c r="H241" s="112"/>
      <c r="I241" s="112"/>
      <c r="J241" s="381"/>
      <c r="K241" s="72"/>
      <c r="L241" s="380"/>
      <c r="M241" s="112"/>
      <c r="N241" s="112"/>
      <c r="O241" s="381"/>
      <c r="P241" s="35"/>
      <c r="Q241" s="382"/>
      <c r="R241" s="383"/>
      <c r="S241" s="384"/>
      <c r="T241" s="35"/>
      <c r="U241" s="380"/>
      <c r="V241" s="112"/>
      <c r="W241" s="112"/>
      <c r="X241" s="381"/>
      <c r="Y241" s="35"/>
      <c r="Z241" s="382"/>
      <c r="AA241" s="383"/>
      <c r="AB241" s="384"/>
      <c r="AC241" s="35"/>
      <c r="AD241" s="380"/>
      <c r="AE241" s="112"/>
      <c r="AF241" s="112"/>
      <c r="AG241" s="381"/>
      <c r="AH241" s="35"/>
      <c r="AI241" s="382"/>
      <c r="AJ241" s="383"/>
      <c r="AK241" s="384"/>
      <c r="AL241" s="35"/>
      <c r="AM241" s="380"/>
      <c r="AN241" s="112"/>
      <c r="AO241" s="112"/>
      <c r="AP241" s="381"/>
      <c r="AQ241" s="35"/>
      <c r="AR241" s="113"/>
      <c r="AS241" s="114"/>
      <c r="AT241" s="376"/>
      <c r="AU241" s="35"/>
      <c r="AV241" s="379"/>
      <c r="AW241" s="377"/>
      <c r="AX241" s="378"/>
      <c r="AY241" s="35"/>
      <c r="AZ241" s="113"/>
      <c r="BA241" s="114"/>
      <c r="BB241" s="376"/>
      <c r="BC241" s="35"/>
      <c r="BD241" s="113"/>
      <c r="BE241" s="114"/>
      <c r="BF241" s="376"/>
      <c r="BG241" s="35"/>
      <c r="BH241" s="113"/>
      <c r="BI241" s="114"/>
      <c r="BJ241" s="376"/>
      <c r="BK241" s="35"/>
      <c r="BL241" s="373"/>
      <c r="BM241" s="374"/>
      <c r="BN241" s="375"/>
    </row>
    <row r="242" spans="2:67" ht="15.6" x14ac:dyDescent="0.3">
      <c r="B242" s="283"/>
      <c r="C242" s="99"/>
      <c r="D242" s="99"/>
      <c r="E242" s="334"/>
      <c r="F242" s="35"/>
      <c r="G242" s="339"/>
      <c r="H242" s="100"/>
      <c r="I242" s="100"/>
      <c r="J242" s="340"/>
      <c r="K242" s="72"/>
      <c r="L242" s="339"/>
      <c r="M242" s="100"/>
      <c r="N242" s="100"/>
      <c r="O242" s="340"/>
      <c r="P242" s="35"/>
      <c r="Q242" s="346"/>
      <c r="R242" s="347"/>
      <c r="S242" s="348"/>
      <c r="T242" s="35"/>
      <c r="U242" s="339"/>
      <c r="V242" s="100"/>
      <c r="W242" s="100"/>
      <c r="X242" s="340"/>
      <c r="Y242" s="35"/>
      <c r="Z242" s="346"/>
      <c r="AA242" s="347"/>
      <c r="AB242" s="348"/>
      <c r="AC242" s="35"/>
      <c r="AD242" s="339"/>
      <c r="AE242" s="100"/>
      <c r="AF242" s="100"/>
      <c r="AG242" s="340"/>
      <c r="AH242" s="35"/>
      <c r="AI242" s="346"/>
      <c r="AJ242" s="347"/>
      <c r="AK242" s="348"/>
      <c r="AL242" s="35"/>
      <c r="AM242" s="339"/>
      <c r="AN242" s="100"/>
      <c r="AO242" s="100"/>
      <c r="AP242" s="340"/>
      <c r="AQ242" s="35"/>
      <c r="AR242" s="106"/>
      <c r="AS242" s="107"/>
      <c r="AT242" s="353"/>
      <c r="AU242" s="35"/>
      <c r="AV242" s="358"/>
      <c r="AW242" s="359"/>
      <c r="AX242" s="360"/>
      <c r="AY242" s="35"/>
      <c r="AZ242" s="106"/>
      <c r="BA242" s="107"/>
      <c r="BB242" s="353"/>
      <c r="BC242" s="35"/>
      <c r="BD242" s="106"/>
      <c r="BE242" s="107"/>
      <c r="BF242" s="353"/>
      <c r="BG242" s="35"/>
      <c r="BH242" s="106"/>
      <c r="BI242" s="107"/>
      <c r="BJ242" s="353"/>
      <c r="BK242" s="35"/>
      <c r="BL242" s="367"/>
      <c r="BM242" s="368"/>
      <c r="BN242" s="369"/>
    </row>
    <row r="243" spans="2:67" ht="15.6" x14ac:dyDescent="0.3">
      <c r="B243" s="306"/>
      <c r="C243" s="111"/>
      <c r="D243" s="111"/>
      <c r="E243" s="385"/>
      <c r="F243" s="35"/>
      <c r="G243" s="380"/>
      <c r="H243" s="112"/>
      <c r="I243" s="112"/>
      <c r="J243" s="381"/>
      <c r="K243" s="72"/>
      <c r="L243" s="380"/>
      <c r="M243" s="112"/>
      <c r="N243" s="112"/>
      <c r="O243" s="381"/>
      <c r="P243" s="35"/>
      <c r="Q243" s="382"/>
      <c r="R243" s="383"/>
      <c r="S243" s="384"/>
      <c r="T243" s="35"/>
      <c r="U243" s="380"/>
      <c r="V243" s="112"/>
      <c r="W243" s="112"/>
      <c r="X243" s="381"/>
      <c r="Y243" s="35"/>
      <c r="Z243" s="382"/>
      <c r="AA243" s="383"/>
      <c r="AB243" s="384"/>
      <c r="AC243" s="35"/>
      <c r="AD243" s="380"/>
      <c r="AE243" s="112"/>
      <c r="AF243" s="112"/>
      <c r="AG243" s="381"/>
      <c r="AH243" s="35"/>
      <c r="AI243" s="382"/>
      <c r="AJ243" s="383"/>
      <c r="AK243" s="384"/>
      <c r="AL243" s="35"/>
      <c r="AM243" s="380"/>
      <c r="AN243" s="112"/>
      <c r="AO243" s="112"/>
      <c r="AP243" s="381"/>
      <c r="AQ243" s="35"/>
      <c r="AR243" s="113"/>
      <c r="AS243" s="114"/>
      <c r="AT243" s="376"/>
      <c r="AU243" s="35"/>
      <c r="AV243" s="379"/>
      <c r="AW243" s="377"/>
      <c r="AX243" s="378"/>
      <c r="AY243" s="35"/>
      <c r="AZ243" s="113"/>
      <c r="BA243" s="114"/>
      <c r="BB243" s="376"/>
      <c r="BC243" s="35"/>
      <c r="BD243" s="113"/>
      <c r="BE243" s="114"/>
      <c r="BF243" s="376"/>
      <c r="BG243" s="35"/>
      <c r="BH243" s="113"/>
      <c r="BI243" s="114"/>
      <c r="BJ243" s="376"/>
      <c r="BK243" s="35"/>
      <c r="BL243" s="373"/>
      <c r="BM243" s="374"/>
      <c r="BN243" s="375"/>
    </row>
    <row r="244" spans="2:67" ht="15.6" x14ac:dyDescent="0.3">
      <c r="B244" s="335"/>
      <c r="C244" s="102"/>
      <c r="D244" s="102"/>
      <c r="E244" s="336"/>
      <c r="F244" s="386"/>
      <c r="G244" s="341"/>
      <c r="H244" s="103"/>
      <c r="I244" s="103"/>
      <c r="J244" s="342"/>
      <c r="K244" s="387"/>
      <c r="L244" s="341"/>
      <c r="M244" s="103"/>
      <c r="N244" s="103"/>
      <c r="O244" s="342"/>
      <c r="P244" s="386"/>
      <c r="Q244" s="349"/>
      <c r="R244" s="350"/>
      <c r="S244" s="351"/>
      <c r="T244" s="386"/>
      <c r="U244" s="341"/>
      <c r="V244" s="103"/>
      <c r="W244" s="103"/>
      <c r="X244" s="342"/>
      <c r="Y244" s="386"/>
      <c r="Z244" s="349"/>
      <c r="AA244" s="350"/>
      <c r="AB244" s="351"/>
      <c r="AC244" s="386"/>
      <c r="AD244" s="341"/>
      <c r="AE244" s="103"/>
      <c r="AF244" s="103"/>
      <c r="AG244" s="342"/>
      <c r="AH244" s="386"/>
      <c r="AI244" s="349"/>
      <c r="AJ244" s="350"/>
      <c r="AK244" s="351"/>
      <c r="AL244" s="386"/>
      <c r="AM244" s="341"/>
      <c r="AN244" s="103"/>
      <c r="AO244" s="103"/>
      <c r="AP244" s="342"/>
      <c r="AQ244" s="386"/>
      <c r="AR244" s="108"/>
      <c r="AS244" s="109"/>
      <c r="AT244" s="354"/>
      <c r="AU244" s="386"/>
      <c r="AV244" s="361"/>
      <c r="AW244" s="362"/>
      <c r="AX244" s="363"/>
      <c r="AY244" s="386"/>
      <c r="AZ244" s="108"/>
      <c r="BA244" s="109"/>
      <c r="BB244" s="354"/>
      <c r="BC244" s="386"/>
      <c r="BD244" s="108"/>
      <c r="BE244" s="109"/>
      <c r="BF244" s="354"/>
      <c r="BG244" s="386"/>
      <c r="BH244" s="108"/>
      <c r="BI244" s="109"/>
      <c r="BJ244" s="354"/>
      <c r="BK244" s="386"/>
      <c r="BL244" s="370"/>
      <c r="BM244" s="371"/>
      <c r="BN244" s="372"/>
      <c r="BO244" s="232"/>
    </row>
  </sheetData>
  <conditionalFormatting sqref="Q9:S9">
    <cfRule type="expression" dxfId="11" priority="10">
      <formula>$C$4="Dólar (US$)"</formula>
    </cfRule>
  </conditionalFormatting>
  <conditionalFormatting sqref="Z9:AB9">
    <cfRule type="expression" dxfId="10" priority="9">
      <formula>$C$4="Dólar (US$)"</formula>
    </cfRule>
  </conditionalFormatting>
  <conditionalFormatting sqref="AI9:AK9">
    <cfRule type="expression" dxfId="9" priority="8">
      <formula>$C$4="Dólar (US$)"</formula>
    </cfRule>
  </conditionalFormatting>
  <conditionalFormatting sqref="AR9:AT9">
    <cfRule type="expression" dxfId="8" priority="7">
      <formula>$C$4="Dólar (US$)"</formula>
    </cfRule>
  </conditionalFormatting>
  <conditionalFormatting sqref="AV9:AX9">
    <cfRule type="expression" dxfId="7" priority="6">
      <formula>$C$4="Dólar (US$)"</formula>
    </cfRule>
  </conditionalFormatting>
  <conditionalFormatting sqref="AZ9:BB9">
    <cfRule type="expression" dxfId="6" priority="5">
      <formula>$C$4="Dólar (US$)"</formula>
    </cfRule>
  </conditionalFormatting>
  <conditionalFormatting sqref="BH9:BJ9">
    <cfRule type="expression" dxfId="4" priority="3">
      <formula>$C$4="Dólar (US$)"</formula>
    </cfRule>
  </conditionalFormatting>
  <conditionalFormatting sqref="BL9:BN9">
    <cfRule type="expression" dxfId="3" priority="2">
      <formula>$C$4="Dólar (US$)"</formula>
    </cfRule>
  </conditionalFormatting>
  <conditionalFormatting sqref="BD9:BF9">
    <cfRule type="expression" dxfId="2" priority="1">
      <formula>$C$4="Dólar (US$)"</formula>
    </cfRule>
  </conditionalFormatting>
  <dataValidations count="2">
    <dataValidation type="list" allowBlank="1" showInputMessage="1" showErrorMessage="1" sqref="C4" xr:uid="{00000000-0002-0000-0300-000000000000}">
      <formula1>"ORIGINAL CURRENCY,USD,EUR,INFLATION ADJUSTED"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V10:AX201 E10:E200 BL10:BN201 BD10:BF201 G10:J201 AZ10:BB201 AR10:AT201 Z10:AB201 L10:O201 AM10:AP201 U10:X201 AI10:AK201 Q10:S201 BH10:BJ201 AD10:AG201 C10:D201" xr:uid="{00000000-0002-0000-0300-000001000000}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Base!#REF!</xm:f>
          </x14:formula1>
          <xm:sqref>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rgb="FF023A4A"/>
  </sheetPr>
  <dimension ref="A1:AX1320"/>
  <sheetViews>
    <sheetView showGridLines="0" zoomScale="80" zoomScaleNormal="80" workbookViewId="0"/>
  </sheetViews>
  <sheetFormatPr defaultColWidth="9.21875" defaultRowHeight="14.4" x14ac:dyDescent="0.3"/>
  <cols>
    <col min="1" max="1" width="2.88671875" style="3" customWidth="1"/>
    <col min="2" max="2" width="25.109375" style="12" bestFit="1" customWidth="1"/>
    <col min="3" max="6" width="21.77734375" style="5" customWidth="1"/>
    <col min="7" max="7" width="21.77734375" style="29" customWidth="1"/>
    <col min="8" max="8" width="2.88671875" customWidth="1"/>
    <col min="9" max="11" width="21.77734375" style="7" customWidth="1"/>
    <col min="12" max="12" width="21.77734375" style="8" customWidth="1"/>
    <col min="13" max="14" width="21.77734375" style="7" customWidth="1"/>
    <col min="15" max="15" width="21.77734375" style="8" customWidth="1"/>
    <col min="16" max="16" width="21.77734375" style="6" customWidth="1"/>
    <col min="17" max="23" width="21.77734375" style="5" customWidth="1"/>
    <col min="24" max="24" width="21.77734375" style="8" customWidth="1"/>
    <col min="25" max="25" width="21.77734375" style="9" customWidth="1"/>
    <col min="26" max="27" width="21.77734375" style="10" customWidth="1"/>
    <col min="28" max="28" width="21.77734375" style="8" customWidth="1"/>
    <col min="29" max="29" width="21.77734375" style="10" customWidth="1"/>
    <col min="30" max="16384" width="9.21875" style="12"/>
  </cols>
  <sheetData>
    <row r="1" spans="1:50" s="393" customFormat="1" ht="60" customHeight="1" x14ac:dyDescent="0.3">
      <c r="B1" s="31"/>
      <c r="C1" s="394"/>
      <c r="D1" s="395"/>
      <c r="E1" s="396" t="s">
        <v>2881</v>
      </c>
      <c r="F1" s="397"/>
      <c r="G1" s="397"/>
      <c r="H1" s="397"/>
      <c r="I1" s="397"/>
      <c r="J1" s="397"/>
      <c r="K1" s="397"/>
      <c r="L1" s="397"/>
      <c r="M1" s="397"/>
      <c r="N1" s="398"/>
      <c r="O1" s="397"/>
      <c r="P1" s="399"/>
      <c r="Q1" s="400"/>
      <c r="R1" s="399"/>
      <c r="S1" s="400"/>
      <c r="T1" s="399"/>
      <c r="U1" s="400"/>
      <c r="V1" s="400"/>
      <c r="W1" s="400"/>
      <c r="X1" s="400"/>
      <c r="Y1" s="400"/>
      <c r="Z1" s="401"/>
      <c r="AA1" s="399"/>
      <c r="AB1" s="399"/>
      <c r="AC1" s="399"/>
      <c r="AD1" s="399"/>
      <c r="AE1" s="399"/>
      <c r="AF1" s="69"/>
      <c r="AG1" s="402"/>
      <c r="AH1" s="47"/>
      <c r="AI1" s="47"/>
      <c r="AJ1" s="47"/>
      <c r="AK1" s="47"/>
      <c r="AL1" s="47"/>
      <c r="AM1" s="401"/>
      <c r="AN1" s="48"/>
      <c r="AO1" s="48"/>
      <c r="AP1" s="48"/>
      <c r="AQ1" s="48"/>
      <c r="AR1" s="31"/>
      <c r="AS1" s="48"/>
      <c r="AT1" s="47"/>
      <c r="AU1" s="403"/>
      <c r="AV1" s="47"/>
      <c r="AW1" s="31"/>
      <c r="AX1" s="31"/>
    </row>
    <row r="2" spans="1:50" s="3" customFormat="1" ht="15.6" x14ac:dyDescent="0.3">
      <c r="B2" s="78" t="s">
        <v>2189</v>
      </c>
      <c r="C2" s="388" t="s">
        <v>284</v>
      </c>
      <c r="D2" s="278" t="s">
        <v>2877</v>
      </c>
      <c r="F2" s="14"/>
      <c r="G2" s="14"/>
      <c r="H2"/>
      <c r="K2" s="14"/>
      <c r="L2" s="15"/>
      <c r="M2" s="14"/>
      <c r="O2" s="15"/>
      <c r="Q2" s="14"/>
      <c r="R2" s="14"/>
      <c r="S2" s="14"/>
      <c r="T2" s="14"/>
      <c r="U2" s="14"/>
      <c r="V2" s="14"/>
      <c r="W2" s="14"/>
      <c r="X2" s="15"/>
      <c r="Y2" s="14"/>
      <c r="AB2" s="15"/>
    </row>
    <row r="3" spans="1:50" s="3" customFormat="1" ht="15.6" x14ac:dyDescent="0.3">
      <c r="B3" s="80" t="s">
        <v>2190</v>
      </c>
      <c r="C3" s="389" t="str">
        <f>_xll.ECONOMATICA(C2,"NAME")</f>
        <v>Algar Telecom S/A</v>
      </c>
      <c r="D3" s="77" t="s">
        <v>2860</v>
      </c>
      <c r="F3" s="14"/>
      <c r="G3" s="14"/>
      <c r="H3"/>
      <c r="K3" s="14"/>
      <c r="L3" s="15"/>
      <c r="M3" s="14"/>
      <c r="O3" s="15"/>
      <c r="Q3" s="14"/>
      <c r="R3" s="14"/>
      <c r="S3" s="14"/>
      <c r="T3" s="14"/>
      <c r="U3" s="14"/>
      <c r="V3" s="14"/>
      <c r="W3" s="14"/>
      <c r="X3" s="15"/>
      <c r="Y3" s="14"/>
      <c r="AB3" s="15"/>
    </row>
    <row r="4" spans="1:50" s="3" customFormat="1" ht="15.6" x14ac:dyDescent="0.3">
      <c r="B4" s="80" t="s">
        <v>2191</v>
      </c>
      <c r="C4" s="390">
        <f>DATE(YEAR($C$5)-$C$7,3,31)</f>
        <v>44286</v>
      </c>
      <c r="D4" s="77" t="s">
        <v>2860</v>
      </c>
      <c r="F4" s="14"/>
      <c r="G4" s="14"/>
      <c r="H4"/>
      <c r="K4" s="14"/>
      <c r="L4" s="15"/>
      <c r="M4" s="14"/>
      <c r="O4" s="15"/>
      <c r="Q4" s="14"/>
      <c r="R4" s="14"/>
      <c r="S4" s="14"/>
      <c r="T4" s="14"/>
      <c r="U4" s="14"/>
      <c r="V4" s="14"/>
      <c r="W4" s="14"/>
      <c r="X4" s="15"/>
      <c r="Y4" s="14"/>
      <c r="AB4" s="15"/>
    </row>
    <row r="5" spans="1:50" s="3" customFormat="1" ht="15.6" x14ac:dyDescent="0.3">
      <c r="B5" s="80" t="s">
        <v>2192</v>
      </c>
      <c r="C5" s="515">
        <f>IF(C6="",_xll.ECONOMATICA($C$2,"Fin Statm Date"),C6)</f>
        <v>45473</v>
      </c>
      <c r="D5" s="77" t="s">
        <v>2860</v>
      </c>
      <c r="F5" s="14"/>
      <c r="G5" s="14"/>
      <c r="H5"/>
      <c r="I5"/>
      <c r="K5" s="14"/>
      <c r="L5" s="15"/>
      <c r="M5" s="14"/>
      <c r="O5" s="15"/>
      <c r="Q5" s="14"/>
      <c r="R5" s="14"/>
      <c r="S5" s="14"/>
      <c r="T5" s="14"/>
      <c r="U5" s="14"/>
      <c r="V5" s="14"/>
      <c r="W5" s="14"/>
      <c r="X5" s="15"/>
      <c r="Y5" s="14"/>
      <c r="AB5" s="15"/>
    </row>
    <row r="6" spans="1:50" s="3" customFormat="1" ht="15.6" x14ac:dyDescent="0.3">
      <c r="B6" s="80" t="s">
        <v>2180</v>
      </c>
      <c r="C6" s="82"/>
      <c r="D6" s="77" t="s">
        <v>2878</v>
      </c>
      <c r="F6" s="14"/>
      <c r="G6" s="14"/>
      <c r="H6"/>
      <c r="I6"/>
      <c r="K6" s="14"/>
      <c r="L6" s="15"/>
      <c r="M6" s="14"/>
      <c r="O6" s="15"/>
      <c r="Q6" s="14"/>
      <c r="R6" s="14"/>
      <c r="S6" s="14"/>
      <c r="T6" s="14"/>
      <c r="U6" s="14"/>
      <c r="V6" s="14"/>
      <c r="W6" s="14"/>
      <c r="X6" s="15"/>
      <c r="Y6" s="14"/>
      <c r="AB6" s="15"/>
    </row>
    <row r="7" spans="1:50" s="3" customFormat="1" ht="15.6" x14ac:dyDescent="0.3">
      <c r="B7" s="80" t="s">
        <v>2193</v>
      </c>
      <c r="C7" s="391">
        <v>3</v>
      </c>
      <c r="D7" s="77" t="s">
        <v>2879</v>
      </c>
      <c r="F7" s="14"/>
      <c r="G7" s="14"/>
      <c r="H7"/>
      <c r="K7" s="14"/>
      <c r="L7" s="15"/>
      <c r="M7" s="14"/>
      <c r="O7" s="15"/>
      <c r="Q7" s="14"/>
      <c r="R7" s="14"/>
      <c r="S7" s="14"/>
      <c r="T7" s="14"/>
      <c r="U7" s="14"/>
      <c r="V7" s="14"/>
      <c r="W7" s="14"/>
      <c r="X7" s="15"/>
      <c r="Y7" s="14"/>
      <c r="AB7" s="15"/>
    </row>
    <row r="8" spans="1:50" s="3" customFormat="1" ht="15.6" x14ac:dyDescent="0.3">
      <c r="B8" s="80" t="s">
        <v>2194</v>
      </c>
      <c r="C8" s="391" t="s">
        <v>26</v>
      </c>
      <c r="D8" s="278" t="s">
        <v>2880</v>
      </c>
      <c r="F8" s="14"/>
      <c r="G8" s="14"/>
      <c r="H8"/>
      <c r="K8" s="14"/>
      <c r="L8" s="15"/>
      <c r="M8" s="14"/>
      <c r="O8" s="15"/>
      <c r="Q8" s="14"/>
      <c r="R8" s="14"/>
      <c r="S8" s="14"/>
      <c r="T8" s="14"/>
      <c r="U8" s="14"/>
      <c r="V8" s="14"/>
      <c r="W8" s="14"/>
      <c r="X8" s="15"/>
      <c r="Y8" s="14"/>
      <c r="AB8" s="15"/>
    </row>
    <row r="9" spans="1:50" s="3" customFormat="1" ht="16.5" customHeight="1" x14ac:dyDescent="0.3">
      <c r="B9" s="81" t="s">
        <v>2195</v>
      </c>
      <c r="C9" s="392" t="s">
        <v>237</v>
      </c>
      <c r="D9" s="278" t="s">
        <v>2874</v>
      </c>
      <c r="E9" s="14"/>
      <c r="F9" s="14"/>
      <c r="G9" s="14"/>
      <c r="H9"/>
      <c r="J9" s="14"/>
      <c r="K9" s="14"/>
      <c r="L9" s="15"/>
      <c r="M9" s="14"/>
      <c r="N9" s="14"/>
      <c r="O9" s="15"/>
      <c r="Q9" s="14"/>
      <c r="R9" s="14"/>
      <c r="S9" s="14"/>
      <c r="T9" s="14"/>
      <c r="U9" s="14"/>
      <c r="V9" s="14"/>
      <c r="W9" s="14"/>
      <c r="X9" s="15"/>
      <c r="Y9" s="14"/>
      <c r="AB9" s="15"/>
    </row>
    <row r="10" spans="1:50" s="3" customFormat="1" ht="16.5" customHeight="1" x14ac:dyDescent="0.3">
      <c r="B10" s="81" t="s">
        <v>2185</v>
      </c>
      <c r="C10" s="392" t="s">
        <v>448</v>
      </c>
      <c r="D10" s="278" t="s">
        <v>2875</v>
      </c>
      <c r="E10" s="14"/>
      <c r="F10" s="14"/>
      <c r="G10" s="14"/>
      <c r="H10"/>
      <c r="J10" s="14"/>
      <c r="K10" s="14"/>
      <c r="L10" s="15"/>
      <c r="M10" s="14"/>
      <c r="N10" s="14"/>
      <c r="O10" s="15"/>
      <c r="Q10" s="14"/>
      <c r="R10" s="14"/>
      <c r="S10" s="14"/>
      <c r="T10" s="14"/>
      <c r="U10" s="14"/>
      <c r="V10" s="14"/>
      <c r="W10" s="14"/>
      <c r="X10" s="15"/>
      <c r="Y10" s="14"/>
      <c r="AB10" s="15"/>
    </row>
    <row r="11" spans="1:50" s="3" customFormat="1" ht="16.5" customHeight="1" x14ac:dyDescent="0.3">
      <c r="B11" s="13"/>
      <c r="C11"/>
      <c r="D11" s="17"/>
      <c r="E11" s="14"/>
      <c r="F11" s="14"/>
      <c r="G11" s="405" t="s">
        <v>2882</v>
      </c>
      <c r="H11" s="405"/>
      <c r="I11" s="405"/>
      <c r="J11" s="14"/>
      <c r="K11" s="14"/>
      <c r="L11" s="15"/>
      <c r="M11" s="14"/>
      <c r="N11" s="14"/>
      <c r="O11" s="15"/>
      <c r="Q11" s="14"/>
      <c r="R11" s="14"/>
      <c r="S11" s="14"/>
      <c r="T11" s="14"/>
      <c r="U11" s="14"/>
      <c r="V11" s="14"/>
      <c r="W11" s="14"/>
      <c r="X11" s="15"/>
      <c r="Y11" s="14"/>
      <c r="AB11" s="15"/>
    </row>
    <row r="12" spans="1:50" customFormat="1" ht="20.100000000000001" customHeight="1" thickBot="1" x14ac:dyDescent="0.35">
      <c r="A12" s="18"/>
      <c r="B12" s="18"/>
      <c r="C12" s="406" t="s">
        <v>0</v>
      </c>
      <c r="D12" s="406"/>
      <c r="E12" s="406"/>
      <c r="F12" s="406"/>
      <c r="G12" s="407" t="s">
        <v>449</v>
      </c>
      <c r="I12" s="408" t="s">
        <v>8</v>
      </c>
      <c r="J12" s="255" t="s">
        <v>3</v>
      </c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</row>
    <row r="13" spans="1:50" s="3" customFormat="1" ht="16.2" customHeight="1" thickTop="1" x14ac:dyDescent="0.3">
      <c r="A13" s="19"/>
      <c r="B13" s="20"/>
      <c r="C13" s="21"/>
      <c r="D13" s="21"/>
      <c r="E13" s="21"/>
      <c r="F13" s="21"/>
      <c r="G13" s="21"/>
      <c r="H13"/>
      <c r="I13" s="22"/>
      <c r="J13" s="409"/>
      <c r="K13" s="410"/>
      <c r="L13" s="411"/>
      <c r="M13" s="410"/>
      <c r="N13" s="409"/>
      <c r="O13" s="412"/>
      <c r="P13" s="280"/>
      <c r="Q13" s="410"/>
      <c r="R13" s="410"/>
      <c r="S13" s="410"/>
      <c r="T13" s="410"/>
      <c r="U13" s="410"/>
      <c r="V13" s="410"/>
      <c r="W13" s="410"/>
      <c r="X13" s="412"/>
      <c r="Y13" s="413"/>
      <c r="Z13" s="280"/>
      <c r="AA13" s="280"/>
      <c r="AB13" s="412"/>
      <c r="AC13" s="280"/>
    </row>
    <row r="14" spans="1:50" s="24" customFormat="1" ht="35.25" customHeight="1" thickBot="1" x14ac:dyDescent="0.35">
      <c r="A14" s="23"/>
      <c r="B14" s="414" t="str">
        <f>_xll.ECONOMATICA($C$2,"Revenues",$G$12,$C$5,$C$4,$C$8,$C$10,$C$9,"true","TRUE","Receita")</f>
        <v>data</v>
      </c>
      <c r="C14" s="415" t="s">
        <v>333</v>
      </c>
      <c r="D14" s="415" t="str">
        <f>_xll.ECONOMATICA($C$2,"Gross Profit",$G$12,$C$5,$C$4,$C$8,$C$10,$C$9,"FALSE","TRUE","Lucro Bruto")</f>
        <v>Lucro Bruto</v>
      </c>
      <c r="E14" s="415" t="str">
        <f>_xll.ECONOMATICA($C$2,"EBIT",$G$12,$C$5,$C$4,$C$8,$C$10,$C$9,"FALSE","TRUE","Lucro Operacional")</f>
        <v>Lucro Operacional</v>
      </c>
      <c r="F14" s="415" t="str">
        <f>_xll.ECONOMATICA($C$2,"Net Income",$G$12,$C$5,$C$4,$C$8,$C$10,$C$9,"FALSE","TRUE","Lucro Líquido")</f>
        <v>Lucro Líquido</v>
      </c>
      <c r="G14" s="416" t="str">
        <f>_xll.ECONOMATICA($C$2,"EPS",$G$12,$C$5,$C$4,$C$8,$C$10,,"FALSE","TRUE","Lucro por Ação")</f>
        <v>Lucro por Ação</v>
      </c>
      <c r="H14" s="404"/>
      <c r="I14" s="417" t="str">
        <f>_xll.ECONOMATICA($C$2,"GrossMargin",$I$12,$C$5,$C$4,$C$8,,,"FALSE","TRUE","Margem Bruta",)</f>
        <v>Margem Bruta</v>
      </c>
      <c r="J14" s="415" t="str">
        <f>_xll.ECONOMATICA($C$2,"EBITMargin",$I$12,$C$5,$C$4,$C$8,,,"FALSE","TRUE","Margem EBIT",)</f>
        <v>Margem EBIT</v>
      </c>
      <c r="K14" s="415" t="str">
        <f>_xll.ECONOMATICA($C$2,"Net Margin",$I$12,$C$5,$C$4,$C$8,,,"FALSE","TRUE","Margem Líquida",)</f>
        <v>Margem Líquida</v>
      </c>
      <c r="L14" s="415" t="str">
        <f>_xll.ECONOMATICA($C$2,"ROE (avg)",$I$12,$C$5,$C$4,$C$8,,"decimal","FALSE","TRUE","ROE "&amp;I12)</f>
        <v>ROE 12M</v>
      </c>
      <c r="M14" s="415" t="str">
        <f>_xll.ECONOMATICA($C$2,"ROA",$I$12,$C$5,$C$4,$C$8,,,"FALSE","TRUE","ROA "&amp;I12,)</f>
        <v>ROA 12M</v>
      </c>
      <c r="N14" s="415" t="str">
        <f>_xll.ECONOMATICA($C$2,"ROIC (avg IC) %",$I$12,$C$5,$C$4,$C$8,,,"FALSE","TRUE","ROIC "&amp;I12,)</f>
        <v>ROIC 12M</v>
      </c>
      <c r="O14" s="415" t="str">
        <f>_xll.ECONOMATICA($C$2,"EBIT/DebtGr","12M",$C$5,$C$4,$C$8,,"decimal","FALSE","TRUE","EBIT / Dívida Bruta 12M")</f>
        <v>EBIT / Dívida Bruta 12M</v>
      </c>
      <c r="P14" s="415" t="str">
        <f>_xll.ECONOMATICA($C$2,"NetDebt/Ebitda","12M",$C$5,$C$4,$C$8,,,"FALSE","TRUE","Dív. Liq. /EBITDA 12M")</f>
        <v>Dív. Liq. /EBITDA 12M</v>
      </c>
      <c r="Q14" s="415" t="str">
        <f>_xll.ECONOMATICA($C$2,"Total Assets",,$C$5,$C$4,$C$8,$C$10,$C$9,"FALSE","TRUE","Ativo Total")</f>
        <v>Ativo Total</v>
      </c>
      <c r="R14" s="415" t="str">
        <f>_xll.ECONOMATICA($C$2,"Stock Eq Par",,$C$5,$C$4,$C$8,$C$10,$C$9,"FALSE","TRUE","Patrimônio Líquido")</f>
        <v>Patrimônio Líquido</v>
      </c>
      <c r="S14" s="415" t="str">
        <f>_xll.ECONOMATICA($C$2,"TtDebtGr",,$C$5,$C$4,$C$8,$C$10,$C$9,"FALSE","TRUE","Dívida Bruta")</f>
        <v>Dívida Bruta</v>
      </c>
      <c r="T14" s="415" t="str">
        <f>_xll.ECONOMATICA($C$2,"TtNetDebt",,$C$5,$C$4,$C$8,$C$10,$C$9,"FALSE","TRUE","Dívida Líquida")</f>
        <v>Dívida Líquida</v>
      </c>
      <c r="U14" s="415" t="str">
        <f>_xll.ECONOMATICA($C$2,"ST Debent",,$C$5,$C$4,$C$8,$C$10,$C$9,"FALSE","TRUE","Debênture CP")</f>
        <v>Debênture CP</v>
      </c>
      <c r="V14" s="415" t="str">
        <f>_xll.ECONOMATICA($C$2,"LT Total Bonds",,$C$5,$C$4,$C$8,$C$10,$C$9,"FALSE","TRUE","Debênture LP")</f>
        <v>Debênture LP</v>
      </c>
      <c r="W14" s="415" t="s">
        <v>1</v>
      </c>
      <c r="X14" s="418" t="s">
        <v>2</v>
      </c>
      <c r="Y14" s="415" t="str">
        <f>_xll.ECONOMATICA($C$2,"WorkCap",,$C$5,$C$4,$C$8,$C$10,$C$9,"FALSE","TRUE","Capital de Giro")</f>
        <v>Capital de Giro</v>
      </c>
      <c r="Z14" s="415" t="str">
        <f>_xll.ECONOMATICA($C$2,"DebtGr/Assets",,$C$5,$C$4,$C$8,,,"FALSE","TRUE","DívBruta/Ativo",)</f>
        <v>DívBruta/Ativo</v>
      </c>
      <c r="AA14" s="419" t="str">
        <f>_xll.ECONOMATICA($C$2,"DebtGr/StkEq",,$C$5,$C$4,$C$8,,,"FALSE","TRUE","DívBruta/PL",)</f>
        <v>DívBruta/PL</v>
      </c>
      <c r="AB14" s="420" t="str">
        <f>_xll.ECONOMATICA($C$2,"Cap Str (Stk Eq)",,$C$5,$C$4,$C$8,,"decimal","FALSE","TRUE","Estr Cap D/D+E)")</f>
        <v>Estr Cap D/D+E)</v>
      </c>
      <c r="AC14" s="420" t="str">
        <f>_xll.ECONOMATICA($C$2,"DebtST/DebtTt",,$C$5,$C$4,$C$8,,,"FALSE","TRUE","% Dív de CP",)</f>
        <v>% Dív de CP</v>
      </c>
    </row>
    <row r="15" spans="1:50" ht="18" customHeight="1" thickTop="1" x14ac:dyDescent="0.3">
      <c r="A15" s="12"/>
      <c r="B15" s="421"/>
      <c r="C15" s="422" t="s">
        <v>284</v>
      </c>
      <c r="D15" s="422" t="s">
        <v>284</v>
      </c>
      <c r="E15" s="423" t="s">
        <v>284</v>
      </c>
      <c r="F15" s="422" t="s">
        <v>284</v>
      </c>
      <c r="G15" s="422" t="s">
        <v>284</v>
      </c>
      <c r="H15" s="321"/>
      <c r="I15" s="421" t="s">
        <v>284</v>
      </c>
      <c r="J15" s="421" t="s">
        <v>284</v>
      </c>
      <c r="K15" s="422" t="s">
        <v>284</v>
      </c>
      <c r="L15" s="424" t="s">
        <v>284</v>
      </c>
      <c r="M15" s="422" t="s">
        <v>284</v>
      </c>
      <c r="N15" s="421" t="s">
        <v>284</v>
      </c>
      <c r="O15" s="424" t="s">
        <v>284</v>
      </c>
      <c r="P15" s="421" t="s">
        <v>284</v>
      </c>
      <c r="Q15" s="422" t="s">
        <v>284</v>
      </c>
      <c r="R15" s="422" t="s">
        <v>284</v>
      </c>
      <c r="S15" s="422" t="s">
        <v>284</v>
      </c>
      <c r="T15" s="422" t="s">
        <v>284</v>
      </c>
      <c r="U15" s="422" t="s">
        <v>284</v>
      </c>
      <c r="V15" s="422" t="s">
        <v>284</v>
      </c>
      <c r="W15" s="422" t="str">
        <f>T15</f>
        <v>ALGA26</v>
      </c>
      <c r="X15" s="425" t="str">
        <f>W15</f>
        <v>ALGA26</v>
      </c>
      <c r="Y15" s="422" t="s">
        <v>284</v>
      </c>
      <c r="Z15" s="421" t="s">
        <v>284</v>
      </c>
      <c r="AA15" s="421" t="s">
        <v>284</v>
      </c>
      <c r="AB15" s="424" t="s">
        <v>284</v>
      </c>
      <c r="AC15" s="421" t="s">
        <v>284</v>
      </c>
    </row>
    <row r="16" spans="1:50" ht="15.6" x14ac:dyDescent="0.3">
      <c r="B16" s="426">
        <v>44286</v>
      </c>
      <c r="C16" s="431">
        <v>594732</v>
      </c>
      <c r="D16" s="431">
        <v>280237</v>
      </c>
      <c r="E16" s="432">
        <v>133226</v>
      </c>
      <c r="F16" s="432">
        <v>58309</v>
      </c>
      <c r="G16" s="433">
        <v>0.19764422750999999</v>
      </c>
      <c r="H16" s="430"/>
      <c r="I16" s="434">
        <v>46.306460735999998</v>
      </c>
      <c r="J16" s="435">
        <v>22.628877916</v>
      </c>
      <c r="K16" s="435">
        <v>9.0984208476999999</v>
      </c>
      <c r="L16" s="436">
        <v>0.14967659744</v>
      </c>
      <c r="M16" s="435">
        <v>4.0430318578</v>
      </c>
      <c r="N16" s="435">
        <v>8.8686735965000008</v>
      </c>
      <c r="O16" s="436">
        <v>0.18655906239</v>
      </c>
      <c r="P16" s="437">
        <v>2.1589514774</v>
      </c>
      <c r="Q16" s="432">
        <v>5335303</v>
      </c>
      <c r="R16" s="432">
        <v>1514117</v>
      </c>
      <c r="S16" s="432">
        <v>2875722</v>
      </c>
      <c r="T16" s="432">
        <v>2300773</v>
      </c>
      <c r="U16" s="432">
        <v>861748</v>
      </c>
      <c r="V16" s="432">
        <v>1497317</v>
      </c>
      <c r="W16" s="432">
        <f>IF(S16-T16&lt;&gt;0,S16-T16,"")</f>
        <v>574949</v>
      </c>
      <c r="X16" s="436">
        <f>IFERROR(W16/Q16,"")</f>
        <v>0.10776313922564473</v>
      </c>
      <c r="Y16" s="438">
        <v>-82626.999997999999</v>
      </c>
      <c r="Z16" s="439">
        <v>53.899881600000001</v>
      </c>
      <c r="AA16" s="439">
        <v>189.92733057999999</v>
      </c>
      <c r="AB16" s="436">
        <v>0.65508598379000005</v>
      </c>
      <c r="AC16" s="440">
        <v>33.803858648000002</v>
      </c>
    </row>
    <row r="17" spans="2:29" ht="15.6" x14ac:dyDescent="0.3">
      <c r="B17" s="429">
        <v>44377</v>
      </c>
      <c r="C17" s="441">
        <v>1204606</v>
      </c>
      <c r="D17" s="441">
        <v>565208</v>
      </c>
      <c r="E17" s="442">
        <v>248648</v>
      </c>
      <c r="F17" s="442">
        <v>106569</v>
      </c>
      <c r="G17" s="443">
        <v>0.36122635753999999</v>
      </c>
      <c r="H17" s="430"/>
      <c r="I17" s="444">
        <v>46.264528616</v>
      </c>
      <c r="J17" s="445">
        <v>20.599040419000001</v>
      </c>
      <c r="K17" s="445">
        <v>7.4479844834</v>
      </c>
      <c r="L17" s="446">
        <v>0.11864233536</v>
      </c>
      <c r="M17" s="445">
        <v>3.5298055420000001</v>
      </c>
      <c r="N17" s="445">
        <v>8.1618515067999997</v>
      </c>
      <c r="O17" s="446">
        <v>0.18885117300000001</v>
      </c>
      <c r="P17" s="447">
        <v>2.2459228317000002</v>
      </c>
      <c r="Q17" s="442">
        <v>5064075</v>
      </c>
      <c r="R17" s="442">
        <v>1562377</v>
      </c>
      <c r="S17" s="442">
        <v>2617818</v>
      </c>
      <c r="T17" s="442">
        <v>2328045</v>
      </c>
      <c r="U17" s="442">
        <v>718422</v>
      </c>
      <c r="V17" s="442">
        <v>1380057</v>
      </c>
      <c r="W17" s="442">
        <f t="shared" ref="W17:W80" si="0">IF(S17-T17&lt;&gt;0,S17-T17,"")</f>
        <v>289773</v>
      </c>
      <c r="X17" s="446">
        <f t="shared" ref="X17:X80" si="1">IFERROR(W17/Q17,"")</f>
        <v>5.7221308926111873E-2</v>
      </c>
      <c r="Y17" s="448">
        <v>-115049</v>
      </c>
      <c r="Z17" s="449">
        <v>51.693902637999997</v>
      </c>
      <c r="AA17" s="449">
        <v>167.55354181999999</v>
      </c>
      <c r="AB17" s="446">
        <v>0.62624303412000004</v>
      </c>
      <c r="AC17" s="450">
        <v>31.643911073999998</v>
      </c>
    </row>
    <row r="18" spans="2:29" ht="15.6" x14ac:dyDescent="0.3">
      <c r="B18" s="427">
        <v>44469</v>
      </c>
      <c r="C18" s="451">
        <v>1876830</v>
      </c>
      <c r="D18" s="451">
        <v>891153</v>
      </c>
      <c r="E18" s="452">
        <v>383808</v>
      </c>
      <c r="F18" s="452">
        <v>201247</v>
      </c>
      <c r="G18" s="453">
        <v>0.68214697309000005</v>
      </c>
      <c r="H18" s="430"/>
      <c r="I18" s="454">
        <v>46.796760104000001</v>
      </c>
      <c r="J18" s="455">
        <v>20.643621582000002</v>
      </c>
      <c r="K18" s="455">
        <v>9.8964484209000005</v>
      </c>
      <c r="L18" s="456">
        <v>0.15642327348000001</v>
      </c>
      <c r="M18" s="455">
        <v>3.9768749425999999</v>
      </c>
      <c r="N18" s="455">
        <v>7.3625303658999997</v>
      </c>
      <c r="O18" s="456">
        <v>0.14803028729000001</v>
      </c>
      <c r="P18" s="457">
        <v>2.8000488516000002</v>
      </c>
      <c r="Q18" s="452">
        <v>6167682</v>
      </c>
      <c r="R18" s="452">
        <v>1657055</v>
      </c>
      <c r="S18" s="452">
        <v>3456367</v>
      </c>
      <c r="T18" s="452">
        <v>3026360</v>
      </c>
      <c r="U18" s="452">
        <v>735356</v>
      </c>
      <c r="V18" s="452">
        <v>2085526</v>
      </c>
      <c r="W18" s="452">
        <f t="shared" si="0"/>
        <v>430007</v>
      </c>
      <c r="X18" s="456">
        <f t="shared" si="1"/>
        <v>6.9719385662230959E-2</v>
      </c>
      <c r="Y18" s="458">
        <v>-71715</v>
      </c>
      <c r="Z18" s="459">
        <v>56.039967689999997</v>
      </c>
      <c r="AA18" s="459">
        <v>208.58492928999999</v>
      </c>
      <c r="AB18" s="456">
        <v>0.67594010429999996</v>
      </c>
      <c r="AC18" s="460">
        <v>25.993912105</v>
      </c>
    </row>
    <row r="19" spans="2:29" ht="15.6" x14ac:dyDescent="0.3">
      <c r="B19" s="429">
        <v>44561</v>
      </c>
      <c r="C19" s="441">
        <v>2588407</v>
      </c>
      <c r="D19" s="441">
        <v>1244332</v>
      </c>
      <c r="E19" s="442">
        <v>520006</v>
      </c>
      <c r="F19" s="442">
        <v>229505</v>
      </c>
      <c r="G19" s="443">
        <v>0.77793444936</v>
      </c>
      <c r="H19" s="430"/>
      <c r="I19" s="444">
        <v>48.073274412000004</v>
      </c>
      <c r="J19" s="445">
        <v>20.089808132999998</v>
      </c>
      <c r="K19" s="445">
        <v>8.8666504147000005</v>
      </c>
      <c r="L19" s="446">
        <v>0.14989109456999999</v>
      </c>
      <c r="M19" s="445">
        <v>3.6891907618999999</v>
      </c>
      <c r="N19" s="445">
        <v>7.4196146882000003</v>
      </c>
      <c r="O19" s="446">
        <v>0.15607275067000001</v>
      </c>
      <c r="P19" s="447">
        <v>2.7365043090999999</v>
      </c>
      <c r="Q19" s="442">
        <v>6221012</v>
      </c>
      <c r="R19" s="442">
        <v>1606482</v>
      </c>
      <c r="S19" s="442">
        <v>3331818</v>
      </c>
      <c r="T19" s="442">
        <v>3051112</v>
      </c>
      <c r="U19" s="442">
        <v>538668</v>
      </c>
      <c r="V19" s="442">
        <v>2112513</v>
      </c>
      <c r="W19" s="442">
        <f t="shared" si="0"/>
        <v>280706</v>
      </c>
      <c r="X19" s="446">
        <f t="shared" si="1"/>
        <v>4.5122240561503497E-2</v>
      </c>
      <c r="Y19" s="448">
        <v>-160123</v>
      </c>
      <c r="Z19" s="449">
        <v>53.557491931999998</v>
      </c>
      <c r="AA19" s="449">
        <v>207.39840222000001</v>
      </c>
      <c r="AB19" s="446">
        <v>0.67468926553999997</v>
      </c>
      <c r="AC19" s="450">
        <v>21.085815612000001</v>
      </c>
    </row>
    <row r="20" spans="2:29" ht="15.6" x14ac:dyDescent="0.3">
      <c r="B20" s="427">
        <v>44651</v>
      </c>
      <c r="C20" s="451">
        <v>688243</v>
      </c>
      <c r="D20" s="451">
        <v>313704</v>
      </c>
      <c r="E20" s="452">
        <v>110725</v>
      </c>
      <c r="F20" s="452">
        <v>10134</v>
      </c>
      <c r="G20" s="453">
        <v>3.4417059776999999E-2</v>
      </c>
      <c r="H20" s="430"/>
      <c r="I20" s="454">
        <v>47.644969011000001</v>
      </c>
      <c r="J20" s="455">
        <v>18.550343448</v>
      </c>
      <c r="K20" s="455">
        <v>6.7612059727</v>
      </c>
      <c r="L20" s="456">
        <v>0.11585426628000001</v>
      </c>
      <c r="M20" s="455">
        <v>2.6473279697000001</v>
      </c>
      <c r="N20" s="455">
        <v>6.9012145259000004</v>
      </c>
      <c r="O20" s="456">
        <v>0.12409696977</v>
      </c>
      <c r="P20" s="457">
        <v>2.8726695865999998</v>
      </c>
      <c r="Q20" s="452">
        <v>6849548</v>
      </c>
      <c r="R20" s="452">
        <v>1616195</v>
      </c>
      <c r="S20" s="452">
        <v>4009002</v>
      </c>
      <c r="T20" s="452">
        <v>3207913</v>
      </c>
      <c r="U20" s="452">
        <v>633231</v>
      </c>
      <c r="V20" s="452">
        <v>2730902</v>
      </c>
      <c r="W20" s="452">
        <f t="shared" si="0"/>
        <v>801089</v>
      </c>
      <c r="X20" s="456">
        <f t="shared" si="1"/>
        <v>0.11695501659379567</v>
      </c>
      <c r="Y20" s="458">
        <v>501916</v>
      </c>
      <c r="Z20" s="459">
        <v>58.529438730999999</v>
      </c>
      <c r="AA20" s="459">
        <v>248.05187493</v>
      </c>
      <c r="AB20" s="456">
        <v>0.71268650680000001</v>
      </c>
      <c r="AC20" s="460">
        <v>19.590736048</v>
      </c>
    </row>
    <row r="21" spans="2:29" ht="15.6" x14ac:dyDescent="0.3">
      <c r="B21" s="429">
        <v>44742</v>
      </c>
      <c r="C21" s="441">
        <v>1361727</v>
      </c>
      <c r="D21" s="441">
        <v>631258</v>
      </c>
      <c r="E21" s="442">
        <v>220384</v>
      </c>
      <c r="F21" s="442">
        <v>7138</v>
      </c>
      <c r="G21" s="443">
        <v>2.4242053748000002E-2</v>
      </c>
      <c r="H21" s="430"/>
      <c r="I21" s="444">
        <v>47.727868737999998</v>
      </c>
      <c r="J21" s="445">
        <v>17.910653250999999</v>
      </c>
      <c r="K21" s="445">
        <v>4.7376679458000002</v>
      </c>
      <c r="L21" s="446">
        <v>8.1921515971000003E-2</v>
      </c>
      <c r="M21" s="445">
        <v>1.8905162141</v>
      </c>
      <c r="N21" s="445">
        <v>6.5136926647999998</v>
      </c>
      <c r="O21" s="446">
        <v>0.12073673316</v>
      </c>
      <c r="P21" s="447">
        <v>3.0870280825999998</v>
      </c>
      <c r="Q21" s="442">
        <v>6880343</v>
      </c>
      <c r="R21" s="442">
        <v>1613199</v>
      </c>
      <c r="S21" s="442">
        <v>4072845</v>
      </c>
      <c r="T21" s="442">
        <v>3499844</v>
      </c>
      <c r="U21" s="442">
        <v>561310</v>
      </c>
      <c r="V21" s="442">
        <v>2759549</v>
      </c>
      <c r="W21" s="442">
        <f t="shared" si="0"/>
        <v>573001</v>
      </c>
      <c r="X21" s="446">
        <f t="shared" si="1"/>
        <v>8.328087713068956E-2</v>
      </c>
      <c r="Y21" s="448">
        <v>473475</v>
      </c>
      <c r="Z21" s="449">
        <v>59.195377323000002</v>
      </c>
      <c r="AA21" s="449">
        <v>252.47009202999999</v>
      </c>
      <c r="AB21" s="446">
        <v>0.71628798511000003</v>
      </c>
      <c r="AC21" s="450">
        <v>18.315354500000002</v>
      </c>
    </row>
    <row r="22" spans="2:29" ht="15.6" x14ac:dyDescent="0.3">
      <c r="B22" s="427">
        <v>44834</v>
      </c>
      <c r="C22" s="451">
        <v>2084287</v>
      </c>
      <c r="D22" s="451">
        <v>911868</v>
      </c>
      <c r="E22" s="452">
        <v>365246</v>
      </c>
      <c r="F22" s="452">
        <v>35735</v>
      </c>
      <c r="G22" s="453">
        <v>0.1213630976</v>
      </c>
      <c r="H22" s="430"/>
      <c r="I22" s="454">
        <v>45.247086410999998</v>
      </c>
      <c r="J22" s="455">
        <v>17.935207149</v>
      </c>
      <c r="K22" s="455">
        <v>2.2888452370999999</v>
      </c>
      <c r="L22" s="456">
        <v>3.8797156584999999E-2</v>
      </c>
      <c r="M22" s="455">
        <v>0.90881991169999998</v>
      </c>
      <c r="N22" s="455">
        <v>6.1207180566000003</v>
      </c>
      <c r="O22" s="456">
        <v>0.12291562438</v>
      </c>
      <c r="P22" s="457">
        <v>3.0204889414</v>
      </c>
      <c r="Q22" s="452">
        <v>7041329</v>
      </c>
      <c r="R22" s="452">
        <v>1641795</v>
      </c>
      <c r="S22" s="452">
        <v>4079579</v>
      </c>
      <c r="T22" s="452">
        <v>3469098</v>
      </c>
      <c r="U22" s="452">
        <v>529014</v>
      </c>
      <c r="V22" s="452">
        <v>2753164</v>
      </c>
      <c r="W22" s="452">
        <f t="shared" si="0"/>
        <v>610481</v>
      </c>
      <c r="X22" s="456">
        <f t="shared" si="1"/>
        <v>8.6699684107929054E-2</v>
      </c>
      <c r="Y22" s="458">
        <v>545655</v>
      </c>
      <c r="Z22" s="459">
        <v>57.937627968000001</v>
      </c>
      <c r="AA22" s="459">
        <v>248.48284956000001</v>
      </c>
      <c r="AB22" s="456">
        <v>0.71304183225999995</v>
      </c>
      <c r="AC22" s="460">
        <v>17.373018147</v>
      </c>
    </row>
    <row r="23" spans="2:29" ht="15.6" x14ac:dyDescent="0.3">
      <c r="B23" s="429">
        <v>44926</v>
      </c>
      <c r="C23" s="441">
        <v>2798904</v>
      </c>
      <c r="D23" s="441">
        <v>1225096</v>
      </c>
      <c r="E23" s="442">
        <v>465917</v>
      </c>
      <c r="F23" s="442">
        <v>51443</v>
      </c>
      <c r="G23" s="443">
        <v>0.17471055912</v>
      </c>
      <c r="H23" s="430"/>
      <c r="I23" s="444">
        <v>43.770561620000002</v>
      </c>
      <c r="J23" s="445">
        <v>16.646408737000002</v>
      </c>
      <c r="K23" s="445">
        <v>1.8379694337000001</v>
      </c>
      <c r="L23" s="446">
        <v>3.1687641155000001E-2</v>
      </c>
      <c r="M23" s="445">
        <v>0.70497984950000003</v>
      </c>
      <c r="N23" s="445">
        <v>5.6856315158999999</v>
      </c>
      <c r="O23" s="446">
        <v>0.10923446525</v>
      </c>
      <c r="P23" s="447">
        <v>3.0979207764000001</v>
      </c>
      <c r="Q23" s="442">
        <v>7297088</v>
      </c>
      <c r="R23" s="442">
        <v>1640399</v>
      </c>
      <c r="S23" s="442">
        <v>4265293</v>
      </c>
      <c r="T23" s="442">
        <v>3544421</v>
      </c>
      <c r="U23" s="442">
        <v>599601</v>
      </c>
      <c r="V23" s="442">
        <v>2765106</v>
      </c>
      <c r="W23" s="442">
        <f t="shared" si="0"/>
        <v>720872</v>
      </c>
      <c r="X23" s="446">
        <f t="shared" si="1"/>
        <v>9.878899637773314E-2</v>
      </c>
      <c r="Y23" s="448">
        <v>281276</v>
      </c>
      <c r="Z23" s="449">
        <v>58.451987971000001</v>
      </c>
      <c r="AA23" s="449">
        <v>260.01558156999999</v>
      </c>
      <c r="AB23" s="446">
        <v>0.72223424451999996</v>
      </c>
      <c r="AC23" s="450">
        <v>18.676864637000001</v>
      </c>
    </row>
    <row r="24" spans="2:29" ht="15.6" x14ac:dyDescent="0.3">
      <c r="B24" s="427">
        <v>45016</v>
      </c>
      <c r="C24" s="451">
        <v>682860</v>
      </c>
      <c r="D24" s="451">
        <v>288797</v>
      </c>
      <c r="E24" s="452">
        <v>105918</v>
      </c>
      <c r="F24" s="452">
        <v>-10277</v>
      </c>
      <c r="G24" s="453">
        <v>-3.4902715938999997E-2</v>
      </c>
      <c r="H24" s="430"/>
      <c r="I24" s="454">
        <v>42.963306879999998</v>
      </c>
      <c r="J24" s="455">
        <v>16.506408937</v>
      </c>
      <c r="K24" s="455">
        <v>1.1108561561000001</v>
      </c>
      <c r="L24" s="456">
        <v>1.9118280809E-2</v>
      </c>
      <c r="M24" s="455">
        <v>0.44841124826000001</v>
      </c>
      <c r="N24" s="455">
        <v>5.4126195678000002</v>
      </c>
      <c r="O24" s="456">
        <v>0.11280986872</v>
      </c>
      <c r="P24" s="457">
        <v>3.2517219015999999</v>
      </c>
      <c r="Q24" s="452">
        <v>6920433</v>
      </c>
      <c r="R24" s="452">
        <v>1630122</v>
      </c>
      <c r="S24" s="452">
        <v>4087497</v>
      </c>
      <c r="T24" s="452">
        <v>3750458</v>
      </c>
      <c r="U24" s="452">
        <v>412175</v>
      </c>
      <c r="V24" s="452">
        <v>2744155</v>
      </c>
      <c r="W24" s="452">
        <f t="shared" si="0"/>
        <v>337039</v>
      </c>
      <c r="X24" s="456">
        <f t="shared" si="1"/>
        <v>4.8702010408886262E-2</v>
      </c>
      <c r="Y24" s="458">
        <v>269800</v>
      </c>
      <c r="Z24" s="459">
        <v>59.064179944000003</v>
      </c>
      <c r="AA24" s="459">
        <v>250.74791948000001</v>
      </c>
      <c r="AB24" s="456">
        <v>0.71489495889999999</v>
      </c>
      <c r="AC24" s="460">
        <v>15.482433381</v>
      </c>
    </row>
    <row r="25" spans="2:29" ht="15.6" x14ac:dyDescent="0.3">
      <c r="B25" s="429">
        <v>45107</v>
      </c>
      <c r="C25" s="441">
        <v>1358903</v>
      </c>
      <c r="D25" s="441">
        <v>592880</v>
      </c>
      <c r="E25" s="442">
        <v>177407</v>
      </c>
      <c r="F25" s="442">
        <v>-43079</v>
      </c>
      <c r="G25" s="443">
        <v>-0.14630476792</v>
      </c>
      <c r="H25" s="430"/>
      <c r="I25" s="444">
        <v>42.442204801000003</v>
      </c>
      <c r="J25" s="445">
        <v>15.126176646999999</v>
      </c>
      <c r="K25" s="445">
        <v>4.3847100226000003E-2</v>
      </c>
      <c r="L25" s="446">
        <v>7.6442112247000001E-4</v>
      </c>
      <c r="M25" s="445">
        <v>1.7735736655999999E-2</v>
      </c>
      <c r="N25" s="445">
        <v>4.8422246098999997</v>
      </c>
      <c r="O25" s="446">
        <v>0.10241689734999999</v>
      </c>
      <c r="P25" s="447">
        <v>3.2410683465000001</v>
      </c>
      <c r="Q25" s="442">
        <v>6912597</v>
      </c>
      <c r="R25" s="442">
        <v>1594457</v>
      </c>
      <c r="S25" s="442">
        <v>4129592</v>
      </c>
      <c r="T25" s="442">
        <v>3699323</v>
      </c>
      <c r="U25" s="442">
        <v>480733</v>
      </c>
      <c r="V25" s="442">
        <v>2754138</v>
      </c>
      <c r="W25" s="442">
        <f t="shared" si="0"/>
        <v>430269</v>
      </c>
      <c r="X25" s="446">
        <f t="shared" si="1"/>
        <v>6.2244189846449895E-2</v>
      </c>
      <c r="Y25" s="448">
        <v>165498</v>
      </c>
      <c r="Z25" s="449">
        <v>59.740094786</v>
      </c>
      <c r="AA25" s="449">
        <v>258.99676190999998</v>
      </c>
      <c r="AB25" s="446">
        <v>0.72144595548000001</v>
      </c>
      <c r="AC25" s="450">
        <v>17.657386008</v>
      </c>
    </row>
    <row r="26" spans="2:29" ht="15.6" x14ac:dyDescent="0.3">
      <c r="B26" s="427">
        <v>45199</v>
      </c>
      <c r="C26" s="451">
        <v>2053710</v>
      </c>
      <c r="D26" s="451">
        <v>870042</v>
      </c>
      <c r="E26" s="452">
        <v>297569</v>
      </c>
      <c r="F26" s="452">
        <v>-39789</v>
      </c>
      <c r="G26" s="453">
        <v>-0.13513127998999999</v>
      </c>
      <c r="H26" s="430"/>
      <c r="I26" s="454">
        <v>42.743144143999999</v>
      </c>
      <c r="J26" s="455">
        <v>14.385583784</v>
      </c>
      <c r="K26" s="455">
        <v>-0.86987556022000001</v>
      </c>
      <c r="L26" s="456">
        <v>-1.4853789084999999E-2</v>
      </c>
      <c r="M26" s="455">
        <v>-0.35306081337</v>
      </c>
      <c r="N26" s="455">
        <v>4.5755392903000001</v>
      </c>
      <c r="O26" s="456">
        <v>9.7804915246999996E-2</v>
      </c>
      <c r="P26" s="457">
        <v>3.2047885296</v>
      </c>
      <c r="Q26" s="452">
        <v>6820638</v>
      </c>
      <c r="R26" s="452">
        <v>1600610</v>
      </c>
      <c r="S26" s="452">
        <v>4071779</v>
      </c>
      <c r="T26" s="452">
        <v>3664352</v>
      </c>
      <c r="U26" s="452">
        <v>424711</v>
      </c>
      <c r="V26" s="452">
        <v>2757900</v>
      </c>
      <c r="W26" s="452">
        <f t="shared" si="0"/>
        <v>407427</v>
      </c>
      <c r="X26" s="456">
        <f t="shared" si="1"/>
        <v>5.9734441264878743E-2</v>
      </c>
      <c r="Y26" s="458">
        <v>164844</v>
      </c>
      <c r="Z26" s="459">
        <v>59.697919755000001</v>
      </c>
      <c r="AA26" s="459">
        <v>254.38920161999999</v>
      </c>
      <c r="AB26" s="456">
        <v>0.71782435937</v>
      </c>
      <c r="AC26" s="460">
        <v>17.177946052999999</v>
      </c>
    </row>
    <row r="27" spans="2:29" ht="15.6" x14ac:dyDescent="0.3">
      <c r="B27" s="429">
        <v>45291</v>
      </c>
      <c r="C27" s="441">
        <v>2746728</v>
      </c>
      <c r="D27" s="441">
        <v>1127576</v>
      </c>
      <c r="E27" s="442">
        <v>221029</v>
      </c>
      <c r="F27" s="442">
        <v>-152759</v>
      </c>
      <c r="G27" s="443">
        <v>-0.51879964815000001</v>
      </c>
      <c r="H27" s="430"/>
      <c r="I27" s="444">
        <v>41.051607584999999</v>
      </c>
      <c r="J27" s="445">
        <v>8.0469926399999991</v>
      </c>
      <c r="K27" s="445">
        <v>-5.5614898890999998</v>
      </c>
      <c r="L27" s="446">
        <v>-9.7670777122999999E-2</v>
      </c>
      <c r="M27" s="445">
        <v>-2.0487310418</v>
      </c>
      <c r="N27" s="445">
        <v>2.5965021948000002</v>
      </c>
      <c r="O27" s="446">
        <v>4.5568122826999999E-2</v>
      </c>
      <c r="P27" s="447">
        <v>3.7792444120000002</v>
      </c>
      <c r="Q27" s="442">
        <v>7456274</v>
      </c>
      <c r="R27" s="442">
        <v>1487640</v>
      </c>
      <c r="S27" s="442">
        <v>4850518</v>
      </c>
      <c r="T27" s="442">
        <v>3659363</v>
      </c>
      <c r="U27" s="442">
        <v>835493</v>
      </c>
      <c r="V27" s="442">
        <v>3094022</v>
      </c>
      <c r="W27" s="442">
        <f t="shared" si="0"/>
        <v>1191155</v>
      </c>
      <c r="X27" s="446">
        <f t="shared" si="1"/>
        <v>0.15975204237397927</v>
      </c>
      <c r="Y27" s="448">
        <v>529708</v>
      </c>
      <c r="Z27" s="449">
        <v>65.052840064999998</v>
      </c>
      <c r="AA27" s="449">
        <v>326.05455620999999</v>
      </c>
      <c r="AB27" s="446">
        <v>0.76528827461000004</v>
      </c>
      <c r="AC27" s="450">
        <v>22.437727269</v>
      </c>
    </row>
    <row r="28" spans="2:29" ht="15.6" x14ac:dyDescent="0.3">
      <c r="B28" s="427">
        <v>45382</v>
      </c>
      <c r="C28" s="451">
        <v>698291</v>
      </c>
      <c r="D28" s="451">
        <v>260833</v>
      </c>
      <c r="E28" s="452">
        <v>93562</v>
      </c>
      <c r="F28" s="452">
        <v>-54662</v>
      </c>
      <c r="G28" s="453">
        <v>-0.18564291706</v>
      </c>
      <c r="H28" s="430"/>
      <c r="I28" s="454">
        <v>39.809873363999998</v>
      </c>
      <c r="J28" s="455">
        <v>7.5547063004000004</v>
      </c>
      <c r="K28" s="455">
        <v>-7.0336646079999996</v>
      </c>
      <c r="L28" s="456">
        <v>-0.12685253500999999</v>
      </c>
      <c r="M28" s="455">
        <v>-2.7758243346999998</v>
      </c>
      <c r="N28" s="455">
        <v>2.4129986809999999</v>
      </c>
      <c r="O28" s="456">
        <v>4.7052883956999997E-2</v>
      </c>
      <c r="P28" s="457">
        <v>3.7865647980000001</v>
      </c>
      <c r="Q28" s="452">
        <v>6999038</v>
      </c>
      <c r="R28" s="452">
        <v>1432978</v>
      </c>
      <c r="S28" s="452">
        <v>4434861</v>
      </c>
      <c r="T28" s="452">
        <v>3702238</v>
      </c>
      <c r="U28" s="452">
        <v>697034</v>
      </c>
      <c r="V28" s="452">
        <v>2847256</v>
      </c>
      <c r="W28" s="452">
        <f t="shared" si="0"/>
        <v>732623</v>
      </c>
      <c r="X28" s="456">
        <f t="shared" si="1"/>
        <v>0.10467481388156487</v>
      </c>
      <c r="Y28" s="458">
        <v>347823</v>
      </c>
      <c r="Z28" s="459">
        <v>63.363865148000002</v>
      </c>
      <c r="AA28" s="459">
        <v>309.48563061999999</v>
      </c>
      <c r="AB28" s="456">
        <v>0.75579118649999999</v>
      </c>
      <c r="AC28" s="460">
        <v>19.996545551000001</v>
      </c>
    </row>
    <row r="29" spans="2:29" ht="15.6" x14ac:dyDescent="0.3">
      <c r="B29" s="429">
        <v>45473</v>
      </c>
      <c r="C29" s="441">
        <v>1397636</v>
      </c>
      <c r="D29" s="441">
        <v>503954</v>
      </c>
      <c r="E29" s="442">
        <v>161544</v>
      </c>
      <c r="F29" s="442">
        <v>-81693</v>
      </c>
      <c r="G29" s="443">
        <v>-0.27744551650999999</v>
      </c>
      <c r="H29" s="430"/>
      <c r="I29" s="444">
        <v>37.288262158000002</v>
      </c>
      <c r="J29" s="445">
        <v>7.3656030365999996</v>
      </c>
      <c r="K29" s="445">
        <v>-6.7676409758</v>
      </c>
      <c r="L29" s="446">
        <v>-0.12565641159999999</v>
      </c>
      <c r="M29" s="445">
        <v>-2.7346316414</v>
      </c>
      <c r="N29" s="445">
        <v>2.4489486767000002</v>
      </c>
      <c r="O29" s="446">
        <v>4.632755987E-2</v>
      </c>
      <c r="P29" s="447">
        <v>3.5816465690000001</v>
      </c>
      <c r="Q29" s="442">
        <v>6893433</v>
      </c>
      <c r="R29" s="442">
        <v>1405947</v>
      </c>
      <c r="S29" s="442">
        <v>4428595</v>
      </c>
      <c r="T29" s="442">
        <v>3527116</v>
      </c>
      <c r="U29" s="442">
        <v>740425</v>
      </c>
      <c r="V29" s="442">
        <v>2860620</v>
      </c>
      <c r="W29" s="442">
        <f t="shared" si="0"/>
        <v>901479</v>
      </c>
      <c r="X29" s="446">
        <f t="shared" si="1"/>
        <v>0.13077359278025913</v>
      </c>
      <c r="Y29" s="448">
        <v>281815</v>
      </c>
      <c r="Z29" s="449">
        <v>64.243679455999995</v>
      </c>
      <c r="AA29" s="449">
        <v>314.99018100000001</v>
      </c>
      <c r="AB29" s="446">
        <v>0.75903044318000001</v>
      </c>
      <c r="AC29" s="450">
        <v>21.820125795999999</v>
      </c>
    </row>
    <row r="30" spans="2:29" ht="15.6" x14ac:dyDescent="0.3">
      <c r="B30" s="427"/>
      <c r="C30" s="451"/>
      <c r="D30" s="451"/>
      <c r="E30" s="452"/>
      <c r="F30" s="452"/>
      <c r="G30" s="453"/>
      <c r="H30" s="430"/>
      <c r="I30" s="454"/>
      <c r="J30" s="455"/>
      <c r="K30" s="455"/>
      <c r="L30" s="456"/>
      <c r="M30" s="455"/>
      <c r="N30" s="455"/>
      <c r="O30" s="456"/>
      <c r="P30" s="457"/>
      <c r="Q30" s="452"/>
      <c r="R30" s="452"/>
      <c r="S30" s="452"/>
      <c r="T30" s="452"/>
      <c r="U30" s="452"/>
      <c r="V30" s="452"/>
      <c r="W30" s="452" t="str">
        <f t="shared" si="0"/>
        <v/>
      </c>
      <c r="X30" s="456" t="str">
        <f t="shared" si="1"/>
        <v/>
      </c>
      <c r="Y30" s="458"/>
      <c r="Z30" s="459"/>
      <c r="AA30" s="459"/>
      <c r="AB30" s="456"/>
      <c r="AC30" s="460"/>
    </row>
    <row r="31" spans="2:29" ht="15.6" x14ac:dyDescent="0.3">
      <c r="B31" s="429"/>
      <c r="C31" s="441"/>
      <c r="D31" s="441"/>
      <c r="E31" s="442"/>
      <c r="F31" s="442"/>
      <c r="G31" s="443"/>
      <c r="H31" s="430"/>
      <c r="I31" s="444"/>
      <c r="J31" s="445"/>
      <c r="K31" s="445"/>
      <c r="L31" s="446"/>
      <c r="M31" s="445"/>
      <c r="N31" s="445"/>
      <c r="O31" s="446"/>
      <c r="P31" s="447"/>
      <c r="Q31" s="442"/>
      <c r="R31" s="442"/>
      <c r="S31" s="442"/>
      <c r="T31" s="442"/>
      <c r="U31" s="442"/>
      <c r="V31" s="442"/>
      <c r="W31" s="442" t="str">
        <f t="shared" si="0"/>
        <v/>
      </c>
      <c r="X31" s="446" t="str">
        <f t="shared" si="1"/>
        <v/>
      </c>
      <c r="Y31" s="448"/>
      <c r="Z31" s="449"/>
      <c r="AA31" s="449"/>
      <c r="AB31" s="446"/>
      <c r="AC31" s="450"/>
    </row>
    <row r="32" spans="2:29" ht="15.6" x14ac:dyDescent="0.3">
      <c r="B32" s="427"/>
      <c r="C32" s="451"/>
      <c r="D32" s="451"/>
      <c r="E32" s="452"/>
      <c r="F32" s="452"/>
      <c r="G32" s="453"/>
      <c r="H32" s="430"/>
      <c r="I32" s="454"/>
      <c r="J32" s="455"/>
      <c r="K32" s="455"/>
      <c r="L32" s="456"/>
      <c r="M32" s="455"/>
      <c r="N32" s="455"/>
      <c r="O32" s="456"/>
      <c r="P32" s="457"/>
      <c r="Q32" s="452"/>
      <c r="R32" s="452"/>
      <c r="S32" s="452"/>
      <c r="T32" s="452"/>
      <c r="U32" s="452"/>
      <c r="V32" s="452"/>
      <c r="W32" s="452" t="str">
        <f t="shared" si="0"/>
        <v/>
      </c>
      <c r="X32" s="456" t="str">
        <f t="shared" si="1"/>
        <v/>
      </c>
      <c r="Y32" s="458"/>
      <c r="Z32" s="459"/>
      <c r="AA32" s="459"/>
      <c r="AB32" s="456"/>
      <c r="AC32" s="460"/>
    </row>
    <row r="33" spans="2:29" ht="15.6" x14ac:dyDescent="0.3">
      <c r="B33" s="429"/>
      <c r="C33" s="441"/>
      <c r="D33" s="441"/>
      <c r="E33" s="442"/>
      <c r="F33" s="442"/>
      <c r="G33" s="443"/>
      <c r="H33" s="430"/>
      <c r="I33" s="444"/>
      <c r="J33" s="445"/>
      <c r="K33" s="445"/>
      <c r="L33" s="446"/>
      <c r="M33" s="445"/>
      <c r="N33" s="445"/>
      <c r="O33" s="446"/>
      <c r="P33" s="447"/>
      <c r="Q33" s="442"/>
      <c r="R33" s="442"/>
      <c r="S33" s="442"/>
      <c r="T33" s="442"/>
      <c r="U33" s="442"/>
      <c r="V33" s="442"/>
      <c r="W33" s="442" t="str">
        <f t="shared" si="0"/>
        <v/>
      </c>
      <c r="X33" s="446" t="str">
        <f t="shared" si="1"/>
        <v/>
      </c>
      <c r="Y33" s="448"/>
      <c r="Z33" s="449"/>
      <c r="AA33" s="449"/>
      <c r="AB33" s="446"/>
      <c r="AC33" s="450"/>
    </row>
    <row r="34" spans="2:29" ht="15.6" x14ac:dyDescent="0.3">
      <c r="B34" s="427"/>
      <c r="C34" s="451"/>
      <c r="D34" s="451"/>
      <c r="E34" s="452"/>
      <c r="F34" s="452"/>
      <c r="G34" s="453"/>
      <c r="H34" s="430"/>
      <c r="I34" s="454"/>
      <c r="J34" s="455"/>
      <c r="K34" s="455"/>
      <c r="L34" s="456"/>
      <c r="M34" s="455"/>
      <c r="N34" s="455"/>
      <c r="O34" s="456"/>
      <c r="P34" s="457"/>
      <c r="Q34" s="452"/>
      <c r="R34" s="452"/>
      <c r="S34" s="452"/>
      <c r="T34" s="452"/>
      <c r="U34" s="452"/>
      <c r="V34" s="452"/>
      <c r="W34" s="452" t="str">
        <f t="shared" si="0"/>
        <v/>
      </c>
      <c r="X34" s="456" t="str">
        <f t="shared" si="1"/>
        <v/>
      </c>
      <c r="Y34" s="458"/>
      <c r="Z34" s="459"/>
      <c r="AA34" s="459"/>
      <c r="AB34" s="456"/>
      <c r="AC34" s="460"/>
    </row>
    <row r="35" spans="2:29" ht="15.6" x14ac:dyDescent="0.3">
      <c r="B35" s="429"/>
      <c r="C35" s="441"/>
      <c r="D35" s="441"/>
      <c r="E35" s="442"/>
      <c r="F35" s="442"/>
      <c r="G35" s="443"/>
      <c r="H35" s="430"/>
      <c r="I35" s="444"/>
      <c r="J35" s="445"/>
      <c r="K35" s="445"/>
      <c r="L35" s="446"/>
      <c r="M35" s="445"/>
      <c r="N35" s="445"/>
      <c r="O35" s="446"/>
      <c r="P35" s="447"/>
      <c r="Q35" s="442"/>
      <c r="R35" s="442"/>
      <c r="S35" s="442"/>
      <c r="T35" s="442"/>
      <c r="U35" s="442"/>
      <c r="V35" s="442"/>
      <c r="W35" s="442" t="str">
        <f t="shared" si="0"/>
        <v/>
      </c>
      <c r="X35" s="446" t="str">
        <f t="shared" si="1"/>
        <v/>
      </c>
      <c r="Y35" s="448"/>
      <c r="Z35" s="449"/>
      <c r="AA35" s="449"/>
      <c r="AB35" s="446"/>
      <c r="AC35" s="450"/>
    </row>
    <row r="36" spans="2:29" ht="15.6" x14ac:dyDescent="0.3">
      <c r="B36" s="427"/>
      <c r="C36" s="451"/>
      <c r="D36" s="451"/>
      <c r="E36" s="452"/>
      <c r="F36" s="452"/>
      <c r="G36" s="453"/>
      <c r="H36" s="430"/>
      <c r="I36" s="454"/>
      <c r="J36" s="455"/>
      <c r="K36" s="455"/>
      <c r="L36" s="456"/>
      <c r="M36" s="455"/>
      <c r="N36" s="455"/>
      <c r="O36" s="456"/>
      <c r="P36" s="457"/>
      <c r="Q36" s="452"/>
      <c r="R36" s="452"/>
      <c r="S36" s="452"/>
      <c r="T36" s="452"/>
      <c r="U36" s="452"/>
      <c r="V36" s="452"/>
      <c r="W36" s="452" t="str">
        <f t="shared" si="0"/>
        <v/>
      </c>
      <c r="X36" s="456" t="str">
        <f t="shared" si="1"/>
        <v/>
      </c>
      <c r="Y36" s="458"/>
      <c r="Z36" s="459"/>
      <c r="AA36" s="459"/>
      <c r="AB36" s="456"/>
      <c r="AC36" s="460"/>
    </row>
    <row r="37" spans="2:29" ht="15.6" x14ac:dyDescent="0.3">
      <c r="B37" s="429"/>
      <c r="C37" s="441"/>
      <c r="D37" s="441"/>
      <c r="E37" s="442"/>
      <c r="F37" s="442"/>
      <c r="G37" s="443"/>
      <c r="H37" s="430"/>
      <c r="I37" s="444"/>
      <c r="J37" s="445"/>
      <c r="K37" s="445"/>
      <c r="L37" s="446"/>
      <c r="M37" s="445"/>
      <c r="N37" s="445"/>
      <c r="O37" s="446"/>
      <c r="P37" s="447"/>
      <c r="Q37" s="442"/>
      <c r="R37" s="442"/>
      <c r="S37" s="442"/>
      <c r="T37" s="442"/>
      <c r="U37" s="442"/>
      <c r="V37" s="442"/>
      <c r="W37" s="442" t="str">
        <f t="shared" si="0"/>
        <v/>
      </c>
      <c r="X37" s="446" t="str">
        <f t="shared" si="1"/>
        <v/>
      </c>
      <c r="Y37" s="448"/>
      <c r="Z37" s="449"/>
      <c r="AA37" s="449"/>
      <c r="AB37" s="446"/>
      <c r="AC37" s="450"/>
    </row>
    <row r="38" spans="2:29" ht="15.6" x14ac:dyDescent="0.3">
      <c r="B38" s="427"/>
      <c r="C38" s="451"/>
      <c r="D38" s="451"/>
      <c r="E38" s="452"/>
      <c r="F38" s="452"/>
      <c r="G38" s="453"/>
      <c r="H38" s="430"/>
      <c r="I38" s="454"/>
      <c r="J38" s="455"/>
      <c r="K38" s="455"/>
      <c r="L38" s="456"/>
      <c r="M38" s="455"/>
      <c r="N38" s="455"/>
      <c r="O38" s="456"/>
      <c r="P38" s="457"/>
      <c r="Q38" s="452"/>
      <c r="R38" s="452"/>
      <c r="S38" s="452"/>
      <c r="T38" s="452"/>
      <c r="U38" s="452"/>
      <c r="V38" s="452"/>
      <c r="W38" s="452" t="str">
        <f t="shared" si="0"/>
        <v/>
      </c>
      <c r="X38" s="456" t="str">
        <f t="shared" si="1"/>
        <v/>
      </c>
      <c r="Y38" s="458"/>
      <c r="Z38" s="459"/>
      <c r="AA38" s="459"/>
      <c r="AB38" s="456"/>
      <c r="AC38" s="460"/>
    </row>
    <row r="39" spans="2:29" ht="15.6" x14ac:dyDescent="0.3">
      <c r="B39" s="429"/>
      <c r="C39" s="441"/>
      <c r="D39" s="441"/>
      <c r="E39" s="442"/>
      <c r="F39" s="442"/>
      <c r="G39" s="443"/>
      <c r="H39" s="430"/>
      <c r="I39" s="444"/>
      <c r="J39" s="445"/>
      <c r="K39" s="445"/>
      <c r="L39" s="446"/>
      <c r="M39" s="445"/>
      <c r="N39" s="445"/>
      <c r="O39" s="446"/>
      <c r="P39" s="447"/>
      <c r="Q39" s="442"/>
      <c r="R39" s="442"/>
      <c r="S39" s="442"/>
      <c r="T39" s="442"/>
      <c r="U39" s="442"/>
      <c r="V39" s="442"/>
      <c r="W39" s="442" t="str">
        <f t="shared" si="0"/>
        <v/>
      </c>
      <c r="X39" s="446" t="str">
        <f t="shared" si="1"/>
        <v/>
      </c>
      <c r="Y39" s="448"/>
      <c r="Z39" s="449"/>
      <c r="AA39" s="449"/>
      <c r="AB39" s="446"/>
      <c r="AC39" s="450"/>
    </row>
    <row r="40" spans="2:29" ht="15.6" x14ac:dyDescent="0.3">
      <c r="B40" s="427"/>
      <c r="C40" s="451"/>
      <c r="D40" s="451"/>
      <c r="E40" s="452"/>
      <c r="F40" s="452"/>
      <c r="G40" s="453"/>
      <c r="H40" s="430"/>
      <c r="I40" s="454"/>
      <c r="J40" s="455"/>
      <c r="K40" s="455"/>
      <c r="L40" s="456"/>
      <c r="M40" s="455"/>
      <c r="N40" s="455"/>
      <c r="O40" s="456"/>
      <c r="P40" s="457"/>
      <c r="Q40" s="452"/>
      <c r="R40" s="452"/>
      <c r="S40" s="452"/>
      <c r="T40" s="452"/>
      <c r="U40" s="452"/>
      <c r="V40" s="452"/>
      <c r="W40" s="452" t="str">
        <f t="shared" si="0"/>
        <v/>
      </c>
      <c r="X40" s="456" t="str">
        <f t="shared" si="1"/>
        <v/>
      </c>
      <c r="Y40" s="458"/>
      <c r="Z40" s="459"/>
      <c r="AA40" s="459"/>
      <c r="AB40" s="456"/>
      <c r="AC40" s="460"/>
    </row>
    <row r="41" spans="2:29" ht="15.6" x14ac:dyDescent="0.3">
      <c r="B41" s="429"/>
      <c r="C41" s="441"/>
      <c r="D41" s="441"/>
      <c r="E41" s="442"/>
      <c r="F41" s="442"/>
      <c r="G41" s="443"/>
      <c r="H41" s="430"/>
      <c r="I41" s="444"/>
      <c r="J41" s="445"/>
      <c r="K41" s="445"/>
      <c r="L41" s="446"/>
      <c r="M41" s="445"/>
      <c r="N41" s="445"/>
      <c r="O41" s="446"/>
      <c r="P41" s="447"/>
      <c r="Q41" s="442"/>
      <c r="R41" s="442"/>
      <c r="S41" s="442"/>
      <c r="T41" s="442"/>
      <c r="U41" s="442"/>
      <c r="V41" s="442"/>
      <c r="W41" s="442" t="str">
        <f t="shared" si="0"/>
        <v/>
      </c>
      <c r="X41" s="446" t="str">
        <f t="shared" si="1"/>
        <v/>
      </c>
      <c r="Y41" s="448"/>
      <c r="Z41" s="449"/>
      <c r="AA41" s="449"/>
      <c r="AB41" s="446"/>
      <c r="AC41" s="450"/>
    </row>
    <row r="42" spans="2:29" ht="15.6" x14ac:dyDescent="0.3">
      <c r="B42" s="427"/>
      <c r="C42" s="451"/>
      <c r="D42" s="451"/>
      <c r="E42" s="452"/>
      <c r="F42" s="452"/>
      <c r="G42" s="453"/>
      <c r="H42" s="430"/>
      <c r="I42" s="454"/>
      <c r="J42" s="455"/>
      <c r="K42" s="455"/>
      <c r="L42" s="456"/>
      <c r="M42" s="455"/>
      <c r="N42" s="455"/>
      <c r="O42" s="456"/>
      <c r="P42" s="457"/>
      <c r="Q42" s="452"/>
      <c r="R42" s="452"/>
      <c r="S42" s="452"/>
      <c r="T42" s="452"/>
      <c r="U42" s="452"/>
      <c r="V42" s="452"/>
      <c r="W42" s="452" t="str">
        <f t="shared" si="0"/>
        <v/>
      </c>
      <c r="X42" s="456" t="str">
        <f t="shared" si="1"/>
        <v/>
      </c>
      <c r="Y42" s="458"/>
      <c r="Z42" s="459"/>
      <c r="AA42" s="459"/>
      <c r="AB42" s="456"/>
      <c r="AC42" s="460"/>
    </row>
    <row r="43" spans="2:29" ht="15.6" x14ac:dyDescent="0.3">
      <c r="B43" s="429"/>
      <c r="C43" s="441"/>
      <c r="D43" s="441"/>
      <c r="E43" s="442"/>
      <c r="F43" s="442"/>
      <c r="G43" s="443"/>
      <c r="H43" s="430"/>
      <c r="I43" s="444"/>
      <c r="J43" s="445"/>
      <c r="K43" s="445"/>
      <c r="L43" s="446"/>
      <c r="M43" s="445"/>
      <c r="N43" s="445"/>
      <c r="O43" s="446"/>
      <c r="P43" s="447"/>
      <c r="Q43" s="442"/>
      <c r="R43" s="442"/>
      <c r="S43" s="442"/>
      <c r="T43" s="442"/>
      <c r="U43" s="442"/>
      <c r="V43" s="442"/>
      <c r="W43" s="442" t="str">
        <f t="shared" si="0"/>
        <v/>
      </c>
      <c r="X43" s="446" t="str">
        <f t="shared" si="1"/>
        <v/>
      </c>
      <c r="Y43" s="448"/>
      <c r="Z43" s="449"/>
      <c r="AA43" s="449"/>
      <c r="AB43" s="446"/>
      <c r="AC43" s="450"/>
    </row>
    <row r="44" spans="2:29" ht="15.6" x14ac:dyDescent="0.3">
      <c r="B44" s="427"/>
      <c r="C44" s="451"/>
      <c r="D44" s="451"/>
      <c r="E44" s="452"/>
      <c r="F44" s="452"/>
      <c r="G44" s="453"/>
      <c r="H44" s="430"/>
      <c r="I44" s="454"/>
      <c r="J44" s="455"/>
      <c r="K44" s="455"/>
      <c r="L44" s="456"/>
      <c r="M44" s="455"/>
      <c r="N44" s="455"/>
      <c r="O44" s="456"/>
      <c r="P44" s="457"/>
      <c r="Q44" s="452"/>
      <c r="R44" s="452"/>
      <c r="S44" s="452"/>
      <c r="T44" s="452"/>
      <c r="U44" s="452"/>
      <c r="V44" s="452"/>
      <c r="W44" s="452" t="str">
        <f t="shared" si="0"/>
        <v/>
      </c>
      <c r="X44" s="456" t="str">
        <f t="shared" si="1"/>
        <v/>
      </c>
      <c r="Y44" s="458"/>
      <c r="Z44" s="459"/>
      <c r="AA44" s="459"/>
      <c r="AB44" s="456"/>
      <c r="AC44" s="460"/>
    </row>
    <row r="45" spans="2:29" ht="15.6" x14ac:dyDescent="0.3">
      <c r="B45" s="429"/>
      <c r="C45" s="441"/>
      <c r="D45" s="441"/>
      <c r="E45" s="442"/>
      <c r="F45" s="442"/>
      <c r="G45" s="443"/>
      <c r="H45" s="430"/>
      <c r="I45" s="444"/>
      <c r="J45" s="445"/>
      <c r="K45" s="445"/>
      <c r="L45" s="446"/>
      <c r="M45" s="445"/>
      <c r="N45" s="445"/>
      <c r="O45" s="446"/>
      <c r="P45" s="447"/>
      <c r="Q45" s="442"/>
      <c r="R45" s="442"/>
      <c r="S45" s="442"/>
      <c r="T45" s="442"/>
      <c r="U45" s="442"/>
      <c r="V45" s="442"/>
      <c r="W45" s="442" t="str">
        <f t="shared" si="0"/>
        <v/>
      </c>
      <c r="X45" s="446" t="str">
        <f t="shared" si="1"/>
        <v/>
      </c>
      <c r="Y45" s="448"/>
      <c r="Z45" s="449"/>
      <c r="AA45" s="449"/>
      <c r="AB45" s="446"/>
      <c r="AC45" s="450"/>
    </row>
    <row r="46" spans="2:29" ht="15.6" x14ac:dyDescent="0.3">
      <c r="B46" s="427"/>
      <c r="C46" s="451"/>
      <c r="D46" s="451"/>
      <c r="E46" s="452"/>
      <c r="F46" s="452"/>
      <c r="G46" s="453"/>
      <c r="H46" s="430"/>
      <c r="I46" s="454"/>
      <c r="J46" s="455"/>
      <c r="K46" s="455"/>
      <c r="L46" s="456"/>
      <c r="M46" s="455"/>
      <c r="N46" s="455"/>
      <c r="O46" s="456"/>
      <c r="P46" s="457"/>
      <c r="Q46" s="452"/>
      <c r="R46" s="452"/>
      <c r="S46" s="452"/>
      <c r="T46" s="452"/>
      <c r="U46" s="452"/>
      <c r="V46" s="452"/>
      <c r="W46" s="452" t="str">
        <f t="shared" si="0"/>
        <v/>
      </c>
      <c r="X46" s="456" t="str">
        <f t="shared" si="1"/>
        <v/>
      </c>
      <c r="Y46" s="458"/>
      <c r="Z46" s="459"/>
      <c r="AA46" s="459"/>
      <c r="AB46" s="456"/>
      <c r="AC46" s="460"/>
    </row>
    <row r="47" spans="2:29" ht="15.6" x14ac:dyDescent="0.3">
      <c r="B47" s="429"/>
      <c r="C47" s="441"/>
      <c r="D47" s="441"/>
      <c r="E47" s="442"/>
      <c r="F47" s="442"/>
      <c r="G47" s="443"/>
      <c r="H47" s="430"/>
      <c r="I47" s="444"/>
      <c r="J47" s="445"/>
      <c r="K47" s="445"/>
      <c r="L47" s="446"/>
      <c r="M47" s="445"/>
      <c r="N47" s="445"/>
      <c r="O47" s="446"/>
      <c r="P47" s="447"/>
      <c r="Q47" s="442"/>
      <c r="R47" s="442"/>
      <c r="S47" s="442"/>
      <c r="T47" s="442"/>
      <c r="U47" s="442"/>
      <c r="V47" s="442"/>
      <c r="W47" s="442" t="str">
        <f t="shared" si="0"/>
        <v/>
      </c>
      <c r="X47" s="446" t="str">
        <f t="shared" si="1"/>
        <v/>
      </c>
      <c r="Y47" s="448"/>
      <c r="Z47" s="449"/>
      <c r="AA47" s="449"/>
      <c r="AB47" s="446"/>
      <c r="AC47" s="450"/>
    </row>
    <row r="48" spans="2:29" ht="15.6" x14ac:dyDescent="0.3">
      <c r="B48" s="427"/>
      <c r="C48" s="451"/>
      <c r="D48" s="451"/>
      <c r="E48" s="452"/>
      <c r="F48" s="452"/>
      <c r="G48" s="453"/>
      <c r="H48" s="430"/>
      <c r="I48" s="454"/>
      <c r="J48" s="455"/>
      <c r="K48" s="455"/>
      <c r="L48" s="456"/>
      <c r="M48" s="455"/>
      <c r="N48" s="455"/>
      <c r="O48" s="456"/>
      <c r="P48" s="457"/>
      <c r="Q48" s="452"/>
      <c r="R48" s="452"/>
      <c r="S48" s="452"/>
      <c r="T48" s="452"/>
      <c r="U48" s="452"/>
      <c r="V48" s="452"/>
      <c r="W48" s="452" t="str">
        <f t="shared" si="0"/>
        <v/>
      </c>
      <c r="X48" s="456" t="str">
        <f t="shared" si="1"/>
        <v/>
      </c>
      <c r="Y48" s="458"/>
      <c r="Z48" s="459"/>
      <c r="AA48" s="459"/>
      <c r="AB48" s="456"/>
      <c r="AC48" s="460"/>
    </row>
    <row r="49" spans="2:29" ht="15.6" x14ac:dyDescent="0.3">
      <c r="B49" s="429"/>
      <c r="C49" s="441"/>
      <c r="D49" s="441"/>
      <c r="E49" s="442"/>
      <c r="F49" s="442"/>
      <c r="G49" s="443"/>
      <c r="H49" s="430"/>
      <c r="I49" s="444"/>
      <c r="J49" s="445"/>
      <c r="K49" s="445"/>
      <c r="L49" s="446"/>
      <c r="M49" s="445"/>
      <c r="N49" s="445"/>
      <c r="O49" s="446"/>
      <c r="P49" s="447"/>
      <c r="Q49" s="442"/>
      <c r="R49" s="442"/>
      <c r="S49" s="442"/>
      <c r="T49" s="442"/>
      <c r="U49" s="442"/>
      <c r="V49" s="442"/>
      <c r="W49" s="442" t="str">
        <f t="shared" si="0"/>
        <v/>
      </c>
      <c r="X49" s="446" t="str">
        <f t="shared" si="1"/>
        <v/>
      </c>
      <c r="Y49" s="448"/>
      <c r="Z49" s="449"/>
      <c r="AA49" s="449"/>
      <c r="AB49" s="446"/>
      <c r="AC49" s="450"/>
    </row>
    <row r="50" spans="2:29" ht="15.6" x14ac:dyDescent="0.3">
      <c r="B50" s="427"/>
      <c r="C50" s="451"/>
      <c r="D50" s="451"/>
      <c r="E50" s="452"/>
      <c r="F50" s="452"/>
      <c r="G50" s="453"/>
      <c r="H50" s="430"/>
      <c r="I50" s="454"/>
      <c r="J50" s="455"/>
      <c r="K50" s="455"/>
      <c r="L50" s="456"/>
      <c r="M50" s="455"/>
      <c r="N50" s="455"/>
      <c r="O50" s="456"/>
      <c r="P50" s="457"/>
      <c r="Q50" s="452"/>
      <c r="R50" s="452"/>
      <c r="S50" s="452"/>
      <c r="T50" s="452"/>
      <c r="U50" s="452"/>
      <c r="V50" s="452"/>
      <c r="W50" s="452" t="str">
        <f t="shared" si="0"/>
        <v/>
      </c>
      <c r="X50" s="456" t="str">
        <f t="shared" si="1"/>
        <v/>
      </c>
      <c r="Y50" s="458"/>
      <c r="Z50" s="459"/>
      <c r="AA50" s="459"/>
      <c r="AB50" s="456"/>
      <c r="AC50" s="460"/>
    </row>
    <row r="51" spans="2:29" ht="15.6" x14ac:dyDescent="0.3">
      <c r="B51" s="429"/>
      <c r="C51" s="441"/>
      <c r="D51" s="441"/>
      <c r="E51" s="442"/>
      <c r="F51" s="442"/>
      <c r="G51" s="443"/>
      <c r="H51" s="430"/>
      <c r="I51" s="444"/>
      <c r="J51" s="445"/>
      <c r="K51" s="445"/>
      <c r="L51" s="446"/>
      <c r="M51" s="445"/>
      <c r="N51" s="445"/>
      <c r="O51" s="446"/>
      <c r="P51" s="447"/>
      <c r="Q51" s="442"/>
      <c r="R51" s="442"/>
      <c r="S51" s="442"/>
      <c r="T51" s="442"/>
      <c r="U51" s="442"/>
      <c r="V51" s="442"/>
      <c r="W51" s="442" t="str">
        <f t="shared" si="0"/>
        <v/>
      </c>
      <c r="X51" s="446" t="str">
        <f t="shared" si="1"/>
        <v/>
      </c>
      <c r="Y51" s="448"/>
      <c r="Z51" s="449"/>
      <c r="AA51" s="449"/>
      <c r="AB51" s="446"/>
      <c r="AC51" s="450"/>
    </row>
    <row r="52" spans="2:29" ht="15.6" x14ac:dyDescent="0.3">
      <c r="B52" s="427"/>
      <c r="C52" s="451"/>
      <c r="D52" s="451"/>
      <c r="E52" s="452"/>
      <c r="F52" s="452"/>
      <c r="G52" s="453"/>
      <c r="H52" s="430"/>
      <c r="I52" s="454"/>
      <c r="J52" s="455"/>
      <c r="K52" s="455"/>
      <c r="L52" s="456"/>
      <c r="M52" s="455"/>
      <c r="N52" s="455"/>
      <c r="O52" s="456"/>
      <c r="P52" s="457"/>
      <c r="Q52" s="452"/>
      <c r="R52" s="452"/>
      <c r="S52" s="452"/>
      <c r="T52" s="452"/>
      <c r="U52" s="452"/>
      <c r="V52" s="452"/>
      <c r="W52" s="452" t="str">
        <f t="shared" si="0"/>
        <v/>
      </c>
      <c r="X52" s="456" t="str">
        <f t="shared" si="1"/>
        <v/>
      </c>
      <c r="Y52" s="458"/>
      <c r="Z52" s="459"/>
      <c r="AA52" s="459"/>
      <c r="AB52" s="456"/>
      <c r="AC52" s="460"/>
    </row>
    <row r="53" spans="2:29" ht="15.6" x14ac:dyDescent="0.3">
      <c r="B53" s="429"/>
      <c r="C53" s="441"/>
      <c r="D53" s="441"/>
      <c r="E53" s="442"/>
      <c r="F53" s="442"/>
      <c r="G53" s="443"/>
      <c r="H53" s="430"/>
      <c r="I53" s="444"/>
      <c r="J53" s="445"/>
      <c r="K53" s="445"/>
      <c r="L53" s="446"/>
      <c r="M53" s="445"/>
      <c r="N53" s="445"/>
      <c r="O53" s="446"/>
      <c r="P53" s="447"/>
      <c r="Q53" s="442"/>
      <c r="R53" s="442"/>
      <c r="S53" s="442"/>
      <c r="T53" s="442"/>
      <c r="U53" s="442"/>
      <c r="V53" s="442"/>
      <c r="W53" s="442" t="str">
        <f t="shared" si="0"/>
        <v/>
      </c>
      <c r="X53" s="446" t="str">
        <f t="shared" si="1"/>
        <v/>
      </c>
      <c r="Y53" s="448"/>
      <c r="Z53" s="449"/>
      <c r="AA53" s="449"/>
      <c r="AB53" s="446"/>
      <c r="AC53" s="450"/>
    </row>
    <row r="54" spans="2:29" ht="15.6" x14ac:dyDescent="0.3">
      <c r="B54" s="427"/>
      <c r="C54" s="451"/>
      <c r="D54" s="451"/>
      <c r="E54" s="452"/>
      <c r="F54" s="452"/>
      <c r="G54" s="453"/>
      <c r="H54" s="430"/>
      <c r="I54" s="454"/>
      <c r="J54" s="455"/>
      <c r="K54" s="455"/>
      <c r="L54" s="456"/>
      <c r="M54" s="455"/>
      <c r="N54" s="455"/>
      <c r="O54" s="456"/>
      <c r="P54" s="457"/>
      <c r="Q54" s="452"/>
      <c r="R54" s="452"/>
      <c r="S54" s="452"/>
      <c r="T54" s="452"/>
      <c r="U54" s="452"/>
      <c r="V54" s="452"/>
      <c r="W54" s="452" t="str">
        <f t="shared" si="0"/>
        <v/>
      </c>
      <c r="X54" s="456" t="str">
        <f t="shared" si="1"/>
        <v/>
      </c>
      <c r="Y54" s="458"/>
      <c r="Z54" s="459"/>
      <c r="AA54" s="459"/>
      <c r="AB54" s="456"/>
      <c r="AC54" s="460"/>
    </row>
    <row r="55" spans="2:29" ht="15.6" x14ac:dyDescent="0.3">
      <c r="B55" s="429"/>
      <c r="C55" s="441"/>
      <c r="D55" s="441"/>
      <c r="E55" s="442"/>
      <c r="F55" s="442"/>
      <c r="G55" s="443"/>
      <c r="H55" s="430"/>
      <c r="I55" s="444"/>
      <c r="J55" s="445"/>
      <c r="K55" s="445"/>
      <c r="L55" s="446"/>
      <c r="M55" s="445"/>
      <c r="N55" s="445"/>
      <c r="O55" s="446"/>
      <c r="P55" s="447"/>
      <c r="Q55" s="442"/>
      <c r="R55" s="442"/>
      <c r="S55" s="442"/>
      <c r="T55" s="442"/>
      <c r="U55" s="442"/>
      <c r="V55" s="442"/>
      <c r="W55" s="442" t="str">
        <f t="shared" si="0"/>
        <v/>
      </c>
      <c r="X55" s="446" t="str">
        <f t="shared" si="1"/>
        <v/>
      </c>
      <c r="Y55" s="448"/>
      <c r="Z55" s="449"/>
      <c r="AA55" s="449"/>
      <c r="AB55" s="446"/>
      <c r="AC55" s="450"/>
    </row>
    <row r="56" spans="2:29" ht="15.6" x14ac:dyDescent="0.3">
      <c r="B56" s="427"/>
      <c r="C56" s="451"/>
      <c r="D56" s="451"/>
      <c r="E56" s="452"/>
      <c r="F56" s="452"/>
      <c r="G56" s="453"/>
      <c r="H56" s="430"/>
      <c r="I56" s="454"/>
      <c r="J56" s="455"/>
      <c r="K56" s="455"/>
      <c r="L56" s="456"/>
      <c r="M56" s="455"/>
      <c r="N56" s="455"/>
      <c r="O56" s="456"/>
      <c r="P56" s="457"/>
      <c r="Q56" s="452"/>
      <c r="R56" s="452"/>
      <c r="S56" s="452"/>
      <c r="T56" s="452"/>
      <c r="U56" s="452"/>
      <c r="V56" s="452"/>
      <c r="W56" s="452" t="str">
        <f t="shared" si="0"/>
        <v/>
      </c>
      <c r="X56" s="456" t="str">
        <f t="shared" si="1"/>
        <v/>
      </c>
      <c r="Y56" s="458"/>
      <c r="Z56" s="459"/>
      <c r="AA56" s="459"/>
      <c r="AB56" s="456"/>
      <c r="AC56" s="460"/>
    </row>
    <row r="57" spans="2:29" ht="15.6" x14ac:dyDescent="0.3">
      <c r="B57" s="429"/>
      <c r="C57" s="441"/>
      <c r="D57" s="441"/>
      <c r="E57" s="442"/>
      <c r="F57" s="442"/>
      <c r="G57" s="443"/>
      <c r="H57" s="430"/>
      <c r="I57" s="444"/>
      <c r="J57" s="445"/>
      <c r="K57" s="445"/>
      <c r="L57" s="446"/>
      <c r="M57" s="445"/>
      <c r="N57" s="445"/>
      <c r="O57" s="446"/>
      <c r="P57" s="447"/>
      <c r="Q57" s="442"/>
      <c r="R57" s="442"/>
      <c r="S57" s="442"/>
      <c r="T57" s="442"/>
      <c r="U57" s="442"/>
      <c r="V57" s="442"/>
      <c r="W57" s="442" t="str">
        <f t="shared" si="0"/>
        <v/>
      </c>
      <c r="X57" s="446" t="str">
        <f t="shared" si="1"/>
        <v/>
      </c>
      <c r="Y57" s="448"/>
      <c r="Z57" s="449"/>
      <c r="AA57" s="449"/>
      <c r="AB57" s="446"/>
      <c r="AC57" s="450"/>
    </row>
    <row r="58" spans="2:29" ht="15.6" x14ac:dyDescent="0.3">
      <c r="B58" s="427"/>
      <c r="C58" s="451"/>
      <c r="D58" s="451"/>
      <c r="E58" s="452"/>
      <c r="F58" s="452"/>
      <c r="G58" s="453"/>
      <c r="H58" s="430"/>
      <c r="I58" s="454"/>
      <c r="J58" s="455"/>
      <c r="K58" s="455"/>
      <c r="L58" s="456"/>
      <c r="M58" s="455"/>
      <c r="N58" s="455"/>
      <c r="O58" s="456"/>
      <c r="P58" s="457"/>
      <c r="Q58" s="452"/>
      <c r="R58" s="452"/>
      <c r="S58" s="452"/>
      <c r="T58" s="452"/>
      <c r="U58" s="452"/>
      <c r="V58" s="452"/>
      <c r="W58" s="452" t="str">
        <f t="shared" si="0"/>
        <v/>
      </c>
      <c r="X58" s="456" t="str">
        <f t="shared" si="1"/>
        <v/>
      </c>
      <c r="Y58" s="458"/>
      <c r="Z58" s="459"/>
      <c r="AA58" s="459"/>
      <c r="AB58" s="456"/>
      <c r="AC58" s="460"/>
    </row>
    <row r="59" spans="2:29" ht="15.6" x14ac:dyDescent="0.3">
      <c r="B59" s="429"/>
      <c r="C59" s="441"/>
      <c r="D59" s="441"/>
      <c r="E59" s="442"/>
      <c r="F59" s="442"/>
      <c r="G59" s="443"/>
      <c r="H59" s="430"/>
      <c r="I59" s="444"/>
      <c r="J59" s="445"/>
      <c r="K59" s="445"/>
      <c r="L59" s="446"/>
      <c r="M59" s="445"/>
      <c r="N59" s="445"/>
      <c r="O59" s="446"/>
      <c r="P59" s="447"/>
      <c r="Q59" s="442"/>
      <c r="R59" s="442"/>
      <c r="S59" s="442"/>
      <c r="T59" s="442"/>
      <c r="U59" s="442"/>
      <c r="V59" s="442"/>
      <c r="W59" s="442" t="str">
        <f t="shared" si="0"/>
        <v/>
      </c>
      <c r="X59" s="446" t="str">
        <f t="shared" si="1"/>
        <v/>
      </c>
      <c r="Y59" s="448"/>
      <c r="Z59" s="449"/>
      <c r="AA59" s="449"/>
      <c r="AB59" s="446"/>
      <c r="AC59" s="450"/>
    </row>
    <row r="60" spans="2:29" ht="15.6" x14ac:dyDescent="0.3">
      <c r="B60" s="427"/>
      <c r="C60" s="451"/>
      <c r="D60" s="451"/>
      <c r="E60" s="452"/>
      <c r="F60" s="452"/>
      <c r="G60" s="453"/>
      <c r="H60" s="430"/>
      <c r="I60" s="454"/>
      <c r="J60" s="455"/>
      <c r="K60" s="455"/>
      <c r="L60" s="456"/>
      <c r="M60" s="455"/>
      <c r="N60" s="455"/>
      <c r="O60" s="456"/>
      <c r="P60" s="457"/>
      <c r="Q60" s="452"/>
      <c r="R60" s="452"/>
      <c r="S60" s="452"/>
      <c r="T60" s="452"/>
      <c r="U60" s="452"/>
      <c r="V60" s="452"/>
      <c r="W60" s="452" t="str">
        <f t="shared" si="0"/>
        <v/>
      </c>
      <c r="X60" s="456" t="str">
        <f t="shared" si="1"/>
        <v/>
      </c>
      <c r="Y60" s="458"/>
      <c r="Z60" s="459"/>
      <c r="AA60" s="459"/>
      <c r="AB60" s="456"/>
      <c r="AC60" s="460"/>
    </row>
    <row r="61" spans="2:29" ht="15.6" x14ac:dyDescent="0.3">
      <c r="B61" s="429"/>
      <c r="C61" s="441"/>
      <c r="D61" s="441"/>
      <c r="E61" s="442"/>
      <c r="F61" s="442"/>
      <c r="G61" s="443"/>
      <c r="H61" s="430"/>
      <c r="I61" s="444"/>
      <c r="J61" s="445"/>
      <c r="K61" s="445"/>
      <c r="L61" s="446"/>
      <c r="M61" s="445"/>
      <c r="N61" s="445"/>
      <c r="O61" s="446"/>
      <c r="P61" s="447"/>
      <c r="Q61" s="442"/>
      <c r="R61" s="442"/>
      <c r="S61" s="442"/>
      <c r="T61" s="442"/>
      <c r="U61" s="442"/>
      <c r="V61" s="442"/>
      <c r="W61" s="442" t="str">
        <f t="shared" si="0"/>
        <v/>
      </c>
      <c r="X61" s="446" t="str">
        <f t="shared" si="1"/>
        <v/>
      </c>
      <c r="Y61" s="448"/>
      <c r="Z61" s="449"/>
      <c r="AA61" s="449"/>
      <c r="AB61" s="446"/>
      <c r="AC61" s="450"/>
    </row>
    <row r="62" spans="2:29" ht="15.6" x14ac:dyDescent="0.3">
      <c r="B62" s="427"/>
      <c r="C62" s="451"/>
      <c r="D62" s="451"/>
      <c r="E62" s="452"/>
      <c r="F62" s="452"/>
      <c r="G62" s="453"/>
      <c r="H62" s="430"/>
      <c r="I62" s="454"/>
      <c r="J62" s="455"/>
      <c r="K62" s="455"/>
      <c r="L62" s="456"/>
      <c r="M62" s="455"/>
      <c r="N62" s="455"/>
      <c r="O62" s="456"/>
      <c r="P62" s="457"/>
      <c r="Q62" s="452"/>
      <c r="R62" s="452"/>
      <c r="S62" s="452"/>
      <c r="T62" s="452"/>
      <c r="U62" s="452"/>
      <c r="V62" s="452"/>
      <c r="W62" s="452" t="str">
        <f t="shared" si="0"/>
        <v/>
      </c>
      <c r="X62" s="456" t="str">
        <f t="shared" si="1"/>
        <v/>
      </c>
      <c r="Y62" s="458"/>
      <c r="Z62" s="459"/>
      <c r="AA62" s="459"/>
      <c r="AB62" s="456"/>
      <c r="AC62" s="460"/>
    </row>
    <row r="63" spans="2:29" ht="15.6" x14ac:dyDescent="0.3">
      <c r="B63" s="429"/>
      <c r="C63" s="441"/>
      <c r="D63" s="441"/>
      <c r="E63" s="442"/>
      <c r="F63" s="442"/>
      <c r="G63" s="443"/>
      <c r="H63" s="430"/>
      <c r="I63" s="444"/>
      <c r="J63" s="445"/>
      <c r="K63" s="445"/>
      <c r="L63" s="446"/>
      <c r="M63" s="445"/>
      <c r="N63" s="445"/>
      <c r="O63" s="446"/>
      <c r="P63" s="447"/>
      <c r="Q63" s="442"/>
      <c r="R63" s="442"/>
      <c r="S63" s="442"/>
      <c r="T63" s="442"/>
      <c r="U63" s="442"/>
      <c r="V63" s="442"/>
      <c r="W63" s="442" t="str">
        <f t="shared" si="0"/>
        <v/>
      </c>
      <c r="X63" s="446" t="str">
        <f t="shared" si="1"/>
        <v/>
      </c>
      <c r="Y63" s="448"/>
      <c r="Z63" s="449"/>
      <c r="AA63" s="449"/>
      <c r="AB63" s="446"/>
      <c r="AC63" s="450"/>
    </row>
    <row r="64" spans="2:29" ht="15.6" x14ac:dyDescent="0.3">
      <c r="B64" s="427"/>
      <c r="C64" s="451"/>
      <c r="D64" s="451"/>
      <c r="E64" s="452"/>
      <c r="F64" s="452"/>
      <c r="G64" s="453"/>
      <c r="H64" s="430"/>
      <c r="I64" s="454"/>
      <c r="J64" s="455"/>
      <c r="K64" s="455"/>
      <c r="L64" s="456"/>
      <c r="M64" s="455"/>
      <c r="N64" s="455"/>
      <c r="O64" s="456"/>
      <c r="P64" s="457"/>
      <c r="Q64" s="452"/>
      <c r="R64" s="452"/>
      <c r="S64" s="452"/>
      <c r="T64" s="452"/>
      <c r="U64" s="452"/>
      <c r="V64" s="452"/>
      <c r="W64" s="452" t="str">
        <f t="shared" si="0"/>
        <v/>
      </c>
      <c r="X64" s="456" t="str">
        <f t="shared" si="1"/>
        <v/>
      </c>
      <c r="Y64" s="458"/>
      <c r="Z64" s="459"/>
      <c r="AA64" s="459"/>
      <c r="AB64" s="456"/>
      <c r="AC64" s="460"/>
    </row>
    <row r="65" spans="2:29" ht="15.6" x14ac:dyDescent="0.3">
      <c r="B65" s="429"/>
      <c r="C65" s="441"/>
      <c r="D65" s="441"/>
      <c r="E65" s="442"/>
      <c r="F65" s="442"/>
      <c r="G65" s="443"/>
      <c r="H65" s="430"/>
      <c r="I65" s="444"/>
      <c r="J65" s="445"/>
      <c r="K65" s="445"/>
      <c r="L65" s="446"/>
      <c r="M65" s="445"/>
      <c r="N65" s="445"/>
      <c r="O65" s="446"/>
      <c r="P65" s="447"/>
      <c r="Q65" s="442"/>
      <c r="R65" s="442"/>
      <c r="S65" s="442"/>
      <c r="T65" s="442"/>
      <c r="U65" s="442"/>
      <c r="V65" s="442"/>
      <c r="W65" s="442" t="str">
        <f t="shared" si="0"/>
        <v/>
      </c>
      <c r="X65" s="446" t="str">
        <f t="shared" si="1"/>
        <v/>
      </c>
      <c r="Y65" s="448"/>
      <c r="Z65" s="449"/>
      <c r="AA65" s="449"/>
      <c r="AB65" s="446"/>
      <c r="AC65" s="450"/>
    </row>
    <row r="66" spans="2:29" ht="15.6" x14ac:dyDescent="0.3">
      <c r="B66" s="427"/>
      <c r="C66" s="451"/>
      <c r="D66" s="451"/>
      <c r="E66" s="452"/>
      <c r="F66" s="452"/>
      <c r="G66" s="453"/>
      <c r="H66" s="430"/>
      <c r="I66" s="454"/>
      <c r="J66" s="455"/>
      <c r="K66" s="455"/>
      <c r="L66" s="456"/>
      <c r="M66" s="455"/>
      <c r="N66" s="455"/>
      <c r="O66" s="456"/>
      <c r="P66" s="457"/>
      <c r="Q66" s="452"/>
      <c r="R66" s="452"/>
      <c r="S66" s="452"/>
      <c r="T66" s="452"/>
      <c r="U66" s="452"/>
      <c r="V66" s="452"/>
      <c r="W66" s="452" t="str">
        <f t="shared" si="0"/>
        <v/>
      </c>
      <c r="X66" s="456" t="str">
        <f t="shared" si="1"/>
        <v/>
      </c>
      <c r="Y66" s="458"/>
      <c r="Z66" s="459"/>
      <c r="AA66" s="459"/>
      <c r="AB66" s="456"/>
      <c r="AC66" s="460"/>
    </row>
    <row r="67" spans="2:29" ht="15.6" x14ac:dyDescent="0.3">
      <c r="B67" s="429"/>
      <c r="C67" s="441"/>
      <c r="D67" s="441"/>
      <c r="E67" s="442"/>
      <c r="F67" s="442"/>
      <c r="G67" s="443"/>
      <c r="H67" s="430"/>
      <c r="I67" s="444"/>
      <c r="J67" s="445"/>
      <c r="K67" s="445"/>
      <c r="L67" s="446"/>
      <c r="M67" s="445"/>
      <c r="N67" s="445"/>
      <c r="O67" s="446"/>
      <c r="P67" s="447"/>
      <c r="Q67" s="442"/>
      <c r="R67" s="442"/>
      <c r="S67" s="442"/>
      <c r="T67" s="442"/>
      <c r="U67" s="442"/>
      <c r="V67" s="442"/>
      <c r="W67" s="442" t="str">
        <f t="shared" si="0"/>
        <v/>
      </c>
      <c r="X67" s="446" t="str">
        <f t="shared" si="1"/>
        <v/>
      </c>
      <c r="Y67" s="448"/>
      <c r="Z67" s="449"/>
      <c r="AA67" s="449"/>
      <c r="AB67" s="446"/>
      <c r="AC67" s="450"/>
    </row>
    <row r="68" spans="2:29" ht="15.6" x14ac:dyDescent="0.3">
      <c r="B68" s="427"/>
      <c r="C68" s="451"/>
      <c r="D68" s="451"/>
      <c r="E68" s="452"/>
      <c r="F68" s="452"/>
      <c r="G68" s="453"/>
      <c r="H68" s="430"/>
      <c r="I68" s="454"/>
      <c r="J68" s="455"/>
      <c r="K68" s="455"/>
      <c r="L68" s="456"/>
      <c r="M68" s="455"/>
      <c r="N68" s="455"/>
      <c r="O68" s="456"/>
      <c r="P68" s="457"/>
      <c r="Q68" s="452"/>
      <c r="R68" s="452"/>
      <c r="S68" s="452"/>
      <c r="T68" s="452"/>
      <c r="U68" s="452"/>
      <c r="V68" s="452"/>
      <c r="W68" s="452" t="str">
        <f t="shared" si="0"/>
        <v/>
      </c>
      <c r="X68" s="456" t="str">
        <f t="shared" si="1"/>
        <v/>
      </c>
      <c r="Y68" s="458"/>
      <c r="Z68" s="459"/>
      <c r="AA68" s="459"/>
      <c r="AB68" s="456"/>
      <c r="AC68" s="460"/>
    </row>
    <row r="69" spans="2:29" ht="15.6" x14ac:dyDescent="0.3">
      <c r="B69" s="429"/>
      <c r="C69" s="441"/>
      <c r="D69" s="441"/>
      <c r="E69" s="442"/>
      <c r="F69" s="442"/>
      <c r="G69" s="443"/>
      <c r="H69" s="430"/>
      <c r="I69" s="444"/>
      <c r="J69" s="445"/>
      <c r="K69" s="445"/>
      <c r="L69" s="446"/>
      <c r="M69" s="445"/>
      <c r="N69" s="445"/>
      <c r="O69" s="446"/>
      <c r="P69" s="447"/>
      <c r="Q69" s="442"/>
      <c r="R69" s="442"/>
      <c r="S69" s="442"/>
      <c r="T69" s="442"/>
      <c r="U69" s="442"/>
      <c r="V69" s="442"/>
      <c r="W69" s="442" t="str">
        <f t="shared" si="0"/>
        <v/>
      </c>
      <c r="X69" s="446" t="str">
        <f t="shared" si="1"/>
        <v/>
      </c>
      <c r="Y69" s="448"/>
      <c r="Z69" s="449"/>
      <c r="AA69" s="449"/>
      <c r="AB69" s="446"/>
      <c r="AC69" s="450"/>
    </row>
    <row r="70" spans="2:29" ht="15.6" x14ac:dyDescent="0.3">
      <c r="B70" s="427"/>
      <c r="C70" s="451"/>
      <c r="D70" s="451"/>
      <c r="E70" s="452"/>
      <c r="F70" s="452"/>
      <c r="G70" s="453"/>
      <c r="H70" s="430"/>
      <c r="I70" s="454"/>
      <c r="J70" s="455"/>
      <c r="K70" s="455"/>
      <c r="L70" s="456"/>
      <c r="M70" s="455"/>
      <c r="N70" s="455"/>
      <c r="O70" s="456"/>
      <c r="P70" s="457"/>
      <c r="Q70" s="452"/>
      <c r="R70" s="452"/>
      <c r="S70" s="452"/>
      <c r="T70" s="452"/>
      <c r="U70" s="452"/>
      <c r="V70" s="452"/>
      <c r="W70" s="452" t="str">
        <f t="shared" si="0"/>
        <v/>
      </c>
      <c r="X70" s="456" t="str">
        <f t="shared" si="1"/>
        <v/>
      </c>
      <c r="Y70" s="458"/>
      <c r="Z70" s="459"/>
      <c r="AA70" s="459"/>
      <c r="AB70" s="456"/>
      <c r="AC70" s="460"/>
    </row>
    <row r="71" spans="2:29" ht="15.6" x14ac:dyDescent="0.3">
      <c r="B71" s="429"/>
      <c r="C71" s="441"/>
      <c r="D71" s="441"/>
      <c r="E71" s="442"/>
      <c r="F71" s="442"/>
      <c r="G71" s="443"/>
      <c r="H71" s="430"/>
      <c r="I71" s="444"/>
      <c r="J71" s="445"/>
      <c r="K71" s="445"/>
      <c r="L71" s="446"/>
      <c r="M71" s="445"/>
      <c r="N71" s="445"/>
      <c r="O71" s="446"/>
      <c r="P71" s="447"/>
      <c r="Q71" s="442"/>
      <c r="R71" s="442"/>
      <c r="S71" s="442"/>
      <c r="T71" s="442"/>
      <c r="U71" s="442"/>
      <c r="V71" s="442"/>
      <c r="W71" s="442" t="str">
        <f t="shared" si="0"/>
        <v/>
      </c>
      <c r="X71" s="446" t="str">
        <f t="shared" si="1"/>
        <v/>
      </c>
      <c r="Y71" s="448"/>
      <c r="Z71" s="449"/>
      <c r="AA71" s="449"/>
      <c r="AB71" s="446"/>
      <c r="AC71" s="450"/>
    </row>
    <row r="72" spans="2:29" ht="15.6" x14ac:dyDescent="0.3">
      <c r="B72" s="427"/>
      <c r="C72" s="451"/>
      <c r="D72" s="451"/>
      <c r="E72" s="452"/>
      <c r="F72" s="452"/>
      <c r="G72" s="453"/>
      <c r="H72" s="430"/>
      <c r="I72" s="454"/>
      <c r="J72" s="455"/>
      <c r="K72" s="455"/>
      <c r="L72" s="456"/>
      <c r="M72" s="455"/>
      <c r="N72" s="455"/>
      <c r="O72" s="456"/>
      <c r="P72" s="457"/>
      <c r="Q72" s="452"/>
      <c r="R72" s="452"/>
      <c r="S72" s="452"/>
      <c r="T72" s="452"/>
      <c r="U72" s="452"/>
      <c r="V72" s="452"/>
      <c r="W72" s="452" t="str">
        <f t="shared" si="0"/>
        <v/>
      </c>
      <c r="X72" s="456" t="str">
        <f t="shared" si="1"/>
        <v/>
      </c>
      <c r="Y72" s="458"/>
      <c r="Z72" s="459"/>
      <c r="AA72" s="459"/>
      <c r="AB72" s="456"/>
      <c r="AC72" s="460"/>
    </row>
    <row r="73" spans="2:29" ht="15.6" x14ac:dyDescent="0.3">
      <c r="B73" s="429"/>
      <c r="C73" s="441"/>
      <c r="D73" s="441"/>
      <c r="E73" s="442"/>
      <c r="F73" s="442"/>
      <c r="G73" s="443"/>
      <c r="H73" s="430"/>
      <c r="I73" s="444"/>
      <c r="J73" s="445"/>
      <c r="K73" s="445"/>
      <c r="L73" s="446"/>
      <c r="M73" s="445"/>
      <c r="N73" s="445"/>
      <c r="O73" s="446"/>
      <c r="P73" s="447"/>
      <c r="Q73" s="442"/>
      <c r="R73" s="442"/>
      <c r="S73" s="442"/>
      <c r="T73" s="442"/>
      <c r="U73" s="442"/>
      <c r="V73" s="442"/>
      <c r="W73" s="442" t="str">
        <f t="shared" si="0"/>
        <v/>
      </c>
      <c r="X73" s="446" t="str">
        <f t="shared" si="1"/>
        <v/>
      </c>
      <c r="Y73" s="448"/>
      <c r="Z73" s="449"/>
      <c r="AA73" s="449"/>
      <c r="AB73" s="446"/>
      <c r="AC73" s="450"/>
    </row>
    <row r="74" spans="2:29" ht="15.6" x14ac:dyDescent="0.3">
      <c r="B74" s="427"/>
      <c r="C74" s="451"/>
      <c r="D74" s="451"/>
      <c r="E74" s="452"/>
      <c r="F74" s="452"/>
      <c r="G74" s="453"/>
      <c r="H74" s="430"/>
      <c r="I74" s="454"/>
      <c r="J74" s="455"/>
      <c r="K74" s="455"/>
      <c r="L74" s="456"/>
      <c r="M74" s="455"/>
      <c r="N74" s="455"/>
      <c r="O74" s="456"/>
      <c r="P74" s="457"/>
      <c r="Q74" s="452"/>
      <c r="R74" s="452"/>
      <c r="S74" s="452"/>
      <c r="T74" s="452"/>
      <c r="U74" s="452"/>
      <c r="V74" s="452"/>
      <c r="W74" s="452" t="str">
        <f t="shared" si="0"/>
        <v/>
      </c>
      <c r="X74" s="456" t="str">
        <f t="shared" si="1"/>
        <v/>
      </c>
      <c r="Y74" s="458"/>
      <c r="Z74" s="459"/>
      <c r="AA74" s="459"/>
      <c r="AB74" s="456"/>
      <c r="AC74" s="460"/>
    </row>
    <row r="75" spans="2:29" ht="15.6" x14ac:dyDescent="0.3">
      <c r="B75" s="429"/>
      <c r="C75" s="441"/>
      <c r="D75" s="441"/>
      <c r="E75" s="442"/>
      <c r="F75" s="442"/>
      <c r="G75" s="443"/>
      <c r="H75" s="430"/>
      <c r="I75" s="444"/>
      <c r="J75" s="445"/>
      <c r="K75" s="445"/>
      <c r="L75" s="446"/>
      <c r="M75" s="445"/>
      <c r="N75" s="445"/>
      <c r="O75" s="446"/>
      <c r="P75" s="447"/>
      <c r="Q75" s="442"/>
      <c r="R75" s="442"/>
      <c r="S75" s="442"/>
      <c r="T75" s="442"/>
      <c r="U75" s="442"/>
      <c r="V75" s="442"/>
      <c r="W75" s="442" t="str">
        <f t="shared" si="0"/>
        <v/>
      </c>
      <c r="X75" s="446" t="str">
        <f t="shared" si="1"/>
        <v/>
      </c>
      <c r="Y75" s="448"/>
      <c r="Z75" s="449"/>
      <c r="AA75" s="449"/>
      <c r="AB75" s="446"/>
      <c r="AC75" s="450"/>
    </row>
    <row r="76" spans="2:29" ht="15.6" x14ac:dyDescent="0.3">
      <c r="B76" s="427"/>
      <c r="C76" s="451"/>
      <c r="D76" s="451"/>
      <c r="E76" s="452"/>
      <c r="F76" s="452"/>
      <c r="G76" s="453"/>
      <c r="H76" s="430"/>
      <c r="I76" s="454"/>
      <c r="J76" s="455"/>
      <c r="K76" s="455"/>
      <c r="L76" s="456"/>
      <c r="M76" s="455"/>
      <c r="N76" s="455"/>
      <c r="O76" s="456"/>
      <c r="P76" s="457"/>
      <c r="Q76" s="452"/>
      <c r="R76" s="452"/>
      <c r="S76" s="452"/>
      <c r="T76" s="452"/>
      <c r="U76" s="452"/>
      <c r="V76" s="452"/>
      <c r="W76" s="452" t="str">
        <f t="shared" si="0"/>
        <v/>
      </c>
      <c r="X76" s="456" t="str">
        <f t="shared" si="1"/>
        <v/>
      </c>
      <c r="Y76" s="458"/>
      <c r="Z76" s="459"/>
      <c r="AA76" s="459"/>
      <c r="AB76" s="456"/>
      <c r="AC76" s="460"/>
    </row>
    <row r="77" spans="2:29" ht="15.6" x14ac:dyDescent="0.3">
      <c r="B77" s="429"/>
      <c r="C77" s="441"/>
      <c r="D77" s="441"/>
      <c r="E77" s="442"/>
      <c r="F77" s="442"/>
      <c r="G77" s="443"/>
      <c r="H77" s="430"/>
      <c r="I77" s="444"/>
      <c r="J77" s="445"/>
      <c r="K77" s="445"/>
      <c r="L77" s="446"/>
      <c r="M77" s="445"/>
      <c r="N77" s="445"/>
      <c r="O77" s="446"/>
      <c r="P77" s="447"/>
      <c r="Q77" s="442"/>
      <c r="R77" s="442"/>
      <c r="S77" s="442"/>
      <c r="T77" s="442"/>
      <c r="U77" s="442"/>
      <c r="V77" s="442"/>
      <c r="W77" s="442" t="str">
        <f t="shared" si="0"/>
        <v/>
      </c>
      <c r="X77" s="446" t="str">
        <f t="shared" si="1"/>
        <v/>
      </c>
      <c r="Y77" s="448"/>
      <c r="Z77" s="449"/>
      <c r="AA77" s="449"/>
      <c r="AB77" s="446"/>
      <c r="AC77" s="450"/>
    </row>
    <row r="78" spans="2:29" ht="15.6" x14ac:dyDescent="0.3">
      <c r="B78" s="427"/>
      <c r="C78" s="451"/>
      <c r="D78" s="451"/>
      <c r="E78" s="452"/>
      <c r="F78" s="452"/>
      <c r="G78" s="453"/>
      <c r="H78" s="430"/>
      <c r="I78" s="454"/>
      <c r="J78" s="455"/>
      <c r="K78" s="455"/>
      <c r="L78" s="456"/>
      <c r="M78" s="455"/>
      <c r="N78" s="455"/>
      <c r="O78" s="456"/>
      <c r="P78" s="457"/>
      <c r="Q78" s="452"/>
      <c r="R78" s="452"/>
      <c r="S78" s="452"/>
      <c r="T78" s="452"/>
      <c r="U78" s="452"/>
      <c r="V78" s="452"/>
      <c r="W78" s="452" t="str">
        <f t="shared" si="0"/>
        <v/>
      </c>
      <c r="X78" s="456" t="str">
        <f t="shared" si="1"/>
        <v/>
      </c>
      <c r="Y78" s="458"/>
      <c r="Z78" s="459"/>
      <c r="AA78" s="459"/>
      <c r="AB78" s="456"/>
      <c r="AC78" s="460"/>
    </row>
    <row r="79" spans="2:29" ht="15.6" x14ac:dyDescent="0.3">
      <c r="B79" s="429"/>
      <c r="C79" s="441"/>
      <c r="D79" s="441"/>
      <c r="E79" s="442"/>
      <c r="F79" s="442"/>
      <c r="G79" s="443"/>
      <c r="H79" s="430"/>
      <c r="I79" s="444"/>
      <c r="J79" s="445"/>
      <c r="K79" s="445"/>
      <c r="L79" s="446"/>
      <c r="M79" s="445"/>
      <c r="N79" s="445"/>
      <c r="O79" s="446"/>
      <c r="P79" s="447"/>
      <c r="Q79" s="442"/>
      <c r="R79" s="442"/>
      <c r="S79" s="442"/>
      <c r="T79" s="442"/>
      <c r="U79" s="442"/>
      <c r="V79" s="442"/>
      <c r="W79" s="442" t="str">
        <f t="shared" si="0"/>
        <v/>
      </c>
      <c r="X79" s="446" t="str">
        <f t="shared" si="1"/>
        <v/>
      </c>
      <c r="Y79" s="448"/>
      <c r="Z79" s="449"/>
      <c r="AA79" s="449"/>
      <c r="AB79" s="446"/>
      <c r="AC79" s="450"/>
    </row>
    <row r="80" spans="2:29" ht="15.6" x14ac:dyDescent="0.3">
      <c r="B80" s="427"/>
      <c r="C80" s="451"/>
      <c r="D80" s="451"/>
      <c r="E80" s="452"/>
      <c r="F80" s="452"/>
      <c r="G80" s="453"/>
      <c r="H80" s="430"/>
      <c r="I80" s="454"/>
      <c r="J80" s="455"/>
      <c r="K80" s="455"/>
      <c r="L80" s="456"/>
      <c r="M80" s="455"/>
      <c r="N80" s="455"/>
      <c r="O80" s="456"/>
      <c r="P80" s="457"/>
      <c r="Q80" s="452"/>
      <c r="R80" s="452"/>
      <c r="S80" s="452"/>
      <c r="T80" s="452"/>
      <c r="U80" s="452"/>
      <c r="V80" s="452"/>
      <c r="W80" s="452" t="str">
        <f t="shared" si="0"/>
        <v/>
      </c>
      <c r="X80" s="456" t="str">
        <f t="shared" si="1"/>
        <v/>
      </c>
      <c r="Y80" s="458"/>
      <c r="Z80" s="459"/>
      <c r="AA80" s="459"/>
      <c r="AB80" s="456"/>
      <c r="AC80" s="460"/>
    </row>
    <row r="81" spans="2:29" ht="15.6" x14ac:dyDescent="0.3">
      <c r="B81" s="429"/>
      <c r="C81" s="441"/>
      <c r="D81" s="441"/>
      <c r="E81" s="442"/>
      <c r="F81" s="442"/>
      <c r="G81" s="443"/>
      <c r="H81" s="430"/>
      <c r="I81" s="444"/>
      <c r="J81" s="445"/>
      <c r="K81" s="445"/>
      <c r="L81" s="446"/>
      <c r="M81" s="445"/>
      <c r="N81" s="445"/>
      <c r="O81" s="446"/>
      <c r="P81" s="447"/>
      <c r="Q81" s="442"/>
      <c r="R81" s="442"/>
      <c r="S81" s="442"/>
      <c r="T81" s="442"/>
      <c r="U81" s="442"/>
      <c r="V81" s="442"/>
      <c r="W81" s="442" t="str">
        <f t="shared" ref="W81:W144" si="2">IF(S81-T81&lt;&gt;0,S81-T81,"")</f>
        <v/>
      </c>
      <c r="X81" s="446" t="str">
        <f t="shared" ref="X81:X144" si="3">IFERROR(W81/Q81,"")</f>
        <v/>
      </c>
      <c r="Y81" s="448"/>
      <c r="Z81" s="449"/>
      <c r="AA81" s="449"/>
      <c r="AB81" s="446"/>
      <c r="AC81" s="450"/>
    </row>
    <row r="82" spans="2:29" ht="15.6" x14ac:dyDescent="0.3">
      <c r="B82" s="427"/>
      <c r="C82" s="451"/>
      <c r="D82" s="451"/>
      <c r="E82" s="452"/>
      <c r="F82" s="452"/>
      <c r="G82" s="453"/>
      <c r="H82" s="430"/>
      <c r="I82" s="454"/>
      <c r="J82" s="455"/>
      <c r="K82" s="455"/>
      <c r="L82" s="456"/>
      <c r="M82" s="455"/>
      <c r="N82" s="455"/>
      <c r="O82" s="456"/>
      <c r="P82" s="457"/>
      <c r="Q82" s="452"/>
      <c r="R82" s="452"/>
      <c r="S82" s="452"/>
      <c r="T82" s="452"/>
      <c r="U82" s="452"/>
      <c r="V82" s="452"/>
      <c r="W82" s="452" t="str">
        <f t="shared" si="2"/>
        <v/>
      </c>
      <c r="X82" s="456" t="str">
        <f t="shared" si="3"/>
        <v/>
      </c>
      <c r="Y82" s="458"/>
      <c r="Z82" s="459"/>
      <c r="AA82" s="459"/>
      <c r="AB82" s="456"/>
      <c r="AC82" s="460"/>
    </row>
    <row r="83" spans="2:29" ht="15.6" x14ac:dyDescent="0.3">
      <c r="B83" s="429"/>
      <c r="C83" s="441"/>
      <c r="D83" s="441"/>
      <c r="E83" s="442"/>
      <c r="F83" s="442"/>
      <c r="G83" s="443"/>
      <c r="H83" s="430"/>
      <c r="I83" s="444"/>
      <c r="J83" s="445"/>
      <c r="K83" s="445"/>
      <c r="L83" s="446"/>
      <c r="M83" s="445"/>
      <c r="N83" s="445"/>
      <c r="O83" s="446"/>
      <c r="P83" s="447"/>
      <c r="Q83" s="442"/>
      <c r="R83" s="442"/>
      <c r="S83" s="442"/>
      <c r="T83" s="442"/>
      <c r="U83" s="442"/>
      <c r="V83" s="442"/>
      <c r="W83" s="442" t="str">
        <f t="shared" si="2"/>
        <v/>
      </c>
      <c r="X83" s="446" t="str">
        <f t="shared" si="3"/>
        <v/>
      </c>
      <c r="Y83" s="448"/>
      <c r="Z83" s="449"/>
      <c r="AA83" s="449"/>
      <c r="AB83" s="446"/>
      <c r="AC83" s="450"/>
    </row>
    <row r="84" spans="2:29" ht="15.6" x14ac:dyDescent="0.3">
      <c r="B84" s="427"/>
      <c r="C84" s="451"/>
      <c r="D84" s="451"/>
      <c r="E84" s="452"/>
      <c r="F84" s="452"/>
      <c r="G84" s="453"/>
      <c r="H84" s="430"/>
      <c r="I84" s="454"/>
      <c r="J84" s="455"/>
      <c r="K84" s="455"/>
      <c r="L84" s="456"/>
      <c r="M84" s="455"/>
      <c r="N84" s="455"/>
      <c r="O84" s="456"/>
      <c r="P84" s="457"/>
      <c r="Q84" s="452"/>
      <c r="R84" s="452"/>
      <c r="S84" s="452"/>
      <c r="T84" s="452"/>
      <c r="U84" s="452"/>
      <c r="V84" s="452"/>
      <c r="W84" s="452" t="str">
        <f t="shared" si="2"/>
        <v/>
      </c>
      <c r="X84" s="456" t="str">
        <f t="shared" si="3"/>
        <v/>
      </c>
      <c r="Y84" s="458"/>
      <c r="Z84" s="459"/>
      <c r="AA84" s="459"/>
      <c r="AB84" s="456"/>
      <c r="AC84" s="460"/>
    </row>
    <row r="85" spans="2:29" ht="15.6" x14ac:dyDescent="0.3">
      <c r="B85" s="429"/>
      <c r="C85" s="441"/>
      <c r="D85" s="441"/>
      <c r="E85" s="442"/>
      <c r="F85" s="442"/>
      <c r="G85" s="443"/>
      <c r="H85" s="430"/>
      <c r="I85" s="444"/>
      <c r="J85" s="445"/>
      <c r="K85" s="445"/>
      <c r="L85" s="446"/>
      <c r="M85" s="445"/>
      <c r="N85" s="445"/>
      <c r="O85" s="446"/>
      <c r="P85" s="447"/>
      <c r="Q85" s="442"/>
      <c r="R85" s="442"/>
      <c r="S85" s="442"/>
      <c r="T85" s="442"/>
      <c r="U85" s="442"/>
      <c r="V85" s="442"/>
      <c r="W85" s="442" t="str">
        <f t="shared" si="2"/>
        <v/>
      </c>
      <c r="X85" s="446" t="str">
        <f t="shared" si="3"/>
        <v/>
      </c>
      <c r="Y85" s="448"/>
      <c r="Z85" s="449"/>
      <c r="AA85" s="449"/>
      <c r="AB85" s="446"/>
      <c r="AC85" s="450"/>
    </row>
    <row r="86" spans="2:29" ht="15.6" x14ac:dyDescent="0.3">
      <c r="B86" s="427"/>
      <c r="C86" s="451"/>
      <c r="D86" s="451"/>
      <c r="E86" s="452"/>
      <c r="F86" s="452"/>
      <c r="G86" s="453"/>
      <c r="H86" s="430"/>
      <c r="I86" s="454"/>
      <c r="J86" s="455"/>
      <c r="K86" s="455"/>
      <c r="L86" s="456"/>
      <c r="M86" s="455"/>
      <c r="N86" s="455"/>
      <c r="O86" s="456"/>
      <c r="P86" s="457"/>
      <c r="Q86" s="452"/>
      <c r="R86" s="452"/>
      <c r="S86" s="452"/>
      <c r="T86" s="452"/>
      <c r="U86" s="452"/>
      <c r="V86" s="452"/>
      <c r="W86" s="452" t="str">
        <f t="shared" si="2"/>
        <v/>
      </c>
      <c r="X86" s="456" t="str">
        <f t="shared" si="3"/>
        <v/>
      </c>
      <c r="Y86" s="458"/>
      <c r="Z86" s="459"/>
      <c r="AA86" s="459"/>
      <c r="AB86" s="456"/>
      <c r="AC86" s="460"/>
    </row>
    <row r="87" spans="2:29" ht="15.6" x14ac:dyDescent="0.3">
      <c r="B87" s="429"/>
      <c r="C87" s="441"/>
      <c r="D87" s="441"/>
      <c r="E87" s="442"/>
      <c r="F87" s="442"/>
      <c r="G87" s="443"/>
      <c r="H87" s="430"/>
      <c r="I87" s="444"/>
      <c r="J87" s="445"/>
      <c r="K87" s="445"/>
      <c r="L87" s="446"/>
      <c r="M87" s="445"/>
      <c r="N87" s="445"/>
      <c r="O87" s="446"/>
      <c r="P87" s="447"/>
      <c r="Q87" s="442"/>
      <c r="R87" s="442"/>
      <c r="S87" s="442"/>
      <c r="T87" s="442"/>
      <c r="U87" s="442"/>
      <c r="V87" s="442"/>
      <c r="W87" s="442" t="str">
        <f t="shared" si="2"/>
        <v/>
      </c>
      <c r="X87" s="446" t="str">
        <f t="shared" si="3"/>
        <v/>
      </c>
      <c r="Y87" s="448"/>
      <c r="Z87" s="449"/>
      <c r="AA87" s="449"/>
      <c r="AB87" s="446"/>
      <c r="AC87" s="450"/>
    </row>
    <row r="88" spans="2:29" ht="15.6" x14ac:dyDescent="0.3">
      <c r="B88" s="427"/>
      <c r="C88" s="451"/>
      <c r="D88" s="451"/>
      <c r="E88" s="452"/>
      <c r="F88" s="452"/>
      <c r="G88" s="453"/>
      <c r="H88" s="430"/>
      <c r="I88" s="454"/>
      <c r="J88" s="455"/>
      <c r="K88" s="455"/>
      <c r="L88" s="456"/>
      <c r="M88" s="455"/>
      <c r="N88" s="455"/>
      <c r="O88" s="456"/>
      <c r="P88" s="457"/>
      <c r="Q88" s="452"/>
      <c r="R88" s="452"/>
      <c r="S88" s="452"/>
      <c r="T88" s="452"/>
      <c r="U88" s="452"/>
      <c r="V88" s="452"/>
      <c r="W88" s="452" t="str">
        <f t="shared" si="2"/>
        <v/>
      </c>
      <c r="X88" s="456" t="str">
        <f t="shared" si="3"/>
        <v/>
      </c>
      <c r="Y88" s="458"/>
      <c r="Z88" s="459"/>
      <c r="AA88" s="459"/>
      <c r="AB88" s="456"/>
      <c r="AC88" s="460"/>
    </row>
    <row r="89" spans="2:29" ht="15.6" x14ac:dyDescent="0.3">
      <c r="B89" s="429"/>
      <c r="C89" s="441"/>
      <c r="D89" s="441"/>
      <c r="E89" s="442"/>
      <c r="F89" s="442"/>
      <c r="G89" s="443"/>
      <c r="H89" s="430"/>
      <c r="I89" s="444"/>
      <c r="J89" s="445"/>
      <c r="K89" s="445"/>
      <c r="L89" s="446"/>
      <c r="M89" s="445"/>
      <c r="N89" s="445"/>
      <c r="O89" s="446"/>
      <c r="P89" s="447"/>
      <c r="Q89" s="442"/>
      <c r="R89" s="442"/>
      <c r="S89" s="442"/>
      <c r="T89" s="442"/>
      <c r="U89" s="442"/>
      <c r="V89" s="442"/>
      <c r="W89" s="442" t="str">
        <f t="shared" si="2"/>
        <v/>
      </c>
      <c r="X89" s="446" t="str">
        <f t="shared" si="3"/>
        <v/>
      </c>
      <c r="Y89" s="448"/>
      <c r="Z89" s="449"/>
      <c r="AA89" s="449"/>
      <c r="AB89" s="446"/>
      <c r="AC89" s="450"/>
    </row>
    <row r="90" spans="2:29" ht="15.6" x14ac:dyDescent="0.3">
      <c r="B90" s="427"/>
      <c r="C90" s="451"/>
      <c r="D90" s="451"/>
      <c r="E90" s="452"/>
      <c r="F90" s="452"/>
      <c r="G90" s="453"/>
      <c r="H90" s="430"/>
      <c r="I90" s="454"/>
      <c r="J90" s="455"/>
      <c r="K90" s="455"/>
      <c r="L90" s="456"/>
      <c r="M90" s="455"/>
      <c r="N90" s="455"/>
      <c r="O90" s="456"/>
      <c r="P90" s="457"/>
      <c r="Q90" s="452"/>
      <c r="R90" s="452"/>
      <c r="S90" s="452"/>
      <c r="T90" s="452"/>
      <c r="U90" s="452"/>
      <c r="V90" s="452"/>
      <c r="W90" s="452" t="str">
        <f t="shared" si="2"/>
        <v/>
      </c>
      <c r="X90" s="456" t="str">
        <f t="shared" si="3"/>
        <v/>
      </c>
      <c r="Y90" s="458"/>
      <c r="Z90" s="459"/>
      <c r="AA90" s="459"/>
      <c r="AB90" s="456"/>
      <c r="AC90" s="460"/>
    </row>
    <row r="91" spans="2:29" ht="15.6" x14ac:dyDescent="0.3">
      <c r="B91" s="429"/>
      <c r="C91" s="441"/>
      <c r="D91" s="441"/>
      <c r="E91" s="442"/>
      <c r="F91" s="442"/>
      <c r="G91" s="443"/>
      <c r="H91" s="430"/>
      <c r="I91" s="444"/>
      <c r="J91" s="445"/>
      <c r="K91" s="445"/>
      <c r="L91" s="446"/>
      <c r="M91" s="445"/>
      <c r="N91" s="445"/>
      <c r="O91" s="446"/>
      <c r="P91" s="447"/>
      <c r="Q91" s="442"/>
      <c r="R91" s="442"/>
      <c r="S91" s="442"/>
      <c r="T91" s="442"/>
      <c r="U91" s="442"/>
      <c r="V91" s="442"/>
      <c r="W91" s="442" t="str">
        <f t="shared" si="2"/>
        <v/>
      </c>
      <c r="X91" s="446" t="str">
        <f t="shared" si="3"/>
        <v/>
      </c>
      <c r="Y91" s="448"/>
      <c r="Z91" s="449"/>
      <c r="AA91" s="449"/>
      <c r="AB91" s="446"/>
      <c r="AC91" s="450"/>
    </row>
    <row r="92" spans="2:29" ht="15.6" x14ac:dyDescent="0.3">
      <c r="B92" s="427"/>
      <c r="C92" s="451"/>
      <c r="D92" s="451"/>
      <c r="E92" s="452"/>
      <c r="F92" s="452"/>
      <c r="G92" s="453"/>
      <c r="H92" s="430"/>
      <c r="I92" s="454"/>
      <c r="J92" s="455"/>
      <c r="K92" s="455"/>
      <c r="L92" s="456"/>
      <c r="M92" s="455"/>
      <c r="N92" s="455"/>
      <c r="O92" s="456"/>
      <c r="P92" s="457"/>
      <c r="Q92" s="452"/>
      <c r="R92" s="452"/>
      <c r="S92" s="452"/>
      <c r="T92" s="452"/>
      <c r="U92" s="452"/>
      <c r="V92" s="452"/>
      <c r="W92" s="452" t="str">
        <f t="shared" si="2"/>
        <v/>
      </c>
      <c r="X92" s="456" t="str">
        <f t="shared" si="3"/>
        <v/>
      </c>
      <c r="Y92" s="458"/>
      <c r="Z92" s="459"/>
      <c r="AA92" s="459"/>
      <c r="AB92" s="456"/>
      <c r="AC92" s="460"/>
    </row>
    <row r="93" spans="2:29" ht="15.6" x14ac:dyDescent="0.3">
      <c r="B93" s="429"/>
      <c r="C93" s="441"/>
      <c r="D93" s="441"/>
      <c r="E93" s="442"/>
      <c r="F93" s="442"/>
      <c r="G93" s="443"/>
      <c r="H93" s="430"/>
      <c r="I93" s="444"/>
      <c r="J93" s="445"/>
      <c r="K93" s="445"/>
      <c r="L93" s="446"/>
      <c r="M93" s="445"/>
      <c r="N93" s="445"/>
      <c r="O93" s="446"/>
      <c r="P93" s="447"/>
      <c r="Q93" s="442"/>
      <c r="R93" s="442"/>
      <c r="S93" s="442"/>
      <c r="T93" s="442"/>
      <c r="U93" s="442"/>
      <c r="V93" s="442"/>
      <c r="W93" s="442" t="str">
        <f t="shared" si="2"/>
        <v/>
      </c>
      <c r="X93" s="446" t="str">
        <f t="shared" si="3"/>
        <v/>
      </c>
      <c r="Y93" s="448"/>
      <c r="Z93" s="449"/>
      <c r="AA93" s="449"/>
      <c r="AB93" s="446"/>
      <c r="AC93" s="450"/>
    </row>
    <row r="94" spans="2:29" ht="15.6" x14ac:dyDescent="0.3">
      <c r="B94" s="427"/>
      <c r="C94" s="451"/>
      <c r="D94" s="451"/>
      <c r="E94" s="452"/>
      <c r="F94" s="452"/>
      <c r="G94" s="453"/>
      <c r="H94" s="430"/>
      <c r="I94" s="454"/>
      <c r="J94" s="455"/>
      <c r="K94" s="455"/>
      <c r="L94" s="456"/>
      <c r="M94" s="455"/>
      <c r="N94" s="455"/>
      <c r="O94" s="456"/>
      <c r="P94" s="457"/>
      <c r="Q94" s="452"/>
      <c r="R94" s="452"/>
      <c r="S94" s="452"/>
      <c r="T94" s="452"/>
      <c r="U94" s="452"/>
      <c r="V94" s="452"/>
      <c r="W94" s="452" t="str">
        <f t="shared" si="2"/>
        <v/>
      </c>
      <c r="X94" s="456" t="str">
        <f t="shared" si="3"/>
        <v/>
      </c>
      <c r="Y94" s="458"/>
      <c r="Z94" s="459"/>
      <c r="AA94" s="459"/>
      <c r="AB94" s="456"/>
      <c r="AC94" s="460"/>
    </row>
    <row r="95" spans="2:29" ht="15.6" x14ac:dyDescent="0.3">
      <c r="B95" s="429"/>
      <c r="C95" s="441"/>
      <c r="D95" s="441"/>
      <c r="E95" s="442"/>
      <c r="F95" s="442"/>
      <c r="G95" s="443"/>
      <c r="H95" s="430"/>
      <c r="I95" s="444"/>
      <c r="J95" s="445"/>
      <c r="K95" s="445"/>
      <c r="L95" s="446"/>
      <c r="M95" s="445"/>
      <c r="N95" s="445"/>
      <c r="O95" s="446"/>
      <c r="P95" s="447"/>
      <c r="Q95" s="442"/>
      <c r="R95" s="442"/>
      <c r="S95" s="442"/>
      <c r="T95" s="442"/>
      <c r="U95" s="442"/>
      <c r="V95" s="442"/>
      <c r="W95" s="442" t="str">
        <f t="shared" si="2"/>
        <v/>
      </c>
      <c r="X95" s="446" t="str">
        <f t="shared" si="3"/>
        <v/>
      </c>
      <c r="Y95" s="448"/>
      <c r="Z95" s="449"/>
      <c r="AA95" s="449"/>
      <c r="AB95" s="446"/>
      <c r="AC95" s="450"/>
    </row>
    <row r="96" spans="2:29" ht="15.6" x14ac:dyDescent="0.3">
      <c r="B96" s="427"/>
      <c r="C96" s="451"/>
      <c r="D96" s="451"/>
      <c r="E96" s="452"/>
      <c r="F96" s="452"/>
      <c r="G96" s="453"/>
      <c r="H96" s="430"/>
      <c r="I96" s="454"/>
      <c r="J96" s="455"/>
      <c r="K96" s="455"/>
      <c r="L96" s="456"/>
      <c r="M96" s="455"/>
      <c r="N96" s="455"/>
      <c r="O96" s="456"/>
      <c r="P96" s="457"/>
      <c r="Q96" s="452"/>
      <c r="R96" s="452"/>
      <c r="S96" s="452"/>
      <c r="T96" s="452"/>
      <c r="U96" s="452"/>
      <c r="V96" s="452"/>
      <c r="W96" s="452" t="str">
        <f t="shared" si="2"/>
        <v/>
      </c>
      <c r="X96" s="456" t="str">
        <f t="shared" si="3"/>
        <v/>
      </c>
      <c r="Y96" s="458"/>
      <c r="Z96" s="459"/>
      <c r="AA96" s="459"/>
      <c r="AB96" s="456"/>
      <c r="AC96" s="460"/>
    </row>
    <row r="97" spans="1:29" ht="15.6" x14ac:dyDescent="0.3">
      <c r="B97" s="429"/>
      <c r="C97" s="441"/>
      <c r="D97" s="441"/>
      <c r="E97" s="442"/>
      <c r="F97" s="442"/>
      <c r="G97" s="443"/>
      <c r="H97" s="430"/>
      <c r="I97" s="444"/>
      <c r="J97" s="445"/>
      <c r="K97" s="445"/>
      <c r="L97" s="446"/>
      <c r="M97" s="445"/>
      <c r="N97" s="445"/>
      <c r="O97" s="446"/>
      <c r="P97" s="447"/>
      <c r="Q97" s="442"/>
      <c r="R97" s="442"/>
      <c r="S97" s="442"/>
      <c r="T97" s="442"/>
      <c r="U97" s="442"/>
      <c r="V97" s="442"/>
      <c r="W97" s="442" t="str">
        <f t="shared" si="2"/>
        <v/>
      </c>
      <c r="X97" s="446" t="str">
        <f t="shared" si="3"/>
        <v/>
      </c>
      <c r="Y97" s="448"/>
      <c r="Z97" s="449"/>
      <c r="AA97" s="449"/>
      <c r="AB97" s="446"/>
      <c r="AC97" s="450"/>
    </row>
    <row r="98" spans="1:29" ht="15.6" x14ac:dyDescent="0.3">
      <c r="B98" s="427"/>
      <c r="C98" s="451"/>
      <c r="D98" s="451"/>
      <c r="E98" s="452"/>
      <c r="F98" s="452"/>
      <c r="G98" s="453"/>
      <c r="H98" s="430"/>
      <c r="I98" s="454"/>
      <c r="J98" s="455"/>
      <c r="K98" s="455"/>
      <c r="L98" s="456"/>
      <c r="M98" s="455"/>
      <c r="N98" s="455"/>
      <c r="O98" s="456"/>
      <c r="P98" s="457"/>
      <c r="Q98" s="452"/>
      <c r="R98" s="452"/>
      <c r="S98" s="452"/>
      <c r="T98" s="452"/>
      <c r="U98" s="452"/>
      <c r="V98" s="452"/>
      <c r="W98" s="452" t="str">
        <f t="shared" si="2"/>
        <v/>
      </c>
      <c r="X98" s="456" t="str">
        <f t="shared" si="3"/>
        <v/>
      </c>
      <c r="Y98" s="458"/>
      <c r="Z98" s="459"/>
      <c r="AA98" s="459"/>
      <c r="AB98" s="456"/>
      <c r="AC98" s="460"/>
    </row>
    <row r="99" spans="1:29" ht="15.6" x14ac:dyDescent="0.3">
      <c r="B99" s="429"/>
      <c r="C99" s="441"/>
      <c r="D99" s="441"/>
      <c r="E99" s="442"/>
      <c r="F99" s="442"/>
      <c r="G99" s="443"/>
      <c r="H99" s="430"/>
      <c r="I99" s="444"/>
      <c r="J99" s="445"/>
      <c r="K99" s="445"/>
      <c r="L99" s="446"/>
      <c r="M99" s="445"/>
      <c r="N99" s="445"/>
      <c r="O99" s="446"/>
      <c r="P99" s="447"/>
      <c r="Q99" s="442"/>
      <c r="R99" s="442"/>
      <c r="S99" s="442"/>
      <c r="T99" s="442"/>
      <c r="U99" s="442"/>
      <c r="V99" s="442"/>
      <c r="W99" s="442" t="str">
        <f t="shared" si="2"/>
        <v/>
      </c>
      <c r="X99" s="446" t="str">
        <f t="shared" si="3"/>
        <v/>
      </c>
      <c r="Y99" s="448"/>
      <c r="Z99" s="449"/>
      <c r="AA99" s="449"/>
      <c r="AB99" s="446"/>
      <c r="AC99" s="450"/>
    </row>
    <row r="100" spans="1:29" ht="15.6" x14ac:dyDescent="0.3">
      <c r="B100" s="427"/>
      <c r="C100" s="451"/>
      <c r="D100" s="451"/>
      <c r="E100" s="452"/>
      <c r="F100" s="452"/>
      <c r="G100" s="453"/>
      <c r="H100" s="430"/>
      <c r="I100" s="454"/>
      <c r="J100" s="455"/>
      <c r="K100" s="455"/>
      <c r="L100" s="456"/>
      <c r="M100" s="455"/>
      <c r="N100" s="455"/>
      <c r="O100" s="456"/>
      <c r="P100" s="457"/>
      <c r="Q100" s="452"/>
      <c r="R100" s="452"/>
      <c r="S100" s="452"/>
      <c r="T100" s="452"/>
      <c r="U100" s="452"/>
      <c r="V100" s="452"/>
      <c r="W100" s="452" t="str">
        <f t="shared" si="2"/>
        <v/>
      </c>
      <c r="X100" s="456" t="str">
        <f t="shared" si="3"/>
        <v/>
      </c>
      <c r="Y100" s="458"/>
      <c r="Z100" s="459"/>
      <c r="AA100" s="459"/>
      <c r="AB100" s="456"/>
      <c r="AC100" s="460"/>
    </row>
    <row r="101" spans="1:29" s="11" customFormat="1" ht="15.6" x14ac:dyDescent="0.3">
      <c r="A101" s="3"/>
      <c r="B101" s="429"/>
      <c r="C101" s="441"/>
      <c r="D101" s="441"/>
      <c r="E101" s="442"/>
      <c r="F101" s="442"/>
      <c r="G101" s="443"/>
      <c r="H101" s="430"/>
      <c r="I101" s="444"/>
      <c r="J101" s="445"/>
      <c r="K101" s="445"/>
      <c r="L101" s="446"/>
      <c r="M101" s="445"/>
      <c r="N101" s="445"/>
      <c r="O101" s="446"/>
      <c r="P101" s="447"/>
      <c r="Q101" s="442"/>
      <c r="R101" s="442"/>
      <c r="S101" s="442"/>
      <c r="T101" s="442"/>
      <c r="U101" s="442"/>
      <c r="V101" s="442"/>
      <c r="W101" s="442" t="str">
        <f t="shared" si="2"/>
        <v/>
      </c>
      <c r="X101" s="446" t="str">
        <f t="shared" si="3"/>
        <v/>
      </c>
      <c r="Y101" s="448"/>
      <c r="Z101" s="449"/>
      <c r="AA101" s="449"/>
      <c r="AB101" s="446"/>
      <c r="AC101" s="450"/>
    </row>
    <row r="102" spans="1:29" s="11" customFormat="1" ht="15.6" x14ac:dyDescent="0.3">
      <c r="A102" s="3"/>
      <c r="B102" s="427"/>
      <c r="C102" s="451"/>
      <c r="D102" s="451"/>
      <c r="E102" s="452"/>
      <c r="F102" s="452"/>
      <c r="G102" s="453"/>
      <c r="H102" s="430"/>
      <c r="I102" s="454"/>
      <c r="J102" s="455"/>
      <c r="K102" s="455"/>
      <c r="L102" s="456"/>
      <c r="M102" s="455"/>
      <c r="N102" s="455"/>
      <c r="O102" s="456"/>
      <c r="P102" s="457"/>
      <c r="Q102" s="452"/>
      <c r="R102" s="452"/>
      <c r="S102" s="452"/>
      <c r="T102" s="452"/>
      <c r="U102" s="452"/>
      <c r="V102" s="452"/>
      <c r="W102" s="452" t="str">
        <f t="shared" si="2"/>
        <v/>
      </c>
      <c r="X102" s="456" t="str">
        <f t="shared" si="3"/>
        <v/>
      </c>
      <c r="Y102" s="458"/>
      <c r="Z102" s="459"/>
      <c r="AA102" s="459"/>
      <c r="AB102" s="456"/>
      <c r="AC102" s="460"/>
    </row>
    <row r="103" spans="1:29" s="11" customFormat="1" ht="15.6" x14ac:dyDescent="0.3">
      <c r="A103" s="3"/>
      <c r="B103" s="429"/>
      <c r="C103" s="441"/>
      <c r="D103" s="441"/>
      <c r="E103" s="442"/>
      <c r="F103" s="442"/>
      <c r="G103" s="443"/>
      <c r="H103" s="430"/>
      <c r="I103" s="444"/>
      <c r="J103" s="445"/>
      <c r="K103" s="445"/>
      <c r="L103" s="446"/>
      <c r="M103" s="445"/>
      <c r="N103" s="445"/>
      <c r="O103" s="446"/>
      <c r="P103" s="447"/>
      <c r="Q103" s="442"/>
      <c r="R103" s="442"/>
      <c r="S103" s="442"/>
      <c r="T103" s="442"/>
      <c r="U103" s="442"/>
      <c r="V103" s="442"/>
      <c r="W103" s="442" t="str">
        <f t="shared" si="2"/>
        <v/>
      </c>
      <c r="X103" s="446" t="str">
        <f t="shared" si="3"/>
        <v/>
      </c>
      <c r="Y103" s="448"/>
      <c r="Z103" s="449"/>
      <c r="AA103" s="449"/>
      <c r="AB103" s="446"/>
      <c r="AC103" s="450"/>
    </row>
    <row r="104" spans="1:29" s="11" customFormat="1" ht="15.6" x14ac:dyDescent="0.3">
      <c r="A104" s="3"/>
      <c r="B104" s="427"/>
      <c r="C104" s="451"/>
      <c r="D104" s="451"/>
      <c r="E104" s="452"/>
      <c r="F104" s="452"/>
      <c r="G104" s="453"/>
      <c r="H104" s="430"/>
      <c r="I104" s="454"/>
      <c r="J104" s="455"/>
      <c r="K104" s="455"/>
      <c r="L104" s="456"/>
      <c r="M104" s="455"/>
      <c r="N104" s="455"/>
      <c r="O104" s="456"/>
      <c r="P104" s="457"/>
      <c r="Q104" s="452"/>
      <c r="R104" s="452"/>
      <c r="S104" s="452"/>
      <c r="T104" s="452"/>
      <c r="U104" s="452"/>
      <c r="V104" s="452"/>
      <c r="W104" s="452" t="str">
        <f t="shared" si="2"/>
        <v/>
      </c>
      <c r="X104" s="456" t="str">
        <f t="shared" si="3"/>
        <v/>
      </c>
      <c r="Y104" s="458"/>
      <c r="Z104" s="459"/>
      <c r="AA104" s="459"/>
      <c r="AB104" s="456"/>
      <c r="AC104" s="460"/>
    </row>
    <row r="105" spans="1:29" s="11" customFormat="1" ht="15.6" x14ac:dyDescent="0.3">
      <c r="A105" s="3"/>
      <c r="B105" s="429"/>
      <c r="C105" s="441"/>
      <c r="D105" s="441"/>
      <c r="E105" s="442"/>
      <c r="F105" s="442"/>
      <c r="G105" s="443"/>
      <c r="H105" s="430"/>
      <c r="I105" s="444"/>
      <c r="J105" s="445"/>
      <c r="K105" s="445"/>
      <c r="L105" s="446"/>
      <c r="M105" s="445"/>
      <c r="N105" s="445"/>
      <c r="O105" s="446"/>
      <c r="P105" s="447"/>
      <c r="Q105" s="442"/>
      <c r="R105" s="442"/>
      <c r="S105" s="442"/>
      <c r="T105" s="442"/>
      <c r="U105" s="442"/>
      <c r="V105" s="442"/>
      <c r="W105" s="442" t="str">
        <f t="shared" si="2"/>
        <v/>
      </c>
      <c r="X105" s="446" t="str">
        <f t="shared" si="3"/>
        <v/>
      </c>
      <c r="Y105" s="448"/>
      <c r="Z105" s="449"/>
      <c r="AA105" s="449"/>
      <c r="AB105" s="446"/>
      <c r="AC105" s="450"/>
    </row>
    <row r="106" spans="1:29" s="11" customFormat="1" ht="15.6" x14ac:dyDescent="0.3">
      <c r="A106" s="3"/>
      <c r="B106" s="427"/>
      <c r="C106" s="451"/>
      <c r="D106" s="451"/>
      <c r="E106" s="452"/>
      <c r="F106" s="452"/>
      <c r="G106" s="453"/>
      <c r="H106" s="430"/>
      <c r="I106" s="454"/>
      <c r="J106" s="455"/>
      <c r="K106" s="455"/>
      <c r="L106" s="456"/>
      <c r="M106" s="455"/>
      <c r="N106" s="455"/>
      <c r="O106" s="456"/>
      <c r="P106" s="457"/>
      <c r="Q106" s="452"/>
      <c r="R106" s="452"/>
      <c r="S106" s="452"/>
      <c r="T106" s="452"/>
      <c r="U106" s="452"/>
      <c r="V106" s="452"/>
      <c r="W106" s="452" t="str">
        <f t="shared" si="2"/>
        <v/>
      </c>
      <c r="X106" s="456" t="str">
        <f t="shared" si="3"/>
        <v/>
      </c>
      <c r="Y106" s="458"/>
      <c r="Z106" s="459"/>
      <c r="AA106" s="459"/>
      <c r="AB106" s="456"/>
      <c r="AC106" s="460"/>
    </row>
    <row r="107" spans="1:29" s="11" customFormat="1" ht="15.6" x14ac:dyDescent="0.3">
      <c r="A107" s="3"/>
      <c r="B107" s="429"/>
      <c r="C107" s="441"/>
      <c r="D107" s="441"/>
      <c r="E107" s="442"/>
      <c r="F107" s="442"/>
      <c r="G107" s="443"/>
      <c r="H107" s="430"/>
      <c r="I107" s="444"/>
      <c r="J107" s="445"/>
      <c r="K107" s="445"/>
      <c r="L107" s="446"/>
      <c r="M107" s="445"/>
      <c r="N107" s="445"/>
      <c r="O107" s="446"/>
      <c r="P107" s="447"/>
      <c r="Q107" s="442"/>
      <c r="R107" s="442"/>
      <c r="S107" s="442"/>
      <c r="T107" s="442"/>
      <c r="U107" s="442"/>
      <c r="V107" s="442"/>
      <c r="W107" s="442" t="str">
        <f t="shared" si="2"/>
        <v/>
      </c>
      <c r="X107" s="446" t="str">
        <f t="shared" si="3"/>
        <v/>
      </c>
      <c r="Y107" s="448"/>
      <c r="Z107" s="449"/>
      <c r="AA107" s="449"/>
      <c r="AB107" s="446"/>
      <c r="AC107" s="450"/>
    </row>
    <row r="108" spans="1:29" s="11" customFormat="1" ht="15.6" x14ac:dyDescent="0.3">
      <c r="A108" s="3"/>
      <c r="B108" s="427"/>
      <c r="C108" s="451"/>
      <c r="D108" s="451"/>
      <c r="E108" s="452"/>
      <c r="F108" s="452"/>
      <c r="G108" s="453"/>
      <c r="H108" s="430"/>
      <c r="I108" s="454"/>
      <c r="J108" s="455"/>
      <c r="K108" s="455"/>
      <c r="L108" s="456"/>
      <c r="M108" s="455"/>
      <c r="N108" s="455"/>
      <c r="O108" s="456"/>
      <c r="P108" s="457"/>
      <c r="Q108" s="452"/>
      <c r="R108" s="452"/>
      <c r="S108" s="452"/>
      <c r="T108" s="452"/>
      <c r="U108" s="452"/>
      <c r="V108" s="452"/>
      <c r="W108" s="452" t="str">
        <f t="shared" si="2"/>
        <v/>
      </c>
      <c r="X108" s="456" t="str">
        <f t="shared" si="3"/>
        <v/>
      </c>
      <c r="Y108" s="458"/>
      <c r="Z108" s="459"/>
      <c r="AA108" s="459"/>
      <c r="AB108" s="456"/>
      <c r="AC108" s="460"/>
    </row>
    <row r="109" spans="1:29" s="11" customFormat="1" ht="15.6" x14ac:dyDescent="0.3">
      <c r="A109" s="3"/>
      <c r="B109" s="429"/>
      <c r="C109" s="441"/>
      <c r="D109" s="441"/>
      <c r="E109" s="442"/>
      <c r="F109" s="442"/>
      <c r="G109" s="443"/>
      <c r="H109" s="430"/>
      <c r="I109" s="444"/>
      <c r="J109" s="445"/>
      <c r="K109" s="445"/>
      <c r="L109" s="446"/>
      <c r="M109" s="445"/>
      <c r="N109" s="445"/>
      <c r="O109" s="446"/>
      <c r="P109" s="447"/>
      <c r="Q109" s="442"/>
      <c r="R109" s="442"/>
      <c r="S109" s="442"/>
      <c r="T109" s="442"/>
      <c r="U109" s="442"/>
      <c r="V109" s="442"/>
      <c r="W109" s="442" t="str">
        <f t="shared" si="2"/>
        <v/>
      </c>
      <c r="X109" s="446" t="str">
        <f t="shared" si="3"/>
        <v/>
      </c>
      <c r="Y109" s="448"/>
      <c r="Z109" s="449"/>
      <c r="AA109" s="449"/>
      <c r="AB109" s="446"/>
      <c r="AC109" s="450"/>
    </row>
    <row r="110" spans="1:29" s="11" customFormat="1" ht="15.6" x14ac:dyDescent="0.3">
      <c r="A110" s="3"/>
      <c r="B110" s="427"/>
      <c r="C110" s="451"/>
      <c r="D110" s="451"/>
      <c r="E110" s="452"/>
      <c r="F110" s="452"/>
      <c r="G110" s="453"/>
      <c r="H110" s="430"/>
      <c r="I110" s="454"/>
      <c r="J110" s="455"/>
      <c r="K110" s="455"/>
      <c r="L110" s="456"/>
      <c r="M110" s="455"/>
      <c r="N110" s="455"/>
      <c r="O110" s="456"/>
      <c r="P110" s="457"/>
      <c r="Q110" s="452"/>
      <c r="R110" s="452"/>
      <c r="S110" s="452"/>
      <c r="T110" s="452"/>
      <c r="U110" s="452"/>
      <c r="V110" s="452"/>
      <c r="W110" s="452" t="str">
        <f t="shared" si="2"/>
        <v/>
      </c>
      <c r="X110" s="456" t="str">
        <f t="shared" si="3"/>
        <v/>
      </c>
      <c r="Y110" s="458"/>
      <c r="Z110" s="459"/>
      <c r="AA110" s="459"/>
      <c r="AB110" s="456"/>
      <c r="AC110" s="460"/>
    </row>
    <row r="111" spans="1:29" s="11" customFormat="1" ht="15.6" x14ac:dyDescent="0.3">
      <c r="A111" s="3"/>
      <c r="B111" s="429"/>
      <c r="C111" s="441"/>
      <c r="D111" s="441"/>
      <c r="E111" s="442"/>
      <c r="F111" s="442"/>
      <c r="G111" s="443"/>
      <c r="H111" s="430"/>
      <c r="I111" s="444"/>
      <c r="J111" s="445"/>
      <c r="K111" s="445"/>
      <c r="L111" s="446"/>
      <c r="M111" s="445"/>
      <c r="N111" s="445"/>
      <c r="O111" s="446"/>
      <c r="P111" s="447"/>
      <c r="Q111" s="442"/>
      <c r="R111" s="442"/>
      <c r="S111" s="442"/>
      <c r="T111" s="442"/>
      <c r="U111" s="442"/>
      <c r="V111" s="442"/>
      <c r="W111" s="442" t="str">
        <f t="shared" si="2"/>
        <v/>
      </c>
      <c r="X111" s="446" t="str">
        <f t="shared" si="3"/>
        <v/>
      </c>
      <c r="Y111" s="448"/>
      <c r="Z111" s="449"/>
      <c r="AA111" s="449"/>
      <c r="AB111" s="446"/>
      <c r="AC111" s="450"/>
    </row>
    <row r="112" spans="1:29" s="11" customFormat="1" ht="15.6" x14ac:dyDescent="0.3">
      <c r="A112" s="3"/>
      <c r="B112" s="427"/>
      <c r="C112" s="451"/>
      <c r="D112" s="451"/>
      <c r="E112" s="452"/>
      <c r="F112" s="452"/>
      <c r="G112" s="453"/>
      <c r="H112" s="430"/>
      <c r="I112" s="454"/>
      <c r="J112" s="455"/>
      <c r="K112" s="455"/>
      <c r="L112" s="456"/>
      <c r="M112" s="455"/>
      <c r="N112" s="455"/>
      <c r="O112" s="456"/>
      <c r="P112" s="457"/>
      <c r="Q112" s="452"/>
      <c r="R112" s="452"/>
      <c r="S112" s="452"/>
      <c r="T112" s="452"/>
      <c r="U112" s="452"/>
      <c r="V112" s="452"/>
      <c r="W112" s="452" t="str">
        <f t="shared" si="2"/>
        <v/>
      </c>
      <c r="X112" s="456" t="str">
        <f t="shared" si="3"/>
        <v/>
      </c>
      <c r="Y112" s="458"/>
      <c r="Z112" s="459"/>
      <c r="AA112" s="459"/>
      <c r="AB112" s="456"/>
      <c r="AC112" s="460"/>
    </row>
    <row r="113" spans="1:29" s="11" customFormat="1" ht="15.6" x14ac:dyDescent="0.3">
      <c r="A113" s="3"/>
      <c r="B113" s="429"/>
      <c r="C113" s="441"/>
      <c r="D113" s="441"/>
      <c r="E113" s="442"/>
      <c r="F113" s="442"/>
      <c r="G113" s="443"/>
      <c r="H113" s="430"/>
      <c r="I113" s="444"/>
      <c r="J113" s="445"/>
      <c r="K113" s="445"/>
      <c r="L113" s="446"/>
      <c r="M113" s="445"/>
      <c r="N113" s="445"/>
      <c r="O113" s="446"/>
      <c r="P113" s="447"/>
      <c r="Q113" s="442"/>
      <c r="R113" s="442"/>
      <c r="S113" s="442"/>
      <c r="T113" s="442"/>
      <c r="U113" s="442"/>
      <c r="V113" s="442"/>
      <c r="W113" s="442" t="str">
        <f t="shared" si="2"/>
        <v/>
      </c>
      <c r="X113" s="446" t="str">
        <f t="shared" si="3"/>
        <v/>
      </c>
      <c r="Y113" s="448"/>
      <c r="Z113" s="449"/>
      <c r="AA113" s="449"/>
      <c r="AB113" s="446"/>
      <c r="AC113" s="450"/>
    </row>
    <row r="114" spans="1:29" s="11" customFormat="1" ht="15.6" x14ac:dyDescent="0.3">
      <c r="A114" s="3"/>
      <c r="B114" s="427"/>
      <c r="C114" s="451"/>
      <c r="D114" s="451"/>
      <c r="E114" s="452"/>
      <c r="F114" s="452"/>
      <c r="G114" s="453"/>
      <c r="H114" s="430"/>
      <c r="I114" s="454"/>
      <c r="J114" s="455"/>
      <c r="K114" s="455"/>
      <c r="L114" s="456"/>
      <c r="M114" s="455"/>
      <c r="N114" s="455"/>
      <c r="O114" s="456"/>
      <c r="P114" s="457"/>
      <c r="Q114" s="452"/>
      <c r="R114" s="452"/>
      <c r="S114" s="452"/>
      <c r="T114" s="452"/>
      <c r="U114" s="452"/>
      <c r="V114" s="452"/>
      <c r="W114" s="452" t="str">
        <f t="shared" si="2"/>
        <v/>
      </c>
      <c r="X114" s="456" t="str">
        <f t="shared" si="3"/>
        <v/>
      </c>
      <c r="Y114" s="458"/>
      <c r="Z114" s="459"/>
      <c r="AA114" s="459"/>
      <c r="AB114" s="456"/>
      <c r="AC114" s="460"/>
    </row>
    <row r="115" spans="1:29" s="11" customFormat="1" ht="15.6" x14ac:dyDescent="0.3">
      <c r="A115" s="3"/>
      <c r="B115" s="429"/>
      <c r="C115" s="441"/>
      <c r="D115" s="441"/>
      <c r="E115" s="442"/>
      <c r="F115" s="442"/>
      <c r="G115" s="443"/>
      <c r="H115" s="430"/>
      <c r="I115" s="444"/>
      <c r="J115" s="445"/>
      <c r="K115" s="445"/>
      <c r="L115" s="446"/>
      <c r="M115" s="445"/>
      <c r="N115" s="445"/>
      <c r="O115" s="446"/>
      <c r="P115" s="447"/>
      <c r="Q115" s="442"/>
      <c r="R115" s="442"/>
      <c r="S115" s="442"/>
      <c r="T115" s="442"/>
      <c r="U115" s="442"/>
      <c r="V115" s="442"/>
      <c r="W115" s="442" t="str">
        <f t="shared" si="2"/>
        <v/>
      </c>
      <c r="X115" s="446" t="str">
        <f t="shared" si="3"/>
        <v/>
      </c>
      <c r="Y115" s="448"/>
      <c r="Z115" s="449"/>
      <c r="AA115" s="449"/>
      <c r="AB115" s="446"/>
      <c r="AC115" s="450"/>
    </row>
    <row r="116" spans="1:29" s="11" customFormat="1" ht="15.6" x14ac:dyDescent="0.3">
      <c r="A116" s="3"/>
      <c r="B116" s="428"/>
      <c r="C116" s="461"/>
      <c r="D116" s="461"/>
      <c r="E116" s="462"/>
      <c r="F116" s="462"/>
      <c r="G116" s="463"/>
      <c r="H116" s="464"/>
      <c r="I116" s="465"/>
      <c r="J116" s="466"/>
      <c r="K116" s="466"/>
      <c r="L116" s="467"/>
      <c r="M116" s="466"/>
      <c r="N116" s="466"/>
      <c r="O116" s="467"/>
      <c r="P116" s="468"/>
      <c r="Q116" s="462"/>
      <c r="R116" s="462"/>
      <c r="S116" s="462"/>
      <c r="T116" s="462"/>
      <c r="U116" s="462"/>
      <c r="V116" s="462"/>
      <c r="W116" s="462" t="str">
        <f t="shared" si="2"/>
        <v/>
      </c>
      <c r="X116" s="467" t="str">
        <f t="shared" si="3"/>
        <v/>
      </c>
      <c r="Y116" s="469"/>
      <c r="Z116" s="470"/>
      <c r="AA116" s="470"/>
      <c r="AB116" s="467"/>
      <c r="AC116" s="471"/>
    </row>
    <row r="117" spans="1:29" s="11" customFormat="1" x14ac:dyDescent="0.3">
      <c r="A117" s="3"/>
      <c r="B117" s="38"/>
      <c r="C117" s="73"/>
      <c r="D117" s="73"/>
      <c r="E117" s="70"/>
      <c r="F117" s="70"/>
      <c r="G117" s="74"/>
      <c r="H117"/>
      <c r="I117" s="26"/>
      <c r="J117" s="26"/>
      <c r="K117" s="26"/>
      <c r="L117" s="27"/>
      <c r="M117" s="26"/>
      <c r="N117" s="26"/>
      <c r="O117" s="27"/>
      <c r="P117" s="25"/>
      <c r="Q117" s="70"/>
      <c r="R117" s="70"/>
      <c r="S117" s="70"/>
      <c r="T117" s="70"/>
      <c r="U117" s="70"/>
      <c r="V117" s="70"/>
      <c r="W117" s="70" t="str">
        <f t="shared" si="2"/>
        <v/>
      </c>
      <c r="X117" s="27" t="str">
        <f t="shared" si="3"/>
        <v/>
      </c>
      <c r="Y117" s="71"/>
      <c r="Z117" s="28"/>
      <c r="AA117" s="28"/>
      <c r="AB117" s="27"/>
      <c r="AC117" s="28"/>
    </row>
    <row r="118" spans="1:29" s="11" customFormat="1" x14ac:dyDescent="0.3">
      <c r="A118" s="3"/>
      <c r="B118" s="39"/>
      <c r="C118" s="5"/>
      <c r="D118" s="5"/>
      <c r="E118" s="5"/>
      <c r="F118" s="5"/>
      <c r="G118" s="29"/>
      <c r="H118"/>
      <c r="I118" s="7"/>
      <c r="J118" s="7"/>
      <c r="K118" s="7"/>
      <c r="L118" s="8"/>
      <c r="M118" s="7"/>
      <c r="N118" s="7"/>
      <c r="O118" s="8"/>
      <c r="P118" s="6"/>
      <c r="Q118" s="5"/>
      <c r="R118" s="5"/>
      <c r="S118" s="5"/>
      <c r="T118" s="5"/>
      <c r="U118" s="5"/>
      <c r="V118" s="5"/>
      <c r="W118" s="5" t="str">
        <f t="shared" si="2"/>
        <v/>
      </c>
      <c r="X118" s="8" t="str">
        <f t="shared" si="3"/>
        <v/>
      </c>
      <c r="Y118" s="9"/>
      <c r="Z118" s="10"/>
      <c r="AA118" s="10"/>
      <c r="AB118" s="8"/>
      <c r="AC118" s="10"/>
    </row>
    <row r="119" spans="1:29" s="11" customFormat="1" x14ac:dyDescent="0.3">
      <c r="A119" s="3"/>
      <c r="B119" s="39"/>
      <c r="C119" s="5"/>
      <c r="D119" s="5"/>
      <c r="E119" s="5"/>
      <c r="F119" s="5"/>
      <c r="G119" s="29"/>
      <c r="H119"/>
      <c r="I119" s="7"/>
      <c r="J119" s="7"/>
      <c r="K119" s="7"/>
      <c r="L119" s="8"/>
      <c r="M119" s="7"/>
      <c r="N119" s="7"/>
      <c r="O119" s="8"/>
      <c r="P119" s="6"/>
      <c r="Q119" s="5"/>
      <c r="R119" s="5"/>
      <c r="S119" s="5"/>
      <c r="T119" s="5"/>
      <c r="U119" s="5"/>
      <c r="V119" s="5"/>
      <c r="W119" s="5" t="str">
        <f t="shared" si="2"/>
        <v/>
      </c>
      <c r="X119" s="8" t="str">
        <f t="shared" si="3"/>
        <v/>
      </c>
      <c r="Y119" s="9"/>
      <c r="Z119" s="10"/>
      <c r="AA119" s="10"/>
      <c r="AB119" s="8"/>
      <c r="AC119" s="10"/>
    </row>
    <row r="120" spans="1:29" s="11" customFormat="1" x14ac:dyDescent="0.3">
      <c r="A120" s="3"/>
      <c r="B120" s="39"/>
      <c r="C120" s="5"/>
      <c r="D120" s="5"/>
      <c r="E120" s="5"/>
      <c r="F120" s="5"/>
      <c r="G120" s="29"/>
      <c r="H120"/>
      <c r="I120" s="7"/>
      <c r="J120" s="7"/>
      <c r="K120" s="7"/>
      <c r="L120" s="8"/>
      <c r="M120" s="7"/>
      <c r="N120" s="7"/>
      <c r="O120" s="8"/>
      <c r="P120" s="6"/>
      <c r="Q120" s="5"/>
      <c r="R120" s="5"/>
      <c r="S120" s="5"/>
      <c r="T120" s="5"/>
      <c r="U120" s="5"/>
      <c r="V120" s="5"/>
      <c r="W120" s="5" t="str">
        <f t="shared" si="2"/>
        <v/>
      </c>
      <c r="X120" s="8" t="str">
        <f t="shared" si="3"/>
        <v/>
      </c>
      <c r="Y120" s="9"/>
      <c r="Z120" s="10"/>
      <c r="AA120" s="10"/>
      <c r="AB120" s="8"/>
      <c r="AC120" s="10"/>
    </row>
    <row r="121" spans="1:29" s="11" customFormat="1" x14ac:dyDescent="0.3">
      <c r="A121" s="3"/>
      <c r="B121" s="39"/>
      <c r="C121" s="5"/>
      <c r="D121" s="5"/>
      <c r="E121" s="5"/>
      <c r="F121" s="5"/>
      <c r="G121" s="29"/>
      <c r="H121"/>
      <c r="I121" s="7"/>
      <c r="J121" s="7"/>
      <c r="K121" s="7"/>
      <c r="L121" s="8"/>
      <c r="M121" s="7"/>
      <c r="N121" s="7"/>
      <c r="O121" s="8"/>
      <c r="P121" s="6"/>
      <c r="Q121" s="5"/>
      <c r="R121" s="5"/>
      <c r="S121" s="5"/>
      <c r="T121" s="5"/>
      <c r="U121" s="5"/>
      <c r="V121" s="5"/>
      <c r="W121" s="5" t="str">
        <f t="shared" si="2"/>
        <v/>
      </c>
      <c r="X121" s="8" t="str">
        <f t="shared" si="3"/>
        <v/>
      </c>
      <c r="Y121" s="9"/>
      <c r="Z121" s="10"/>
      <c r="AA121" s="10"/>
      <c r="AB121" s="8"/>
      <c r="AC121" s="10"/>
    </row>
    <row r="122" spans="1:29" s="11" customFormat="1" x14ac:dyDescent="0.3">
      <c r="A122" s="3"/>
      <c r="B122" s="39"/>
      <c r="C122" s="5"/>
      <c r="D122" s="5"/>
      <c r="E122" s="5"/>
      <c r="F122" s="5"/>
      <c r="G122" s="29"/>
      <c r="H122"/>
      <c r="I122" s="7"/>
      <c r="J122" s="7"/>
      <c r="K122" s="7"/>
      <c r="L122" s="8"/>
      <c r="M122" s="7"/>
      <c r="N122" s="7"/>
      <c r="O122" s="8"/>
      <c r="P122" s="6"/>
      <c r="Q122" s="5"/>
      <c r="R122" s="5"/>
      <c r="S122" s="5"/>
      <c r="T122" s="5"/>
      <c r="U122" s="5"/>
      <c r="V122" s="5"/>
      <c r="W122" s="5" t="str">
        <f t="shared" si="2"/>
        <v/>
      </c>
      <c r="X122" s="8" t="str">
        <f t="shared" si="3"/>
        <v/>
      </c>
      <c r="Y122" s="9"/>
      <c r="Z122" s="10"/>
      <c r="AA122" s="10"/>
      <c r="AB122" s="8"/>
      <c r="AC122" s="10"/>
    </row>
    <row r="123" spans="1:29" s="11" customFormat="1" x14ac:dyDescent="0.3">
      <c r="A123" s="3"/>
      <c r="B123" s="39"/>
      <c r="C123" s="5"/>
      <c r="D123" s="5"/>
      <c r="E123" s="5"/>
      <c r="F123" s="5"/>
      <c r="G123" s="29"/>
      <c r="H123"/>
      <c r="I123" s="7"/>
      <c r="J123" s="7"/>
      <c r="K123" s="7"/>
      <c r="L123" s="8"/>
      <c r="M123" s="7"/>
      <c r="N123" s="7"/>
      <c r="O123" s="8"/>
      <c r="P123" s="6"/>
      <c r="Q123" s="5"/>
      <c r="R123" s="5"/>
      <c r="S123" s="5"/>
      <c r="T123" s="5"/>
      <c r="U123" s="5"/>
      <c r="V123" s="5"/>
      <c r="W123" s="5" t="str">
        <f t="shared" si="2"/>
        <v/>
      </c>
      <c r="X123" s="8" t="str">
        <f t="shared" si="3"/>
        <v/>
      </c>
      <c r="Y123" s="9"/>
      <c r="Z123" s="10"/>
      <c r="AA123" s="10"/>
      <c r="AB123" s="8"/>
      <c r="AC123" s="10"/>
    </row>
    <row r="124" spans="1:29" s="11" customFormat="1" x14ac:dyDescent="0.3">
      <c r="A124" s="3"/>
      <c r="B124" s="39"/>
      <c r="C124" s="5"/>
      <c r="D124" s="5"/>
      <c r="E124" s="5"/>
      <c r="F124" s="5"/>
      <c r="G124" s="29"/>
      <c r="H124"/>
      <c r="I124" s="7"/>
      <c r="J124" s="7"/>
      <c r="K124" s="7"/>
      <c r="L124" s="8"/>
      <c r="M124" s="7"/>
      <c r="N124" s="7"/>
      <c r="O124" s="8"/>
      <c r="P124" s="6"/>
      <c r="Q124" s="5"/>
      <c r="R124" s="5"/>
      <c r="S124" s="5"/>
      <c r="T124" s="5"/>
      <c r="U124" s="5"/>
      <c r="V124" s="5"/>
      <c r="W124" s="5" t="str">
        <f t="shared" si="2"/>
        <v/>
      </c>
      <c r="X124" s="8" t="str">
        <f t="shared" si="3"/>
        <v/>
      </c>
      <c r="Y124" s="9"/>
      <c r="Z124" s="10"/>
      <c r="AA124" s="10"/>
      <c r="AB124" s="8"/>
      <c r="AC124" s="10"/>
    </row>
    <row r="125" spans="1:29" s="11" customFormat="1" x14ac:dyDescent="0.3">
      <c r="A125" s="3"/>
      <c r="B125" s="39"/>
      <c r="C125" s="5"/>
      <c r="D125" s="5"/>
      <c r="E125" s="5"/>
      <c r="F125" s="5"/>
      <c r="G125" s="29"/>
      <c r="H125"/>
      <c r="I125" s="7"/>
      <c r="J125" s="7"/>
      <c r="K125" s="7"/>
      <c r="L125" s="8"/>
      <c r="M125" s="7"/>
      <c r="N125" s="7"/>
      <c r="O125" s="8"/>
      <c r="P125" s="6"/>
      <c r="Q125" s="5"/>
      <c r="R125" s="5"/>
      <c r="S125" s="5"/>
      <c r="T125" s="5"/>
      <c r="U125" s="5"/>
      <c r="V125" s="5"/>
      <c r="W125" s="5" t="str">
        <f t="shared" si="2"/>
        <v/>
      </c>
      <c r="X125" s="8" t="str">
        <f t="shared" si="3"/>
        <v/>
      </c>
      <c r="Y125" s="9"/>
      <c r="Z125" s="10"/>
      <c r="AA125" s="10"/>
      <c r="AB125" s="8"/>
      <c r="AC125" s="10"/>
    </row>
    <row r="126" spans="1:29" s="11" customFormat="1" x14ac:dyDescent="0.3">
      <c r="A126" s="3"/>
      <c r="B126" s="39"/>
      <c r="C126" s="5"/>
      <c r="D126" s="5"/>
      <c r="E126" s="5"/>
      <c r="F126" s="5"/>
      <c r="G126" s="29"/>
      <c r="H126"/>
      <c r="I126" s="7"/>
      <c r="J126" s="7"/>
      <c r="K126" s="7"/>
      <c r="L126" s="8"/>
      <c r="M126" s="7"/>
      <c r="N126" s="7"/>
      <c r="O126" s="8"/>
      <c r="P126" s="6"/>
      <c r="Q126" s="5"/>
      <c r="R126" s="5"/>
      <c r="S126" s="5"/>
      <c r="T126" s="5"/>
      <c r="U126" s="5"/>
      <c r="V126" s="5"/>
      <c r="W126" s="5" t="str">
        <f t="shared" si="2"/>
        <v/>
      </c>
      <c r="X126" s="8" t="str">
        <f t="shared" si="3"/>
        <v/>
      </c>
      <c r="Y126" s="9"/>
      <c r="Z126" s="10"/>
      <c r="AA126" s="10"/>
      <c r="AB126" s="8"/>
      <c r="AC126" s="10"/>
    </row>
    <row r="127" spans="1:29" s="11" customFormat="1" x14ac:dyDescent="0.3">
      <c r="A127" s="3"/>
      <c r="B127" s="39"/>
      <c r="C127" s="5"/>
      <c r="D127" s="5"/>
      <c r="E127" s="5"/>
      <c r="F127" s="5"/>
      <c r="G127" s="29"/>
      <c r="H127"/>
      <c r="I127" s="7"/>
      <c r="J127" s="7"/>
      <c r="K127" s="7"/>
      <c r="L127" s="8"/>
      <c r="M127" s="7"/>
      <c r="N127" s="7"/>
      <c r="O127" s="8"/>
      <c r="P127" s="6"/>
      <c r="Q127" s="5"/>
      <c r="R127" s="5"/>
      <c r="S127" s="5"/>
      <c r="T127" s="5"/>
      <c r="U127" s="5"/>
      <c r="V127" s="5"/>
      <c r="W127" s="5" t="str">
        <f t="shared" si="2"/>
        <v/>
      </c>
      <c r="X127" s="8" t="str">
        <f t="shared" si="3"/>
        <v/>
      </c>
      <c r="Y127" s="9"/>
      <c r="Z127" s="10"/>
      <c r="AA127" s="10"/>
      <c r="AB127" s="8"/>
      <c r="AC127" s="10"/>
    </row>
    <row r="128" spans="1:29" s="11" customFormat="1" x14ac:dyDescent="0.3">
      <c r="A128" s="3"/>
      <c r="B128" s="39"/>
      <c r="C128" s="5"/>
      <c r="D128" s="5"/>
      <c r="E128" s="5"/>
      <c r="F128" s="5"/>
      <c r="G128" s="29"/>
      <c r="H128"/>
      <c r="I128" s="7"/>
      <c r="J128" s="7"/>
      <c r="K128" s="7"/>
      <c r="L128" s="8"/>
      <c r="M128" s="7"/>
      <c r="N128" s="7"/>
      <c r="O128" s="8"/>
      <c r="P128" s="6"/>
      <c r="Q128" s="5"/>
      <c r="R128" s="5"/>
      <c r="S128" s="5"/>
      <c r="T128" s="5"/>
      <c r="U128" s="5"/>
      <c r="V128" s="5"/>
      <c r="W128" s="5" t="str">
        <f t="shared" si="2"/>
        <v/>
      </c>
      <c r="X128" s="8" t="str">
        <f t="shared" si="3"/>
        <v/>
      </c>
      <c r="Y128" s="9"/>
      <c r="Z128" s="10"/>
      <c r="AA128" s="10"/>
      <c r="AB128" s="8"/>
      <c r="AC128" s="10"/>
    </row>
    <row r="129" spans="1:29" s="11" customFormat="1" x14ac:dyDescent="0.3">
      <c r="A129" s="3"/>
      <c r="B129" s="39"/>
      <c r="C129" s="5"/>
      <c r="D129" s="5"/>
      <c r="E129" s="5"/>
      <c r="F129" s="5"/>
      <c r="G129" s="29"/>
      <c r="H129"/>
      <c r="I129" s="7"/>
      <c r="J129" s="7"/>
      <c r="K129" s="7"/>
      <c r="L129" s="8"/>
      <c r="M129" s="7"/>
      <c r="N129" s="7"/>
      <c r="O129" s="8"/>
      <c r="P129" s="6"/>
      <c r="Q129" s="5"/>
      <c r="R129" s="5"/>
      <c r="S129" s="5"/>
      <c r="T129" s="5"/>
      <c r="U129" s="5"/>
      <c r="V129" s="5"/>
      <c r="W129" s="5" t="str">
        <f t="shared" si="2"/>
        <v/>
      </c>
      <c r="X129" s="8" t="str">
        <f t="shared" si="3"/>
        <v/>
      </c>
      <c r="Y129" s="9"/>
      <c r="Z129" s="10"/>
      <c r="AA129" s="10"/>
      <c r="AB129" s="8"/>
      <c r="AC129" s="10"/>
    </row>
    <row r="130" spans="1:29" s="11" customFormat="1" x14ac:dyDescent="0.3">
      <c r="A130" s="3"/>
      <c r="B130" s="39"/>
      <c r="C130" s="5"/>
      <c r="D130" s="5"/>
      <c r="E130" s="5"/>
      <c r="F130" s="5"/>
      <c r="G130" s="29"/>
      <c r="H130"/>
      <c r="I130" s="7"/>
      <c r="J130" s="7"/>
      <c r="K130" s="7"/>
      <c r="L130" s="8"/>
      <c r="M130" s="7"/>
      <c r="N130" s="7"/>
      <c r="O130" s="8"/>
      <c r="P130" s="6"/>
      <c r="Q130" s="5"/>
      <c r="R130" s="5"/>
      <c r="S130" s="5"/>
      <c r="T130" s="5"/>
      <c r="U130" s="5"/>
      <c r="V130" s="5"/>
      <c r="W130" s="5" t="str">
        <f t="shared" si="2"/>
        <v/>
      </c>
      <c r="X130" s="8" t="str">
        <f t="shared" si="3"/>
        <v/>
      </c>
      <c r="Y130" s="9"/>
      <c r="Z130" s="10"/>
      <c r="AA130" s="10"/>
      <c r="AB130" s="8"/>
      <c r="AC130" s="10"/>
    </row>
    <row r="131" spans="1:29" s="11" customFormat="1" x14ac:dyDescent="0.3">
      <c r="A131" s="3"/>
      <c r="B131" s="39"/>
      <c r="C131" s="5"/>
      <c r="D131" s="5"/>
      <c r="E131" s="5"/>
      <c r="F131" s="5"/>
      <c r="G131" s="29"/>
      <c r="H131"/>
      <c r="I131" s="7"/>
      <c r="J131" s="7"/>
      <c r="K131" s="7"/>
      <c r="L131" s="8"/>
      <c r="M131" s="7"/>
      <c r="N131" s="7"/>
      <c r="O131" s="8"/>
      <c r="P131" s="6"/>
      <c r="Q131" s="5"/>
      <c r="R131" s="5"/>
      <c r="S131" s="5"/>
      <c r="T131" s="5"/>
      <c r="U131" s="5"/>
      <c r="V131" s="5"/>
      <c r="W131" s="5" t="str">
        <f t="shared" si="2"/>
        <v/>
      </c>
      <c r="X131" s="8" t="str">
        <f t="shared" si="3"/>
        <v/>
      </c>
      <c r="Y131" s="9"/>
      <c r="Z131" s="10"/>
      <c r="AA131" s="10"/>
      <c r="AB131" s="8"/>
      <c r="AC131" s="10"/>
    </row>
    <row r="132" spans="1:29" s="11" customFormat="1" x14ac:dyDescent="0.3">
      <c r="A132" s="3"/>
      <c r="B132" s="39"/>
      <c r="C132" s="5"/>
      <c r="D132" s="5"/>
      <c r="E132" s="5"/>
      <c r="F132" s="5"/>
      <c r="G132" s="29"/>
      <c r="H132"/>
      <c r="I132" s="7"/>
      <c r="J132" s="7"/>
      <c r="K132" s="7"/>
      <c r="L132" s="8"/>
      <c r="M132" s="7"/>
      <c r="N132" s="7"/>
      <c r="O132" s="8"/>
      <c r="P132" s="6"/>
      <c r="Q132" s="5"/>
      <c r="R132" s="5"/>
      <c r="S132" s="5"/>
      <c r="T132" s="5"/>
      <c r="U132" s="5"/>
      <c r="V132" s="5"/>
      <c r="W132" s="5" t="str">
        <f t="shared" si="2"/>
        <v/>
      </c>
      <c r="X132" s="8" t="str">
        <f t="shared" si="3"/>
        <v/>
      </c>
      <c r="Y132" s="9"/>
      <c r="Z132" s="10"/>
      <c r="AA132" s="10"/>
      <c r="AB132" s="8"/>
      <c r="AC132" s="10"/>
    </row>
    <row r="133" spans="1:29" s="11" customFormat="1" x14ac:dyDescent="0.3">
      <c r="A133" s="3"/>
      <c r="B133" s="39"/>
      <c r="C133" s="5"/>
      <c r="D133" s="5"/>
      <c r="E133" s="5"/>
      <c r="F133" s="5"/>
      <c r="G133" s="29"/>
      <c r="H133"/>
      <c r="I133" s="7"/>
      <c r="J133" s="7"/>
      <c r="K133" s="7"/>
      <c r="L133" s="8"/>
      <c r="M133" s="7"/>
      <c r="N133" s="7"/>
      <c r="O133" s="8"/>
      <c r="P133" s="6"/>
      <c r="Q133" s="5"/>
      <c r="R133" s="5"/>
      <c r="S133" s="5"/>
      <c r="T133" s="5"/>
      <c r="U133" s="5"/>
      <c r="V133" s="5"/>
      <c r="W133" s="5" t="str">
        <f t="shared" si="2"/>
        <v/>
      </c>
      <c r="X133" s="8" t="str">
        <f t="shared" si="3"/>
        <v/>
      </c>
      <c r="Y133" s="9"/>
      <c r="Z133" s="10"/>
      <c r="AA133" s="10"/>
      <c r="AB133" s="8"/>
      <c r="AC133" s="10"/>
    </row>
    <row r="134" spans="1:29" s="11" customFormat="1" x14ac:dyDescent="0.3">
      <c r="A134" s="3"/>
      <c r="B134" s="39"/>
      <c r="C134" s="5"/>
      <c r="D134" s="5"/>
      <c r="E134" s="5"/>
      <c r="F134" s="5"/>
      <c r="G134" s="29"/>
      <c r="H134"/>
      <c r="I134" s="7"/>
      <c r="J134" s="7"/>
      <c r="K134" s="7"/>
      <c r="L134" s="8"/>
      <c r="M134" s="7"/>
      <c r="N134" s="7"/>
      <c r="O134" s="8"/>
      <c r="P134" s="6"/>
      <c r="Q134" s="5"/>
      <c r="R134" s="5"/>
      <c r="S134" s="5"/>
      <c r="T134" s="5"/>
      <c r="U134" s="5"/>
      <c r="V134" s="5"/>
      <c r="W134" s="5" t="str">
        <f t="shared" si="2"/>
        <v/>
      </c>
      <c r="X134" s="8" t="str">
        <f t="shared" si="3"/>
        <v/>
      </c>
      <c r="Y134" s="9"/>
      <c r="Z134" s="10"/>
      <c r="AA134" s="10"/>
      <c r="AB134" s="8"/>
      <c r="AC134" s="10"/>
    </row>
    <row r="135" spans="1:29" s="11" customFormat="1" x14ac:dyDescent="0.3">
      <c r="A135" s="3"/>
      <c r="B135" s="39"/>
      <c r="C135" s="5"/>
      <c r="D135" s="5"/>
      <c r="E135" s="5"/>
      <c r="F135" s="5"/>
      <c r="G135" s="29"/>
      <c r="H135"/>
      <c r="I135" s="7"/>
      <c r="J135" s="7"/>
      <c r="K135" s="7"/>
      <c r="L135" s="8"/>
      <c r="M135" s="7"/>
      <c r="N135" s="7"/>
      <c r="O135" s="8"/>
      <c r="P135" s="6"/>
      <c r="Q135" s="5"/>
      <c r="R135" s="5"/>
      <c r="S135" s="5"/>
      <c r="T135" s="5"/>
      <c r="U135" s="5"/>
      <c r="V135" s="5"/>
      <c r="W135" s="5" t="str">
        <f t="shared" si="2"/>
        <v/>
      </c>
      <c r="X135" s="8" t="str">
        <f t="shared" si="3"/>
        <v/>
      </c>
      <c r="Y135" s="9"/>
      <c r="Z135" s="10"/>
      <c r="AA135" s="10"/>
      <c r="AB135" s="8"/>
      <c r="AC135" s="10"/>
    </row>
    <row r="136" spans="1:29" s="11" customFormat="1" x14ac:dyDescent="0.3">
      <c r="A136" s="3"/>
      <c r="B136" s="39"/>
      <c r="C136" s="5"/>
      <c r="D136" s="5"/>
      <c r="E136" s="5"/>
      <c r="F136" s="5"/>
      <c r="G136" s="29"/>
      <c r="H136"/>
      <c r="I136" s="7"/>
      <c r="J136" s="7"/>
      <c r="K136" s="7"/>
      <c r="L136" s="8"/>
      <c r="M136" s="7"/>
      <c r="N136" s="7"/>
      <c r="O136" s="8"/>
      <c r="P136" s="6"/>
      <c r="Q136" s="5"/>
      <c r="R136" s="5"/>
      <c r="S136" s="5"/>
      <c r="T136" s="5"/>
      <c r="U136" s="5"/>
      <c r="V136" s="5"/>
      <c r="W136" s="5" t="str">
        <f t="shared" si="2"/>
        <v/>
      </c>
      <c r="X136" s="8" t="str">
        <f t="shared" si="3"/>
        <v/>
      </c>
      <c r="Y136" s="9"/>
      <c r="Z136" s="10"/>
      <c r="AA136" s="10"/>
      <c r="AB136" s="8"/>
      <c r="AC136" s="10"/>
    </row>
    <row r="137" spans="1:29" s="11" customFormat="1" x14ac:dyDescent="0.3">
      <c r="A137" s="3"/>
      <c r="B137" s="39"/>
      <c r="C137" s="5"/>
      <c r="D137" s="5"/>
      <c r="E137" s="5"/>
      <c r="F137" s="5"/>
      <c r="G137" s="29"/>
      <c r="H137"/>
      <c r="I137" s="7"/>
      <c r="J137" s="7"/>
      <c r="K137" s="7"/>
      <c r="L137" s="8"/>
      <c r="M137" s="7"/>
      <c r="N137" s="7"/>
      <c r="O137" s="8"/>
      <c r="P137" s="6"/>
      <c r="Q137" s="5"/>
      <c r="R137" s="5"/>
      <c r="S137" s="5"/>
      <c r="T137" s="5"/>
      <c r="U137" s="5"/>
      <c r="V137" s="5"/>
      <c r="W137" s="5" t="str">
        <f t="shared" si="2"/>
        <v/>
      </c>
      <c r="X137" s="8" t="str">
        <f t="shared" si="3"/>
        <v/>
      </c>
      <c r="Y137" s="9"/>
      <c r="Z137" s="10"/>
      <c r="AA137" s="10"/>
      <c r="AB137" s="8"/>
      <c r="AC137" s="10"/>
    </row>
    <row r="138" spans="1:29" s="11" customFormat="1" x14ac:dyDescent="0.3">
      <c r="A138" s="3"/>
      <c r="B138" s="39"/>
      <c r="C138" s="5"/>
      <c r="D138" s="5"/>
      <c r="E138" s="5"/>
      <c r="F138" s="5"/>
      <c r="G138" s="29"/>
      <c r="H138"/>
      <c r="I138" s="7"/>
      <c r="J138" s="7"/>
      <c r="K138" s="7"/>
      <c r="L138" s="8"/>
      <c r="M138" s="7"/>
      <c r="N138" s="7"/>
      <c r="O138" s="8"/>
      <c r="P138" s="6"/>
      <c r="Q138" s="5"/>
      <c r="R138" s="5"/>
      <c r="S138" s="5"/>
      <c r="T138" s="5"/>
      <c r="U138" s="5"/>
      <c r="V138" s="5"/>
      <c r="W138" s="5" t="str">
        <f t="shared" si="2"/>
        <v/>
      </c>
      <c r="X138" s="8" t="str">
        <f t="shared" si="3"/>
        <v/>
      </c>
      <c r="Y138" s="9"/>
      <c r="Z138" s="10"/>
      <c r="AA138" s="10"/>
      <c r="AB138" s="8"/>
      <c r="AC138" s="10"/>
    </row>
    <row r="139" spans="1:29" s="11" customFormat="1" x14ac:dyDescent="0.3">
      <c r="A139" s="3"/>
      <c r="B139" s="39"/>
      <c r="C139" s="5"/>
      <c r="D139" s="5"/>
      <c r="E139" s="5"/>
      <c r="F139" s="5"/>
      <c r="G139" s="29"/>
      <c r="H139"/>
      <c r="I139" s="7"/>
      <c r="J139" s="7"/>
      <c r="K139" s="7"/>
      <c r="L139" s="8"/>
      <c r="M139" s="7"/>
      <c r="N139" s="7"/>
      <c r="O139" s="8"/>
      <c r="P139" s="6"/>
      <c r="Q139" s="5"/>
      <c r="R139" s="5"/>
      <c r="S139" s="5"/>
      <c r="T139" s="5"/>
      <c r="U139" s="5"/>
      <c r="V139" s="5"/>
      <c r="W139" s="5" t="str">
        <f t="shared" si="2"/>
        <v/>
      </c>
      <c r="X139" s="8" t="str">
        <f t="shared" si="3"/>
        <v/>
      </c>
      <c r="Y139" s="9"/>
      <c r="Z139" s="10"/>
      <c r="AA139" s="10"/>
      <c r="AB139" s="8"/>
      <c r="AC139" s="10"/>
    </row>
    <row r="140" spans="1:29" s="11" customFormat="1" x14ac:dyDescent="0.3">
      <c r="A140" s="3"/>
      <c r="B140" s="39"/>
      <c r="C140" s="5"/>
      <c r="D140" s="5"/>
      <c r="E140" s="5"/>
      <c r="F140" s="5"/>
      <c r="G140" s="29"/>
      <c r="H140"/>
      <c r="I140" s="7"/>
      <c r="J140" s="7"/>
      <c r="K140" s="7"/>
      <c r="L140" s="8"/>
      <c r="M140" s="7"/>
      <c r="N140" s="7"/>
      <c r="O140" s="8"/>
      <c r="P140" s="6"/>
      <c r="Q140" s="5"/>
      <c r="R140" s="5"/>
      <c r="S140" s="5"/>
      <c r="T140" s="5"/>
      <c r="U140" s="5"/>
      <c r="V140" s="5"/>
      <c r="W140" s="5" t="str">
        <f t="shared" si="2"/>
        <v/>
      </c>
      <c r="X140" s="8" t="str">
        <f t="shared" si="3"/>
        <v/>
      </c>
      <c r="Y140" s="9"/>
      <c r="Z140" s="10"/>
      <c r="AA140" s="10"/>
      <c r="AB140" s="8"/>
      <c r="AC140" s="10"/>
    </row>
    <row r="141" spans="1:29" s="11" customFormat="1" x14ac:dyDescent="0.3">
      <c r="A141" s="3"/>
      <c r="B141" s="39"/>
      <c r="C141" s="5"/>
      <c r="D141" s="5"/>
      <c r="E141" s="5"/>
      <c r="F141" s="5"/>
      <c r="G141" s="29"/>
      <c r="H141"/>
      <c r="I141" s="7"/>
      <c r="J141" s="7"/>
      <c r="K141" s="7"/>
      <c r="L141" s="8"/>
      <c r="M141" s="7"/>
      <c r="N141" s="7"/>
      <c r="O141" s="8"/>
      <c r="P141" s="6"/>
      <c r="Q141" s="5"/>
      <c r="R141" s="5"/>
      <c r="S141" s="5"/>
      <c r="T141" s="5"/>
      <c r="U141" s="5"/>
      <c r="V141" s="5"/>
      <c r="W141" s="5" t="str">
        <f t="shared" si="2"/>
        <v/>
      </c>
      <c r="X141" s="8" t="str">
        <f t="shared" si="3"/>
        <v/>
      </c>
      <c r="Y141" s="9"/>
      <c r="Z141" s="10"/>
      <c r="AA141" s="10"/>
      <c r="AB141" s="8"/>
      <c r="AC141" s="10"/>
    </row>
    <row r="142" spans="1:29" s="11" customFormat="1" x14ac:dyDescent="0.3">
      <c r="A142" s="3"/>
      <c r="B142" s="39"/>
      <c r="C142" s="5"/>
      <c r="D142" s="5"/>
      <c r="E142" s="5"/>
      <c r="F142" s="5"/>
      <c r="G142" s="29"/>
      <c r="H142"/>
      <c r="I142" s="7"/>
      <c r="J142" s="7"/>
      <c r="K142" s="7"/>
      <c r="L142" s="8"/>
      <c r="M142" s="7"/>
      <c r="N142" s="7"/>
      <c r="O142" s="8"/>
      <c r="P142" s="6"/>
      <c r="Q142" s="5"/>
      <c r="R142" s="5"/>
      <c r="S142" s="5"/>
      <c r="T142" s="5"/>
      <c r="U142" s="5"/>
      <c r="V142" s="5"/>
      <c r="W142" s="5" t="str">
        <f t="shared" si="2"/>
        <v/>
      </c>
      <c r="X142" s="8" t="str">
        <f t="shared" si="3"/>
        <v/>
      </c>
      <c r="Y142" s="9"/>
      <c r="Z142" s="10"/>
      <c r="AA142" s="10"/>
      <c r="AB142" s="8"/>
      <c r="AC142" s="10"/>
    </row>
    <row r="143" spans="1:29" s="11" customFormat="1" x14ac:dyDescent="0.3">
      <c r="A143" s="3"/>
      <c r="B143" s="39"/>
      <c r="C143" s="5"/>
      <c r="D143" s="5"/>
      <c r="E143" s="5"/>
      <c r="F143" s="5"/>
      <c r="G143" s="29"/>
      <c r="H143"/>
      <c r="I143" s="7"/>
      <c r="J143" s="7"/>
      <c r="K143" s="7"/>
      <c r="L143" s="8"/>
      <c r="M143" s="7"/>
      <c r="N143" s="7"/>
      <c r="O143" s="8"/>
      <c r="P143" s="6"/>
      <c r="Q143" s="5"/>
      <c r="R143" s="5"/>
      <c r="S143" s="5"/>
      <c r="T143" s="5"/>
      <c r="U143" s="5"/>
      <c r="V143" s="5"/>
      <c r="W143" s="5" t="str">
        <f t="shared" si="2"/>
        <v/>
      </c>
      <c r="X143" s="8" t="str">
        <f t="shared" si="3"/>
        <v/>
      </c>
      <c r="Y143" s="9"/>
      <c r="Z143" s="10"/>
      <c r="AA143" s="10"/>
      <c r="AB143" s="8"/>
      <c r="AC143" s="10"/>
    </row>
    <row r="144" spans="1:29" s="11" customFormat="1" x14ac:dyDescent="0.3">
      <c r="A144" s="3"/>
      <c r="B144" s="39"/>
      <c r="C144" s="5"/>
      <c r="D144" s="5"/>
      <c r="E144" s="5"/>
      <c r="F144" s="5"/>
      <c r="G144" s="29"/>
      <c r="H144"/>
      <c r="I144" s="7"/>
      <c r="J144" s="7"/>
      <c r="K144" s="7"/>
      <c r="L144" s="8"/>
      <c r="M144" s="7"/>
      <c r="N144" s="7"/>
      <c r="O144" s="8"/>
      <c r="P144" s="6"/>
      <c r="Q144" s="5"/>
      <c r="R144" s="5"/>
      <c r="S144" s="5"/>
      <c r="T144" s="5"/>
      <c r="U144" s="5"/>
      <c r="V144" s="5"/>
      <c r="W144" s="5" t="str">
        <f t="shared" si="2"/>
        <v/>
      </c>
      <c r="X144" s="8" t="str">
        <f t="shared" si="3"/>
        <v/>
      </c>
      <c r="Y144" s="9"/>
      <c r="Z144" s="10"/>
      <c r="AA144" s="10"/>
      <c r="AB144" s="8"/>
      <c r="AC144" s="10"/>
    </row>
    <row r="145" spans="1:29" s="11" customFormat="1" x14ac:dyDescent="0.3">
      <c r="A145" s="3"/>
      <c r="B145" s="39"/>
      <c r="C145" s="5"/>
      <c r="D145" s="5"/>
      <c r="E145" s="5"/>
      <c r="F145" s="5"/>
      <c r="G145" s="29"/>
      <c r="H145"/>
      <c r="I145" s="7"/>
      <c r="J145" s="7"/>
      <c r="K145" s="7"/>
      <c r="L145" s="8"/>
      <c r="M145" s="7"/>
      <c r="N145" s="7"/>
      <c r="O145" s="8"/>
      <c r="P145" s="6"/>
      <c r="Q145" s="5"/>
      <c r="R145" s="5"/>
      <c r="S145" s="5"/>
      <c r="T145" s="5"/>
      <c r="U145" s="5"/>
      <c r="V145" s="5"/>
      <c r="W145" s="5" t="str">
        <f t="shared" ref="W145:W207" si="4">IF(S145-T145&lt;&gt;0,S145-T145,"")</f>
        <v/>
      </c>
      <c r="X145" s="8" t="str">
        <f t="shared" ref="X145:X206" si="5">IFERROR(W145/Q145,"")</f>
        <v/>
      </c>
      <c r="Y145" s="9"/>
      <c r="Z145" s="10"/>
      <c r="AA145" s="10"/>
      <c r="AB145" s="8"/>
      <c r="AC145" s="10"/>
    </row>
    <row r="146" spans="1:29" s="11" customFormat="1" x14ac:dyDescent="0.3">
      <c r="A146" s="3"/>
      <c r="B146" s="39"/>
      <c r="C146" s="5"/>
      <c r="D146" s="5"/>
      <c r="E146" s="5"/>
      <c r="F146" s="5"/>
      <c r="G146" s="29"/>
      <c r="H146"/>
      <c r="I146" s="7"/>
      <c r="J146" s="7"/>
      <c r="K146" s="7"/>
      <c r="L146" s="8"/>
      <c r="M146" s="7"/>
      <c r="N146" s="7"/>
      <c r="O146" s="8"/>
      <c r="P146" s="6"/>
      <c r="Q146" s="5"/>
      <c r="R146" s="5"/>
      <c r="S146" s="5"/>
      <c r="T146" s="5"/>
      <c r="U146" s="5"/>
      <c r="V146" s="5"/>
      <c r="W146" s="5" t="str">
        <f t="shared" si="4"/>
        <v/>
      </c>
      <c r="X146" s="8" t="str">
        <f t="shared" si="5"/>
        <v/>
      </c>
      <c r="Y146" s="9"/>
      <c r="Z146" s="10"/>
      <c r="AA146" s="10"/>
      <c r="AB146" s="8"/>
      <c r="AC146" s="10"/>
    </row>
    <row r="147" spans="1:29" s="11" customFormat="1" x14ac:dyDescent="0.3">
      <c r="A147" s="3"/>
      <c r="B147" s="39"/>
      <c r="C147" s="5"/>
      <c r="D147" s="5"/>
      <c r="E147" s="5"/>
      <c r="F147" s="5"/>
      <c r="G147" s="29"/>
      <c r="H147"/>
      <c r="I147" s="7"/>
      <c r="J147" s="7"/>
      <c r="K147" s="7"/>
      <c r="L147" s="8"/>
      <c r="M147" s="7"/>
      <c r="N147" s="7"/>
      <c r="O147" s="8"/>
      <c r="P147" s="6"/>
      <c r="Q147" s="5"/>
      <c r="R147" s="5"/>
      <c r="S147" s="5"/>
      <c r="T147" s="5"/>
      <c r="U147" s="5"/>
      <c r="V147" s="5"/>
      <c r="W147" s="5" t="str">
        <f t="shared" si="4"/>
        <v/>
      </c>
      <c r="X147" s="8" t="str">
        <f t="shared" si="5"/>
        <v/>
      </c>
      <c r="Y147" s="9"/>
      <c r="Z147" s="10"/>
      <c r="AA147" s="10"/>
      <c r="AB147" s="8"/>
      <c r="AC147" s="10"/>
    </row>
    <row r="148" spans="1:29" s="11" customFormat="1" x14ac:dyDescent="0.3">
      <c r="A148" s="3"/>
      <c r="B148" s="39"/>
      <c r="C148" s="5"/>
      <c r="D148" s="5"/>
      <c r="E148" s="5"/>
      <c r="F148" s="5"/>
      <c r="G148" s="29"/>
      <c r="H148"/>
      <c r="I148" s="7"/>
      <c r="J148" s="7"/>
      <c r="K148" s="7"/>
      <c r="L148" s="8"/>
      <c r="M148" s="7"/>
      <c r="N148" s="7"/>
      <c r="O148" s="8"/>
      <c r="P148" s="6"/>
      <c r="Q148" s="5"/>
      <c r="R148" s="5"/>
      <c r="S148" s="5"/>
      <c r="T148" s="5"/>
      <c r="U148" s="5"/>
      <c r="V148" s="5"/>
      <c r="W148" s="5" t="str">
        <f t="shared" si="4"/>
        <v/>
      </c>
      <c r="X148" s="8" t="str">
        <f t="shared" si="5"/>
        <v/>
      </c>
      <c r="Y148" s="9"/>
      <c r="Z148" s="10"/>
      <c r="AA148" s="10"/>
      <c r="AB148" s="8"/>
      <c r="AC148" s="10"/>
    </row>
    <row r="149" spans="1:29" s="11" customFormat="1" x14ac:dyDescent="0.3">
      <c r="A149" s="3"/>
      <c r="B149" s="39"/>
      <c r="C149" s="5"/>
      <c r="D149" s="5"/>
      <c r="E149" s="5"/>
      <c r="F149" s="5"/>
      <c r="G149" s="29"/>
      <c r="H149"/>
      <c r="I149" s="7"/>
      <c r="J149" s="7"/>
      <c r="K149" s="7"/>
      <c r="L149" s="8"/>
      <c r="M149" s="7"/>
      <c r="N149" s="7"/>
      <c r="O149" s="8"/>
      <c r="P149" s="6"/>
      <c r="Q149" s="5"/>
      <c r="R149" s="5"/>
      <c r="S149" s="5"/>
      <c r="T149" s="5"/>
      <c r="U149" s="5"/>
      <c r="V149" s="5"/>
      <c r="W149" s="5" t="str">
        <f t="shared" si="4"/>
        <v/>
      </c>
      <c r="X149" s="8" t="str">
        <f t="shared" si="5"/>
        <v/>
      </c>
      <c r="Y149" s="9"/>
      <c r="Z149" s="10"/>
      <c r="AA149" s="10"/>
      <c r="AB149" s="8"/>
      <c r="AC149" s="10"/>
    </row>
    <row r="150" spans="1:29" s="11" customFormat="1" x14ac:dyDescent="0.3">
      <c r="A150" s="3"/>
      <c r="B150" s="39"/>
      <c r="C150" s="5"/>
      <c r="D150" s="5"/>
      <c r="E150" s="5"/>
      <c r="F150" s="5"/>
      <c r="G150" s="29"/>
      <c r="H150"/>
      <c r="I150" s="7"/>
      <c r="J150" s="7"/>
      <c r="K150" s="7"/>
      <c r="L150" s="8"/>
      <c r="M150" s="7"/>
      <c r="N150" s="7"/>
      <c r="O150" s="8"/>
      <c r="P150" s="6"/>
      <c r="Q150" s="5"/>
      <c r="R150" s="5"/>
      <c r="S150" s="5"/>
      <c r="T150" s="5"/>
      <c r="U150" s="5"/>
      <c r="V150" s="5"/>
      <c r="W150" s="5" t="str">
        <f t="shared" si="4"/>
        <v/>
      </c>
      <c r="X150" s="8" t="str">
        <f t="shared" si="5"/>
        <v/>
      </c>
      <c r="Y150" s="9"/>
      <c r="Z150" s="10"/>
      <c r="AA150" s="10"/>
      <c r="AB150" s="8"/>
      <c r="AC150" s="10"/>
    </row>
    <row r="151" spans="1:29" s="11" customFormat="1" x14ac:dyDescent="0.3">
      <c r="A151" s="3"/>
      <c r="B151" s="39"/>
      <c r="C151" s="5"/>
      <c r="D151" s="5"/>
      <c r="E151" s="5"/>
      <c r="F151" s="5"/>
      <c r="G151" s="29"/>
      <c r="H151"/>
      <c r="I151" s="7"/>
      <c r="J151" s="7"/>
      <c r="K151" s="7"/>
      <c r="L151" s="8"/>
      <c r="M151" s="7"/>
      <c r="N151" s="7"/>
      <c r="O151" s="8"/>
      <c r="P151" s="6"/>
      <c r="Q151" s="5"/>
      <c r="R151" s="5"/>
      <c r="S151" s="5"/>
      <c r="T151" s="5"/>
      <c r="U151" s="5"/>
      <c r="V151" s="5"/>
      <c r="W151" s="5" t="str">
        <f t="shared" si="4"/>
        <v/>
      </c>
      <c r="X151" s="8" t="str">
        <f t="shared" si="5"/>
        <v/>
      </c>
      <c r="Y151" s="9"/>
      <c r="Z151" s="10"/>
      <c r="AA151" s="10"/>
      <c r="AB151" s="8"/>
      <c r="AC151" s="10"/>
    </row>
    <row r="152" spans="1:29" s="11" customFormat="1" x14ac:dyDescent="0.3">
      <c r="A152" s="3"/>
      <c r="B152" s="39"/>
      <c r="C152" s="5"/>
      <c r="D152" s="5"/>
      <c r="E152" s="5"/>
      <c r="F152" s="5"/>
      <c r="G152" s="29"/>
      <c r="H152"/>
      <c r="I152" s="7"/>
      <c r="J152" s="7"/>
      <c r="K152" s="7"/>
      <c r="L152" s="8"/>
      <c r="M152" s="7"/>
      <c r="N152" s="7"/>
      <c r="O152" s="8"/>
      <c r="P152" s="6"/>
      <c r="Q152" s="5"/>
      <c r="R152" s="5"/>
      <c r="S152" s="5"/>
      <c r="T152" s="5"/>
      <c r="U152" s="5"/>
      <c r="V152" s="5"/>
      <c r="W152" s="5" t="str">
        <f t="shared" si="4"/>
        <v/>
      </c>
      <c r="X152" s="8" t="str">
        <f t="shared" si="5"/>
        <v/>
      </c>
      <c r="Y152" s="9"/>
      <c r="Z152" s="10"/>
      <c r="AA152" s="10"/>
      <c r="AB152" s="8"/>
      <c r="AC152" s="10"/>
    </row>
    <row r="153" spans="1:29" s="11" customFormat="1" x14ac:dyDescent="0.3">
      <c r="A153" s="3"/>
      <c r="B153" s="39"/>
      <c r="C153" s="5"/>
      <c r="D153" s="5"/>
      <c r="E153" s="5"/>
      <c r="F153" s="5"/>
      <c r="G153" s="29"/>
      <c r="H153"/>
      <c r="I153" s="7"/>
      <c r="J153" s="7"/>
      <c r="K153" s="7"/>
      <c r="L153" s="8"/>
      <c r="M153" s="7"/>
      <c r="N153" s="7"/>
      <c r="O153" s="8"/>
      <c r="P153" s="6"/>
      <c r="Q153" s="5"/>
      <c r="R153" s="5"/>
      <c r="S153" s="5"/>
      <c r="T153" s="5"/>
      <c r="U153" s="5"/>
      <c r="V153" s="5"/>
      <c r="W153" s="5" t="str">
        <f t="shared" si="4"/>
        <v/>
      </c>
      <c r="X153" s="8" t="str">
        <f t="shared" si="5"/>
        <v/>
      </c>
      <c r="Y153" s="9"/>
      <c r="Z153" s="10"/>
      <c r="AA153" s="10"/>
      <c r="AB153" s="8"/>
      <c r="AC153" s="10"/>
    </row>
    <row r="154" spans="1:29" s="11" customFormat="1" x14ac:dyDescent="0.3">
      <c r="A154" s="3"/>
      <c r="B154" s="39"/>
      <c r="C154" s="5"/>
      <c r="D154" s="5"/>
      <c r="E154" s="5"/>
      <c r="F154" s="5"/>
      <c r="G154" s="29"/>
      <c r="H154"/>
      <c r="I154" s="7"/>
      <c r="J154" s="7"/>
      <c r="K154" s="7"/>
      <c r="L154" s="8"/>
      <c r="M154" s="7"/>
      <c r="N154" s="7"/>
      <c r="O154" s="8"/>
      <c r="P154" s="6"/>
      <c r="Q154" s="5"/>
      <c r="R154" s="5"/>
      <c r="S154" s="5"/>
      <c r="T154" s="5"/>
      <c r="U154" s="5"/>
      <c r="V154" s="5"/>
      <c r="W154" s="5" t="str">
        <f t="shared" si="4"/>
        <v/>
      </c>
      <c r="X154" s="8" t="str">
        <f t="shared" si="5"/>
        <v/>
      </c>
      <c r="Y154" s="9"/>
      <c r="Z154" s="10"/>
      <c r="AA154" s="10"/>
      <c r="AB154" s="8"/>
      <c r="AC154" s="10"/>
    </row>
    <row r="155" spans="1:29" s="11" customFormat="1" x14ac:dyDescent="0.3">
      <c r="A155" s="3"/>
      <c r="B155" s="39"/>
      <c r="C155" s="5"/>
      <c r="D155" s="5"/>
      <c r="E155" s="5"/>
      <c r="F155" s="5"/>
      <c r="G155" s="29"/>
      <c r="H155"/>
      <c r="I155" s="7"/>
      <c r="J155" s="7"/>
      <c r="K155" s="7"/>
      <c r="L155" s="8"/>
      <c r="M155" s="7"/>
      <c r="N155" s="7"/>
      <c r="O155" s="8"/>
      <c r="P155" s="6"/>
      <c r="Q155" s="5"/>
      <c r="R155" s="5"/>
      <c r="S155" s="5"/>
      <c r="T155" s="5"/>
      <c r="U155" s="5"/>
      <c r="V155" s="5"/>
      <c r="W155" s="5" t="str">
        <f t="shared" si="4"/>
        <v/>
      </c>
      <c r="X155" s="8" t="str">
        <f t="shared" si="5"/>
        <v/>
      </c>
      <c r="Y155" s="9"/>
      <c r="Z155" s="10"/>
      <c r="AA155" s="10"/>
      <c r="AB155" s="8"/>
      <c r="AC155" s="10"/>
    </row>
    <row r="156" spans="1:29" s="11" customFormat="1" x14ac:dyDescent="0.3">
      <c r="A156" s="3"/>
      <c r="B156" s="39"/>
      <c r="C156" s="5"/>
      <c r="D156" s="5"/>
      <c r="E156" s="5"/>
      <c r="F156" s="5"/>
      <c r="G156" s="29"/>
      <c r="H156"/>
      <c r="I156" s="7"/>
      <c r="J156" s="7"/>
      <c r="K156" s="7"/>
      <c r="L156" s="8"/>
      <c r="M156" s="7"/>
      <c r="N156" s="7"/>
      <c r="O156" s="8"/>
      <c r="P156" s="6"/>
      <c r="Q156" s="5"/>
      <c r="R156" s="5"/>
      <c r="S156" s="5"/>
      <c r="T156" s="5"/>
      <c r="U156" s="5"/>
      <c r="V156" s="5"/>
      <c r="W156" s="5" t="str">
        <f t="shared" si="4"/>
        <v/>
      </c>
      <c r="X156" s="8" t="str">
        <f t="shared" si="5"/>
        <v/>
      </c>
      <c r="Y156" s="9"/>
      <c r="Z156" s="10"/>
      <c r="AA156" s="10"/>
      <c r="AB156" s="8"/>
      <c r="AC156" s="10"/>
    </row>
    <row r="157" spans="1:29" s="11" customFormat="1" x14ac:dyDescent="0.3">
      <c r="A157" s="3"/>
      <c r="B157" s="39"/>
      <c r="C157" s="5"/>
      <c r="D157" s="5"/>
      <c r="E157" s="5"/>
      <c r="F157" s="5"/>
      <c r="G157" s="29"/>
      <c r="H157"/>
      <c r="I157" s="7"/>
      <c r="J157" s="7"/>
      <c r="K157" s="7"/>
      <c r="L157" s="8"/>
      <c r="M157" s="7"/>
      <c r="N157" s="7"/>
      <c r="O157" s="8"/>
      <c r="P157" s="6"/>
      <c r="Q157" s="5"/>
      <c r="R157" s="5"/>
      <c r="S157" s="5"/>
      <c r="T157" s="5"/>
      <c r="U157" s="5"/>
      <c r="V157" s="5"/>
      <c r="W157" s="5" t="str">
        <f t="shared" si="4"/>
        <v/>
      </c>
      <c r="X157" s="8" t="str">
        <f t="shared" si="5"/>
        <v/>
      </c>
      <c r="Y157" s="9"/>
      <c r="Z157" s="10"/>
      <c r="AA157" s="10"/>
      <c r="AB157" s="8"/>
      <c r="AC157" s="10"/>
    </row>
    <row r="158" spans="1:29" s="11" customFormat="1" x14ac:dyDescent="0.3">
      <c r="A158" s="3"/>
      <c r="B158" s="39"/>
      <c r="C158" s="5"/>
      <c r="D158" s="5"/>
      <c r="E158" s="5"/>
      <c r="F158" s="5"/>
      <c r="G158" s="29"/>
      <c r="H158"/>
      <c r="I158" s="7"/>
      <c r="J158" s="7"/>
      <c r="K158" s="7"/>
      <c r="L158" s="8"/>
      <c r="M158" s="7"/>
      <c r="N158" s="7"/>
      <c r="O158" s="8"/>
      <c r="P158" s="6"/>
      <c r="Q158" s="5"/>
      <c r="R158" s="5"/>
      <c r="S158" s="5"/>
      <c r="T158" s="5"/>
      <c r="U158" s="5"/>
      <c r="V158" s="5"/>
      <c r="W158" s="5" t="str">
        <f t="shared" si="4"/>
        <v/>
      </c>
      <c r="X158" s="8" t="str">
        <f t="shared" si="5"/>
        <v/>
      </c>
      <c r="Y158" s="9"/>
      <c r="Z158" s="10"/>
      <c r="AA158" s="10"/>
      <c r="AB158" s="8"/>
      <c r="AC158" s="10"/>
    </row>
    <row r="159" spans="1:29" s="11" customFormat="1" x14ac:dyDescent="0.3">
      <c r="A159" s="3"/>
      <c r="B159" s="39"/>
      <c r="C159" s="5"/>
      <c r="D159" s="5"/>
      <c r="E159" s="5"/>
      <c r="F159" s="5"/>
      <c r="G159" s="29"/>
      <c r="H159"/>
      <c r="I159" s="7"/>
      <c r="J159" s="7"/>
      <c r="K159" s="7"/>
      <c r="L159" s="8"/>
      <c r="M159" s="7"/>
      <c r="N159" s="7"/>
      <c r="O159" s="8"/>
      <c r="P159" s="6"/>
      <c r="Q159" s="5"/>
      <c r="R159" s="5"/>
      <c r="S159" s="5"/>
      <c r="T159" s="5"/>
      <c r="U159" s="5"/>
      <c r="V159" s="5"/>
      <c r="W159" s="5" t="str">
        <f t="shared" si="4"/>
        <v/>
      </c>
      <c r="X159" s="8" t="str">
        <f t="shared" si="5"/>
        <v/>
      </c>
      <c r="Y159" s="9"/>
      <c r="Z159" s="10"/>
      <c r="AA159" s="10"/>
      <c r="AB159" s="8"/>
      <c r="AC159" s="10"/>
    </row>
    <row r="160" spans="1:29" s="11" customFormat="1" x14ac:dyDescent="0.3">
      <c r="A160" s="3"/>
      <c r="B160" s="39"/>
      <c r="C160" s="5"/>
      <c r="D160" s="5"/>
      <c r="E160" s="5"/>
      <c r="F160" s="5"/>
      <c r="G160" s="29"/>
      <c r="H160"/>
      <c r="I160" s="7"/>
      <c r="J160" s="7"/>
      <c r="K160" s="7"/>
      <c r="L160" s="8"/>
      <c r="M160" s="7"/>
      <c r="N160" s="7"/>
      <c r="O160" s="8"/>
      <c r="P160" s="6"/>
      <c r="Q160" s="5"/>
      <c r="R160" s="5"/>
      <c r="S160" s="5"/>
      <c r="T160" s="5"/>
      <c r="U160" s="5"/>
      <c r="V160" s="5"/>
      <c r="W160" s="5" t="str">
        <f t="shared" si="4"/>
        <v/>
      </c>
      <c r="X160" s="8" t="str">
        <f t="shared" si="5"/>
        <v/>
      </c>
      <c r="Y160" s="9"/>
      <c r="Z160" s="10"/>
      <c r="AA160" s="10"/>
      <c r="AB160" s="8"/>
      <c r="AC160" s="10"/>
    </row>
    <row r="161" spans="1:29" s="11" customFormat="1" x14ac:dyDescent="0.3">
      <c r="A161" s="3"/>
      <c r="B161" s="39"/>
      <c r="C161" s="5"/>
      <c r="D161" s="5"/>
      <c r="E161" s="5"/>
      <c r="F161" s="5"/>
      <c r="G161" s="29"/>
      <c r="H161"/>
      <c r="I161" s="7"/>
      <c r="J161" s="7"/>
      <c r="K161" s="7"/>
      <c r="L161" s="8"/>
      <c r="M161" s="7"/>
      <c r="N161" s="7"/>
      <c r="O161" s="8"/>
      <c r="P161" s="6"/>
      <c r="Q161" s="5"/>
      <c r="R161" s="5"/>
      <c r="S161" s="5"/>
      <c r="T161" s="5"/>
      <c r="U161" s="5"/>
      <c r="V161" s="5"/>
      <c r="W161" s="5" t="str">
        <f t="shared" si="4"/>
        <v/>
      </c>
      <c r="X161" s="8" t="str">
        <f t="shared" si="5"/>
        <v/>
      </c>
      <c r="Y161" s="9"/>
      <c r="Z161" s="10"/>
      <c r="AA161" s="10"/>
      <c r="AB161" s="8"/>
      <c r="AC161" s="10"/>
    </row>
    <row r="162" spans="1:29" s="11" customFormat="1" x14ac:dyDescent="0.3">
      <c r="A162" s="3"/>
      <c r="B162" s="39"/>
      <c r="C162" s="5"/>
      <c r="D162" s="5"/>
      <c r="E162" s="5"/>
      <c r="F162" s="5"/>
      <c r="G162" s="29"/>
      <c r="H162"/>
      <c r="I162" s="7"/>
      <c r="J162" s="7"/>
      <c r="K162" s="7"/>
      <c r="L162" s="8"/>
      <c r="M162" s="7"/>
      <c r="N162" s="7"/>
      <c r="O162" s="8"/>
      <c r="P162" s="6"/>
      <c r="Q162" s="5"/>
      <c r="R162" s="5"/>
      <c r="S162" s="5"/>
      <c r="T162" s="5"/>
      <c r="U162" s="5"/>
      <c r="V162" s="5"/>
      <c r="W162" s="5" t="str">
        <f t="shared" si="4"/>
        <v/>
      </c>
      <c r="X162" s="8" t="str">
        <f t="shared" si="5"/>
        <v/>
      </c>
      <c r="Y162" s="9"/>
      <c r="Z162" s="10"/>
      <c r="AA162" s="10"/>
      <c r="AB162" s="8"/>
      <c r="AC162" s="10"/>
    </row>
    <row r="163" spans="1:29" s="11" customFormat="1" x14ac:dyDescent="0.3">
      <c r="A163" s="3"/>
      <c r="B163" s="39"/>
      <c r="C163" s="5"/>
      <c r="D163" s="5"/>
      <c r="E163" s="5"/>
      <c r="F163" s="5"/>
      <c r="G163" s="29"/>
      <c r="H163"/>
      <c r="I163" s="7"/>
      <c r="J163" s="7"/>
      <c r="K163" s="7"/>
      <c r="L163" s="8"/>
      <c r="M163" s="7"/>
      <c r="N163" s="7"/>
      <c r="O163" s="8"/>
      <c r="P163" s="6"/>
      <c r="Q163" s="5"/>
      <c r="R163" s="5"/>
      <c r="S163" s="5"/>
      <c r="T163" s="5"/>
      <c r="U163" s="5"/>
      <c r="V163" s="5"/>
      <c r="W163" s="5" t="str">
        <f t="shared" si="4"/>
        <v/>
      </c>
      <c r="X163" s="8" t="str">
        <f t="shared" si="5"/>
        <v/>
      </c>
      <c r="Y163" s="9"/>
      <c r="Z163" s="10"/>
      <c r="AA163" s="10"/>
      <c r="AB163" s="8"/>
      <c r="AC163" s="10"/>
    </row>
    <row r="164" spans="1:29" s="11" customFormat="1" x14ac:dyDescent="0.3">
      <c r="A164" s="3"/>
      <c r="B164" s="39"/>
      <c r="C164" s="5"/>
      <c r="D164" s="5"/>
      <c r="E164" s="5"/>
      <c r="F164" s="5"/>
      <c r="G164" s="29"/>
      <c r="H164"/>
      <c r="I164" s="7"/>
      <c r="J164" s="7"/>
      <c r="K164" s="7"/>
      <c r="L164" s="8"/>
      <c r="M164" s="7"/>
      <c r="N164" s="7"/>
      <c r="O164" s="8"/>
      <c r="P164" s="6"/>
      <c r="Q164" s="5"/>
      <c r="R164" s="5"/>
      <c r="S164" s="5"/>
      <c r="T164" s="5"/>
      <c r="U164" s="5"/>
      <c r="V164" s="5"/>
      <c r="W164" s="5" t="str">
        <f t="shared" si="4"/>
        <v/>
      </c>
      <c r="X164" s="8" t="str">
        <f t="shared" si="5"/>
        <v/>
      </c>
      <c r="Y164" s="9"/>
      <c r="Z164" s="10"/>
      <c r="AA164" s="10"/>
      <c r="AB164" s="8"/>
      <c r="AC164" s="10"/>
    </row>
    <row r="165" spans="1:29" s="11" customFormat="1" x14ac:dyDescent="0.3">
      <c r="A165" s="3"/>
      <c r="B165" s="39"/>
      <c r="C165" s="5"/>
      <c r="D165" s="5"/>
      <c r="E165" s="5"/>
      <c r="F165" s="5"/>
      <c r="G165" s="29"/>
      <c r="H165"/>
      <c r="I165" s="7"/>
      <c r="J165" s="7"/>
      <c r="K165" s="7"/>
      <c r="L165" s="8"/>
      <c r="M165" s="7"/>
      <c r="N165" s="7"/>
      <c r="O165" s="8"/>
      <c r="P165" s="6"/>
      <c r="Q165" s="5"/>
      <c r="R165" s="5"/>
      <c r="S165" s="5"/>
      <c r="T165" s="5"/>
      <c r="U165" s="5"/>
      <c r="V165" s="5"/>
      <c r="W165" s="5" t="str">
        <f t="shared" si="4"/>
        <v/>
      </c>
      <c r="X165" s="8" t="str">
        <f t="shared" si="5"/>
        <v/>
      </c>
      <c r="Y165" s="9"/>
      <c r="Z165" s="10"/>
      <c r="AA165" s="10"/>
      <c r="AB165" s="8"/>
      <c r="AC165" s="10"/>
    </row>
    <row r="166" spans="1:29" s="11" customFormat="1" x14ac:dyDescent="0.3">
      <c r="A166" s="3"/>
      <c r="B166" s="39"/>
      <c r="C166" s="5"/>
      <c r="D166" s="5"/>
      <c r="E166" s="5"/>
      <c r="F166" s="5"/>
      <c r="G166" s="29"/>
      <c r="H166"/>
      <c r="I166" s="7"/>
      <c r="J166" s="7"/>
      <c r="K166" s="7"/>
      <c r="L166" s="8"/>
      <c r="M166" s="7"/>
      <c r="N166" s="7"/>
      <c r="O166" s="8"/>
      <c r="P166" s="6"/>
      <c r="Q166" s="5"/>
      <c r="R166" s="5"/>
      <c r="S166" s="5"/>
      <c r="T166" s="5"/>
      <c r="U166" s="5"/>
      <c r="V166" s="5"/>
      <c r="W166" s="5" t="str">
        <f t="shared" si="4"/>
        <v/>
      </c>
      <c r="X166" s="8" t="str">
        <f t="shared" si="5"/>
        <v/>
      </c>
      <c r="Y166" s="9"/>
      <c r="Z166" s="10"/>
      <c r="AA166" s="10"/>
      <c r="AB166" s="8"/>
      <c r="AC166" s="10"/>
    </row>
    <row r="167" spans="1:29" s="11" customFormat="1" x14ac:dyDescent="0.3">
      <c r="A167" s="3"/>
      <c r="B167" s="39"/>
      <c r="C167" s="5"/>
      <c r="D167" s="5"/>
      <c r="E167" s="5"/>
      <c r="F167" s="5"/>
      <c r="G167" s="29"/>
      <c r="H167"/>
      <c r="I167" s="7"/>
      <c r="J167" s="7"/>
      <c r="K167" s="7"/>
      <c r="L167" s="8"/>
      <c r="M167" s="7"/>
      <c r="N167" s="7"/>
      <c r="O167" s="8"/>
      <c r="P167" s="6"/>
      <c r="Q167" s="5"/>
      <c r="R167" s="5"/>
      <c r="S167" s="5"/>
      <c r="T167" s="5"/>
      <c r="U167" s="5"/>
      <c r="V167" s="5"/>
      <c r="W167" s="5" t="str">
        <f t="shared" si="4"/>
        <v/>
      </c>
      <c r="X167" s="8" t="str">
        <f t="shared" si="5"/>
        <v/>
      </c>
      <c r="Y167" s="9"/>
      <c r="Z167" s="10"/>
      <c r="AA167" s="10"/>
      <c r="AB167" s="8"/>
      <c r="AC167" s="10"/>
    </row>
    <row r="168" spans="1:29" s="11" customFormat="1" x14ac:dyDescent="0.3">
      <c r="A168" s="3"/>
      <c r="B168" s="39"/>
      <c r="C168" s="5"/>
      <c r="D168" s="5"/>
      <c r="E168" s="5"/>
      <c r="F168" s="5"/>
      <c r="G168" s="29"/>
      <c r="H168"/>
      <c r="I168" s="7"/>
      <c r="J168" s="7"/>
      <c r="K168" s="7"/>
      <c r="L168" s="8"/>
      <c r="M168" s="7"/>
      <c r="N168" s="7"/>
      <c r="O168" s="8"/>
      <c r="P168" s="6"/>
      <c r="Q168" s="5"/>
      <c r="R168" s="5"/>
      <c r="S168" s="5"/>
      <c r="T168" s="5"/>
      <c r="U168" s="5"/>
      <c r="V168" s="5"/>
      <c r="W168" s="5" t="str">
        <f t="shared" si="4"/>
        <v/>
      </c>
      <c r="X168" s="8" t="str">
        <f t="shared" si="5"/>
        <v/>
      </c>
      <c r="Y168" s="9"/>
      <c r="Z168" s="10"/>
      <c r="AA168" s="10"/>
      <c r="AB168" s="8"/>
      <c r="AC168" s="10"/>
    </row>
    <row r="169" spans="1:29" s="11" customFormat="1" x14ac:dyDescent="0.3">
      <c r="A169" s="3"/>
      <c r="B169" s="39"/>
      <c r="C169" s="5"/>
      <c r="D169" s="5"/>
      <c r="E169" s="5"/>
      <c r="F169" s="5"/>
      <c r="G169" s="29"/>
      <c r="H169"/>
      <c r="I169" s="7"/>
      <c r="J169" s="7"/>
      <c r="K169" s="7"/>
      <c r="L169" s="8"/>
      <c r="M169" s="7"/>
      <c r="N169" s="7"/>
      <c r="O169" s="8"/>
      <c r="P169" s="6"/>
      <c r="Q169" s="5"/>
      <c r="R169" s="5"/>
      <c r="S169" s="5"/>
      <c r="T169" s="5"/>
      <c r="U169" s="5"/>
      <c r="V169" s="5"/>
      <c r="W169" s="5" t="str">
        <f t="shared" si="4"/>
        <v/>
      </c>
      <c r="X169" s="8" t="str">
        <f t="shared" si="5"/>
        <v/>
      </c>
      <c r="Y169" s="9"/>
      <c r="Z169" s="10"/>
      <c r="AA169" s="10"/>
      <c r="AB169" s="8"/>
      <c r="AC169" s="10"/>
    </row>
    <row r="170" spans="1:29" s="11" customFormat="1" x14ac:dyDescent="0.3">
      <c r="A170" s="3"/>
      <c r="B170" s="39"/>
      <c r="C170" s="5"/>
      <c r="D170" s="5"/>
      <c r="E170" s="5"/>
      <c r="F170" s="5"/>
      <c r="G170" s="29"/>
      <c r="H170"/>
      <c r="I170" s="7"/>
      <c r="J170" s="7"/>
      <c r="K170" s="7"/>
      <c r="L170" s="8"/>
      <c r="M170" s="7"/>
      <c r="N170" s="7"/>
      <c r="O170" s="8"/>
      <c r="P170" s="6"/>
      <c r="Q170" s="5"/>
      <c r="R170" s="5"/>
      <c r="S170" s="5"/>
      <c r="T170" s="5"/>
      <c r="U170" s="5"/>
      <c r="V170" s="5"/>
      <c r="W170" s="5" t="str">
        <f t="shared" si="4"/>
        <v/>
      </c>
      <c r="X170" s="8" t="str">
        <f t="shared" si="5"/>
        <v/>
      </c>
      <c r="Y170" s="9"/>
      <c r="Z170" s="10"/>
      <c r="AA170" s="10"/>
      <c r="AB170" s="8"/>
      <c r="AC170" s="10"/>
    </row>
    <row r="171" spans="1:29" s="11" customFormat="1" x14ac:dyDescent="0.3">
      <c r="A171" s="3"/>
      <c r="B171" s="39"/>
      <c r="C171" s="5"/>
      <c r="D171" s="5"/>
      <c r="E171" s="5"/>
      <c r="F171" s="5"/>
      <c r="G171" s="29"/>
      <c r="H171"/>
      <c r="I171" s="7"/>
      <c r="J171" s="7"/>
      <c r="K171" s="7"/>
      <c r="L171" s="8"/>
      <c r="M171" s="7"/>
      <c r="N171" s="7"/>
      <c r="O171" s="8"/>
      <c r="P171" s="6"/>
      <c r="Q171" s="5"/>
      <c r="R171" s="5"/>
      <c r="S171" s="5"/>
      <c r="T171" s="5"/>
      <c r="U171" s="5"/>
      <c r="V171" s="5"/>
      <c r="W171" s="5" t="str">
        <f t="shared" si="4"/>
        <v/>
      </c>
      <c r="X171" s="8" t="str">
        <f t="shared" si="5"/>
        <v/>
      </c>
      <c r="Y171" s="9"/>
      <c r="Z171" s="10"/>
      <c r="AA171" s="10"/>
      <c r="AB171" s="8"/>
      <c r="AC171" s="10"/>
    </row>
    <row r="172" spans="1:29" s="11" customFormat="1" x14ac:dyDescent="0.3">
      <c r="A172" s="3"/>
      <c r="B172" s="39"/>
      <c r="C172" s="5"/>
      <c r="D172" s="5"/>
      <c r="E172" s="5"/>
      <c r="F172" s="5"/>
      <c r="G172" s="29"/>
      <c r="H172"/>
      <c r="I172" s="7"/>
      <c r="J172" s="7"/>
      <c r="K172" s="7"/>
      <c r="L172" s="8"/>
      <c r="M172" s="7"/>
      <c r="N172" s="7"/>
      <c r="O172" s="8"/>
      <c r="P172" s="6"/>
      <c r="Q172" s="5"/>
      <c r="R172" s="5"/>
      <c r="S172" s="5"/>
      <c r="T172" s="5"/>
      <c r="U172" s="5"/>
      <c r="V172" s="5"/>
      <c r="W172" s="5" t="str">
        <f t="shared" si="4"/>
        <v/>
      </c>
      <c r="X172" s="8" t="str">
        <f t="shared" si="5"/>
        <v/>
      </c>
      <c r="Y172" s="9"/>
      <c r="Z172" s="10"/>
      <c r="AA172" s="10"/>
      <c r="AB172" s="8"/>
      <c r="AC172" s="10"/>
    </row>
    <row r="173" spans="1:29" s="11" customFormat="1" x14ac:dyDescent="0.3">
      <c r="A173" s="3"/>
      <c r="B173" s="39"/>
      <c r="C173" s="5"/>
      <c r="D173" s="5"/>
      <c r="E173" s="5"/>
      <c r="F173" s="5"/>
      <c r="G173" s="29"/>
      <c r="H173"/>
      <c r="I173" s="7"/>
      <c r="J173" s="7"/>
      <c r="K173" s="7"/>
      <c r="L173" s="8"/>
      <c r="M173" s="7"/>
      <c r="N173" s="7"/>
      <c r="O173" s="8"/>
      <c r="P173" s="6"/>
      <c r="Q173" s="5"/>
      <c r="R173" s="5"/>
      <c r="S173" s="5"/>
      <c r="T173" s="5"/>
      <c r="U173" s="5"/>
      <c r="V173" s="5"/>
      <c r="W173" s="5" t="str">
        <f t="shared" si="4"/>
        <v/>
      </c>
      <c r="X173" s="8" t="str">
        <f t="shared" si="5"/>
        <v/>
      </c>
      <c r="Y173" s="9"/>
      <c r="Z173" s="10"/>
      <c r="AA173" s="10"/>
      <c r="AB173" s="8"/>
      <c r="AC173" s="10"/>
    </row>
    <row r="174" spans="1:29" s="11" customFormat="1" x14ac:dyDescent="0.3">
      <c r="A174" s="3"/>
      <c r="B174" s="39"/>
      <c r="C174" s="5"/>
      <c r="D174" s="5"/>
      <c r="E174" s="5"/>
      <c r="F174" s="5"/>
      <c r="G174" s="29"/>
      <c r="H174"/>
      <c r="I174" s="7"/>
      <c r="J174" s="7"/>
      <c r="K174" s="7"/>
      <c r="L174" s="8"/>
      <c r="M174" s="7"/>
      <c r="N174" s="7"/>
      <c r="O174" s="8"/>
      <c r="P174" s="6"/>
      <c r="Q174" s="5"/>
      <c r="R174" s="5"/>
      <c r="S174" s="5"/>
      <c r="T174" s="5"/>
      <c r="U174" s="5"/>
      <c r="V174" s="5"/>
      <c r="W174" s="5" t="str">
        <f t="shared" si="4"/>
        <v/>
      </c>
      <c r="X174" s="8" t="str">
        <f t="shared" si="5"/>
        <v/>
      </c>
      <c r="Y174" s="9"/>
      <c r="Z174" s="10"/>
      <c r="AA174" s="10"/>
      <c r="AB174" s="8"/>
      <c r="AC174" s="10"/>
    </row>
    <row r="175" spans="1:29" s="11" customFormat="1" x14ac:dyDescent="0.3">
      <c r="A175" s="3"/>
      <c r="B175" s="39"/>
      <c r="C175" s="5"/>
      <c r="D175" s="5"/>
      <c r="E175" s="5"/>
      <c r="F175" s="5"/>
      <c r="G175" s="29"/>
      <c r="H175"/>
      <c r="I175" s="7"/>
      <c r="J175" s="7"/>
      <c r="K175" s="7"/>
      <c r="L175" s="8"/>
      <c r="M175" s="7"/>
      <c r="N175" s="7"/>
      <c r="O175" s="8"/>
      <c r="P175" s="6"/>
      <c r="Q175" s="5"/>
      <c r="R175" s="5"/>
      <c r="S175" s="5"/>
      <c r="T175" s="5"/>
      <c r="U175" s="5"/>
      <c r="V175" s="5"/>
      <c r="W175" s="5" t="str">
        <f t="shared" si="4"/>
        <v/>
      </c>
      <c r="X175" s="8" t="str">
        <f t="shared" si="5"/>
        <v/>
      </c>
      <c r="Y175" s="9"/>
      <c r="Z175" s="10"/>
      <c r="AA175" s="10"/>
      <c r="AB175" s="8"/>
      <c r="AC175" s="10"/>
    </row>
    <row r="176" spans="1:29" s="11" customFormat="1" x14ac:dyDescent="0.3">
      <c r="A176" s="3"/>
      <c r="B176" s="39"/>
      <c r="C176" s="5"/>
      <c r="D176" s="5"/>
      <c r="E176" s="5"/>
      <c r="F176" s="5"/>
      <c r="G176" s="29"/>
      <c r="H176"/>
      <c r="I176" s="7"/>
      <c r="J176" s="7"/>
      <c r="K176" s="7"/>
      <c r="L176" s="8"/>
      <c r="M176" s="7"/>
      <c r="N176" s="7"/>
      <c r="O176" s="8"/>
      <c r="P176" s="6"/>
      <c r="Q176" s="5"/>
      <c r="R176" s="5"/>
      <c r="S176" s="5"/>
      <c r="T176" s="5"/>
      <c r="U176" s="5"/>
      <c r="V176" s="5"/>
      <c r="W176" s="5" t="str">
        <f t="shared" si="4"/>
        <v/>
      </c>
      <c r="X176" s="8" t="str">
        <f t="shared" si="5"/>
        <v/>
      </c>
      <c r="Y176" s="9"/>
      <c r="Z176" s="10"/>
      <c r="AA176" s="10"/>
      <c r="AB176" s="8"/>
      <c r="AC176" s="10"/>
    </row>
    <row r="177" spans="1:29" s="11" customFormat="1" x14ac:dyDescent="0.3">
      <c r="A177" s="3"/>
      <c r="B177" s="39"/>
      <c r="C177" s="5"/>
      <c r="D177" s="5"/>
      <c r="E177" s="5"/>
      <c r="F177" s="5"/>
      <c r="G177" s="29"/>
      <c r="H177"/>
      <c r="I177" s="7"/>
      <c r="J177" s="7"/>
      <c r="K177" s="7"/>
      <c r="L177" s="8"/>
      <c r="M177" s="7"/>
      <c r="N177" s="7"/>
      <c r="O177" s="8"/>
      <c r="P177" s="6"/>
      <c r="Q177" s="5"/>
      <c r="R177" s="5"/>
      <c r="S177" s="5"/>
      <c r="T177" s="5"/>
      <c r="U177" s="5"/>
      <c r="V177" s="5"/>
      <c r="W177" s="5" t="str">
        <f t="shared" si="4"/>
        <v/>
      </c>
      <c r="X177" s="8" t="str">
        <f t="shared" si="5"/>
        <v/>
      </c>
      <c r="Y177" s="9"/>
      <c r="Z177" s="10"/>
      <c r="AA177" s="10"/>
      <c r="AB177" s="8"/>
      <c r="AC177" s="10"/>
    </row>
    <row r="178" spans="1:29" s="11" customFormat="1" x14ac:dyDescent="0.3">
      <c r="A178" s="3"/>
      <c r="B178" s="39"/>
      <c r="C178" s="5"/>
      <c r="D178" s="5"/>
      <c r="E178" s="5"/>
      <c r="F178" s="5"/>
      <c r="G178" s="29"/>
      <c r="H178"/>
      <c r="I178" s="7"/>
      <c r="J178" s="7"/>
      <c r="K178" s="7"/>
      <c r="L178" s="8"/>
      <c r="M178" s="7"/>
      <c r="N178" s="7"/>
      <c r="O178" s="8"/>
      <c r="P178" s="6"/>
      <c r="Q178" s="5"/>
      <c r="R178" s="5"/>
      <c r="S178" s="5"/>
      <c r="T178" s="5"/>
      <c r="U178" s="5"/>
      <c r="V178" s="5"/>
      <c r="W178" s="5" t="str">
        <f t="shared" si="4"/>
        <v/>
      </c>
      <c r="X178" s="8" t="str">
        <f t="shared" si="5"/>
        <v/>
      </c>
      <c r="Y178" s="9"/>
      <c r="Z178" s="10"/>
      <c r="AA178" s="10"/>
      <c r="AB178" s="8"/>
      <c r="AC178" s="10"/>
    </row>
    <row r="179" spans="1:29" s="11" customFormat="1" x14ac:dyDescent="0.3">
      <c r="A179" s="3"/>
      <c r="B179" s="39"/>
      <c r="C179" s="5"/>
      <c r="D179" s="5"/>
      <c r="E179" s="5"/>
      <c r="F179" s="5"/>
      <c r="G179" s="29"/>
      <c r="H179"/>
      <c r="I179" s="7"/>
      <c r="J179" s="7"/>
      <c r="K179" s="7"/>
      <c r="L179" s="8"/>
      <c r="M179" s="7"/>
      <c r="N179" s="7"/>
      <c r="O179" s="8"/>
      <c r="P179" s="6"/>
      <c r="Q179" s="5"/>
      <c r="R179" s="5"/>
      <c r="S179" s="5"/>
      <c r="T179" s="5"/>
      <c r="U179" s="5"/>
      <c r="V179" s="5"/>
      <c r="W179" s="5" t="str">
        <f t="shared" si="4"/>
        <v/>
      </c>
      <c r="X179" s="8" t="str">
        <f t="shared" si="5"/>
        <v/>
      </c>
      <c r="Y179" s="9"/>
      <c r="Z179" s="10"/>
      <c r="AA179" s="10"/>
      <c r="AB179" s="8"/>
      <c r="AC179" s="10"/>
    </row>
    <row r="180" spans="1:29" s="11" customFormat="1" x14ac:dyDescent="0.3">
      <c r="A180" s="3"/>
      <c r="B180" s="39"/>
      <c r="C180" s="5"/>
      <c r="D180" s="5"/>
      <c r="E180" s="5"/>
      <c r="F180" s="5"/>
      <c r="G180" s="29"/>
      <c r="H180"/>
      <c r="I180" s="7"/>
      <c r="J180" s="7"/>
      <c r="K180" s="7"/>
      <c r="L180" s="8"/>
      <c r="M180" s="7"/>
      <c r="N180" s="7"/>
      <c r="O180" s="8"/>
      <c r="P180" s="6"/>
      <c r="Q180" s="5"/>
      <c r="R180" s="5"/>
      <c r="S180" s="5"/>
      <c r="T180" s="5"/>
      <c r="U180" s="5"/>
      <c r="V180" s="5"/>
      <c r="W180" s="5" t="str">
        <f t="shared" si="4"/>
        <v/>
      </c>
      <c r="X180" s="8" t="str">
        <f t="shared" si="5"/>
        <v/>
      </c>
      <c r="Y180" s="9"/>
      <c r="Z180" s="10"/>
      <c r="AA180" s="10"/>
      <c r="AB180" s="8"/>
      <c r="AC180" s="10"/>
    </row>
    <row r="181" spans="1:29" s="11" customFormat="1" x14ac:dyDescent="0.3">
      <c r="A181" s="3"/>
      <c r="B181" s="39"/>
      <c r="C181" s="5"/>
      <c r="D181" s="5"/>
      <c r="E181" s="5"/>
      <c r="F181" s="5"/>
      <c r="G181" s="29"/>
      <c r="H181"/>
      <c r="I181" s="7"/>
      <c r="J181" s="7"/>
      <c r="K181" s="7"/>
      <c r="L181" s="8"/>
      <c r="M181" s="7"/>
      <c r="N181" s="7"/>
      <c r="O181" s="8"/>
      <c r="P181" s="6"/>
      <c r="Q181" s="5"/>
      <c r="R181" s="5"/>
      <c r="S181" s="5"/>
      <c r="T181" s="5"/>
      <c r="U181" s="5"/>
      <c r="V181" s="5"/>
      <c r="W181" s="5" t="str">
        <f t="shared" si="4"/>
        <v/>
      </c>
      <c r="X181" s="8" t="str">
        <f t="shared" si="5"/>
        <v/>
      </c>
      <c r="Y181" s="9"/>
      <c r="Z181" s="10"/>
      <c r="AA181" s="10"/>
      <c r="AB181" s="8"/>
      <c r="AC181" s="10"/>
    </row>
    <row r="182" spans="1:29" s="11" customFormat="1" x14ac:dyDescent="0.3">
      <c r="A182" s="3"/>
      <c r="B182" s="39"/>
      <c r="C182" s="5"/>
      <c r="D182" s="5"/>
      <c r="E182" s="5"/>
      <c r="F182" s="5"/>
      <c r="G182" s="29"/>
      <c r="H182"/>
      <c r="I182" s="7"/>
      <c r="J182" s="7"/>
      <c r="K182" s="7"/>
      <c r="L182" s="8"/>
      <c r="M182" s="7"/>
      <c r="N182" s="7"/>
      <c r="O182" s="8"/>
      <c r="P182" s="6"/>
      <c r="Q182" s="5"/>
      <c r="R182" s="5"/>
      <c r="S182" s="5"/>
      <c r="T182" s="5"/>
      <c r="U182" s="5"/>
      <c r="V182" s="5"/>
      <c r="W182" s="5" t="str">
        <f t="shared" si="4"/>
        <v/>
      </c>
      <c r="X182" s="8" t="str">
        <f t="shared" si="5"/>
        <v/>
      </c>
      <c r="Y182" s="9"/>
      <c r="Z182" s="10"/>
      <c r="AA182" s="10"/>
      <c r="AB182" s="8"/>
      <c r="AC182" s="10"/>
    </row>
    <row r="183" spans="1:29" s="11" customFormat="1" x14ac:dyDescent="0.3">
      <c r="A183" s="3"/>
      <c r="B183" s="39"/>
      <c r="C183" s="5"/>
      <c r="D183" s="5"/>
      <c r="E183" s="5"/>
      <c r="F183" s="5"/>
      <c r="G183" s="29"/>
      <c r="H183"/>
      <c r="I183" s="7"/>
      <c r="J183" s="7"/>
      <c r="K183" s="7"/>
      <c r="L183" s="8"/>
      <c r="M183" s="7"/>
      <c r="N183" s="7"/>
      <c r="O183" s="8"/>
      <c r="P183" s="6"/>
      <c r="Q183" s="5"/>
      <c r="R183" s="5"/>
      <c r="S183" s="5"/>
      <c r="T183" s="5"/>
      <c r="U183" s="5"/>
      <c r="V183" s="5"/>
      <c r="W183" s="5" t="str">
        <f t="shared" si="4"/>
        <v/>
      </c>
      <c r="X183" s="8" t="str">
        <f t="shared" si="5"/>
        <v/>
      </c>
      <c r="Y183" s="9"/>
      <c r="Z183" s="10"/>
      <c r="AA183" s="10"/>
      <c r="AB183" s="8"/>
      <c r="AC183" s="10"/>
    </row>
    <row r="184" spans="1:29" s="11" customFormat="1" x14ac:dyDescent="0.3">
      <c r="A184" s="3"/>
      <c r="B184" s="39"/>
      <c r="C184" s="5"/>
      <c r="D184" s="5"/>
      <c r="E184" s="5"/>
      <c r="F184" s="5"/>
      <c r="G184" s="29"/>
      <c r="H184"/>
      <c r="I184" s="7"/>
      <c r="J184" s="7"/>
      <c r="K184" s="7"/>
      <c r="L184" s="8"/>
      <c r="M184" s="7"/>
      <c r="N184" s="7"/>
      <c r="O184" s="8"/>
      <c r="P184" s="6"/>
      <c r="Q184" s="5"/>
      <c r="R184" s="5"/>
      <c r="S184" s="5"/>
      <c r="T184" s="5"/>
      <c r="U184" s="5"/>
      <c r="V184" s="5"/>
      <c r="W184" s="5" t="str">
        <f t="shared" si="4"/>
        <v/>
      </c>
      <c r="X184" s="8" t="str">
        <f t="shared" si="5"/>
        <v/>
      </c>
      <c r="Y184" s="9"/>
      <c r="Z184" s="10"/>
      <c r="AA184" s="10"/>
      <c r="AB184" s="8"/>
      <c r="AC184" s="10"/>
    </row>
    <row r="185" spans="1:29" s="11" customFormat="1" x14ac:dyDescent="0.3">
      <c r="A185" s="3"/>
      <c r="B185" s="39"/>
      <c r="C185" s="5"/>
      <c r="D185" s="5"/>
      <c r="E185" s="5"/>
      <c r="F185" s="5"/>
      <c r="G185" s="29"/>
      <c r="H185"/>
      <c r="I185" s="7"/>
      <c r="J185" s="7"/>
      <c r="K185" s="7"/>
      <c r="L185" s="8"/>
      <c r="M185" s="7"/>
      <c r="N185" s="7"/>
      <c r="O185" s="8"/>
      <c r="P185" s="6"/>
      <c r="Q185" s="5"/>
      <c r="R185" s="5"/>
      <c r="S185" s="5"/>
      <c r="T185" s="5"/>
      <c r="U185" s="5"/>
      <c r="V185" s="5"/>
      <c r="W185" s="5" t="str">
        <f t="shared" si="4"/>
        <v/>
      </c>
      <c r="X185" s="8" t="str">
        <f t="shared" si="5"/>
        <v/>
      </c>
      <c r="Y185" s="9"/>
      <c r="Z185" s="10"/>
      <c r="AA185" s="10"/>
      <c r="AB185" s="8"/>
      <c r="AC185" s="10"/>
    </row>
    <row r="186" spans="1:29" s="11" customFormat="1" x14ac:dyDescent="0.3">
      <c r="A186" s="3"/>
      <c r="B186" s="39"/>
      <c r="C186" s="5"/>
      <c r="D186" s="5"/>
      <c r="E186" s="5"/>
      <c r="F186" s="5"/>
      <c r="G186" s="29"/>
      <c r="H186"/>
      <c r="I186" s="7"/>
      <c r="J186" s="7"/>
      <c r="K186" s="7"/>
      <c r="L186" s="8"/>
      <c r="M186" s="7"/>
      <c r="N186" s="7"/>
      <c r="O186" s="8"/>
      <c r="P186" s="6"/>
      <c r="Q186" s="5"/>
      <c r="R186" s="5"/>
      <c r="S186" s="5"/>
      <c r="T186" s="5"/>
      <c r="U186" s="5"/>
      <c r="V186" s="5"/>
      <c r="W186" s="5" t="str">
        <f t="shared" si="4"/>
        <v/>
      </c>
      <c r="X186" s="8" t="str">
        <f t="shared" si="5"/>
        <v/>
      </c>
      <c r="Y186" s="9"/>
      <c r="Z186" s="10"/>
      <c r="AA186" s="10"/>
      <c r="AB186" s="8"/>
      <c r="AC186" s="10"/>
    </row>
    <row r="187" spans="1:29" s="11" customFormat="1" x14ac:dyDescent="0.3">
      <c r="A187" s="3"/>
      <c r="B187" s="39"/>
      <c r="C187" s="5"/>
      <c r="D187" s="5"/>
      <c r="E187" s="5"/>
      <c r="F187" s="5"/>
      <c r="G187" s="29"/>
      <c r="H187"/>
      <c r="I187" s="7"/>
      <c r="J187" s="7"/>
      <c r="K187" s="7"/>
      <c r="L187" s="8"/>
      <c r="M187" s="7"/>
      <c r="N187" s="7"/>
      <c r="O187" s="8"/>
      <c r="P187" s="6"/>
      <c r="Q187" s="5"/>
      <c r="R187" s="5"/>
      <c r="S187" s="5"/>
      <c r="T187" s="5"/>
      <c r="U187" s="5"/>
      <c r="V187" s="5"/>
      <c r="W187" s="5" t="str">
        <f t="shared" si="4"/>
        <v/>
      </c>
      <c r="X187" s="8" t="str">
        <f t="shared" si="5"/>
        <v/>
      </c>
      <c r="Y187" s="9"/>
      <c r="Z187" s="10"/>
      <c r="AA187" s="10"/>
      <c r="AB187" s="8"/>
      <c r="AC187" s="10"/>
    </row>
    <row r="188" spans="1:29" s="11" customFormat="1" x14ac:dyDescent="0.3">
      <c r="A188" s="3"/>
      <c r="B188" s="39"/>
      <c r="C188" s="5"/>
      <c r="D188" s="5"/>
      <c r="E188" s="5"/>
      <c r="F188" s="5"/>
      <c r="G188" s="29"/>
      <c r="H188"/>
      <c r="I188" s="7"/>
      <c r="J188" s="7"/>
      <c r="K188" s="7"/>
      <c r="L188" s="8"/>
      <c r="M188" s="7"/>
      <c r="N188" s="7"/>
      <c r="O188" s="8"/>
      <c r="P188" s="6"/>
      <c r="Q188" s="5"/>
      <c r="R188" s="5"/>
      <c r="S188" s="5"/>
      <c r="T188" s="5"/>
      <c r="U188" s="5"/>
      <c r="V188" s="5"/>
      <c r="W188" s="5" t="str">
        <f t="shared" si="4"/>
        <v/>
      </c>
      <c r="X188" s="8" t="str">
        <f t="shared" si="5"/>
        <v/>
      </c>
      <c r="Y188" s="9"/>
      <c r="Z188" s="10"/>
      <c r="AA188" s="10"/>
      <c r="AB188" s="8"/>
      <c r="AC188" s="10"/>
    </row>
    <row r="189" spans="1:29" s="11" customFormat="1" x14ac:dyDescent="0.3">
      <c r="A189" s="3"/>
      <c r="B189" s="39"/>
      <c r="C189" s="5"/>
      <c r="D189" s="5"/>
      <c r="E189" s="5"/>
      <c r="F189" s="5"/>
      <c r="G189" s="29"/>
      <c r="H189"/>
      <c r="I189" s="7"/>
      <c r="J189" s="7"/>
      <c r="K189" s="7"/>
      <c r="L189" s="8"/>
      <c r="M189" s="7"/>
      <c r="N189" s="7"/>
      <c r="O189" s="8"/>
      <c r="P189" s="6"/>
      <c r="Q189" s="5"/>
      <c r="R189" s="5"/>
      <c r="S189" s="5"/>
      <c r="T189" s="5"/>
      <c r="U189" s="5"/>
      <c r="V189" s="5"/>
      <c r="W189" s="5" t="str">
        <f t="shared" si="4"/>
        <v/>
      </c>
      <c r="X189" s="8" t="str">
        <f t="shared" si="5"/>
        <v/>
      </c>
      <c r="Y189" s="9"/>
      <c r="Z189" s="10"/>
      <c r="AA189" s="10"/>
      <c r="AB189" s="8"/>
      <c r="AC189" s="10"/>
    </row>
    <row r="190" spans="1:29" s="11" customFormat="1" x14ac:dyDescent="0.3">
      <c r="A190" s="3"/>
      <c r="B190" s="39"/>
      <c r="C190" s="5"/>
      <c r="D190" s="5"/>
      <c r="E190" s="5"/>
      <c r="F190" s="5"/>
      <c r="G190" s="29"/>
      <c r="H190"/>
      <c r="I190" s="7"/>
      <c r="J190" s="7"/>
      <c r="K190" s="7"/>
      <c r="L190" s="8"/>
      <c r="M190" s="7"/>
      <c r="N190" s="7"/>
      <c r="O190" s="8"/>
      <c r="P190" s="6"/>
      <c r="Q190" s="5"/>
      <c r="R190" s="5"/>
      <c r="S190" s="5"/>
      <c r="T190" s="5"/>
      <c r="U190" s="5"/>
      <c r="V190" s="5"/>
      <c r="W190" s="5" t="str">
        <f t="shared" si="4"/>
        <v/>
      </c>
      <c r="X190" s="8" t="str">
        <f t="shared" si="5"/>
        <v/>
      </c>
      <c r="Y190" s="9"/>
      <c r="Z190" s="10"/>
      <c r="AA190" s="10"/>
      <c r="AB190" s="8"/>
      <c r="AC190" s="10"/>
    </row>
    <row r="191" spans="1:29" s="11" customFormat="1" x14ac:dyDescent="0.3">
      <c r="A191" s="3"/>
      <c r="B191" s="39"/>
      <c r="C191" s="5"/>
      <c r="D191" s="5"/>
      <c r="E191" s="5"/>
      <c r="F191" s="5"/>
      <c r="G191" s="29"/>
      <c r="H191"/>
      <c r="I191" s="7"/>
      <c r="J191" s="7"/>
      <c r="K191" s="7"/>
      <c r="L191" s="8"/>
      <c r="M191" s="7"/>
      <c r="N191" s="7"/>
      <c r="O191" s="8"/>
      <c r="P191" s="6"/>
      <c r="Q191" s="5"/>
      <c r="R191" s="5"/>
      <c r="S191" s="5"/>
      <c r="T191" s="5"/>
      <c r="U191" s="5"/>
      <c r="V191" s="5"/>
      <c r="W191" s="5" t="str">
        <f t="shared" si="4"/>
        <v/>
      </c>
      <c r="X191" s="8" t="str">
        <f t="shared" si="5"/>
        <v/>
      </c>
      <c r="Y191" s="9"/>
      <c r="Z191" s="10"/>
      <c r="AA191" s="10"/>
      <c r="AB191" s="8"/>
      <c r="AC191" s="10"/>
    </row>
    <row r="192" spans="1:29" s="11" customFormat="1" x14ac:dyDescent="0.3">
      <c r="A192" s="3"/>
      <c r="B192" s="39"/>
      <c r="C192" s="5"/>
      <c r="D192" s="5"/>
      <c r="E192" s="5"/>
      <c r="F192" s="5"/>
      <c r="G192" s="29"/>
      <c r="H192"/>
      <c r="I192" s="7"/>
      <c r="J192" s="7"/>
      <c r="K192" s="7"/>
      <c r="L192" s="8"/>
      <c r="M192" s="7"/>
      <c r="N192" s="7"/>
      <c r="O192" s="8"/>
      <c r="P192" s="6"/>
      <c r="Q192" s="5"/>
      <c r="R192" s="5"/>
      <c r="S192" s="5"/>
      <c r="T192" s="5"/>
      <c r="U192" s="5"/>
      <c r="V192" s="5"/>
      <c r="W192" s="5" t="str">
        <f t="shared" si="4"/>
        <v/>
      </c>
      <c r="X192" s="8" t="str">
        <f t="shared" si="5"/>
        <v/>
      </c>
      <c r="Y192" s="9"/>
      <c r="Z192" s="10"/>
      <c r="AA192" s="10"/>
      <c r="AB192" s="8"/>
      <c r="AC192" s="10"/>
    </row>
    <row r="193" spans="1:29" s="11" customFormat="1" x14ac:dyDescent="0.3">
      <c r="A193" s="3"/>
      <c r="B193" s="39"/>
      <c r="C193" s="5"/>
      <c r="D193" s="5"/>
      <c r="E193" s="5"/>
      <c r="F193" s="5"/>
      <c r="G193" s="29"/>
      <c r="H193"/>
      <c r="I193" s="7"/>
      <c r="J193" s="7"/>
      <c r="K193" s="7"/>
      <c r="L193" s="8"/>
      <c r="M193" s="7"/>
      <c r="N193" s="7"/>
      <c r="O193" s="8"/>
      <c r="P193" s="6"/>
      <c r="Q193" s="5"/>
      <c r="R193" s="5"/>
      <c r="S193" s="5"/>
      <c r="T193" s="5"/>
      <c r="U193" s="5"/>
      <c r="V193" s="5"/>
      <c r="W193" s="5" t="str">
        <f t="shared" si="4"/>
        <v/>
      </c>
      <c r="X193" s="8" t="str">
        <f t="shared" si="5"/>
        <v/>
      </c>
      <c r="Y193" s="9"/>
      <c r="Z193" s="10"/>
      <c r="AA193" s="10"/>
      <c r="AB193" s="8"/>
      <c r="AC193" s="10"/>
    </row>
    <row r="194" spans="1:29" s="11" customFormat="1" x14ac:dyDescent="0.3">
      <c r="A194" s="3"/>
      <c r="B194" s="39"/>
      <c r="C194" s="5"/>
      <c r="D194" s="5"/>
      <c r="E194" s="5"/>
      <c r="F194" s="5"/>
      <c r="G194" s="29"/>
      <c r="H194"/>
      <c r="I194" s="7"/>
      <c r="J194" s="7"/>
      <c r="K194" s="7"/>
      <c r="L194" s="8"/>
      <c r="M194" s="7"/>
      <c r="N194" s="7"/>
      <c r="O194" s="8"/>
      <c r="P194" s="6"/>
      <c r="Q194" s="5"/>
      <c r="R194" s="5"/>
      <c r="S194" s="5"/>
      <c r="T194" s="5"/>
      <c r="U194" s="5"/>
      <c r="V194" s="5"/>
      <c r="W194" s="5" t="str">
        <f t="shared" si="4"/>
        <v/>
      </c>
      <c r="X194" s="8" t="str">
        <f t="shared" si="5"/>
        <v/>
      </c>
      <c r="Y194" s="9"/>
      <c r="Z194" s="10"/>
      <c r="AA194" s="10"/>
      <c r="AB194" s="8"/>
      <c r="AC194" s="10"/>
    </row>
    <row r="195" spans="1:29" s="11" customFormat="1" x14ac:dyDescent="0.3">
      <c r="A195" s="3"/>
      <c r="B195" s="39"/>
      <c r="C195" s="5"/>
      <c r="D195" s="5"/>
      <c r="E195" s="5"/>
      <c r="F195" s="5"/>
      <c r="G195" s="29"/>
      <c r="H195"/>
      <c r="I195" s="7"/>
      <c r="J195" s="7"/>
      <c r="K195" s="7"/>
      <c r="L195" s="8"/>
      <c r="M195" s="7"/>
      <c r="N195" s="7"/>
      <c r="O195" s="8"/>
      <c r="P195" s="6"/>
      <c r="Q195" s="5"/>
      <c r="R195" s="5"/>
      <c r="S195" s="5"/>
      <c r="T195" s="5"/>
      <c r="U195" s="5"/>
      <c r="V195" s="5"/>
      <c r="W195" s="5" t="str">
        <f t="shared" si="4"/>
        <v/>
      </c>
      <c r="X195" s="8" t="str">
        <f t="shared" si="5"/>
        <v/>
      </c>
      <c r="Y195" s="9"/>
      <c r="Z195" s="10"/>
      <c r="AA195" s="10"/>
      <c r="AB195" s="8"/>
      <c r="AC195" s="10"/>
    </row>
    <row r="196" spans="1:29" s="11" customFormat="1" x14ac:dyDescent="0.3">
      <c r="A196" s="3"/>
      <c r="B196" s="39"/>
      <c r="C196" s="5"/>
      <c r="D196" s="5"/>
      <c r="E196" s="5"/>
      <c r="F196" s="5"/>
      <c r="G196" s="29"/>
      <c r="H196"/>
      <c r="I196" s="7"/>
      <c r="J196" s="7"/>
      <c r="K196" s="7"/>
      <c r="L196" s="8"/>
      <c r="M196" s="7"/>
      <c r="N196" s="7"/>
      <c r="O196" s="8"/>
      <c r="P196" s="6"/>
      <c r="Q196" s="5"/>
      <c r="R196" s="5"/>
      <c r="S196" s="5"/>
      <c r="T196" s="5"/>
      <c r="U196" s="5"/>
      <c r="V196" s="5"/>
      <c r="W196" s="5" t="str">
        <f t="shared" si="4"/>
        <v/>
      </c>
      <c r="X196" s="8" t="str">
        <f t="shared" si="5"/>
        <v/>
      </c>
      <c r="Y196" s="9"/>
      <c r="Z196" s="10"/>
      <c r="AA196" s="10"/>
      <c r="AB196" s="8"/>
      <c r="AC196" s="10"/>
    </row>
    <row r="197" spans="1:29" s="11" customFormat="1" x14ac:dyDescent="0.3">
      <c r="A197" s="3"/>
      <c r="B197" s="39"/>
      <c r="C197" s="5"/>
      <c r="D197" s="5"/>
      <c r="E197" s="5"/>
      <c r="F197" s="5"/>
      <c r="G197" s="29"/>
      <c r="H197"/>
      <c r="I197" s="7"/>
      <c r="J197" s="7"/>
      <c r="K197" s="7"/>
      <c r="L197" s="8"/>
      <c r="M197" s="7"/>
      <c r="N197" s="7"/>
      <c r="O197" s="8"/>
      <c r="P197" s="6"/>
      <c r="Q197" s="5"/>
      <c r="R197" s="5"/>
      <c r="S197" s="5"/>
      <c r="T197" s="5"/>
      <c r="U197" s="5"/>
      <c r="V197" s="5"/>
      <c r="W197" s="5" t="str">
        <f t="shared" si="4"/>
        <v/>
      </c>
      <c r="X197" s="8" t="str">
        <f t="shared" si="5"/>
        <v/>
      </c>
      <c r="Y197" s="9"/>
      <c r="Z197" s="10"/>
      <c r="AA197" s="10"/>
      <c r="AB197" s="8"/>
      <c r="AC197" s="10"/>
    </row>
    <row r="198" spans="1:29" s="11" customFormat="1" x14ac:dyDescent="0.3">
      <c r="A198" s="3"/>
      <c r="B198" s="39"/>
      <c r="C198" s="5"/>
      <c r="D198" s="5"/>
      <c r="E198" s="5"/>
      <c r="F198" s="5"/>
      <c r="G198" s="29"/>
      <c r="H198"/>
      <c r="I198" s="7"/>
      <c r="J198" s="7"/>
      <c r="K198" s="7"/>
      <c r="L198" s="8"/>
      <c r="M198" s="7"/>
      <c r="N198" s="7"/>
      <c r="O198" s="8"/>
      <c r="P198" s="6"/>
      <c r="Q198" s="5"/>
      <c r="R198" s="5"/>
      <c r="S198" s="5"/>
      <c r="T198" s="5"/>
      <c r="U198" s="5"/>
      <c r="V198" s="5"/>
      <c r="W198" s="5" t="str">
        <f t="shared" si="4"/>
        <v/>
      </c>
      <c r="X198" s="8" t="str">
        <f t="shared" si="5"/>
        <v/>
      </c>
      <c r="Y198" s="9"/>
      <c r="Z198" s="10"/>
      <c r="AA198" s="10"/>
      <c r="AB198" s="8"/>
      <c r="AC198" s="10"/>
    </row>
    <row r="199" spans="1:29" s="11" customFormat="1" x14ac:dyDescent="0.3">
      <c r="A199" s="3"/>
      <c r="B199" s="39"/>
      <c r="C199" s="5"/>
      <c r="D199" s="5"/>
      <c r="E199" s="5"/>
      <c r="F199" s="5"/>
      <c r="G199" s="29"/>
      <c r="H199"/>
      <c r="I199" s="7"/>
      <c r="J199" s="7"/>
      <c r="K199" s="7"/>
      <c r="L199" s="8"/>
      <c r="M199" s="7"/>
      <c r="N199" s="7"/>
      <c r="O199" s="8"/>
      <c r="P199" s="6"/>
      <c r="Q199" s="5"/>
      <c r="R199" s="5"/>
      <c r="S199" s="5"/>
      <c r="T199" s="5"/>
      <c r="U199" s="5"/>
      <c r="V199" s="5"/>
      <c r="W199" s="5" t="str">
        <f t="shared" si="4"/>
        <v/>
      </c>
      <c r="X199" s="8" t="str">
        <f t="shared" si="5"/>
        <v/>
      </c>
      <c r="Y199" s="9"/>
      <c r="Z199" s="10"/>
      <c r="AA199" s="10"/>
      <c r="AB199" s="8"/>
      <c r="AC199" s="10"/>
    </row>
    <row r="200" spans="1:29" s="11" customFormat="1" x14ac:dyDescent="0.3">
      <c r="A200" s="3"/>
      <c r="B200" s="39"/>
      <c r="C200" s="5"/>
      <c r="D200" s="5"/>
      <c r="E200" s="5"/>
      <c r="F200" s="5"/>
      <c r="G200" s="29"/>
      <c r="H200"/>
      <c r="I200" s="7"/>
      <c r="J200" s="7"/>
      <c r="K200" s="7"/>
      <c r="L200" s="8"/>
      <c r="M200" s="7"/>
      <c r="N200" s="7"/>
      <c r="O200" s="8"/>
      <c r="P200" s="6"/>
      <c r="Q200" s="5"/>
      <c r="R200" s="5"/>
      <c r="S200" s="5"/>
      <c r="T200" s="5"/>
      <c r="U200" s="5"/>
      <c r="V200" s="5"/>
      <c r="W200" s="5" t="str">
        <f t="shared" si="4"/>
        <v/>
      </c>
      <c r="X200" s="8" t="str">
        <f t="shared" si="5"/>
        <v/>
      </c>
      <c r="Y200" s="9"/>
      <c r="Z200" s="10"/>
      <c r="AA200" s="10"/>
      <c r="AB200" s="8"/>
      <c r="AC200" s="10"/>
    </row>
    <row r="201" spans="1:29" s="11" customFormat="1" x14ac:dyDescent="0.3">
      <c r="A201" s="3"/>
      <c r="B201" s="39"/>
      <c r="C201" s="5"/>
      <c r="D201" s="5"/>
      <c r="E201" s="5"/>
      <c r="F201" s="5"/>
      <c r="G201" s="29"/>
      <c r="H201"/>
      <c r="I201" s="7"/>
      <c r="J201" s="7"/>
      <c r="K201" s="7"/>
      <c r="L201" s="8"/>
      <c r="M201" s="7"/>
      <c r="N201" s="7"/>
      <c r="O201" s="8"/>
      <c r="P201" s="6"/>
      <c r="Q201" s="5"/>
      <c r="R201" s="5"/>
      <c r="S201" s="5"/>
      <c r="T201" s="5"/>
      <c r="U201" s="5"/>
      <c r="V201" s="5"/>
      <c r="W201" s="5" t="str">
        <f t="shared" si="4"/>
        <v/>
      </c>
      <c r="X201" s="8" t="str">
        <f t="shared" si="5"/>
        <v/>
      </c>
      <c r="Y201" s="9"/>
      <c r="Z201" s="10"/>
      <c r="AA201" s="10"/>
      <c r="AB201" s="8"/>
      <c r="AC201" s="10"/>
    </row>
    <row r="202" spans="1:29" s="11" customFormat="1" x14ac:dyDescent="0.3">
      <c r="A202" s="3"/>
      <c r="B202" s="39"/>
      <c r="C202" s="5"/>
      <c r="D202" s="5"/>
      <c r="E202" s="5"/>
      <c r="F202" s="5"/>
      <c r="G202" s="29"/>
      <c r="H202"/>
      <c r="I202" s="7"/>
      <c r="J202" s="7"/>
      <c r="K202" s="7"/>
      <c r="L202" s="8"/>
      <c r="M202" s="7"/>
      <c r="N202" s="7"/>
      <c r="O202" s="8"/>
      <c r="P202" s="6"/>
      <c r="Q202" s="5"/>
      <c r="R202" s="5"/>
      <c r="S202" s="5"/>
      <c r="T202" s="5"/>
      <c r="U202" s="5"/>
      <c r="V202" s="5"/>
      <c r="W202" s="5" t="str">
        <f t="shared" si="4"/>
        <v/>
      </c>
      <c r="X202" s="8" t="str">
        <f t="shared" si="5"/>
        <v/>
      </c>
      <c r="Y202" s="9"/>
      <c r="Z202" s="10"/>
      <c r="AA202" s="10"/>
      <c r="AB202" s="8"/>
      <c r="AC202" s="10"/>
    </row>
    <row r="203" spans="1:29" s="11" customFormat="1" x14ac:dyDescent="0.3">
      <c r="A203" s="3"/>
      <c r="B203" s="39"/>
      <c r="C203" s="5"/>
      <c r="D203" s="5"/>
      <c r="E203" s="5"/>
      <c r="F203" s="5"/>
      <c r="G203" s="29"/>
      <c r="H203"/>
      <c r="I203" s="7"/>
      <c r="J203" s="7"/>
      <c r="K203" s="7"/>
      <c r="L203" s="8"/>
      <c r="M203" s="7"/>
      <c r="N203" s="7"/>
      <c r="O203" s="8"/>
      <c r="P203" s="6"/>
      <c r="Q203" s="5"/>
      <c r="R203" s="5"/>
      <c r="S203" s="5"/>
      <c r="T203" s="5"/>
      <c r="U203" s="5"/>
      <c r="V203" s="5"/>
      <c r="W203" s="5" t="str">
        <f t="shared" si="4"/>
        <v/>
      </c>
      <c r="X203" s="8" t="str">
        <f t="shared" si="5"/>
        <v/>
      </c>
      <c r="Y203" s="9"/>
      <c r="Z203" s="10"/>
      <c r="AA203" s="10"/>
      <c r="AB203" s="8"/>
      <c r="AC203" s="10"/>
    </row>
    <row r="204" spans="1:29" s="11" customFormat="1" x14ac:dyDescent="0.3">
      <c r="A204" s="3"/>
      <c r="B204" s="39"/>
      <c r="C204" s="5"/>
      <c r="D204" s="5"/>
      <c r="E204" s="5"/>
      <c r="F204" s="5"/>
      <c r="G204" s="29"/>
      <c r="H204"/>
      <c r="I204" s="7"/>
      <c r="J204" s="7"/>
      <c r="K204" s="7"/>
      <c r="L204" s="8"/>
      <c r="M204" s="7"/>
      <c r="N204" s="7"/>
      <c r="O204" s="8"/>
      <c r="P204" s="6"/>
      <c r="Q204" s="5"/>
      <c r="R204" s="5"/>
      <c r="S204" s="5"/>
      <c r="T204" s="5"/>
      <c r="U204" s="5"/>
      <c r="V204" s="5"/>
      <c r="W204" s="5" t="str">
        <f t="shared" si="4"/>
        <v/>
      </c>
      <c r="X204" s="8" t="str">
        <f t="shared" si="5"/>
        <v/>
      </c>
      <c r="Y204" s="9"/>
      <c r="Z204" s="10"/>
      <c r="AA204" s="10"/>
      <c r="AB204" s="8"/>
      <c r="AC204" s="10"/>
    </row>
    <row r="205" spans="1:29" s="11" customFormat="1" x14ac:dyDescent="0.3">
      <c r="A205" s="3"/>
      <c r="B205" s="39"/>
      <c r="C205" s="5"/>
      <c r="D205" s="5"/>
      <c r="E205" s="5"/>
      <c r="F205" s="5"/>
      <c r="G205" s="29"/>
      <c r="H205"/>
      <c r="I205" s="7"/>
      <c r="J205" s="7"/>
      <c r="K205" s="7"/>
      <c r="L205" s="8"/>
      <c r="M205" s="7"/>
      <c r="N205" s="7"/>
      <c r="O205" s="8"/>
      <c r="P205" s="6"/>
      <c r="Q205" s="5"/>
      <c r="R205" s="5"/>
      <c r="S205" s="5"/>
      <c r="T205" s="5"/>
      <c r="U205" s="5"/>
      <c r="V205" s="5"/>
      <c r="W205" s="5" t="str">
        <f t="shared" si="4"/>
        <v/>
      </c>
      <c r="X205" s="8" t="str">
        <f t="shared" si="5"/>
        <v/>
      </c>
      <c r="Y205" s="9"/>
      <c r="Z205" s="10"/>
      <c r="AA205" s="10"/>
      <c r="AB205" s="8"/>
      <c r="AC205" s="10"/>
    </row>
    <row r="206" spans="1:29" s="11" customFormat="1" x14ac:dyDescent="0.3">
      <c r="A206" s="3"/>
      <c r="B206" s="39"/>
      <c r="C206" s="5"/>
      <c r="D206" s="5"/>
      <c r="E206" s="5"/>
      <c r="F206" s="5"/>
      <c r="G206" s="29"/>
      <c r="H206"/>
      <c r="I206" s="7"/>
      <c r="J206" s="7"/>
      <c r="K206" s="7"/>
      <c r="L206" s="8"/>
      <c r="M206" s="7"/>
      <c r="N206" s="7"/>
      <c r="O206" s="8"/>
      <c r="P206" s="6"/>
      <c r="Q206" s="5"/>
      <c r="R206" s="5"/>
      <c r="S206" s="5"/>
      <c r="T206" s="5"/>
      <c r="U206" s="5"/>
      <c r="V206" s="5"/>
      <c r="W206" s="5" t="str">
        <f t="shared" si="4"/>
        <v/>
      </c>
      <c r="X206" s="8" t="str">
        <f t="shared" si="5"/>
        <v/>
      </c>
      <c r="Y206" s="9"/>
      <c r="Z206" s="10"/>
      <c r="AA206" s="10"/>
      <c r="AB206" s="8"/>
      <c r="AC206" s="10"/>
    </row>
    <row r="207" spans="1:29" s="11" customFormat="1" x14ac:dyDescent="0.3">
      <c r="A207" s="3"/>
      <c r="B207" s="39"/>
      <c r="C207" s="5"/>
      <c r="D207" s="5"/>
      <c r="E207" s="5"/>
      <c r="F207" s="5"/>
      <c r="G207" s="29"/>
      <c r="H207"/>
      <c r="I207" s="7"/>
      <c r="J207" s="7"/>
      <c r="K207" s="7"/>
      <c r="L207" s="8"/>
      <c r="M207" s="7"/>
      <c r="N207" s="7"/>
      <c r="O207" s="8"/>
      <c r="P207" s="6"/>
      <c r="Q207" s="5"/>
      <c r="R207" s="5"/>
      <c r="S207" s="5"/>
      <c r="T207" s="5"/>
      <c r="U207" s="5"/>
      <c r="V207" s="5"/>
      <c r="W207" s="5" t="str">
        <f t="shared" si="4"/>
        <v/>
      </c>
      <c r="X207" s="8"/>
      <c r="Y207" s="9"/>
      <c r="Z207" s="10"/>
      <c r="AA207" s="10"/>
      <c r="AB207" s="8"/>
      <c r="AC207" s="10"/>
    </row>
    <row r="208" spans="1:29" s="11" customFormat="1" x14ac:dyDescent="0.3">
      <c r="A208" s="3"/>
      <c r="B208" s="39"/>
      <c r="C208" s="5"/>
      <c r="D208" s="5"/>
      <c r="E208" s="5"/>
      <c r="F208" s="5"/>
      <c r="G208" s="29"/>
      <c r="H208"/>
      <c r="I208" s="7"/>
      <c r="J208" s="7"/>
      <c r="K208" s="7"/>
      <c r="L208" s="8"/>
      <c r="M208" s="7"/>
      <c r="N208" s="7"/>
      <c r="O208" s="8"/>
      <c r="P208" s="6"/>
      <c r="Q208" s="5"/>
      <c r="R208" s="5"/>
      <c r="S208" s="5"/>
      <c r="T208" s="5"/>
      <c r="U208" s="5"/>
      <c r="V208" s="5"/>
      <c r="W208" s="5"/>
      <c r="X208" s="8"/>
      <c r="Y208" s="9"/>
      <c r="Z208" s="10"/>
      <c r="AA208" s="10"/>
      <c r="AB208" s="8"/>
      <c r="AC208" s="10"/>
    </row>
    <row r="209" spans="1:29" s="11" customFormat="1" x14ac:dyDescent="0.3">
      <c r="A209" s="3"/>
      <c r="B209" s="39"/>
      <c r="C209" s="5"/>
      <c r="D209" s="5"/>
      <c r="E209" s="5"/>
      <c r="F209" s="5"/>
      <c r="G209" s="29"/>
      <c r="H209"/>
      <c r="I209" s="7"/>
      <c r="J209" s="7"/>
      <c r="K209" s="7"/>
      <c r="L209" s="8"/>
      <c r="M209" s="7"/>
      <c r="N209" s="7"/>
      <c r="O209" s="8"/>
      <c r="P209" s="6"/>
      <c r="Q209" s="5"/>
      <c r="R209" s="5"/>
      <c r="S209" s="5"/>
      <c r="T209" s="5"/>
      <c r="U209" s="5"/>
      <c r="V209" s="5"/>
      <c r="W209" s="5"/>
      <c r="X209" s="8"/>
      <c r="Y209" s="9"/>
      <c r="Z209" s="10"/>
      <c r="AA209" s="10"/>
      <c r="AB209" s="8"/>
      <c r="AC209" s="10"/>
    </row>
    <row r="210" spans="1:29" s="11" customFormat="1" x14ac:dyDescent="0.3">
      <c r="A210" s="3"/>
      <c r="B210" s="39"/>
      <c r="C210" s="5"/>
      <c r="D210" s="5"/>
      <c r="E210" s="5"/>
      <c r="F210" s="5"/>
      <c r="G210" s="29"/>
      <c r="H210"/>
      <c r="I210" s="7"/>
      <c r="J210" s="7"/>
      <c r="K210" s="7"/>
      <c r="L210" s="8"/>
      <c r="M210" s="7"/>
      <c r="N210" s="7"/>
      <c r="O210" s="8"/>
      <c r="P210" s="6"/>
      <c r="Q210" s="5"/>
      <c r="R210" s="5"/>
      <c r="S210" s="5"/>
      <c r="T210" s="5"/>
      <c r="U210" s="5"/>
      <c r="V210" s="5"/>
      <c r="W210" s="5"/>
      <c r="X210" s="8"/>
      <c r="Y210" s="9"/>
      <c r="Z210" s="10"/>
      <c r="AA210" s="10"/>
      <c r="AB210" s="8"/>
      <c r="AC210" s="10"/>
    </row>
    <row r="211" spans="1:29" s="11" customFormat="1" x14ac:dyDescent="0.3">
      <c r="A211" s="3"/>
      <c r="B211" s="39"/>
      <c r="C211" s="5"/>
      <c r="D211" s="5"/>
      <c r="E211" s="5"/>
      <c r="F211" s="5"/>
      <c r="G211" s="29"/>
      <c r="H211"/>
      <c r="I211" s="7"/>
      <c r="J211" s="7"/>
      <c r="K211" s="7"/>
      <c r="L211" s="8"/>
      <c r="M211" s="7"/>
      <c r="N211" s="7"/>
      <c r="O211" s="8"/>
      <c r="P211" s="6"/>
      <c r="Q211" s="5"/>
      <c r="R211" s="5"/>
      <c r="S211" s="5"/>
      <c r="T211" s="5"/>
      <c r="U211" s="5"/>
      <c r="V211" s="5"/>
      <c r="W211" s="5"/>
      <c r="X211" s="8"/>
      <c r="Y211" s="9"/>
      <c r="Z211" s="10"/>
      <c r="AA211" s="10"/>
      <c r="AB211" s="8"/>
      <c r="AC211" s="10"/>
    </row>
    <row r="212" spans="1:29" s="11" customFormat="1" x14ac:dyDescent="0.3">
      <c r="A212" s="3"/>
      <c r="B212" s="39"/>
      <c r="C212" s="5"/>
      <c r="D212" s="5"/>
      <c r="E212" s="5"/>
      <c r="F212" s="5"/>
      <c r="G212" s="29"/>
      <c r="H212"/>
      <c r="I212" s="7"/>
      <c r="J212" s="7"/>
      <c r="K212" s="7"/>
      <c r="L212" s="8"/>
      <c r="M212" s="7"/>
      <c r="N212" s="7"/>
      <c r="O212" s="8"/>
      <c r="P212" s="6"/>
      <c r="Q212" s="5"/>
      <c r="R212" s="5"/>
      <c r="S212" s="5"/>
      <c r="T212" s="5"/>
      <c r="U212" s="5"/>
      <c r="V212" s="5"/>
      <c r="W212" s="5"/>
      <c r="X212" s="8"/>
      <c r="Y212" s="9"/>
      <c r="Z212" s="10"/>
      <c r="AA212" s="10"/>
      <c r="AB212" s="8"/>
      <c r="AC212" s="10"/>
    </row>
    <row r="213" spans="1:29" s="4" customFormat="1" x14ac:dyDescent="0.3">
      <c r="A213" s="3"/>
      <c r="B213" s="39"/>
      <c r="C213" s="5"/>
      <c r="D213" s="5"/>
      <c r="E213" s="5"/>
      <c r="F213" s="5"/>
      <c r="G213" s="29"/>
      <c r="H213"/>
      <c r="I213" s="7"/>
      <c r="J213" s="7"/>
      <c r="K213" s="7"/>
      <c r="L213" s="8"/>
      <c r="M213" s="7"/>
      <c r="N213" s="7"/>
      <c r="O213" s="8"/>
      <c r="P213" s="6"/>
      <c r="Q213" s="5"/>
      <c r="R213" s="5"/>
      <c r="S213" s="5"/>
      <c r="T213" s="5"/>
      <c r="U213" s="5"/>
      <c r="V213" s="5"/>
      <c r="W213" s="5"/>
      <c r="X213" s="8"/>
      <c r="Y213" s="9"/>
      <c r="Z213" s="10"/>
      <c r="AA213" s="10"/>
      <c r="AB213" s="8"/>
      <c r="AC213" s="10"/>
    </row>
    <row r="214" spans="1:29" s="4" customFormat="1" x14ac:dyDescent="0.3">
      <c r="A214" s="3"/>
      <c r="B214" s="39"/>
      <c r="C214" s="5"/>
      <c r="D214" s="5"/>
      <c r="E214" s="5"/>
      <c r="F214" s="5"/>
      <c r="G214" s="29"/>
      <c r="H214"/>
      <c r="I214" s="7"/>
      <c r="J214" s="7"/>
      <c r="K214" s="7"/>
      <c r="L214" s="8"/>
      <c r="M214" s="7"/>
      <c r="N214" s="7"/>
      <c r="O214" s="8"/>
      <c r="P214" s="6"/>
      <c r="Q214" s="5"/>
      <c r="R214" s="5"/>
      <c r="S214" s="5"/>
      <c r="T214" s="5"/>
      <c r="U214" s="5"/>
      <c r="V214" s="5"/>
      <c r="W214" s="5"/>
      <c r="X214" s="8"/>
      <c r="Y214" s="9"/>
      <c r="Z214" s="10"/>
      <c r="AA214" s="10"/>
      <c r="AB214" s="8"/>
      <c r="AC214" s="10"/>
    </row>
    <row r="215" spans="1:29" s="4" customFormat="1" x14ac:dyDescent="0.3">
      <c r="A215" s="3"/>
      <c r="B215" s="39"/>
      <c r="C215" s="5"/>
      <c r="D215" s="5"/>
      <c r="E215" s="5"/>
      <c r="F215" s="5"/>
      <c r="G215" s="29"/>
      <c r="H215"/>
      <c r="I215" s="7"/>
      <c r="J215" s="7"/>
      <c r="K215" s="7"/>
      <c r="L215" s="8"/>
      <c r="M215" s="7"/>
      <c r="N215" s="7"/>
      <c r="O215" s="8"/>
      <c r="P215" s="6"/>
      <c r="Q215" s="5"/>
      <c r="R215" s="5"/>
      <c r="S215" s="5"/>
      <c r="T215" s="5"/>
      <c r="U215" s="5"/>
      <c r="V215" s="5"/>
      <c r="W215" s="5"/>
      <c r="X215" s="8"/>
      <c r="Y215" s="9"/>
      <c r="Z215" s="10"/>
      <c r="AA215" s="10"/>
      <c r="AB215" s="8"/>
      <c r="AC215" s="10"/>
    </row>
    <row r="216" spans="1:29" s="4" customFormat="1" x14ac:dyDescent="0.3">
      <c r="A216" s="3"/>
      <c r="B216" s="39"/>
      <c r="C216" s="5"/>
      <c r="D216" s="5"/>
      <c r="E216" s="5"/>
      <c r="F216" s="5"/>
      <c r="G216" s="29"/>
      <c r="H216"/>
      <c r="I216" s="7"/>
      <c r="J216" s="7"/>
      <c r="K216" s="7"/>
      <c r="L216" s="8"/>
      <c r="M216" s="7"/>
      <c r="N216" s="7"/>
      <c r="O216" s="8"/>
      <c r="P216" s="6"/>
      <c r="Q216" s="5"/>
      <c r="R216" s="5"/>
      <c r="S216" s="5"/>
      <c r="T216" s="5"/>
      <c r="U216" s="5"/>
      <c r="V216" s="5"/>
      <c r="W216" s="5"/>
      <c r="X216" s="8"/>
      <c r="Y216" s="9"/>
      <c r="Z216" s="10"/>
      <c r="AA216" s="10"/>
      <c r="AB216" s="8"/>
      <c r="AC216" s="10"/>
    </row>
    <row r="217" spans="1:29" s="4" customFormat="1" x14ac:dyDescent="0.3">
      <c r="A217" s="3"/>
      <c r="B217" s="39"/>
      <c r="C217" s="5"/>
      <c r="D217" s="5"/>
      <c r="E217" s="5"/>
      <c r="F217" s="5"/>
      <c r="G217" s="29"/>
      <c r="H217"/>
      <c r="I217" s="7"/>
      <c r="J217" s="7"/>
      <c r="K217" s="7"/>
      <c r="L217" s="8"/>
      <c r="M217" s="7"/>
      <c r="N217" s="7"/>
      <c r="O217" s="8"/>
      <c r="P217" s="6"/>
      <c r="Q217" s="5"/>
      <c r="R217" s="5"/>
      <c r="S217" s="5"/>
      <c r="T217" s="5"/>
      <c r="U217" s="5"/>
      <c r="V217" s="5"/>
      <c r="W217" s="5"/>
      <c r="X217" s="8"/>
      <c r="Y217" s="9"/>
      <c r="Z217" s="10"/>
      <c r="AA217" s="10"/>
      <c r="AB217" s="8"/>
      <c r="AC217" s="10"/>
    </row>
    <row r="218" spans="1:29" s="4" customFormat="1" x14ac:dyDescent="0.3">
      <c r="A218" s="3"/>
      <c r="B218" s="39"/>
      <c r="C218" s="5"/>
      <c r="D218" s="5"/>
      <c r="E218" s="5"/>
      <c r="F218" s="5"/>
      <c r="G218" s="29"/>
      <c r="H218"/>
      <c r="I218" s="7"/>
      <c r="J218" s="7"/>
      <c r="K218" s="7"/>
      <c r="L218" s="8"/>
      <c r="M218" s="7"/>
      <c r="N218" s="7"/>
      <c r="O218" s="8"/>
      <c r="P218" s="6"/>
      <c r="Q218" s="5"/>
      <c r="R218" s="5"/>
      <c r="S218" s="5"/>
      <c r="T218" s="5"/>
      <c r="U218" s="5"/>
      <c r="V218" s="5"/>
      <c r="W218" s="5"/>
      <c r="X218" s="8"/>
      <c r="Y218" s="9"/>
      <c r="Z218" s="10"/>
      <c r="AA218" s="10"/>
      <c r="AB218" s="8"/>
      <c r="AC218" s="10"/>
    </row>
    <row r="219" spans="1:29" s="4" customFormat="1" x14ac:dyDescent="0.3">
      <c r="A219" s="3"/>
      <c r="B219" s="39"/>
      <c r="C219" s="5"/>
      <c r="D219" s="5"/>
      <c r="E219" s="5"/>
      <c r="F219" s="5"/>
      <c r="G219" s="29"/>
      <c r="H219"/>
      <c r="I219" s="7"/>
      <c r="J219" s="7"/>
      <c r="K219" s="7"/>
      <c r="L219" s="8"/>
      <c r="M219" s="7"/>
      <c r="N219" s="7"/>
      <c r="O219" s="8"/>
      <c r="P219" s="6"/>
      <c r="Q219" s="5"/>
      <c r="R219" s="5"/>
      <c r="S219" s="5"/>
      <c r="T219" s="5"/>
      <c r="U219" s="5"/>
      <c r="V219" s="5"/>
      <c r="W219" s="5"/>
      <c r="X219" s="8"/>
      <c r="Y219" s="9"/>
      <c r="Z219" s="10"/>
      <c r="AA219" s="10"/>
      <c r="AB219" s="8"/>
      <c r="AC219" s="10"/>
    </row>
    <row r="220" spans="1:29" s="4" customFormat="1" x14ac:dyDescent="0.3">
      <c r="A220" s="3"/>
      <c r="B220" s="39"/>
      <c r="C220" s="5"/>
      <c r="D220" s="5"/>
      <c r="E220" s="5"/>
      <c r="F220" s="5"/>
      <c r="G220" s="29"/>
      <c r="H220"/>
      <c r="I220" s="7"/>
      <c r="J220" s="7"/>
      <c r="K220" s="7"/>
      <c r="L220" s="8"/>
      <c r="M220" s="7"/>
      <c r="N220" s="7"/>
      <c r="O220" s="8"/>
      <c r="P220" s="6"/>
      <c r="Q220" s="5"/>
      <c r="R220" s="5"/>
      <c r="S220" s="5"/>
      <c r="T220" s="5"/>
      <c r="U220" s="5"/>
      <c r="V220" s="5"/>
      <c r="W220" s="5"/>
      <c r="X220" s="8"/>
      <c r="Y220" s="9"/>
      <c r="Z220" s="10"/>
      <c r="AA220" s="10"/>
      <c r="AB220" s="8"/>
      <c r="AC220" s="10"/>
    </row>
    <row r="221" spans="1:29" s="4" customFormat="1" x14ac:dyDescent="0.3">
      <c r="A221" s="3"/>
      <c r="B221" s="39"/>
      <c r="C221" s="5"/>
      <c r="D221" s="5"/>
      <c r="E221" s="5"/>
      <c r="F221" s="5"/>
      <c r="G221" s="29"/>
      <c r="H221"/>
      <c r="I221" s="7"/>
      <c r="J221" s="7"/>
      <c r="K221" s="7"/>
      <c r="L221" s="8"/>
      <c r="M221" s="7"/>
      <c r="N221" s="7"/>
      <c r="O221" s="8"/>
      <c r="P221" s="6"/>
      <c r="Q221" s="5"/>
      <c r="R221" s="5"/>
      <c r="S221" s="5"/>
      <c r="T221" s="5"/>
      <c r="U221" s="5"/>
      <c r="V221" s="5"/>
      <c r="W221" s="5"/>
      <c r="X221" s="8"/>
      <c r="Y221" s="9"/>
      <c r="Z221" s="10"/>
      <c r="AA221" s="10"/>
      <c r="AB221" s="8"/>
      <c r="AC221" s="10"/>
    </row>
    <row r="222" spans="1:29" s="4" customFormat="1" x14ac:dyDescent="0.3">
      <c r="A222" s="3"/>
      <c r="B222" s="39"/>
      <c r="C222" s="5"/>
      <c r="D222" s="5"/>
      <c r="E222" s="5"/>
      <c r="F222" s="5"/>
      <c r="G222" s="29"/>
      <c r="H222"/>
      <c r="I222" s="7"/>
      <c r="J222" s="7"/>
      <c r="K222" s="7"/>
      <c r="L222" s="8"/>
      <c r="M222" s="7"/>
      <c r="N222" s="7"/>
      <c r="O222" s="8"/>
      <c r="P222" s="6"/>
      <c r="Q222" s="5"/>
      <c r="R222" s="5"/>
      <c r="S222" s="5"/>
      <c r="T222" s="5"/>
      <c r="U222" s="5"/>
      <c r="V222" s="5"/>
      <c r="W222" s="5"/>
      <c r="X222" s="8"/>
      <c r="Y222" s="9"/>
      <c r="Z222" s="10"/>
      <c r="AA222" s="10"/>
      <c r="AB222" s="8"/>
      <c r="AC222" s="10"/>
    </row>
    <row r="223" spans="1:29" s="4" customFormat="1" x14ac:dyDescent="0.3">
      <c r="A223" s="3"/>
      <c r="B223" s="39"/>
      <c r="C223" s="5"/>
      <c r="D223" s="5"/>
      <c r="E223" s="5"/>
      <c r="F223" s="5"/>
      <c r="G223" s="29"/>
      <c r="H223"/>
      <c r="I223" s="7"/>
      <c r="J223" s="7"/>
      <c r="K223" s="7"/>
      <c r="L223" s="8"/>
      <c r="M223" s="7"/>
      <c r="N223" s="7"/>
      <c r="O223" s="8"/>
      <c r="P223" s="6"/>
      <c r="Q223" s="5"/>
      <c r="R223" s="5"/>
      <c r="S223" s="5"/>
      <c r="T223" s="5"/>
      <c r="U223" s="5"/>
      <c r="V223" s="5"/>
      <c r="W223" s="5"/>
      <c r="X223" s="8"/>
      <c r="Y223" s="9"/>
      <c r="Z223" s="10"/>
      <c r="AA223" s="10"/>
      <c r="AB223" s="8"/>
      <c r="AC223" s="10"/>
    </row>
    <row r="224" spans="1:29" s="4" customFormat="1" x14ac:dyDescent="0.3">
      <c r="A224" s="3"/>
      <c r="B224" s="39"/>
      <c r="C224" s="5"/>
      <c r="D224" s="5"/>
      <c r="E224" s="5"/>
      <c r="F224" s="5"/>
      <c r="G224" s="29"/>
      <c r="H224"/>
      <c r="I224" s="7"/>
      <c r="J224" s="7"/>
      <c r="K224" s="7"/>
      <c r="L224" s="8"/>
      <c r="M224" s="7"/>
      <c r="N224" s="7"/>
      <c r="O224" s="8"/>
      <c r="P224" s="6"/>
      <c r="Q224" s="5"/>
      <c r="R224" s="5"/>
      <c r="S224" s="5"/>
      <c r="T224" s="5"/>
      <c r="U224" s="5"/>
      <c r="V224" s="5"/>
      <c r="W224" s="5"/>
      <c r="X224" s="8"/>
      <c r="Y224" s="9"/>
      <c r="Z224" s="10"/>
      <c r="AA224" s="10"/>
      <c r="AB224" s="8"/>
      <c r="AC224" s="10"/>
    </row>
    <row r="225" spans="1:29" s="4" customFormat="1" x14ac:dyDescent="0.3">
      <c r="A225" s="3"/>
      <c r="B225" s="39"/>
      <c r="C225" s="5"/>
      <c r="D225" s="5"/>
      <c r="E225" s="5"/>
      <c r="F225" s="5"/>
      <c r="G225" s="29"/>
      <c r="H225"/>
      <c r="I225" s="7"/>
      <c r="J225" s="7"/>
      <c r="K225" s="7"/>
      <c r="L225" s="8"/>
      <c r="M225" s="7"/>
      <c r="N225" s="7"/>
      <c r="O225" s="8"/>
      <c r="P225" s="6"/>
      <c r="Q225" s="5"/>
      <c r="R225" s="5"/>
      <c r="S225" s="5"/>
      <c r="T225" s="5"/>
      <c r="U225" s="5"/>
      <c r="V225" s="5"/>
      <c r="W225" s="5"/>
      <c r="X225" s="8"/>
      <c r="Y225" s="9"/>
      <c r="Z225" s="10"/>
      <c r="AA225" s="10"/>
      <c r="AB225" s="8"/>
      <c r="AC225" s="10"/>
    </row>
    <row r="226" spans="1:29" s="4" customFormat="1" x14ac:dyDescent="0.3">
      <c r="A226" s="3"/>
      <c r="B226" s="39"/>
      <c r="C226" s="5"/>
      <c r="D226" s="5"/>
      <c r="E226" s="5"/>
      <c r="F226" s="5"/>
      <c r="G226" s="29"/>
      <c r="H226"/>
      <c r="I226" s="7"/>
      <c r="J226" s="7"/>
      <c r="K226" s="7"/>
      <c r="L226" s="8"/>
      <c r="M226" s="7"/>
      <c r="N226" s="7"/>
      <c r="O226" s="8"/>
      <c r="P226" s="6"/>
      <c r="Q226" s="5"/>
      <c r="R226" s="5"/>
      <c r="S226" s="5"/>
      <c r="T226" s="5"/>
      <c r="U226" s="5"/>
      <c r="V226" s="5"/>
      <c r="W226" s="5"/>
      <c r="X226" s="8"/>
      <c r="Y226" s="9"/>
      <c r="Z226" s="10"/>
      <c r="AA226" s="10"/>
      <c r="AB226" s="8"/>
      <c r="AC226" s="10"/>
    </row>
    <row r="227" spans="1:29" s="4" customFormat="1" x14ac:dyDescent="0.3">
      <c r="A227" s="3"/>
      <c r="B227" s="39"/>
      <c r="C227" s="5"/>
      <c r="D227" s="5"/>
      <c r="E227" s="5"/>
      <c r="F227" s="5"/>
      <c r="G227" s="29"/>
      <c r="H227"/>
      <c r="I227" s="7"/>
      <c r="J227" s="7"/>
      <c r="K227" s="7"/>
      <c r="L227" s="8"/>
      <c r="M227" s="7"/>
      <c r="N227" s="7"/>
      <c r="O227" s="8"/>
      <c r="P227" s="6"/>
      <c r="Q227" s="5"/>
      <c r="R227" s="5"/>
      <c r="S227" s="5"/>
      <c r="T227" s="5"/>
      <c r="U227" s="5"/>
      <c r="V227" s="5"/>
      <c r="W227" s="5"/>
      <c r="X227" s="8"/>
      <c r="Y227" s="9"/>
      <c r="Z227" s="10"/>
      <c r="AA227" s="10"/>
      <c r="AB227" s="8"/>
      <c r="AC227" s="10"/>
    </row>
    <row r="228" spans="1:29" s="4" customFormat="1" x14ac:dyDescent="0.3">
      <c r="A228" s="3"/>
      <c r="B228" s="39"/>
      <c r="C228" s="5"/>
      <c r="D228" s="5"/>
      <c r="E228" s="5"/>
      <c r="F228" s="5"/>
      <c r="G228" s="29"/>
      <c r="H228"/>
      <c r="I228" s="7"/>
      <c r="J228" s="7"/>
      <c r="K228" s="7"/>
      <c r="L228" s="8"/>
      <c r="M228" s="7"/>
      <c r="N228" s="7"/>
      <c r="O228" s="8"/>
      <c r="P228" s="6"/>
      <c r="Q228" s="5"/>
      <c r="R228" s="5"/>
      <c r="S228" s="5"/>
      <c r="T228" s="5"/>
      <c r="U228" s="5"/>
      <c r="V228" s="5"/>
      <c r="W228" s="5"/>
      <c r="X228" s="8"/>
      <c r="Y228" s="9"/>
      <c r="Z228" s="10"/>
      <c r="AA228" s="10"/>
      <c r="AB228" s="8"/>
      <c r="AC228" s="10"/>
    </row>
    <row r="229" spans="1:29" s="4" customFormat="1" x14ac:dyDescent="0.3">
      <c r="A229" s="3"/>
      <c r="B229" s="39"/>
      <c r="C229" s="5"/>
      <c r="D229" s="5"/>
      <c r="E229" s="5"/>
      <c r="F229" s="5"/>
      <c r="G229" s="29"/>
      <c r="H229"/>
      <c r="I229" s="7"/>
      <c r="J229" s="7"/>
      <c r="K229" s="7"/>
      <c r="L229" s="8"/>
      <c r="M229" s="7"/>
      <c r="N229" s="7"/>
      <c r="O229" s="8"/>
      <c r="P229" s="6"/>
      <c r="Q229" s="5"/>
      <c r="R229" s="5"/>
      <c r="S229" s="5"/>
      <c r="T229" s="5"/>
      <c r="U229" s="5"/>
      <c r="V229" s="5"/>
      <c r="W229" s="5"/>
      <c r="X229" s="8"/>
      <c r="Y229" s="9"/>
      <c r="Z229" s="10"/>
      <c r="AA229" s="10"/>
      <c r="AB229" s="8"/>
      <c r="AC229" s="10"/>
    </row>
    <row r="230" spans="1:29" s="4" customFormat="1" x14ac:dyDescent="0.3">
      <c r="A230" s="3"/>
      <c r="B230" s="39"/>
      <c r="C230" s="5"/>
      <c r="D230" s="5"/>
      <c r="E230" s="5"/>
      <c r="F230" s="5"/>
      <c r="G230" s="29"/>
      <c r="H230"/>
      <c r="I230" s="7"/>
      <c r="J230" s="7"/>
      <c r="K230" s="7"/>
      <c r="L230" s="8"/>
      <c r="M230" s="7"/>
      <c r="N230" s="7"/>
      <c r="O230" s="8"/>
      <c r="P230" s="6"/>
      <c r="Q230" s="5"/>
      <c r="R230" s="5"/>
      <c r="S230" s="5"/>
      <c r="T230" s="5"/>
      <c r="U230" s="5"/>
      <c r="V230" s="5"/>
      <c r="W230" s="5"/>
      <c r="X230" s="8"/>
      <c r="Y230" s="9"/>
      <c r="Z230" s="10"/>
      <c r="AA230" s="10"/>
      <c r="AB230" s="8"/>
      <c r="AC230" s="10"/>
    </row>
    <row r="231" spans="1:29" s="4" customFormat="1" x14ac:dyDescent="0.3">
      <c r="A231" s="3"/>
      <c r="B231" s="39"/>
      <c r="C231" s="5"/>
      <c r="D231" s="5"/>
      <c r="E231" s="5"/>
      <c r="F231" s="5"/>
      <c r="G231" s="29"/>
      <c r="H231"/>
      <c r="I231" s="7"/>
      <c r="J231" s="7"/>
      <c r="K231" s="7"/>
      <c r="L231" s="8"/>
      <c r="M231" s="7"/>
      <c r="N231" s="7"/>
      <c r="O231" s="8"/>
      <c r="P231" s="6"/>
      <c r="Q231" s="5"/>
      <c r="R231" s="5"/>
      <c r="S231" s="5"/>
      <c r="T231" s="5"/>
      <c r="U231" s="5"/>
      <c r="V231" s="5"/>
      <c r="W231" s="5"/>
      <c r="X231" s="8"/>
      <c r="Y231" s="9"/>
      <c r="Z231" s="10"/>
      <c r="AA231" s="10"/>
      <c r="AB231" s="8"/>
      <c r="AC231" s="10"/>
    </row>
    <row r="232" spans="1:29" s="4" customFormat="1" x14ac:dyDescent="0.3">
      <c r="A232" s="3"/>
      <c r="B232" s="39"/>
      <c r="C232" s="5"/>
      <c r="D232" s="5"/>
      <c r="E232" s="5"/>
      <c r="F232" s="5"/>
      <c r="G232" s="29"/>
      <c r="H232"/>
      <c r="I232" s="7"/>
      <c r="J232" s="7"/>
      <c r="K232" s="7"/>
      <c r="L232" s="8"/>
      <c r="M232" s="7"/>
      <c r="N232" s="7"/>
      <c r="O232" s="8"/>
      <c r="P232" s="6"/>
      <c r="Q232" s="5"/>
      <c r="R232" s="5"/>
      <c r="S232" s="5"/>
      <c r="T232" s="5"/>
      <c r="U232" s="5"/>
      <c r="V232" s="5"/>
      <c r="W232" s="5"/>
      <c r="X232" s="8"/>
      <c r="Y232" s="9"/>
      <c r="Z232" s="10"/>
      <c r="AA232" s="10"/>
      <c r="AB232" s="8"/>
      <c r="AC232" s="10"/>
    </row>
    <row r="233" spans="1:29" s="4" customFormat="1" x14ac:dyDescent="0.3">
      <c r="A233" s="3"/>
      <c r="B233" s="39"/>
      <c r="C233" s="5"/>
      <c r="D233" s="5"/>
      <c r="E233" s="5"/>
      <c r="F233" s="5"/>
      <c r="G233" s="29"/>
      <c r="H233"/>
      <c r="I233" s="7"/>
      <c r="J233" s="7"/>
      <c r="K233" s="7"/>
      <c r="L233" s="8"/>
      <c r="M233" s="7"/>
      <c r="N233" s="7"/>
      <c r="O233" s="8"/>
      <c r="P233" s="6"/>
      <c r="Q233" s="5"/>
      <c r="R233" s="5"/>
      <c r="S233" s="5"/>
      <c r="T233" s="5"/>
      <c r="U233" s="5"/>
      <c r="V233" s="5"/>
      <c r="W233" s="5"/>
      <c r="X233" s="8"/>
      <c r="Y233" s="9"/>
      <c r="Z233" s="10"/>
      <c r="AA233" s="10"/>
      <c r="AB233" s="8"/>
      <c r="AC233" s="10"/>
    </row>
    <row r="234" spans="1:29" s="4" customFormat="1" x14ac:dyDescent="0.3">
      <c r="A234" s="3"/>
      <c r="B234" s="39"/>
      <c r="C234" s="5"/>
      <c r="D234" s="5"/>
      <c r="E234" s="5"/>
      <c r="F234" s="5"/>
      <c r="G234" s="29"/>
      <c r="H234"/>
      <c r="I234" s="7"/>
      <c r="J234" s="7"/>
      <c r="K234" s="7"/>
      <c r="L234" s="8"/>
      <c r="M234" s="7"/>
      <c r="N234" s="7"/>
      <c r="O234" s="8"/>
      <c r="P234" s="6"/>
      <c r="Q234" s="5"/>
      <c r="R234" s="5"/>
      <c r="S234" s="5"/>
      <c r="T234" s="5"/>
      <c r="U234" s="5"/>
      <c r="V234" s="5"/>
      <c r="W234" s="5"/>
      <c r="X234" s="8"/>
      <c r="Y234" s="9"/>
      <c r="Z234" s="10"/>
      <c r="AA234" s="10"/>
      <c r="AB234" s="8"/>
      <c r="AC234" s="10"/>
    </row>
    <row r="235" spans="1:29" s="4" customFormat="1" x14ac:dyDescent="0.3">
      <c r="A235" s="3"/>
      <c r="B235" s="39"/>
      <c r="C235" s="5"/>
      <c r="D235" s="5"/>
      <c r="E235" s="5"/>
      <c r="F235" s="5"/>
      <c r="G235" s="29"/>
      <c r="H235"/>
      <c r="I235" s="7"/>
      <c r="J235" s="7"/>
      <c r="K235" s="7"/>
      <c r="L235" s="8"/>
      <c r="M235" s="7"/>
      <c r="N235" s="7"/>
      <c r="O235" s="8"/>
      <c r="P235" s="6"/>
      <c r="Q235" s="5"/>
      <c r="R235" s="5"/>
      <c r="S235" s="5"/>
      <c r="T235" s="5"/>
      <c r="U235" s="5"/>
      <c r="V235" s="5"/>
      <c r="W235" s="5"/>
      <c r="X235" s="8"/>
      <c r="Y235" s="9"/>
      <c r="Z235" s="10"/>
      <c r="AA235" s="10"/>
      <c r="AB235" s="8"/>
      <c r="AC235" s="10"/>
    </row>
    <row r="236" spans="1:29" s="4" customFormat="1" x14ac:dyDescent="0.3">
      <c r="A236" s="3"/>
      <c r="B236" s="39"/>
      <c r="C236" s="5"/>
      <c r="D236" s="5"/>
      <c r="E236" s="5"/>
      <c r="F236" s="5"/>
      <c r="G236" s="29"/>
      <c r="H236"/>
      <c r="I236" s="7"/>
      <c r="J236" s="7"/>
      <c r="K236" s="7"/>
      <c r="L236" s="8"/>
      <c r="M236" s="7"/>
      <c r="N236" s="7"/>
      <c r="O236" s="8"/>
      <c r="P236" s="6"/>
      <c r="Q236" s="5"/>
      <c r="R236" s="5"/>
      <c r="S236" s="5"/>
      <c r="T236" s="5"/>
      <c r="U236" s="5"/>
      <c r="V236" s="5"/>
      <c r="W236" s="5"/>
      <c r="X236" s="8"/>
      <c r="Y236" s="9"/>
      <c r="Z236" s="10"/>
      <c r="AA236" s="10"/>
      <c r="AB236" s="8"/>
      <c r="AC236" s="10"/>
    </row>
    <row r="237" spans="1:29" s="4" customFormat="1" x14ac:dyDescent="0.3">
      <c r="A237" s="3"/>
      <c r="B237" s="39"/>
      <c r="C237" s="5"/>
      <c r="D237" s="5"/>
      <c r="E237" s="5"/>
      <c r="F237" s="5"/>
      <c r="G237" s="29"/>
      <c r="H237"/>
      <c r="I237" s="7"/>
      <c r="J237" s="7"/>
      <c r="K237" s="7"/>
      <c r="L237" s="8"/>
      <c r="M237" s="7"/>
      <c r="N237" s="7"/>
      <c r="O237" s="8"/>
      <c r="P237" s="6"/>
      <c r="Q237" s="5"/>
      <c r="R237" s="5"/>
      <c r="S237" s="5"/>
      <c r="T237" s="5"/>
      <c r="U237" s="5"/>
      <c r="V237" s="5"/>
      <c r="W237" s="5"/>
      <c r="X237" s="8"/>
      <c r="Y237" s="9"/>
      <c r="Z237" s="10"/>
      <c r="AA237" s="10"/>
      <c r="AB237" s="8"/>
      <c r="AC237" s="10"/>
    </row>
    <row r="238" spans="1:29" s="4" customFormat="1" x14ac:dyDescent="0.3">
      <c r="A238" s="3"/>
      <c r="B238" s="39"/>
      <c r="C238" s="5"/>
      <c r="D238" s="5"/>
      <c r="E238" s="5"/>
      <c r="F238" s="5"/>
      <c r="G238" s="29"/>
      <c r="H238"/>
      <c r="I238" s="7"/>
      <c r="J238" s="7"/>
      <c r="K238" s="7"/>
      <c r="L238" s="8"/>
      <c r="M238" s="7"/>
      <c r="N238" s="7"/>
      <c r="O238" s="8"/>
      <c r="P238" s="6"/>
      <c r="Q238" s="5"/>
      <c r="R238" s="5"/>
      <c r="S238" s="5"/>
      <c r="T238" s="5"/>
      <c r="U238" s="5"/>
      <c r="V238" s="5"/>
      <c r="W238" s="5"/>
      <c r="X238" s="8"/>
      <c r="Y238" s="9"/>
      <c r="Z238" s="10"/>
      <c r="AA238" s="10"/>
      <c r="AB238" s="8"/>
      <c r="AC238" s="10"/>
    </row>
    <row r="239" spans="1:29" s="4" customFormat="1" x14ac:dyDescent="0.3">
      <c r="A239" s="3"/>
      <c r="B239" s="39"/>
      <c r="C239" s="5"/>
      <c r="D239" s="5"/>
      <c r="E239" s="5"/>
      <c r="F239" s="5"/>
      <c r="G239" s="29"/>
      <c r="H239"/>
      <c r="I239" s="7"/>
      <c r="J239" s="7"/>
      <c r="K239" s="7"/>
      <c r="L239" s="8"/>
      <c r="M239" s="7"/>
      <c r="N239" s="7"/>
      <c r="O239" s="8"/>
      <c r="P239" s="6"/>
      <c r="Q239" s="5"/>
      <c r="R239" s="5"/>
      <c r="S239" s="5"/>
      <c r="T239" s="5"/>
      <c r="U239" s="5"/>
      <c r="V239" s="5"/>
      <c r="W239" s="5"/>
      <c r="X239" s="8"/>
      <c r="Y239" s="9"/>
      <c r="Z239" s="10"/>
      <c r="AA239" s="10"/>
      <c r="AB239" s="8"/>
      <c r="AC239" s="10"/>
    </row>
    <row r="240" spans="1:29" s="4" customFormat="1" x14ac:dyDescent="0.3">
      <c r="A240" s="3"/>
      <c r="B240" s="39"/>
      <c r="C240" s="5"/>
      <c r="D240" s="5"/>
      <c r="E240" s="5"/>
      <c r="F240" s="5"/>
      <c r="G240" s="29"/>
      <c r="H240"/>
      <c r="I240" s="7"/>
      <c r="J240" s="7"/>
      <c r="K240" s="7"/>
      <c r="L240" s="8"/>
      <c r="M240" s="7"/>
      <c r="N240" s="7"/>
      <c r="O240" s="8"/>
      <c r="P240" s="6"/>
      <c r="Q240" s="5"/>
      <c r="R240" s="5"/>
      <c r="S240" s="5"/>
      <c r="T240" s="5"/>
      <c r="U240" s="5"/>
      <c r="V240" s="5"/>
      <c r="W240" s="5"/>
      <c r="X240" s="8"/>
      <c r="Y240" s="9"/>
      <c r="Z240" s="10"/>
      <c r="AA240" s="10"/>
      <c r="AB240" s="8"/>
      <c r="AC240" s="10"/>
    </row>
    <row r="241" spans="1:29" s="4" customFormat="1" x14ac:dyDescent="0.3">
      <c r="A241" s="3"/>
      <c r="B241" s="39"/>
      <c r="C241" s="5"/>
      <c r="D241" s="5"/>
      <c r="E241" s="5"/>
      <c r="F241" s="5"/>
      <c r="G241" s="29"/>
      <c r="H241"/>
      <c r="I241" s="7"/>
      <c r="J241" s="7"/>
      <c r="K241" s="7"/>
      <c r="L241" s="8"/>
      <c r="M241" s="7"/>
      <c r="N241" s="7"/>
      <c r="O241" s="8"/>
      <c r="P241" s="6"/>
      <c r="Q241" s="5"/>
      <c r="R241" s="5"/>
      <c r="S241" s="5"/>
      <c r="T241" s="5"/>
      <c r="U241" s="5"/>
      <c r="V241" s="5"/>
      <c r="W241" s="5"/>
      <c r="X241" s="8"/>
      <c r="Y241" s="9"/>
      <c r="Z241" s="10"/>
      <c r="AA241" s="10"/>
      <c r="AB241" s="8"/>
      <c r="AC241" s="10"/>
    </row>
    <row r="242" spans="1:29" s="4" customFormat="1" x14ac:dyDescent="0.3">
      <c r="A242" s="3"/>
      <c r="B242" s="39"/>
      <c r="C242" s="5"/>
      <c r="D242" s="5"/>
      <c r="E242" s="5"/>
      <c r="F242" s="5"/>
      <c r="G242" s="29"/>
      <c r="H242"/>
      <c r="I242" s="7"/>
      <c r="J242" s="7"/>
      <c r="K242" s="7"/>
      <c r="L242" s="8"/>
      <c r="M242" s="7"/>
      <c r="N242" s="7"/>
      <c r="O242" s="8"/>
      <c r="P242" s="6"/>
      <c r="Q242" s="5"/>
      <c r="R242" s="5"/>
      <c r="S242" s="5"/>
      <c r="T242" s="5"/>
      <c r="U242" s="5"/>
      <c r="V242" s="5"/>
      <c r="W242" s="5"/>
      <c r="X242" s="8"/>
      <c r="Y242" s="9"/>
      <c r="Z242" s="10"/>
      <c r="AA242" s="10"/>
      <c r="AB242" s="8"/>
      <c r="AC242" s="10"/>
    </row>
    <row r="243" spans="1:29" s="4" customFormat="1" x14ac:dyDescent="0.3">
      <c r="A243" s="3"/>
      <c r="B243" s="39"/>
      <c r="C243" s="5"/>
      <c r="D243" s="5"/>
      <c r="E243" s="5"/>
      <c r="F243" s="5"/>
      <c r="G243" s="29"/>
      <c r="H243"/>
      <c r="I243" s="7"/>
      <c r="J243" s="7"/>
      <c r="K243" s="7"/>
      <c r="L243" s="8"/>
      <c r="M243" s="7"/>
      <c r="N243" s="7"/>
      <c r="O243" s="8"/>
      <c r="P243" s="6"/>
      <c r="Q243" s="5"/>
      <c r="R243" s="5"/>
      <c r="S243" s="5"/>
      <c r="T243" s="5"/>
      <c r="U243" s="5"/>
      <c r="V243" s="5"/>
      <c r="W243" s="5"/>
      <c r="X243" s="8"/>
      <c r="Y243" s="9"/>
      <c r="Z243" s="10"/>
      <c r="AA243" s="10"/>
      <c r="AB243" s="8"/>
      <c r="AC243" s="10"/>
    </row>
    <row r="244" spans="1:29" s="4" customFormat="1" x14ac:dyDescent="0.3">
      <c r="A244" s="3"/>
      <c r="B244" s="39"/>
      <c r="C244" s="5"/>
      <c r="D244" s="5"/>
      <c r="E244" s="5"/>
      <c r="F244" s="5"/>
      <c r="G244" s="29"/>
      <c r="H244"/>
      <c r="I244" s="7"/>
      <c r="J244" s="7"/>
      <c r="K244" s="7"/>
      <c r="L244" s="8"/>
      <c r="M244" s="7"/>
      <c r="N244" s="7"/>
      <c r="O244" s="8"/>
      <c r="P244" s="6"/>
      <c r="Q244" s="5"/>
      <c r="R244" s="5"/>
      <c r="S244" s="5"/>
      <c r="T244" s="5"/>
      <c r="U244" s="5"/>
      <c r="V244" s="5"/>
      <c r="W244" s="5"/>
      <c r="X244" s="8"/>
      <c r="Y244" s="9"/>
      <c r="Z244" s="10"/>
      <c r="AA244" s="10"/>
      <c r="AB244" s="8"/>
      <c r="AC244" s="10"/>
    </row>
    <row r="245" spans="1:29" s="4" customFormat="1" x14ac:dyDescent="0.3">
      <c r="A245" s="3"/>
      <c r="B245" s="39"/>
      <c r="C245" s="5"/>
      <c r="D245" s="5"/>
      <c r="E245" s="5"/>
      <c r="F245" s="5"/>
      <c r="G245" s="29"/>
      <c r="H245"/>
      <c r="I245" s="7"/>
      <c r="J245" s="7"/>
      <c r="K245" s="7"/>
      <c r="L245" s="8"/>
      <c r="M245" s="7"/>
      <c r="N245" s="7"/>
      <c r="O245" s="8"/>
      <c r="P245" s="6"/>
      <c r="Q245" s="5"/>
      <c r="R245" s="5"/>
      <c r="S245" s="5"/>
      <c r="T245" s="5"/>
      <c r="U245" s="5"/>
      <c r="V245" s="5"/>
      <c r="W245" s="5"/>
      <c r="X245" s="8"/>
      <c r="Y245" s="9"/>
      <c r="Z245" s="10"/>
      <c r="AA245" s="10"/>
      <c r="AB245" s="8"/>
      <c r="AC245" s="10"/>
    </row>
    <row r="246" spans="1:29" s="4" customFormat="1" x14ac:dyDescent="0.3">
      <c r="A246" s="3"/>
      <c r="B246" s="39"/>
      <c r="C246" s="5"/>
      <c r="D246" s="5"/>
      <c r="E246" s="5"/>
      <c r="F246" s="5"/>
      <c r="G246" s="29"/>
      <c r="H246"/>
      <c r="I246" s="7"/>
      <c r="J246" s="7"/>
      <c r="K246" s="7"/>
      <c r="L246" s="8"/>
      <c r="M246" s="7"/>
      <c r="N246" s="7"/>
      <c r="O246" s="8"/>
      <c r="P246" s="6"/>
      <c r="Q246" s="5"/>
      <c r="R246" s="5"/>
      <c r="S246" s="5"/>
      <c r="T246" s="5"/>
      <c r="U246" s="5"/>
      <c r="V246" s="5"/>
      <c r="W246" s="5"/>
      <c r="X246" s="8"/>
      <c r="Y246" s="9"/>
      <c r="Z246" s="10"/>
      <c r="AA246" s="10"/>
      <c r="AB246" s="8"/>
      <c r="AC246" s="10"/>
    </row>
    <row r="247" spans="1:29" s="4" customFormat="1" x14ac:dyDescent="0.3">
      <c r="A247" s="3"/>
      <c r="B247" s="39"/>
      <c r="C247" s="5"/>
      <c r="D247" s="5"/>
      <c r="E247" s="5"/>
      <c r="F247" s="5"/>
      <c r="G247" s="29"/>
      <c r="H247"/>
      <c r="I247" s="7"/>
      <c r="J247" s="7"/>
      <c r="K247" s="7"/>
      <c r="L247" s="8"/>
      <c r="M247" s="7"/>
      <c r="N247" s="7"/>
      <c r="O247" s="8"/>
      <c r="P247" s="6"/>
      <c r="Q247" s="5"/>
      <c r="R247" s="5"/>
      <c r="S247" s="5"/>
      <c r="T247" s="5"/>
      <c r="U247" s="5"/>
      <c r="V247" s="5"/>
      <c r="W247" s="5"/>
      <c r="X247" s="8"/>
      <c r="Y247" s="9"/>
      <c r="Z247" s="10"/>
      <c r="AA247" s="10"/>
      <c r="AB247" s="8"/>
      <c r="AC247" s="10"/>
    </row>
    <row r="248" spans="1:29" s="4" customFormat="1" x14ac:dyDescent="0.3">
      <c r="A248" s="3"/>
      <c r="B248" s="39"/>
      <c r="C248" s="5"/>
      <c r="D248" s="5"/>
      <c r="E248" s="5"/>
      <c r="F248" s="5"/>
      <c r="G248" s="29"/>
      <c r="H248"/>
      <c r="I248" s="7"/>
      <c r="J248" s="7"/>
      <c r="K248" s="7"/>
      <c r="L248" s="8"/>
      <c r="M248" s="7"/>
      <c r="N248" s="7"/>
      <c r="O248" s="8"/>
      <c r="P248" s="6"/>
      <c r="Q248" s="5"/>
      <c r="R248" s="5"/>
      <c r="S248" s="5"/>
      <c r="T248" s="5"/>
      <c r="U248" s="5"/>
      <c r="V248" s="5"/>
      <c r="W248" s="5"/>
      <c r="X248" s="8"/>
      <c r="Y248" s="9"/>
      <c r="Z248" s="10"/>
      <c r="AA248" s="10"/>
      <c r="AB248" s="8"/>
      <c r="AC248" s="10"/>
    </row>
    <row r="249" spans="1:29" s="4" customFormat="1" x14ac:dyDescent="0.3">
      <c r="A249" s="3"/>
      <c r="B249" s="39"/>
      <c r="C249" s="5"/>
      <c r="D249" s="5"/>
      <c r="E249" s="5"/>
      <c r="F249" s="5"/>
      <c r="G249" s="29"/>
      <c r="H249"/>
      <c r="I249" s="7"/>
      <c r="J249" s="7"/>
      <c r="K249" s="7"/>
      <c r="L249" s="8"/>
      <c r="M249" s="7"/>
      <c r="N249" s="7"/>
      <c r="O249" s="8"/>
      <c r="P249" s="6"/>
      <c r="Q249" s="5"/>
      <c r="R249" s="5"/>
      <c r="S249" s="5"/>
      <c r="T249" s="5"/>
      <c r="U249" s="5"/>
      <c r="V249" s="5"/>
      <c r="W249" s="5"/>
      <c r="X249" s="8"/>
      <c r="Y249" s="9"/>
      <c r="Z249" s="10"/>
      <c r="AA249" s="10"/>
      <c r="AB249" s="8"/>
      <c r="AC249" s="10"/>
    </row>
    <row r="250" spans="1:29" s="4" customFormat="1" x14ac:dyDescent="0.3">
      <c r="A250" s="3"/>
      <c r="B250" s="39"/>
      <c r="C250" s="5"/>
      <c r="D250" s="5"/>
      <c r="E250" s="5"/>
      <c r="F250" s="5"/>
      <c r="G250" s="29"/>
      <c r="H250"/>
      <c r="I250" s="7"/>
      <c r="J250" s="7"/>
      <c r="K250" s="7"/>
      <c r="L250" s="8"/>
      <c r="M250" s="7"/>
      <c r="N250" s="7"/>
      <c r="O250" s="8"/>
      <c r="P250" s="6"/>
      <c r="Q250" s="5"/>
      <c r="R250" s="5"/>
      <c r="S250" s="5"/>
      <c r="T250" s="5"/>
      <c r="U250" s="5"/>
      <c r="V250" s="5"/>
      <c r="W250" s="5"/>
      <c r="X250" s="8"/>
      <c r="Y250" s="9"/>
      <c r="Z250" s="10"/>
      <c r="AA250" s="10"/>
      <c r="AB250" s="8"/>
      <c r="AC250" s="10"/>
    </row>
    <row r="251" spans="1:29" s="4" customFormat="1" x14ac:dyDescent="0.3">
      <c r="A251" s="3"/>
      <c r="B251" s="39"/>
      <c r="C251" s="5"/>
      <c r="D251" s="5"/>
      <c r="E251" s="5"/>
      <c r="F251" s="5"/>
      <c r="G251" s="29"/>
      <c r="H251"/>
      <c r="I251" s="7"/>
      <c r="J251" s="7"/>
      <c r="K251" s="7"/>
      <c r="L251" s="8"/>
      <c r="M251" s="7"/>
      <c r="N251" s="7"/>
      <c r="O251" s="8"/>
      <c r="P251" s="6"/>
      <c r="Q251" s="5"/>
      <c r="R251" s="5"/>
      <c r="S251" s="5"/>
      <c r="T251" s="5"/>
      <c r="U251" s="5"/>
      <c r="V251" s="5"/>
      <c r="W251" s="5"/>
      <c r="X251" s="8"/>
      <c r="Y251" s="9"/>
      <c r="Z251" s="10"/>
      <c r="AA251" s="10"/>
      <c r="AB251" s="8"/>
      <c r="AC251" s="10"/>
    </row>
    <row r="252" spans="1:29" s="4" customFormat="1" x14ac:dyDescent="0.3">
      <c r="A252" s="3"/>
      <c r="B252" s="39"/>
      <c r="C252" s="5"/>
      <c r="D252" s="5"/>
      <c r="E252" s="5"/>
      <c r="F252" s="5"/>
      <c r="G252" s="29"/>
      <c r="H252"/>
      <c r="I252" s="7"/>
      <c r="J252" s="7"/>
      <c r="K252" s="7"/>
      <c r="L252" s="8"/>
      <c r="M252" s="7"/>
      <c r="N252" s="7"/>
      <c r="O252" s="8"/>
      <c r="P252" s="6"/>
      <c r="Q252" s="5"/>
      <c r="R252" s="5"/>
      <c r="S252" s="5"/>
      <c r="T252" s="5"/>
      <c r="U252" s="5"/>
      <c r="V252" s="5"/>
      <c r="W252" s="5"/>
      <c r="X252" s="8"/>
      <c r="Y252" s="9"/>
      <c r="Z252" s="10"/>
      <c r="AA252" s="10"/>
      <c r="AB252" s="8"/>
      <c r="AC252" s="10"/>
    </row>
    <row r="253" spans="1:29" s="4" customFormat="1" x14ac:dyDescent="0.3">
      <c r="A253" s="3"/>
      <c r="B253" s="39"/>
      <c r="C253" s="5"/>
      <c r="D253" s="5"/>
      <c r="E253" s="5"/>
      <c r="F253" s="5"/>
      <c r="G253" s="29"/>
      <c r="H253"/>
      <c r="I253" s="7"/>
      <c r="J253" s="7"/>
      <c r="K253" s="7"/>
      <c r="L253" s="8"/>
      <c r="M253" s="7"/>
      <c r="N253" s="7"/>
      <c r="O253" s="8"/>
      <c r="P253" s="6"/>
      <c r="Q253" s="5"/>
      <c r="R253" s="5"/>
      <c r="S253" s="5"/>
      <c r="T253" s="5"/>
      <c r="U253" s="5"/>
      <c r="V253" s="5"/>
      <c r="W253" s="5"/>
      <c r="X253" s="8"/>
      <c r="Y253" s="9"/>
      <c r="Z253" s="10"/>
      <c r="AA253" s="10"/>
      <c r="AB253" s="8"/>
      <c r="AC253" s="10"/>
    </row>
    <row r="254" spans="1:29" s="4" customFormat="1" x14ac:dyDescent="0.3">
      <c r="A254" s="3"/>
      <c r="B254" s="39"/>
      <c r="C254" s="5"/>
      <c r="D254" s="5"/>
      <c r="E254" s="5"/>
      <c r="F254" s="5"/>
      <c r="G254" s="29"/>
      <c r="H254"/>
      <c r="I254" s="7"/>
      <c r="J254" s="7"/>
      <c r="K254" s="7"/>
      <c r="L254" s="8"/>
      <c r="M254" s="7"/>
      <c r="N254" s="7"/>
      <c r="O254" s="8"/>
      <c r="P254" s="6"/>
      <c r="Q254" s="5"/>
      <c r="R254" s="5"/>
      <c r="S254" s="5"/>
      <c r="T254" s="5"/>
      <c r="U254" s="5"/>
      <c r="V254" s="5"/>
      <c r="W254" s="5"/>
      <c r="X254" s="8"/>
      <c r="Y254" s="9"/>
      <c r="Z254" s="10"/>
      <c r="AA254" s="10"/>
      <c r="AB254" s="8"/>
      <c r="AC254" s="10"/>
    </row>
    <row r="255" spans="1:29" s="4" customFormat="1" x14ac:dyDescent="0.3">
      <c r="A255" s="3"/>
      <c r="B255" s="39"/>
      <c r="C255" s="5"/>
      <c r="D255" s="5"/>
      <c r="E255" s="5"/>
      <c r="F255" s="5"/>
      <c r="G255" s="29"/>
      <c r="H255"/>
      <c r="I255" s="7"/>
      <c r="J255" s="7"/>
      <c r="K255" s="7"/>
      <c r="L255" s="8"/>
      <c r="M255" s="7"/>
      <c r="N255" s="7"/>
      <c r="O255" s="8"/>
      <c r="P255" s="6"/>
      <c r="Q255" s="5"/>
      <c r="R255" s="5"/>
      <c r="S255" s="5"/>
      <c r="T255" s="5"/>
      <c r="U255" s="5"/>
      <c r="V255" s="5"/>
      <c r="W255" s="5"/>
      <c r="X255" s="8"/>
      <c r="Y255" s="9"/>
      <c r="Z255" s="10"/>
      <c r="AA255" s="10"/>
      <c r="AB255" s="8"/>
      <c r="AC255" s="10"/>
    </row>
    <row r="256" spans="1:29" s="4" customFormat="1" x14ac:dyDescent="0.3">
      <c r="A256" s="3"/>
      <c r="B256" s="39"/>
      <c r="C256" s="5"/>
      <c r="D256" s="5"/>
      <c r="E256" s="5"/>
      <c r="F256" s="5"/>
      <c r="G256" s="29"/>
      <c r="H256"/>
      <c r="I256" s="7"/>
      <c r="J256" s="7"/>
      <c r="K256" s="7"/>
      <c r="L256" s="8"/>
      <c r="M256" s="7"/>
      <c r="N256" s="7"/>
      <c r="O256" s="8"/>
      <c r="P256" s="6"/>
      <c r="Q256" s="5"/>
      <c r="R256" s="5"/>
      <c r="S256" s="5"/>
      <c r="T256" s="5"/>
      <c r="U256" s="5"/>
      <c r="V256" s="5"/>
      <c r="W256" s="5"/>
      <c r="X256" s="8"/>
      <c r="Y256" s="9"/>
      <c r="Z256" s="10"/>
      <c r="AA256" s="10"/>
      <c r="AB256" s="8"/>
      <c r="AC256" s="10"/>
    </row>
    <row r="257" spans="1:29" s="4" customFormat="1" x14ac:dyDescent="0.3">
      <c r="A257" s="3"/>
      <c r="B257" s="39"/>
      <c r="C257" s="5"/>
      <c r="D257" s="5"/>
      <c r="E257" s="5"/>
      <c r="F257" s="5"/>
      <c r="G257" s="29"/>
      <c r="H257"/>
      <c r="I257" s="7"/>
      <c r="J257" s="7"/>
      <c r="K257" s="7"/>
      <c r="L257" s="8"/>
      <c r="M257" s="7"/>
      <c r="N257" s="7"/>
      <c r="O257" s="8"/>
      <c r="P257" s="6"/>
      <c r="Q257" s="5"/>
      <c r="R257" s="5"/>
      <c r="S257" s="5"/>
      <c r="T257" s="5"/>
      <c r="U257" s="5"/>
      <c r="V257" s="5"/>
      <c r="W257" s="5"/>
      <c r="X257" s="8"/>
      <c r="Y257" s="9"/>
      <c r="Z257" s="10"/>
      <c r="AA257" s="10"/>
      <c r="AB257" s="8"/>
      <c r="AC257" s="10"/>
    </row>
    <row r="258" spans="1:29" s="4" customFormat="1" x14ac:dyDescent="0.3">
      <c r="A258" s="3"/>
      <c r="B258" s="39"/>
      <c r="C258" s="5"/>
      <c r="D258" s="5"/>
      <c r="E258" s="5"/>
      <c r="F258" s="5"/>
      <c r="G258" s="29"/>
      <c r="H258"/>
      <c r="I258" s="7"/>
      <c r="J258" s="7"/>
      <c r="K258" s="7"/>
      <c r="L258" s="8"/>
      <c r="M258" s="7"/>
      <c r="N258" s="7"/>
      <c r="O258" s="8"/>
      <c r="P258" s="6"/>
      <c r="Q258" s="5"/>
      <c r="R258" s="5"/>
      <c r="S258" s="5"/>
      <c r="T258" s="5"/>
      <c r="U258" s="5"/>
      <c r="V258" s="5"/>
      <c r="W258" s="5"/>
      <c r="X258" s="8"/>
      <c r="Y258" s="9"/>
      <c r="Z258" s="10"/>
      <c r="AA258" s="10"/>
      <c r="AB258" s="8"/>
      <c r="AC258" s="10"/>
    </row>
    <row r="259" spans="1:29" s="4" customFormat="1" x14ac:dyDescent="0.3">
      <c r="A259" s="3"/>
      <c r="B259" s="39"/>
      <c r="C259" s="5"/>
      <c r="D259" s="5"/>
      <c r="E259" s="5"/>
      <c r="F259" s="5"/>
      <c r="G259" s="29"/>
      <c r="H259"/>
      <c r="I259" s="7"/>
      <c r="J259" s="7"/>
      <c r="K259" s="7"/>
      <c r="L259" s="8"/>
      <c r="M259" s="7"/>
      <c r="N259" s="7"/>
      <c r="O259" s="8"/>
      <c r="P259" s="6"/>
      <c r="Q259" s="5"/>
      <c r="R259" s="5"/>
      <c r="S259" s="5"/>
      <c r="T259" s="5"/>
      <c r="U259" s="5"/>
      <c r="V259" s="5"/>
      <c r="W259" s="5"/>
      <c r="X259" s="8"/>
      <c r="Y259" s="9"/>
      <c r="Z259" s="10"/>
      <c r="AA259" s="10"/>
      <c r="AB259" s="8"/>
      <c r="AC259" s="10"/>
    </row>
    <row r="260" spans="1:29" s="4" customFormat="1" x14ac:dyDescent="0.3">
      <c r="A260" s="3"/>
      <c r="B260" s="39"/>
      <c r="C260" s="5"/>
      <c r="D260" s="5"/>
      <c r="E260" s="5"/>
      <c r="F260" s="5"/>
      <c r="G260" s="29"/>
      <c r="H260"/>
      <c r="I260" s="7"/>
      <c r="J260" s="7"/>
      <c r="K260" s="7"/>
      <c r="L260" s="8"/>
      <c r="M260" s="7"/>
      <c r="N260" s="7"/>
      <c r="O260" s="8"/>
      <c r="P260" s="6"/>
      <c r="Q260" s="5"/>
      <c r="R260" s="5"/>
      <c r="S260" s="5"/>
      <c r="T260" s="5"/>
      <c r="U260" s="5"/>
      <c r="V260" s="5"/>
      <c r="W260" s="5"/>
      <c r="X260" s="8"/>
      <c r="Y260" s="9"/>
      <c r="Z260" s="10"/>
      <c r="AA260" s="10"/>
      <c r="AB260" s="8"/>
      <c r="AC260" s="10"/>
    </row>
    <row r="261" spans="1:29" s="4" customFormat="1" x14ac:dyDescent="0.3">
      <c r="A261" s="3"/>
      <c r="B261" s="39"/>
      <c r="C261" s="5"/>
      <c r="D261" s="5"/>
      <c r="E261" s="5"/>
      <c r="F261" s="5"/>
      <c r="G261" s="29"/>
      <c r="H261"/>
      <c r="I261" s="7"/>
      <c r="J261" s="7"/>
      <c r="K261" s="7"/>
      <c r="L261" s="8"/>
      <c r="M261" s="7"/>
      <c r="N261" s="7"/>
      <c r="O261" s="8"/>
      <c r="P261" s="6"/>
      <c r="Q261" s="5"/>
      <c r="R261" s="5"/>
      <c r="S261" s="5"/>
      <c r="T261" s="5"/>
      <c r="U261" s="5"/>
      <c r="V261" s="5"/>
      <c r="W261" s="5"/>
      <c r="X261" s="8"/>
      <c r="Y261" s="9"/>
      <c r="Z261" s="10"/>
      <c r="AA261" s="10"/>
      <c r="AB261" s="8"/>
      <c r="AC261" s="10"/>
    </row>
    <row r="262" spans="1:29" s="4" customFormat="1" x14ac:dyDescent="0.3">
      <c r="A262" s="3"/>
      <c r="B262" s="39"/>
      <c r="C262" s="5"/>
      <c r="D262" s="5"/>
      <c r="E262" s="5"/>
      <c r="F262" s="5"/>
      <c r="G262" s="29"/>
      <c r="H262"/>
      <c r="I262" s="7"/>
      <c r="J262" s="7"/>
      <c r="K262" s="7"/>
      <c r="L262" s="8"/>
      <c r="M262" s="7"/>
      <c r="N262" s="7"/>
      <c r="O262" s="8"/>
      <c r="P262" s="6"/>
      <c r="Q262" s="5"/>
      <c r="R262" s="5"/>
      <c r="S262" s="5"/>
      <c r="T262" s="5"/>
      <c r="U262" s="5"/>
      <c r="V262" s="5"/>
      <c r="W262" s="5"/>
      <c r="X262" s="8"/>
      <c r="Y262" s="9"/>
      <c r="Z262" s="10"/>
      <c r="AA262" s="10"/>
      <c r="AB262" s="8"/>
      <c r="AC262" s="10"/>
    </row>
    <row r="263" spans="1:29" s="4" customFormat="1" x14ac:dyDescent="0.3">
      <c r="A263" s="3"/>
      <c r="B263" s="39"/>
      <c r="C263" s="5"/>
      <c r="D263" s="5"/>
      <c r="E263" s="5"/>
      <c r="F263" s="5"/>
      <c r="G263" s="29"/>
      <c r="H263"/>
      <c r="I263" s="7"/>
      <c r="J263" s="7"/>
      <c r="K263" s="7"/>
      <c r="L263" s="8"/>
      <c r="M263" s="7"/>
      <c r="N263" s="7"/>
      <c r="O263" s="8"/>
      <c r="P263" s="6"/>
      <c r="Q263" s="5"/>
      <c r="R263" s="5"/>
      <c r="S263" s="5"/>
      <c r="T263" s="5"/>
      <c r="U263" s="5"/>
      <c r="V263" s="5"/>
      <c r="W263" s="5"/>
      <c r="X263" s="8"/>
      <c r="Y263" s="9"/>
      <c r="Z263" s="10"/>
      <c r="AA263" s="10"/>
      <c r="AB263" s="8"/>
      <c r="AC263" s="10"/>
    </row>
    <row r="264" spans="1:29" s="4" customFormat="1" x14ac:dyDescent="0.3">
      <c r="A264" s="3"/>
      <c r="B264" s="39"/>
      <c r="C264" s="5"/>
      <c r="D264" s="5"/>
      <c r="E264" s="5"/>
      <c r="F264" s="5"/>
      <c r="G264" s="29"/>
      <c r="H264"/>
      <c r="I264" s="7"/>
      <c r="J264" s="7"/>
      <c r="K264" s="7"/>
      <c r="L264" s="8"/>
      <c r="M264" s="7"/>
      <c r="N264" s="7"/>
      <c r="O264" s="8"/>
      <c r="P264" s="6"/>
      <c r="Q264" s="5"/>
      <c r="R264" s="5"/>
      <c r="S264" s="5"/>
      <c r="T264" s="5"/>
      <c r="U264" s="5"/>
      <c r="V264" s="5"/>
      <c r="W264" s="5"/>
      <c r="X264" s="8"/>
      <c r="Y264" s="9"/>
      <c r="Z264" s="10"/>
      <c r="AA264" s="10"/>
      <c r="AB264" s="8"/>
      <c r="AC264" s="10"/>
    </row>
    <row r="265" spans="1:29" s="4" customFormat="1" x14ac:dyDescent="0.3">
      <c r="A265" s="3"/>
      <c r="B265" s="39"/>
      <c r="C265" s="5"/>
      <c r="D265" s="5"/>
      <c r="E265" s="5"/>
      <c r="F265" s="5"/>
      <c r="G265" s="29"/>
      <c r="H265"/>
      <c r="I265" s="7"/>
      <c r="J265" s="7"/>
      <c r="K265" s="7"/>
      <c r="L265" s="8"/>
      <c r="M265" s="7"/>
      <c r="N265" s="7"/>
      <c r="O265" s="8"/>
      <c r="P265" s="6"/>
      <c r="Q265" s="5"/>
      <c r="R265" s="5"/>
      <c r="S265" s="5"/>
      <c r="T265" s="5"/>
      <c r="U265" s="5"/>
      <c r="V265" s="5"/>
      <c r="W265" s="5"/>
      <c r="X265" s="8"/>
      <c r="Y265" s="9"/>
      <c r="Z265" s="10"/>
      <c r="AA265" s="10"/>
      <c r="AB265" s="8"/>
      <c r="AC265" s="10"/>
    </row>
    <row r="266" spans="1:29" s="4" customFormat="1" x14ac:dyDescent="0.3">
      <c r="A266" s="3"/>
      <c r="B266" s="39"/>
      <c r="C266" s="5"/>
      <c r="D266" s="5"/>
      <c r="E266" s="5"/>
      <c r="F266" s="5"/>
      <c r="G266" s="29"/>
      <c r="H266"/>
      <c r="I266" s="7"/>
      <c r="J266" s="7"/>
      <c r="K266" s="7"/>
      <c r="L266" s="8"/>
      <c r="M266" s="7"/>
      <c r="N266" s="7"/>
      <c r="O266" s="8"/>
      <c r="P266" s="6"/>
      <c r="Q266" s="5"/>
      <c r="R266" s="5"/>
      <c r="S266" s="5"/>
      <c r="T266" s="5"/>
      <c r="U266" s="5"/>
      <c r="V266" s="5"/>
      <c r="W266" s="5"/>
      <c r="X266" s="8"/>
      <c r="Y266" s="9"/>
      <c r="Z266" s="10"/>
      <c r="AA266" s="10"/>
      <c r="AB266" s="8"/>
      <c r="AC266" s="10"/>
    </row>
    <row r="267" spans="1:29" s="4" customFormat="1" x14ac:dyDescent="0.3">
      <c r="A267" s="3"/>
      <c r="B267" s="39"/>
      <c r="C267" s="5"/>
      <c r="D267" s="5"/>
      <c r="E267" s="5"/>
      <c r="F267" s="5"/>
      <c r="G267" s="29"/>
      <c r="H267"/>
      <c r="I267" s="7"/>
      <c r="J267" s="7"/>
      <c r="K267" s="7"/>
      <c r="L267" s="8"/>
      <c r="M267" s="7"/>
      <c r="N267" s="7"/>
      <c r="O267" s="8"/>
      <c r="P267" s="6"/>
      <c r="Q267" s="5"/>
      <c r="R267" s="5"/>
      <c r="S267" s="5"/>
      <c r="T267" s="5"/>
      <c r="U267" s="5"/>
      <c r="V267" s="5"/>
      <c r="W267" s="5"/>
      <c r="X267" s="8"/>
      <c r="Y267" s="9"/>
      <c r="Z267" s="10"/>
      <c r="AA267" s="10"/>
      <c r="AB267" s="8"/>
      <c r="AC267" s="10"/>
    </row>
    <row r="268" spans="1:29" s="4" customFormat="1" x14ac:dyDescent="0.3">
      <c r="A268" s="3"/>
      <c r="B268" s="39"/>
      <c r="C268" s="5"/>
      <c r="D268" s="5"/>
      <c r="E268" s="5"/>
      <c r="F268" s="5"/>
      <c r="G268" s="29"/>
      <c r="H268"/>
      <c r="I268" s="7"/>
      <c r="J268" s="7"/>
      <c r="K268" s="7"/>
      <c r="L268" s="8"/>
      <c r="M268" s="7"/>
      <c r="N268" s="7"/>
      <c r="O268" s="8"/>
      <c r="P268" s="6"/>
      <c r="Q268" s="5"/>
      <c r="R268" s="5"/>
      <c r="S268" s="5"/>
      <c r="T268" s="5"/>
      <c r="U268" s="5"/>
      <c r="V268" s="5"/>
      <c r="W268" s="5"/>
      <c r="X268" s="8"/>
      <c r="Y268" s="9"/>
      <c r="Z268" s="10"/>
      <c r="AA268" s="10"/>
      <c r="AB268" s="8"/>
      <c r="AC268" s="10"/>
    </row>
    <row r="269" spans="1:29" s="4" customFormat="1" x14ac:dyDescent="0.3">
      <c r="A269" s="3"/>
      <c r="B269" s="39"/>
      <c r="C269" s="5"/>
      <c r="D269" s="5"/>
      <c r="E269" s="5"/>
      <c r="F269" s="5"/>
      <c r="G269" s="29"/>
      <c r="H269"/>
      <c r="I269" s="7"/>
      <c r="J269" s="7"/>
      <c r="K269" s="7"/>
      <c r="L269" s="8"/>
      <c r="M269" s="7"/>
      <c r="N269" s="7"/>
      <c r="O269" s="8"/>
      <c r="P269" s="6"/>
      <c r="Q269" s="5"/>
      <c r="R269" s="5"/>
      <c r="S269" s="5"/>
      <c r="T269" s="5"/>
      <c r="U269" s="5"/>
      <c r="V269" s="5"/>
      <c r="W269" s="5"/>
      <c r="X269" s="8"/>
      <c r="Y269" s="9"/>
      <c r="Z269" s="10"/>
      <c r="AA269" s="10"/>
      <c r="AB269" s="8"/>
      <c r="AC269" s="10"/>
    </row>
    <row r="270" spans="1:29" s="4" customFormat="1" x14ac:dyDescent="0.3">
      <c r="A270" s="3"/>
      <c r="B270" s="39"/>
      <c r="C270" s="5"/>
      <c r="D270" s="5"/>
      <c r="E270" s="5"/>
      <c r="F270" s="5"/>
      <c r="G270" s="29"/>
      <c r="H270"/>
      <c r="I270" s="7"/>
      <c r="J270" s="7"/>
      <c r="K270" s="7"/>
      <c r="L270" s="8"/>
      <c r="M270" s="7"/>
      <c r="N270" s="7"/>
      <c r="O270" s="8"/>
      <c r="P270" s="6"/>
      <c r="Q270" s="5"/>
      <c r="R270" s="5"/>
      <c r="S270" s="5"/>
      <c r="T270" s="5"/>
      <c r="U270" s="5"/>
      <c r="V270" s="5"/>
      <c r="W270" s="5"/>
      <c r="X270" s="8"/>
      <c r="Y270" s="9"/>
      <c r="Z270" s="10"/>
      <c r="AA270" s="10"/>
      <c r="AB270" s="8"/>
      <c r="AC270" s="10"/>
    </row>
    <row r="271" spans="1:29" s="4" customFormat="1" x14ac:dyDescent="0.3">
      <c r="A271" s="3"/>
      <c r="B271" s="39"/>
      <c r="C271" s="5"/>
      <c r="D271" s="5"/>
      <c r="E271" s="5"/>
      <c r="F271" s="5"/>
      <c r="G271" s="29"/>
      <c r="H271"/>
      <c r="I271" s="7"/>
      <c r="J271" s="7"/>
      <c r="K271" s="7"/>
      <c r="L271" s="8"/>
      <c r="M271" s="7"/>
      <c r="N271" s="7"/>
      <c r="O271" s="8"/>
      <c r="P271" s="6"/>
      <c r="Q271" s="5"/>
      <c r="R271" s="5"/>
      <c r="S271" s="5"/>
      <c r="T271" s="5"/>
      <c r="U271" s="5"/>
      <c r="V271" s="5"/>
      <c r="W271" s="5"/>
      <c r="X271" s="8"/>
      <c r="Y271" s="9"/>
      <c r="Z271" s="10"/>
      <c r="AA271" s="10"/>
      <c r="AB271" s="8"/>
      <c r="AC271" s="10"/>
    </row>
    <row r="272" spans="1:29" s="4" customFormat="1" x14ac:dyDescent="0.3">
      <c r="A272" s="3"/>
      <c r="B272" s="39"/>
      <c r="C272" s="5"/>
      <c r="D272" s="5"/>
      <c r="E272" s="5"/>
      <c r="F272" s="5"/>
      <c r="G272" s="29"/>
      <c r="H272"/>
      <c r="I272" s="7"/>
      <c r="J272" s="7"/>
      <c r="K272" s="7"/>
      <c r="L272" s="8"/>
      <c r="M272" s="7"/>
      <c r="N272" s="7"/>
      <c r="O272" s="8"/>
      <c r="P272" s="6"/>
      <c r="Q272" s="5"/>
      <c r="R272" s="5"/>
      <c r="S272" s="5"/>
      <c r="T272" s="5"/>
      <c r="U272" s="5"/>
      <c r="V272" s="5"/>
      <c r="W272" s="5"/>
      <c r="X272" s="8"/>
      <c r="Y272" s="9"/>
      <c r="Z272" s="10"/>
      <c r="AA272" s="10"/>
      <c r="AB272" s="8"/>
      <c r="AC272" s="10"/>
    </row>
    <row r="273" spans="1:29" s="4" customFormat="1" x14ac:dyDescent="0.3">
      <c r="A273" s="3"/>
      <c r="B273" s="39"/>
      <c r="C273" s="5"/>
      <c r="D273" s="5"/>
      <c r="E273" s="5"/>
      <c r="F273" s="5"/>
      <c r="G273" s="29"/>
      <c r="H273"/>
      <c r="I273" s="7"/>
      <c r="J273" s="7"/>
      <c r="K273" s="7"/>
      <c r="L273" s="8"/>
      <c r="M273" s="7"/>
      <c r="N273" s="7"/>
      <c r="O273" s="8"/>
      <c r="P273" s="6"/>
      <c r="Q273" s="5"/>
      <c r="R273" s="5"/>
      <c r="S273" s="5"/>
      <c r="T273" s="5"/>
      <c r="U273" s="5"/>
      <c r="V273" s="5"/>
      <c r="W273" s="5"/>
      <c r="X273" s="8"/>
      <c r="Y273" s="9"/>
      <c r="Z273" s="10"/>
      <c r="AA273" s="10"/>
      <c r="AB273" s="8"/>
      <c r="AC273" s="10"/>
    </row>
    <row r="274" spans="1:29" s="4" customFormat="1" x14ac:dyDescent="0.3">
      <c r="A274" s="3"/>
      <c r="B274" s="39"/>
      <c r="C274" s="5"/>
      <c r="D274" s="5"/>
      <c r="E274" s="5"/>
      <c r="F274" s="5"/>
      <c r="G274" s="29"/>
      <c r="H274"/>
      <c r="I274" s="7"/>
      <c r="J274" s="7"/>
      <c r="K274" s="7"/>
      <c r="L274" s="8"/>
      <c r="M274" s="7"/>
      <c r="N274" s="7"/>
      <c r="O274" s="8"/>
      <c r="P274" s="6"/>
      <c r="Q274" s="5"/>
      <c r="R274" s="5"/>
      <c r="S274" s="5"/>
      <c r="T274" s="5"/>
      <c r="U274" s="5"/>
      <c r="V274" s="5"/>
      <c r="W274" s="5"/>
      <c r="X274" s="8"/>
      <c r="Y274" s="9"/>
      <c r="Z274" s="10"/>
      <c r="AA274" s="10"/>
      <c r="AB274" s="8"/>
      <c r="AC274" s="10"/>
    </row>
    <row r="275" spans="1:29" s="4" customFormat="1" x14ac:dyDescent="0.3">
      <c r="A275" s="3"/>
      <c r="B275" s="39"/>
      <c r="C275" s="5"/>
      <c r="D275" s="5"/>
      <c r="E275" s="5"/>
      <c r="F275" s="5"/>
      <c r="G275" s="29"/>
      <c r="H275"/>
      <c r="I275" s="7"/>
      <c r="J275" s="7"/>
      <c r="K275" s="7"/>
      <c r="L275" s="8"/>
      <c r="M275" s="7"/>
      <c r="N275" s="7"/>
      <c r="O275" s="8"/>
      <c r="P275" s="6"/>
      <c r="Q275" s="5"/>
      <c r="R275" s="5"/>
      <c r="S275" s="5"/>
      <c r="T275" s="5"/>
      <c r="U275" s="5"/>
      <c r="V275" s="5"/>
      <c r="W275" s="5"/>
      <c r="X275" s="8"/>
      <c r="Y275" s="9"/>
      <c r="Z275" s="10"/>
      <c r="AA275" s="10"/>
      <c r="AB275" s="8"/>
      <c r="AC275" s="10"/>
    </row>
    <row r="276" spans="1:29" s="4" customFormat="1" x14ac:dyDescent="0.3">
      <c r="A276" s="3"/>
      <c r="B276" s="39"/>
      <c r="C276" s="5"/>
      <c r="D276" s="5"/>
      <c r="E276" s="5"/>
      <c r="F276" s="5"/>
      <c r="G276" s="29"/>
      <c r="H276"/>
      <c r="I276" s="7"/>
      <c r="J276" s="7"/>
      <c r="K276" s="7"/>
      <c r="L276" s="8"/>
      <c r="M276" s="7"/>
      <c r="N276" s="7"/>
      <c r="O276" s="8"/>
      <c r="P276" s="6"/>
      <c r="Q276" s="5"/>
      <c r="R276" s="5"/>
      <c r="S276" s="5"/>
      <c r="T276" s="5"/>
      <c r="U276" s="5"/>
      <c r="V276" s="5"/>
      <c r="W276" s="5"/>
      <c r="X276" s="8"/>
      <c r="Y276" s="9"/>
      <c r="Z276" s="10"/>
      <c r="AA276" s="10"/>
      <c r="AB276" s="8"/>
      <c r="AC276" s="10"/>
    </row>
    <row r="277" spans="1:29" s="4" customFormat="1" x14ac:dyDescent="0.3">
      <c r="A277" s="3"/>
      <c r="B277" s="39"/>
      <c r="C277" s="5"/>
      <c r="D277" s="5"/>
      <c r="E277" s="5"/>
      <c r="F277" s="5"/>
      <c r="G277" s="29"/>
      <c r="H277"/>
      <c r="I277" s="7"/>
      <c r="J277" s="7"/>
      <c r="K277" s="7"/>
      <c r="L277" s="8"/>
      <c r="M277" s="7"/>
      <c r="N277" s="7"/>
      <c r="O277" s="8"/>
      <c r="P277" s="6"/>
      <c r="Q277" s="5"/>
      <c r="R277" s="5"/>
      <c r="S277" s="5"/>
      <c r="T277" s="5"/>
      <c r="U277" s="5"/>
      <c r="V277" s="5"/>
      <c r="W277" s="5"/>
      <c r="X277" s="8"/>
      <c r="Y277" s="9"/>
      <c r="Z277" s="10"/>
      <c r="AA277" s="10"/>
      <c r="AB277" s="8"/>
      <c r="AC277" s="10"/>
    </row>
    <row r="278" spans="1:29" s="4" customFormat="1" x14ac:dyDescent="0.3">
      <c r="A278" s="3"/>
      <c r="B278" s="39"/>
      <c r="C278" s="5"/>
      <c r="D278" s="5"/>
      <c r="E278" s="5"/>
      <c r="F278" s="5"/>
      <c r="G278" s="29"/>
      <c r="H278"/>
      <c r="I278" s="7"/>
      <c r="J278" s="7"/>
      <c r="K278" s="7"/>
      <c r="L278" s="8"/>
      <c r="M278" s="7"/>
      <c r="N278" s="7"/>
      <c r="O278" s="8"/>
      <c r="P278" s="6"/>
      <c r="Q278" s="5"/>
      <c r="R278" s="5"/>
      <c r="S278" s="5"/>
      <c r="T278" s="5"/>
      <c r="U278" s="5"/>
      <c r="V278" s="5"/>
      <c r="W278" s="5"/>
      <c r="X278" s="8"/>
      <c r="Y278" s="9"/>
      <c r="Z278" s="10"/>
      <c r="AA278" s="10"/>
      <c r="AB278" s="8"/>
      <c r="AC278" s="10"/>
    </row>
    <row r="279" spans="1:29" s="4" customFormat="1" x14ac:dyDescent="0.3">
      <c r="A279" s="3"/>
      <c r="B279" s="39"/>
      <c r="C279" s="5"/>
      <c r="D279" s="5"/>
      <c r="E279" s="5"/>
      <c r="F279" s="5"/>
      <c r="G279" s="29"/>
      <c r="H279"/>
      <c r="I279" s="7"/>
      <c r="J279" s="7"/>
      <c r="K279" s="7"/>
      <c r="L279" s="8"/>
      <c r="M279" s="7"/>
      <c r="N279" s="7"/>
      <c r="O279" s="8"/>
      <c r="P279" s="6"/>
      <c r="Q279" s="5"/>
      <c r="R279" s="5"/>
      <c r="S279" s="5"/>
      <c r="T279" s="5"/>
      <c r="U279" s="5"/>
      <c r="V279" s="5"/>
      <c r="W279" s="5"/>
      <c r="X279" s="8"/>
      <c r="Y279" s="9"/>
      <c r="Z279" s="10"/>
      <c r="AA279" s="10"/>
      <c r="AB279" s="8"/>
      <c r="AC279" s="10"/>
    </row>
    <row r="280" spans="1:29" s="4" customFormat="1" x14ac:dyDescent="0.3">
      <c r="A280" s="3"/>
      <c r="B280" s="39"/>
      <c r="C280" s="5"/>
      <c r="D280" s="5"/>
      <c r="E280" s="5"/>
      <c r="F280" s="5"/>
      <c r="G280" s="29"/>
      <c r="H280"/>
      <c r="I280" s="7"/>
      <c r="J280" s="7"/>
      <c r="K280" s="7"/>
      <c r="L280" s="8"/>
      <c r="M280" s="7"/>
      <c r="N280" s="7"/>
      <c r="O280" s="8"/>
      <c r="P280" s="6"/>
      <c r="Q280" s="5"/>
      <c r="R280" s="5"/>
      <c r="S280" s="5"/>
      <c r="T280" s="5"/>
      <c r="U280" s="5"/>
      <c r="V280" s="5"/>
      <c r="W280" s="5"/>
      <c r="X280" s="8"/>
      <c r="Y280" s="9"/>
      <c r="Z280" s="10"/>
      <c r="AA280" s="10"/>
      <c r="AB280" s="8"/>
      <c r="AC280" s="10"/>
    </row>
    <row r="281" spans="1:29" s="4" customFormat="1" x14ac:dyDescent="0.3">
      <c r="A281" s="3"/>
      <c r="B281" s="39"/>
      <c r="C281" s="5"/>
      <c r="D281" s="5"/>
      <c r="E281" s="5"/>
      <c r="F281" s="5"/>
      <c r="G281" s="29"/>
      <c r="H281"/>
      <c r="I281" s="7"/>
      <c r="J281" s="7"/>
      <c r="K281" s="7"/>
      <c r="L281" s="8"/>
      <c r="M281" s="7"/>
      <c r="N281" s="7"/>
      <c r="O281" s="8"/>
      <c r="P281" s="6"/>
      <c r="Q281" s="5"/>
      <c r="R281" s="5"/>
      <c r="S281" s="5"/>
      <c r="T281" s="5"/>
      <c r="U281" s="5"/>
      <c r="V281" s="5"/>
      <c r="W281" s="5"/>
      <c r="X281" s="8"/>
      <c r="Y281" s="9"/>
      <c r="Z281" s="10"/>
      <c r="AA281" s="10"/>
      <c r="AB281" s="8"/>
      <c r="AC281" s="10"/>
    </row>
    <row r="282" spans="1:29" s="4" customFormat="1" x14ac:dyDescent="0.3">
      <c r="A282" s="3"/>
      <c r="B282" s="39"/>
      <c r="C282" s="5"/>
      <c r="D282" s="5"/>
      <c r="E282" s="5"/>
      <c r="F282" s="5"/>
      <c r="G282" s="29"/>
      <c r="H282"/>
      <c r="I282" s="7"/>
      <c r="J282" s="7"/>
      <c r="K282" s="7"/>
      <c r="L282" s="8"/>
      <c r="M282" s="7"/>
      <c r="N282" s="7"/>
      <c r="O282" s="8"/>
      <c r="P282" s="6"/>
      <c r="Q282" s="5"/>
      <c r="R282" s="5"/>
      <c r="S282" s="5"/>
      <c r="T282" s="5"/>
      <c r="U282" s="5"/>
      <c r="V282" s="5"/>
      <c r="W282" s="5"/>
      <c r="X282" s="8"/>
      <c r="Y282" s="9"/>
      <c r="Z282" s="10"/>
      <c r="AA282" s="10"/>
      <c r="AB282" s="8"/>
      <c r="AC282" s="10"/>
    </row>
    <row r="283" spans="1:29" s="4" customFormat="1" x14ac:dyDescent="0.3">
      <c r="A283" s="3"/>
      <c r="B283" s="39"/>
      <c r="C283" s="5"/>
      <c r="D283" s="5"/>
      <c r="E283" s="5"/>
      <c r="F283" s="5"/>
      <c r="G283" s="29"/>
      <c r="H283"/>
      <c r="I283" s="7"/>
      <c r="J283" s="7"/>
      <c r="K283" s="7"/>
      <c r="L283" s="8"/>
      <c r="M283" s="7"/>
      <c r="N283" s="7"/>
      <c r="O283" s="8"/>
      <c r="P283" s="6"/>
      <c r="Q283" s="5"/>
      <c r="R283" s="5"/>
      <c r="S283" s="5"/>
      <c r="T283" s="5"/>
      <c r="U283" s="5"/>
      <c r="V283" s="5"/>
      <c r="W283" s="5"/>
      <c r="X283" s="8"/>
      <c r="Y283" s="9"/>
      <c r="Z283" s="10"/>
      <c r="AA283" s="10"/>
      <c r="AB283" s="8"/>
      <c r="AC283" s="10"/>
    </row>
    <row r="284" spans="1:29" s="4" customFormat="1" x14ac:dyDescent="0.3">
      <c r="A284" s="3"/>
      <c r="B284" s="39"/>
      <c r="C284" s="5"/>
      <c r="D284" s="5"/>
      <c r="E284" s="5"/>
      <c r="F284" s="5"/>
      <c r="G284" s="29"/>
      <c r="H284"/>
      <c r="I284" s="7"/>
      <c r="J284" s="7"/>
      <c r="K284" s="7"/>
      <c r="L284" s="8"/>
      <c r="M284" s="7"/>
      <c r="N284" s="7"/>
      <c r="O284" s="8"/>
      <c r="P284" s="6"/>
      <c r="Q284" s="5"/>
      <c r="R284" s="5"/>
      <c r="S284" s="5"/>
      <c r="T284" s="5"/>
      <c r="U284" s="5"/>
      <c r="V284" s="5"/>
      <c r="W284" s="5"/>
      <c r="X284" s="8"/>
      <c r="Y284" s="9"/>
      <c r="Z284" s="10"/>
      <c r="AA284" s="10"/>
      <c r="AB284" s="8"/>
      <c r="AC284" s="10"/>
    </row>
    <row r="285" spans="1:29" s="4" customFormat="1" x14ac:dyDescent="0.3">
      <c r="A285" s="3"/>
      <c r="B285" s="39"/>
      <c r="C285" s="5"/>
      <c r="D285" s="5"/>
      <c r="E285" s="5"/>
      <c r="F285" s="5"/>
      <c r="G285" s="29"/>
      <c r="H285"/>
      <c r="I285" s="7"/>
      <c r="J285" s="7"/>
      <c r="K285" s="7"/>
      <c r="L285" s="8"/>
      <c r="M285" s="7"/>
      <c r="N285" s="7"/>
      <c r="O285" s="8"/>
      <c r="P285" s="6"/>
      <c r="Q285" s="5"/>
      <c r="R285" s="5"/>
      <c r="S285" s="5"/>
      <c r="T285" s="5"/>
      <c r="U285" s="5"/>
      <c r="V285" s="5"/>
      <c r="W285" s="5"/>
      <c r="X285" s="8"/>
      <c r="Y285" s="9"/>
      <c r="Z285" s="10"/>
      <c r="AA285" s="10"/>
      <c r="AB285" s="8"/>
      <c r="AC285" s="10"/>
    </row>
    <row r="286" spans="1:29" s="4" customFormat="1" x14ac:dyDescent="0.3">
      <c r="A286" s="3"/>
      <c r="B286" s="39"/>
      <c r="C286" s="5"/>
      <c r="D286" s="5"/>
      <c r="E286" s="5"/>
      <c r="F286" s="5"/>
      <c r="G286" s="29"/>
      <c r="H286"/>
      <c r="I286" s="7"/>
      <c r="J286" s="7"/>
      <c r="K286" s="7"/>
      <c r="L286" s="8"/>
      <c r="M286" s="7"/>
      <c r="N286" s="7"/>
      <c r="O286" s="8"/>
      <c r="P286" s="6"/>
      <c r="Q286" s="5"/>
      <c r="R286" s="5"/>
      <c r="S286" s="5"/>
      <c r="T286" s="5"/>
      <c r="U286" s="5"/>
      <c r="V286" s="5"/>
      <c r="W286" s="5"/>
      <c r="X286" s="8"/>
      <c r="Y286" s="9"/>
      <c r="Z286" s="10"/>
      <c r="AA286" s="10"/>
      <c r="AB286" s="8"/>
      <c r="AC286" s="10"/>
    </row>
    <row r="287" spans="1:29" s="4" customFormat="1" x14ac:dyDescent="0.3">
      <c r="A287" s="3"/>
      <c r="B287" s="39"/>
      <c r="C287" s="5"/>
      <c r="D287" s="5"/>
      <c r="E287" s="5"/>
      <c r="F287" s="5"/>
      <c r="G287" s="29"/>
      <c r="H287"/>
      <c r="I287" s="7"/>
      <c r="J287" s="7"/>
      <c r="K287" s="7"/>
      <c r="L287" s="8"/>
      <c r="M287" s="7"/>
      <c r="N287" s="7"/>
      <c r="O287" s="8"/>
      <c r="P287" s="6"/>
      <c r="Q287" s="5"/>
      <c r="R287" s="5"/>
      <c r="S287" s="5"/>
      <c r="T287" s="5"/>
      <c r="U287" s="5"/>
      <c r="V287" s="5"/>
      <c r="W287" s="5"/>
      <c r="X287" s="8"/>
      <c r="Y287" s="9"/>
      <c r="Z287" s="10"/>
      <c r="AA287" s="10"/>
      <c r="AB287" s="8"/>
      <c r="AC287" s="10"/>
    </row>
    <row r="288" spans="1:29" s="4" customFormat="1" x14ac:dyDescent="0.3">
      <c r="A288" s="3"/>
      <c r="B288" s="39"/>
      <c r="C288" s="5"/>
      <c r="D288" s="5"/>
      <c r="E288" s="5"/>
      <c r="F288" s="5"/>
      <c r="G288" s="29"/>
      <c r="H288"/>
      <c r="I288" s="7"/>
      <c r="J288" s="7"/>
      <c r="K288" s="7"/>
      <c r="L288" s="8"/>
      <c r="M288" s="7"/>
      <c r="N288" s="7"/>
      <c r="O288" s="8"/>
      <c r="P288" s="6"/>
      <c r="Q288" s="5"/>
      <c r="R288" s="5"/>
      <c r="S288" s="5"/>
      <c r="T288" s="5"/>
      <c r="U288" s="5"/>
      <c r="V288" s="5"/>
      <c r="W288" s="5"/>
      <c r="X288" s="8"/>
      <c r="Y288" s="9"/>
      <c r="Z288" s="10"/>
      <c r="AA288" s="10"/>
      <c r="AB288" s="8"/>
      <c r="AC288" s="10"/>
    </row>
    <row r="289" spans="1:29" s="4" customFormat="1" x14ac:dyDescent="0.3">
      <c r="A289" s="3"/>
      <c r="B289" s="39"/>
      <c r="C289" s="5"/>
      <c r="D289" s="5"/>
      <c r="E289" s="5"/>
      <c r="F289" s="5"/>
      <c r="G289" s="29"/>
      <c r="H289"/>
      <c r="I289" s="7"/>
      <c r="J289" s="7"/>
      <c r="K289" s="7"/>
      <c r="L289" s="8"/>
      <c r="M289" s="7"/>
      <c r="N289" s="7"/>
      <c r="O289" s="8"/>
      <c r="P289" s="6"/>
      <c r="Q289" s="5"/>
      <c r="R289" s="5"/>
      <c r="S289" s="5"/>
      <c r="T289" s="5"/>
      <c r="U289" s="5"/>
      <c r="V289" s="5"/>
      <c r="W289" s="5"/>
      <c r="X289" s="8"/>
      <c r="Y289" s="9"/>
      <c r="Z289" s="10"/>
      <c r="AA289" s="10"/>
      <c r="AB289" s="8"/>
      <c r="AC289" s="10"/>
    </row>
    <row r="290" spans="1:29" s="4" customFormat="1" x14ac:dyDescent="0.3">
      <c r="A290" s="3"/>
      <c r="B290" s="39"/>
      <c r="C290" s="5"/>
      <c r="D290" s="5"/>
      <c r="E290" s="5"/>
      <c r="F290" s="5"/>
      <c r="G290" s="29"/>
      <c r="H290"/>
      <c r="I290" s="7"/>
      <c r="J290" s="7"/>
      <c r="K290" s="7"/>
      <c r="L290" s="8"/>
      <c r="M290" s="7"/>
      <c r="N290" s="7"/>
      <c r="O290" s="8"/>
      <c r="P290" s="6"/>
      <c r="Q290" s="5"/>
      <c r="R290" s="5"/>
      <c r="S290" s="5"/>
      <c r="T290" s="5"/>
      <c r="U290" s="5"/>
      <c r="V290" s="5"/>
      <c r="W290" s="5"/>
      <c r="X290" s="8"/>
      <c r="Y290" s="9"/>
      <c r="Z290" s="10"/>
      <c r="AA290" s="10"/>
      <c r="AB290" s="8"/>
      <c r="AC290" s="10"/>
    </row>
    <row r="291" spans="1:29" s="4" customFormat="1" x14ac:dyDescent="0.3">
      <c r="A291" s="3"/>
      <c r="B291" s="39"/>
      <c r="C291" s="5"/>
      <c r="D291" s="5"/>
      <c r="E291" s="5"/>
      <c r="F291" s="5"/>
      <c r="G291" s="29"/>
      <c r="H291"/>
      <c r="I291" s="7"/>
      <c r="J291" s="7"/>
      <c r="K291" s="7"/>
      <c r="L291" s="8"/>
      <c r="M291" s="7"/>
      <c r="N291" s="7"/>
      <c r="O291" s="8"/>
      <c r="P291" s="6"/>
      <c r="Q291" s="5"/>
      <c r="R291" s="5"/>
      <c r="S291" s="5"/>
      <c r="T291" s="5"/>
      <c r="U291" s="5"/>
      <c r="V291" s="5"/>
      <c r="W291" s="5"/>
      <c r="X291" s="8"/>
      <c r="Y291" s="9"/>
      <c r="Z291" s="10"/>
      <c r="AA291" s="10"/>
      <c r="AB291" s="8"/>
      <c r="AC291" s="10"/>
    </row>
    <row r="292" spans="1:29" s="4" customFormat="1" x14ac:dyDescent="0.3">
      <c r="A292" s="3"/>
      <c r="B292" s="39"/>
      <c r="C292" s="5"/>
      <c r="D292" s="5"/>
      <c r="E292" s="5"/>
      <c r="F292" s="5"/>
      <c r="G292" s="29"/>
      <c r="H292"/>
      <c r="I292" s="7"/>
      <c r="J292" s="7"/>
      <c r="K292" s="7"/>
      <c r="L292" s="8"/>
      <c r="M292" s="7"/>
      <c r="N292" s="7"/>
      <c r="O292" s="8"/>
      <c r="P292" s="6"/>
      <c r="Q292" s="5"/>
      <c r="R292" s="5"/>
      <c r="S292" s="5"/>
      <c r="T292" s="5"/>
      <c r="U292" s="5"/>
      <c r="V292" s="5"/>
      <c r="W292" s="5"/>
      <c r="X292" s="8"/>
      <c r="Y292" s="9"/>
      <c r="Z292" s="10"/>
      <c r="AA292" s="10"/>
      <c r="AB292" s="8"/>
      <c r="AC292" s="10"/>
    </row>
    <row r="293" spans="1:29" s="4" customFormat="1" x14ac:dyDescent="0.3">
      <c r="A293" s="3"/>
      <c r="B293" s="39"/>
      <c r="C293" s="5"/>
      <c r="D293" s="5"/>
      <c r="E293" s="5"/>
      <c r="F293" s="5"/>
      <c r="G293" s="29"/>
      <c r="H293"/>
      <c r="I293" s="7"/>
      <c r="J293" s="7"/>
      <c r="K293" s="7"/>
      <c r="L293" s="8"/>
      <c r="M293" s="7"/>
      <c r="N293" s="7"/>
      <c r="O293" s="8"/>
      <c r="P293" s="6"/>
      <c r="Q293" s="5"/>
      <c r="R293" s="5"/>
      <c r="S293" s="5"/>
      <c r="T293" s="5"/>
      <c r="U293" s="5"/>
      <c r="V293" s="5"/>
      <c r="W293" s="5"/>
      <c r="X293" s="8"/>
      <c r="Y293" s="9"/>
      <c r="Z293" s="10"/>
      <c r="AA293" s="10"/>
      <c r="AB293" s="8"/>
      <c r="AC293" s="10"/>
    </row>
    <row r="294" spans="1:29" s="4" customFormat="1" x14ac:dyDescent="0.3">
      <c r="A294" s="3"/>
      <c r="B294" s="39"/>
      <c r="C294" s="5"/>
      <c r="D294" s="5"/>
      <c r="E294" s="5"/>
      <c r="F294" s="5"/>
      <c r="G294" s="29"/>
      <c r="H294"/>
      <c r="I294" s="7"/>
      <c r="J294" s="7"/>
      <c r="K294" s="7"/>
      <c r="L294" s="8"/>
      <c r="M294" s="7"/>
      <c r="N294" s="7"/>
      <c r="O294" s="8"/>
      <c r="P294" s="6"/>
      <c r="Q294" s="5"/>
      <c r="R294" s="5"/>
      <c r="S294" s="5"/>
      <c r="T294" s="5"/>
      <c r="U294" s="5"/>
      <c r="V294" s="5"/>
      <c r="W294" s="5"/>
      <c r="X294" s="8"/>
      <c r="Y294" s="9"/>
      <c r="Z294" s="10"/>
      <c r="AA294" s="10"/>
      <c r="AB294" s="8"/>
      <c r="AC294" s="10"/>
    </row>
    <row r="295" spans="1:29" s="4" customFormat="1" x14ac:dyDescent="0.3">
      <c r="A295" s="3"/>
      <c r="B295" s="39"/>
      <c r="C295" s="5"/>
      <c r="D295" s="5"/>
      <c r="E295" s="5"/>
      <c r="F295" s="5"/>
      <c r="G295" s="29"/>
      <c r="H295"/>
      <c r="I295" s="7"/>
      <c r="J295" s="7"/>
      <c r="K295" s="7"/>
      <c r="L295" s="8"/>
      <c r="M295" s="7"/>
      <c r="N295" s="7"/>
      <c r="O295" s="8"/>
      <c r="P295" s="6"/>
      <c r="Q295" s="5"/>
      <c r="R295" s="5"/>
      <c r="S295" s="5"/>
      <c r="T295" s="5"/>
      <c r="U295" s="5"/>
      <c r="V295" s="5"/>
      <c r="W295" s="5"/>
      <c r="X295" s="8"/>
      <c r="Y295" s="9"/>
      <c r="Z295" s="10"/>
      <c r="AA295" s="10"/>
      <c r="AB295" s="8"/>
      <c r="AC295" s="10"/>
    </row>
    <row r="296" spans="1:29" s="4" customFormat="1" x14ac:dyDescent="0.3">
      <c r="A296" s="3"/>
      <c r="B296" s="39"/>
      <c r="C296" s="5"/>
      <c r="D296" s="5"/>
      <c r="E296" s="5"/>
      <c r="F296" s="5"/>
      <c r="G296" s="29"/>
      <c r="H296"/>
      <c r="I296" s="7"/>
      <c r="J296" s="7"/>
      <c r="K296" s="7"/>
      <c r="L296" s="8"/>
      <c r="M296" s="7"/>
      <c r="N296" s="7"/>
      <c r="O296" s="8"/>
      <c r="P296" s="6"/>
      <c r="Q296" s="5"/>
      <c r="R296" s="5"/>
      <c r="S296" s="5"/>
      <c r="T296" s="5"/>
      <c r="U296" s="5"/>
      <c r="V296" s="5"/>
      <c r="W296" s="5"/>
      <c r="X296" s="8"/>
      <c r="Y296" s="9"/>
      <c r="Z296" s="10"/>
      <c r="AA296" s="10"/>
      <c r="AB296" s="8"/>
      <c r="AC296" s="10"/>
    </row>
    <row r="297" spans="1:29" s="4" customFormat="1" x14ac:dyDescent="0.3">
      <c r="A297" s="3"/>
      <c r="B297" s="39"/>
      <c r="C297" s="5"/>
      <c r="D297" s="5"/>
      <c r="E297" s="5"/>
      <c r="F297" s="5"/>
      <c r="G297" s="29"/>
      <c r="H297"/>
      <c r="I297" s="7"/>
      <c r="J297" s="7"/>
      <c r="K297" s="7"/>
      <c r="L297" s="8"/>
      <c r="M297" s="7"/>
      <c r="N297" s="7"/>
      <c r="O297" s="8"/>
      <c r="P297" s="6"/>
      <c r="Q297" s="5"/>
      <c r="R297" s="5"/>
      <c r="S297" s="5"/>
      <c r="T297" s="5"/>
      <c r="U297" s="5"/>
      <c r="V297" s="5"/>
      <c r="W297" s="5"/>
      <c r="X297" s="8"/>
      <c r="Y297" s="9"/>
      <c r="Z297" s="10"/>
      <c r="AA297" s="10"/>
      <c r="AB297" s="8"/>
      <c r="AC297" s="10"/>
    </row>
    <row r="298" spans="1:29" s="4" customFormat="1" x14ac:dyDescent="0.3">
      <c r="A298" s="3"/>
      <c r="B298" s="39"/>
      <c r="C298" s="5"/>
      <c r="D298" s="5"/>
      <c r="E298" s="5"/>
      <c r="F298" s="5"/>
      <c r="G298" s="29"/>
      <c r="H298"/>
      <c r="I298" s="7"/>
      <c r="J298" s="7"/>
      <c r="K298" s="7"/>
      <c r="L298" s="8"/>
      <c r="M298" s="7"/>
      <c r="N298" s="7"/>
      <c r="O298" s="8"/>
      <c r="P298" s="6"/>
      <c r="Q298" s="5"/>
      <c r="R298" s="5"/>
      <c r="S298" s="5"/>
      <c r="T298" s="5"/>
      <c r="U298" s="5"/>
      <c r="V298" s="5"/>
      <c r="W298" s="5"/>
      <c r="X298" s="8"/>
      <c r="Y298" s="9"/>
      <c r="Z298" s="10"/>
      <c r="AA298" s="10"/>
      <c r="AB298" s="8"/>
      <c r="AC298" s="10"/>
    </row>
    <row r="299" spans="1:29" s="4" customFormat="1" x14ac:dyDescent="0.3">
      <c r="A299" s="3"/>
      <c r="B299" s="39"/>
      <c r="C299" s="5"/>
      <c r="D299" s="5"/>
      <c r="E299" s="5"/>
      <c r="F299" s="5"/>
      <c r="G299" s="29"/>
      <c r="H299"/>
      <c r="I299" s="7"/>
      <c r="J299" s="7"/>
      <c r="K299" s="7"/>
      <c r="L299" s="8"/>
      <c r="M299" s="7"/>
      <c r="N299" s="7"/>
      <c r="O299" s="8"/>
      <c r="P299" s="6"/>
      <c r="Q299" s="5"/>
      <c r="R299" s="5"/>
      <c r="S299" s="5"/>
      <c r="T299" s="5"/>
      <c r="U299" s="5"/>
      <c r="V299" s="5"/>
      <c r="W299" s="5"/>
      <c r="X299" s="8"/>
      <c r="Y299" s="9"/>
      <c r="Z299" s="10"/>
      <c r="AA299" s="10"/>
      <c r="AB299" s="8"/>
      <c r="AC299" s="10"/>
    </row>
    <row r="300" spans="1:29" s="4" customFormat="1" x14ac:dyDescent="0.3">
      <c r="A300" s="3"/>
      <c r="B300" s="39"/>
      <c r="C300" s="5"/>
      <c r="D300" s="5"/>
      <c r="E300" s="5"/>
      <c r="F300" s="5"/>
      <c r="G300" s="29"/>
      <c r="H300"/>
      <c r="I300" s="7"/>
      <c r="J300" s="7"/>
      <c r="K300" s="7"/>
      <c r="L300" s="8"/>
      <c r="M300" s="7"/>
      <c r="N300" s="7"/>
      <c r="O300" s="8"/>
      <c r="P300" s="6"/>
      <c r="Q300" s="5"/>
      <c r="R300" s="5"/>
      <c r="S300" s="5"/>
      <c r="T300" s="5"/>
      <c r="U300" s="5"/>
      <c r="V300" s="5"/>
      <c r="W300" s="5"/>
      <c r="X300" s="8"/>
      <c r="Y300" s="9"/>
      <c r="Z300" s="10"/>
      <c r="AA300" s="10"/>
      <c r="AB300" s="8"/>
      <c r="AC300" s="10"/>
    </row>
    <row r="301" spans="1:29" s="4" customFormat="1" x14ac:dyDescent="0.3">
      <c r="A301" s="3"/>
      <c r="B301" s="39"/>
      <c r="C301" s="5"/>
      <c r="D301" s="5"/>
      <c r="E301" s="5"/>
      <c r="F301" s="5"/>
      <c r="G301" s="29"/>
      <c r="H301"/>
      <c r="I301" s="7"/>
      <c r="J301" s="7"/>
      <c r="K301" s="7"/>
      <c r="L301" s="8"/>
      <c r="M301" s="7"/>
      <c r="N301" s="7"/>
      <c r="O301" s="8"/>
      <c r="P301" s="6"/>
      <c r="Q301" s="5"/>
      <c r="R301" s="5"/>
      <c r="S301" s="5"/>
      <c r="T301" s="5"/>
      <c r="U301" s="5"/>
      <c r="V301" s="5"/>
      <c r="W301" s="5"/>
      <c r="X301" s="8"/>
      <c r="Y301" s="9"/>
      <c r="Z301" s="10"/>
      <c r="AA301" s="10"/>
      <c r="AB301" s="8"/>
      <c r="AC301" s="10"/>
    </row>
    <row r="302" spans="1:29" s="4" customFormat="1" x14ac:dyDescent="0.3">
      <c r="A302" s="3"/>
      <c r="B302" s="39"/>
      <c r="C302" s="5"/>
      <c r="D302" s="5"/>
      <c r="E302" s="5"/>
      <c r="F302" s="5"/>
      <c r="G302" s="29"/>
      <c r="H302"/>
      <c r="I302" s="7"/>
      <c r="J302" s="7"/>
      <c r="K302" s="7"/>
      <c r="L302" s="8"/>
      <c r="M302" s="7"/>
      <c r="N302" s="7"/>
      <c r="O302" s="8"/>
      <c r="P302" s="6"/>
      <c r="Q302" s="5"/>
      <c r="R302" s="5"/>
      <c r="S302" s="5"/>
      <c r="T302" s="5"/>
      <c r="U302" s="5"/>
      <c r="V302" s="5"/>
      <c r="W302" s="5"/>
      <c r="X302" s="8"/>
      <c r="Y302" s="9"/>
      <c r="Z302" s="10"/>
      <c r="AA302" s="10"/>
      <c r="AB302" s="8"/>
      <c r="AC302" s="10"/>
    </row>
    <row r="303" spans="1:29" s="4" customFormat="1" x14ac:dyDescent="0.3">
      <c r="A303" s="3"/>
      <c r="B303" s="39"/>
      <c r="C303" s="5"/>
      <c r="D303" s="5"/>
      <c r="E303" s="5"/>
      <c r="F303" s="5"/>
      <c r="G303" s="29"/>
      <c r="H303"/>
      <c r="I303" s="7"/>
      <c r="J303" s="7"/>
      <c r="K303" s="7"/>
      <c r="L303" s="8"/>
      <c r="M303" s="7"/>
      <c r="N303" s="7"/>
      <c r="O303" s="8"/>
      <c r="P303" s="6"/>
      <c r="Q303" s="5"/>
      <c r="R303" s="5"/>
      <c r="S303" s="5"/>
      <c r="T303" s="5"/>
      <c r="U303" s="5"/>
      <c r="V303" s="5"/>
      <c r="W303" s="5"/>
      <c r="X303" s="8"/>
      <c r="Y303" s="9"/>
      <c r="Z303" s="10"/>
      <c r="AA303" s="10"/>
      <c r="AB303" s="8"/>
      <c r="AC303" s="10"/>
    </row>
    <row r="304" spans="1:29" s="4" customFormat="1" x14ac:dyDescent="0.3">
      <c r="A304" s="3"/>
      <c r="B304" s="39"/>
      <c r="C304" s="5"/>
      <c r="D304" s="5"/>
      <c r="E304" s="5"/>
      <c r="F304" s="5"/>
      <c r="G304" s="29"/>
      <c r="H304"/>
      <c r="I304" s="7"/>
      <c r="J304" s="7"/>
      <c r="K304" s="7"/>
      <c r="L304" s="8"/>
      <c r="M304" s="7"/>
      <c r="N304" s="7"/>
      <c r="O304" s="8"/>
      <c r="P304" s="6"/>
      <c r="Q304" s="5"/>
      <c r="R304" s="5"/>
      <c r="S304" s="5"/>
      <c r="T304" s="5"/>
      <c r="U304" s="5"/>
      <c r="V304" s="5"/>
      <c r="W304" s="5"/>
      <c r="X304" s="8"/>
      <c r="Y304" s="9"/>
      <c r="Z304" s="10"/>
      <c r="AA304" s="10"/>
      <c r="AB304" s="8"/>
      <c r="AC304" s="10"/>
    </row>
    <row r="305" spans="1:29" s="4" customFormat="1" x14ac:dyDescent="0.3">
      <c r="A305" s="3"/>
      <c r="B305" s="39"/>
      <c r="C305" s="5"/>
      <c r="D305" s="5"/>
      <c r="E305" s="5"/>
      <c r="F305" s="5"/>
      <c r="G305" s="29"/>
      <c r="H305"/>
      <c r="I305" s="7"/>
      <c r="J305" s="7"/>
      <c r="K305" s="7"/>
      <c r="L305" s="8"/>
      <c r="M305" s="7"/>
      <c r="N305" s="7"/>
      <c r="O305" s="8"/>
      <c r="P305" s="6"/>
      <c r="Q305" s="5"/>
      <c r="R305" s="5"/>
      <c r="S305" s="5"/>
      <c r="T305" s="5"/>
      <c r="U305" s="5"/>
      <c r="V305" s="5"/>
      <c r="W305" s="5"/>
      <c r="X305" s="8"/>
      <c r="Y305" s="9"/>
      <c r="Z305" s="10"/>
      <c r="AA305" s="10"/>
      <c r="AB305" s="8"/>
      <c r="AC305" s="10"/>
    </row>
    <row r="306" spans="1:29" s="4" customFormat="1" x14ac:dyDescent="0.3">
      <c r="A306" s="3"/>
      <c r="B306" s="39"/>
      <c r="C306" s="5"/>
      <c r="D306" s="5"/>
      <c r="E306" s="5"/>
      <c r="F306" s="5"/>
      <c r="G306" s="29"/>
      <c r="H306"/>
      <c r="I306" s="7"/>
      <c r="J306" s="7"/>
      <c r="K306" s="7"/>
      <c r="L306" s="8"/>
      <c r="M306" s="7"/>
      <c r="N306" s="7"/>
      <c r="O306" s="8"/>
      <c r="P306" s="6"/>
      <c r="Q306" s="5"/>
      <c r="R306" s="5"/>
      <c r="S306" s="5"/>
      <c r="T306" s="5"/>
      <c r="U306" s="5"/>
      <c r="V306" s="5"/>
      <c r="W306" s="5"/>
      <c r="X306" s="8"/>
      <c r="Y306" s="9"/>
      <c r="Z306" s="10"/>
      <c r="AA306" s="10"/>
      <c r="AB306" s="8"/>
      <c r="AC306" s="10"/>
    </row>
    <row r="307" spans="1:29" s="4" customFormat="1" x14ac:dyDescent="0.3">
      <c r="A307" s="3"/>
      <c r="B307" s="39"/>
      <c r="C307" s="5"/>
      <c r="D307" s="5"/>
      <c r="E307" s="5"/>
      <c r="F307" s="5"/>
      <c r="G307" s="29"/>
      <c r="H307"/>
      <c r="I307" s="7"/>
      <c r="J307" s="7"/>
      <c r="K307" s="7"/>
      <c r="L307" s="8"/>
      <c r="M307" s="7"/>
      <c r="N307" s="7"/>
      <c r="O307" s="8"/>
      <c r="P307" s="6"/>
      <c r="Q307" s="5"/>
      <c r="R307" s="5"/>
      <c r="S307" s="5"/>
      <c r="T307" s="5"/>
      <c r="U307" s="5"/>
      <c r="V307" s="5"/>
      <c r="W307" s="5"/>
      <c r="X307" s="8"/>
      <c r="Y307" s="9"/>
      <c r="Z307" s="10"/>
      <c r="AA307" s="10"/>
      <c r="AB307" s="8"/>
      <c r="AC307" s="10"/>
    </row>
    <row r="308" spans="1:29" s="4" customFormat="1" x14ac:dyDescent="0.3">
      <c r="A308" s="3"/>
      <c r="B308" s="39"/>
      <c r="C308" s="5"/>
      <c r="D308" s="5"/>
      <c r="E308" s="5"/>
      <c r="F308" s="5"/>
      <c r="G308" s="29"/>
      <c r="H308"/>
      <c r="I308" s="7"/>
      <c r="J308" s="7"/>
      <c r="K308" s="7"/>
      <c r="L308" s="8"/>
      <c r="M308" s="7"/>
      <c r="N308" s="7"/>
      <c r="O308" s="8"/>
      <c r="P308" s="6"/>
      <c r="Q308" s="5"/>
      <c r="R308" s="5"/>
      <c r="S308" s="5"/>
      <c r="T308" s="5"/>
      <c r="U308" s="5"/>
      <c r="V308" s="5"/>
      <c r="W308" s="5"/>
      <c r="X308" s="8"/>
      <c r="Y308" s="9"/>
      <c r="Z308" s="10"/>
      <c r="AA308" s="10"/>
      <c r="AB308" s="8"/>
      <c r="AC308" s="10"/>
    </row>
    <row r="309" spans="1:29" s="4" customFormat="1" x14ac:dyDescent="0.3">
      <c r="A309" s="3"/>
      <c r="B309" s="39"/>
      <c r="C309" s="5"/>
      <c r="D309" s="5"/>
      <c r="E309" s="5"/>
      <c r="F309" s="5"/>
      <c r="G309" s="29"/>
      <c r="H309"/>
      <c r="I309" s="7"/>
      <c r="J309" s="7"/>
      <c r="K309" s="7"/>
      <c r="L309" s="8"/>
      <c r="M309" s="7"/>
      <c r="N309" s="7"/>
      <c r="O309" s="8"/>
      <c r="P309" s="6"/>
      <c r="Q309" s="5"/>
      <c r="R309" s="5"/>
      <c r="S309" s="5"/>
      <c r="T309" s="5"/>
      <c r="U309" s="5"/>
      <c r="V309" s="5"/>
      <c r="W309" s="5"/>
      <c r="X309" s="8"/>
      <c r="Y309" s="9"/>
      <c r="Z309" s="10"/>
      <c r="AA309" s="10"/>
      <c r="AB309" s="8"/>
      <c r="AC309" s="10"/>
    </row>
    <row r="310" spans="1:29" s="4" customFormat="1" x14ac:dyDescent="0.3">
      <c r="A310" s="3"/>
      <c r="B310" s="39"/>
      <c r="C310" s="5"/>
      <c r="D310" s="5"/>
      <c r="E310" s="5"/>
      <c r="F310" s="5"/>
      <c r="G310" s="29"/>
      <c r="H310"/>
      <c r="I310" s="7"/>
      <c r="J310" s="7"/>
      <c r="K310" s="7"/>
      <c r="L310" s="8"/>
      <c r="M310" s="7"/>
      <c r="N310" s="7"/>
      <c r="O310" s="8"/>
      <c r="P310" s="6"/>
      <c r="Q310" s="5"/>
      <c r="R310" s="5"/>
      <c r="S310" s="5"/>
      <c r="T310" s="5"/>
      <c r="U310" s="5"/>
      <c r="V310" s="5"/>
      <c r="W310" s="5"/>
      <c r="X310" s="8"/>
      <c r="Y310" s="9"/>
      <c r="Z310" s="10"/>
      <c r="AA310" s="10"/>
      <c r="AB310" s="8"/>
      <c r="AC310" s="10"/>
    </row>
    <row r="311" spans="1:29" s="4" customFormat="1" x14ac:dyDescent="0.3">
      <c r="A311" s="3"/>
      <c r="B311" s="39"/>
      <c r="C311" s="5"/>
      <c r="D311" s="5"/>
      <c r="E311" s="5"/>
      <c r="F311" s="5"/>
      <c r="G311" s="29"/>
      <c r="H311"/>
      <c r="I311" s="7"/>
      <c r="J311" s="7"/>
      <c r="K311" s="7"/>
      <c r="L311" s="8"/>
      <c r="M311" s="7"/>
      <c r="N311" s="7"/>
      <c r="O311" s="8"/>
      <c r="P311" s="6"/>
      <c r="Q311" s="5"/>
      <c r="R311" s="5"/>
      <c r="S311" s="5"/>
      <c r="T311" s="5"/>
      <c r="U311" s="5"/>
      <c r="V311" s="5"/>
      <c r="W311" s="5"/>
      <c r="X311" s="8"/>
      <c r="Y311" s="9"/>
      <c r="Z311" s="10"/>
      <c r="AA311" s="10"/>
      <c r="AB311" s="8"/>
      <c r="AC311" s="10"/>
    </row>
    <row r="312" spans="1:29" s="4" customFormat="1" x14ac:dyDescent="0.3">
      <c r="A312" s="3"/>
      <c r="B312" s="39"/>
      <c r="C312" s="5"/>
      <c r="D312" s="5"/>
      <c r="E312" s="5"/>
      <c r="F312" s="5"/>
      <c r="G312" s="29"/>
      <c r="H312"/>
      <c r="I312" s="7"/>
      <c r="J312" s="7"/>
      <c r="K312" s="7"/>
      <c r="L312" s="8"/>
      <c r="M312" s="7"/>
      <c r="N312" s="7"/>
      <c r="O312" s="8"/>
      <c r="P312" s="6"/>
      <c r="Q312" s="5"/>
      <c r="R312" s="5"/>
      <c r="S312" s="5"/>
      <c r="T312" s="5"/>
      <c r="U312" s="5"/>
      <c r="V312" s="5"/>
      <c r="W312" s="5"/>
      <c r="X312" s="8"/>
      <c r="Y312" s="9"/>
      <c r="Z312" s="10"/>
      <c r="AA312" s="10"/>
      <c r="AB312" s="8"/>
      <c r="AC312" s="10"/>
    </row>
    <row r="313" spans="1:29" s="4" customFormat="1" x14ac:dyDescent="0.3">
      <c r="A313" s="3"/>
      <c r="B313" s="39"/>
      <c r="C313" s="5"/>
      <c r="D313" s="5"/>
      <c r="E313" s="5"/>
      <c r="F313" s="5"/>
      <c r="G313" s="29"/>
      <c r="H313"/>
      <c r="I313" s="7"/>
      <c r="J313" s="7"/>
      <c r="K313" s="7"/>
      <c r="L313" s="8"/>
      <c r="M313" s="7"/>
      <c r="N313" s="7"/>
      <c r="O313" s="8"/>
      <c r="P313" s="6"/>
      <c r="Q313" s="5"/>
      <c r="R313" s="5"/>
      <c r="S313" s="5"/>
      <c r="T313" s="5"/>
      <c r="U313" s="5"/>
      <c r="V313" s="5"/>
      <c r="W313" s="5"/>
      <c r="X313" s="8"/>
      <c r="Y313" s="9"/>
      <c r="Z313" s="10"/>
      <c r="AA313" s="10"/>
      <c r="AB313" s="8"/>
      <c r="AC313" s="10"/>
    </row>
    <row r="314" spans="1:29" s="4" customFormat="1" x14ac:dyDescent="0.3">
      <c r="A314" s="3"/>
      <c r="B314" s="39"/>
      <c r="C314" s="5"/>
      <c r="D314" s="5"/>
      <c r="E314" s="5"/>
      <c r="F314" s="5"/>
      <c r="G314" s="29"/>
      <c r="H314"/>
      <c r="I314" s="7"/>
      <c r="J314" s="7"/>
      <c r="K314" s="7"/>
      <c r="L314" s="8"/>
      <c r="M314" s="7"/>
      <c r="N314" s="7"/>
      <c r="O314" s="8"/>
      <c r="P314" s="6"/>
      <c r="Q314" s="5"/>
      <c r="R314" s="5"/>
      <c r="S314" s="5"/>
      <c r="T314" s="5"/>
      <c r="U314" s="5"/>
      <c r="V314" s="5"/>
      <c r="W314" s="5"/>
      <c r="X314" s="8"/>
      <c r="Y314" s="9"/>
      <c r="Z314" s="10"/>
      <c r="AA314" s="10"/>
      <c r="AB314" s="8"/>
      <c r="AC314" s="10"/>
    </row>
    <row r="315" spans="1:29" s="4" customFormat="1" x14ac:dyDescent="0.3">
      <c r="A315" s="3"/>
      <c r="B315" s="39"/>
      <c r="C315" s="5"/>
      <c r="D315" s="5"/>
      <c r="E315" s="5"/>
      <c r="F315" s="5"/>
      <c r="G315" s="29"/>
      <c r="H315"/>
      <c r="I315" s="7"/>
      <c r="J315" s="7"/>
      <c r="K315" s="7"/>
      <c r="L315" s="8"/>
      <c r="M315" s="7"/>
      <c r="N315" s="7"/>
      <c r="O315" s="8"/>
      <c r="P315" s="6"/>
      <c r="Q315" s="5"/>
      <c r="R315" s="5"/>
      <c r="S315" s="5"/>
      <c r="T315" s="5"/>
      <c r="U315" s="5"/>
      <c r="V315" s="5"/>
      <c r="W315" s="5"/>
      <c r="X315" s="8"/>
      <c r="Y315" s="9"/>
      <c r="Z315" s="10"/>
      <c r="AA315" s="10"/>
      <c r="AB315" s="8"/>
      <c r="AC315" s="10"/>
    </row>
    <row r="316" spans="1:29" s="4" customFormat="1" x14ac:dyDescent="0.3">
      <c r="A316" s="3"/>
      <c r="B316" s="39"/>
      <c r="C316" s="5"/>
      <c r="D316" s="5"/>
      <c r="E316" s="5"/>
      <c r="F316" s="5"/>
      <c r="G316" s="29"/>
      <c r="H316"/>
      <c r="I316" s="7"/>
      <c r="J316" s="7"/>
      <c r="K316" s="7"/>
      <c r="L316" s="8"/>
      <c r="M316" s="7"/>
      <c r="N316" s="7"/>
      <c r="O316" s="8"/>
      <c r="P316" s="6"/>
      <c r="Q316" s="5"/>
      <c r="R316" s="5"/>
      <c r="S316" s="5"/>
      <c r="T316" s="5"/>
      <c r="U316" s="5"/>
      <c r="V316" s="5"/>
      <c r="W316" s="5"/>
      <c r="X316" s="8"/>
      <c r="Y316" s="9"/>
      <c r="Z316" s="10"/>
      <c r="AA316" s="10"/>
      <c r="AB316" s="8"/>
      <c r="AC316" s="10"/>
    </row>
    <row r="317" spans="1:29" s="4" customFormat="1" x14ac:dyDescent="0.3">
      <c r="A317" s="3"/>
      <c r="B317" s="39"/>
      <c r="C317" s="5"/>
      <c r="D317" s="5"/>
      <c r="E317" s="5"/>
      <c r="F317" s="5"/>
      <c r="G317" s="29"/>
      <c r="H317"/>
      <c r="I317" s="7"/>
      <c r="J317" s="7"/>
      <c r="K317" s="7"/>
      <c r="L317" s="8"/>
      <c r="M317" s="7"/>
      <c r="N317" s="7"/>
      <c r="O317" s="8"/>
      <c r="P317" s="6"/>
      <c r="Q317" s="5"/>
      <c r="R317" s="5"/>
      <c r="S317" s="5"/>
      <c r="T317" s="5"/>
      <c r="U317" s="5"/>
      <c r="V317" s="5"/>
      <c r="W317" s="5"/>
      <c r="X317" s="8"/>
      <c r="Y317" s="9"/>
      <c r="Z317" s="10"/>
      <c r="AA317" s="10"/>
      <c r="AB317" s="8"/>
      <c r="AC317" s="10"/>
    </row>
    <row r="318" spans="1:29" s="4" customFormat="1" x14ac:dyDescent="0.3">
      <c r="A318" s="3"/>
      <c r="B318" s="39"/>
      <c r="C318" s="5"/>
      <c r="D318" s="5"/>
      <c r="E318" s="5"/>
      <c r="F318" s="5"/>
      <c r="G318" s="29"/>
      <c r="H318"/>
      <c r="I318" s="7"/>
      <c r="J318" s="7"/>
      <c r="K318" s="7"/>
      <c r="L318" s="8"/>
      <c r="M318" s="7"/>
      <c r="N318" s="7"/>
      <c r="O318" s="8"/>
      <c r="P318" s="6"/>
      <c r="Q318" s="5"/>
      <c r="R318" s="5"/>
      <c r="S318" s="5"/>
      <c r="T318" s="5"/>
      <c r="U318" s="5"/>
      <c r="V318" s="5"/>
      <c r="W318" s="5"/>
      <c r="X318" s="8"/>
      <c r="Y318" s="9"/>
      <c r="Z318" s="10"/>
      <c r="AA318" s="10"/>
      <c r="AB318" s="8"/>
      <c r="AC318" s="10"/>
    </row>
    <row r="319" spans="1:29" s="4" customFormat="1" x14ac:dyDescent="0.3">
      <c r="A319" s="3"/>
      <c r="B319" s="39"/>
      <c r="C319" s="5"/>
      <c r="D319" s="5"/>
      <c r="E319" s="5"/>
      <c r="F319" s="5"/>
      <c r="G319" s="29"/>
      <c r="H319"/>
      <c r="I319" s="7"/>
      <c r="J319" s="7"/>
      <c r="K319" s="7"/>
      <c r="L319" s="8"/>
      <c r="M319" s="7"/>
      <c r="N319" s="7"/>
      <c r="O319" s="8"/>
      <c r="P319" s="6"/>
      <c r="Q319" s="5"/>
      <c r="R319" s="5"/>
      <c r="S319" s="5"/>
      <c r="T319" s="5"/>
      <c r="U319" s="5"/>
      <c r="V319" s="5"/>
      <c r="W319" s="5"/>
      <c r="X319" s="8"/>
      <c r="Y319" s="9"/>
      <c r="Z319" s="10"/>
      <c r="AA319" s="10"/>
      <c r="AB319" s="8"/>
      <c r="AC319" s="10"/>
    </row>
    <row r="320" spans="1:29" s="4" customFormat="1" x14ac:dyDescent="0.3">
      <c r="A320" s="3"/>
      <c r="B320" s="39"/>
      <c r="C320" s="5"/>
      <c r="D320" s="5"/>
      <c r="E320" s="5"/>
      <c r="F320" s="5"/>
      <c r="G320" s="29"/>
      <c r="H320"/>
      <c r="I320" s="7"/>
      <c r="J320" s="7"/>
      <c r="K320" s="7"/>
      <c r="L320" s="8"/>
      <c r="M320" s="7"/>
      <c r="N320" s="7"/>
      <c r="O320" s="8"/>
      <c r="P320" s="6"/>
      <c r="Q320" s="5"/>
      <c r="R320" s="5"/>
      <c r="S320" s="5"/>
      <c r="T320" s="5"/>
      <c r="U320" s="5"/>
      <c r="V320" s="5"/>
      <c r="W320" s="5"/>
      <c r="X320" s="8"/>
      <c r="Y320" s="9"/>
      <c r="Z320" s="10"/>
      <c r="AA320" s="10"/>
      <c r="AB320" s="8"/>
      <c r="AC320" s="10"/>
    </row>
    <row r="321" spans="1:29" s="4" customFormat="1" x14ac:dyDescent="0.3">
      <c r="A321" s="3"/>
      <c r="B321" s="39"/>
      <c r="C321" s="5"/>
      <c r="D321" s="5"/>
      <c r="E321" s="5"/>
      <c r="F321" s="5"/>
      <c r="G321" s="29"/>
      <c r="H321"/>
      <c r="I321" s="7"/>
      <c r="J321" s="7"/>
      <c r="K321" s="7"/>
      <c r="L321" s="8"/>
      <c r="M321" s="7"/>
      <c r="N321" s="7"/>
      <c r="O321" s="8"/>
      <c r="P321" s="6"/>
      <c r="Q321" s="5"/>
      <c r="R321" s="5"/>
      <c r="S321" s="5"/>
      <c r="T321" s="5"/>
      <c r="U321" s="5"/>
      <c r="V321" s="5"/>
      <c r="W321" s="5"/>
      <c r="X321" s="8"/>
      <c r="Y321" s="9"/>
      <c r="Z321" s="10"/>
      <c r="AA321" s="10"/>
      <c r="AB321" s="8"/>
      <c r="AC321" s="10"/>
    </row>
    <row r="322" spans="1:29" s="4" customFormat="1" x14ac:dyDescent="0.3">
      <c r="A322" s="3"/>
      <c r="B322" s="39"/>
      <c r="C322" s="5"/>
      <c r="D322" s="5"/>
      <c r="E322" s="5"/>
      <c r="F322" s="5"/>
      <c r="G322" s="29"/>
      <c r="H322"/>
      <c r="I322" s="7"/>
      <c r="J322" s="7"/>
      <c r="K322" s="7"/>
      <c r="L322" s="8"/>
      <c r="M322" s="7"/>
      <c r="N322" s="7"/>
      <c r="O322" s="8"/>
      <c r="P322" s="6"/>
      <c r="Q322" s="5"/>
      <c r="R322" s="5"/>
      <c r="S322" s="5"/>
      <c r="T322" s="5"/>
      <c r="U322" s="5"/>
      <c r="V322" s="5"/>
      <c r="W322" s="5"/>
      <c r="X322" s="8"/>
      <c r="Y322" s="9"/>
      <c r="Z322" s="10"/>
      <c r="AA322" s="10"/>
      <c r="AB322" s="8"/>
      <c r="AC322" s="10"/>
    </row>
    <row r="323" spans="1:29" s="4" customFormat="1" x14ac:dyDescent="0.3">
      <c r="A323" s="3"/>
      <c r="B323" s="39"/>
      <c r="C323" s="5"/>
      <c r="D323" s="5"/>
      <c r="E323" s="5"/>
      <c r="F323" s="5"/>
      <c r="G323" s="29"/>
      <c r="H323"/>
      <c r="I323" s="7"/>
      <c r="J323" s="7"/>
      <c r="K323" s="7"/>
      <c r="L323" s="8"/>
      <c r="M323" s="7"/>
      <c r="N323" s="7"/>
      <c r="O323" s="8"/>
      <c r="P323" s="6"/>
      <c r="Q323" s="5"/>
      <c r="R323" s="5"/>
      <c r="S323" s="5"/>
      <c r="T323" s="5"/>
      <c r="U323" s="5"/>
      <c r="V323" s="5"/>
      <c r="W323" s="5"/>
      <c r="X323" s="8"/>
      <c r="Y323" s="9"/>
      <c r="Z323" s="10"/>
      <c r="AA323" s="10"/>
      <c r="AB323" s="8"/>
      <c r="AC323" s="10"/>
    </row>
    <row r="324" spans="1:29" s="4" customFormat="1" x14ac:dyDescent="0.3">
      <c r="A324" s="3"/>
      <c r="B324" s="39"/>
      <c r="C324" s="5"/>
      <c r="D324" s="5"/>
      <c r="E324" s="5"/>
      <c r="F324" s="5"/>
      <c r="G324" s="29"/>
      <c r="H324"/>
      <c r="I324" s="7"/>
      <c r="J324" s="7"/>
      <c r="K324" s="7"/>
      <c r="L324" s="8"/>
      <c r="M324" s="7"/>
      <c r="N324" s="7"/>
      <c r="O324" s="8"/>
      <c r="P324" s="6"/>
      <c r="Q324" s="5"/>
      <c r="R324" s="5"/>
      <c r="S324" s="5"/>
      <c r="T324" s="5"/>
      <c r="U324" s="5"/>
      <c r="V324" s="5"/>
      <c r="W324" s="5"/>
      <c r="X324" s="8"/>
      <c r="Y324" s="9"/>
      <c r="Z324" s="10"/>
      <c r="AA324" s="10"/>
      <c r="AB324" s="8"/>
      <c r="AC324" s="10"/>
    </row>
    <row r="325" spans="1:29" s="4" customFormat="1" x14ac:dyDescent="0.3">
      <c r="A325" s="3"/>
      <c r="B325" s="39"/>
      <c r="C325" s="5"/>
      <c r="D325" s="5"/>
      <c r="E325" s="5"/>
      <c r="F325" s="5"/>
      <c r="G325" s="29"/>
      <c r="H325"/>
      <c r="I325" s="7"/>
      <c r="J325" s="7"/>
      <c r="K325" s="7"/>
      <c r="L325" s="8"/>
      <c r="M325" s="7"/>
      <c r="N325" s="7"/>
      <c r="O325" s="8"/>
      <c r="P325" s="6"/>
      <c r="Q325" s="5"/>
      <c r="R325" s="5"/>
      <c r="S325" s="5"/>
      <c r="T325" s="5"/>
      <c r="U325" s="5"/>
      <c r="V325" s="5"/>
      <c r="W325" s="5"/>
      <c r="X325" s="8"/>
      <c r="Y325" s="9"/>
      <c r="Z325" s="10"/>
      <c r="AA325" s="10"/>
      <c r="AB325" s="8"/>
      <c r="AC325" s="10"/>
    </row>
    <row r="326" spans="1:29" s="4" customFormat="1" x14ac:dyDescent="0.3">
      <c r="A326" s="3"/>
      <c r="B326" s="39"/>
      <c r="C326" s="5"/>
      <c r="D326" s="5"/>
      <c r="E326" s="5"/>
      <c r="F326" s="5"/>
      <c r="G326" s="29"/>
      <c r="H326"/>
      <c r="I326" s="7"/>
      <c r="J326" s="7"/>
      <c r="K326" s="7"/>
      <c r="L326" s="8"/>
      <c r="M326" s="7"/>
      <c r="N326" s="7"/>
      <c r="O326" s="8"/>
      <c r="P326" s="6"/>
      <c r="Q326" s="5"/>
      <c r="R326" s="5"/>
      <c r="S326" s="5"/>
      <c r="T326" s="5"/>
      <c r="U326" s="5"/>
      <c r="V326" s="5"/>
      <c r="W326" s="5"/>
      <c r="X326" s="8"/>
      <c r="Y326" s="9"/>
      <c r="Z326" s="10"/>
      <c r="AA326" s="10"/>
      <c r="AB326" s="8"/>
      <c r="AC326" s="10"/>
    </row>
    <row r="327" spans="1:29" s="4" customFormat="1" x14ac:dyDescent="0.3">
      <c r="A327" s="3"/>
      <c r="B327" s="39"/>
      <c r="C327" s="5"/>
      <c r="D327" s="5"/>
      <c r="E327" s="5"/>
      <c r="F327" s="5"/>
      <c r="G327" s="29"/>
      <c r="H327"/>
      <c r="I327" s="7"/>
      <c r="J327" s="7"/>
      <c r="K327" s="7"/>
      <c r="L327" s="8"/>
      <c r="M327" s="7"/>
      <c r="N327" s="7"/>
      <c r="O327" s="8"/>
      <c r="P327" s="6"/>
      <c r="Q327" s="5"/>
      <c r="R327" s="5"/>
      <c r="S327" s="5"/>
      <c r="T327" s="5"/>
      <c r="U327" s="5"/>
      <c r="V327" s="5"/>
      <c r="W327" s="5"/>
      <c r="X327" s="8"/>
      <c r="Y327" s="9"/>
      <c r="Z327" s="10"/>
      <c r="AA327" s="10"/>
      <c r="AB327" s="8"/>
      <c r="AC327" s="10"/>
    </row>
    <row r="328" spans="1:29" s="4" customFormat="1" x14ac:dyDescent="0.3">
      <c r="A328" s="3"/>
      <c r="B328" s="39"/>
      <c r="C328" s="5"/>
      <c r="D328" s="5"/>
      <c r="E328" s="5"/>
      <c r="F328" s="5"/>
      <c r="G328" s="29"/>
      <c r="H328"/>
      <c r="I328" s="7"/>
      <c r="J328" s="7"/>
      <c r="K328" s="7"/>
      <c r="L328" s="8"/>
      <c r="M328" s="7"/>
      <c r="N328" s="7"/>
      <c r="O328" s="8"/>
      <c r="P328" s="6"/>
      <c r="Q328" s="5"/>
      <c r="R328" s="5"/>
      <c r="S328" s="5"/>
      <c r="T328" s="5"/>
      <c r="U328" s="5"/>
      <c r="V328" s="5"/>
      <c r="W328" s="5"/>
      <c r="X328" s="8"/>
      <c r="Y328" s="9"/>
      <c r="Z328" s="10"/>
      <c r="AA328" s="10"/>
      <c r="AB328" s="8"/>
      <c r="AC328" s="10"/>
    </row>
    <row r="329" spans="1:29" s="4" customFormat="1" x14ac:dyDescent="0.3">
      <c r="A329" s="3"/>
      <c r="B329" s="39"/>
      <c r="C329" s="5"/>
      <c r="D329" s="5"/>
      <c r="E329" s="5"/>
      <c r="F329" s="5"/>
      <c r="G329" s="29"/>
      <c r="H329"/>
      <c r="I329" s="7"/>
      <c r="J329" s="7"/>
      <c r="K329" s="7"/>
      <c r="L329" s="8"/>
      <c r="M329" s="7"/>
      <c r="N329" s="7"/>
      <c r="O329" s="8"/>
      <c r="P329" s="6"/>
      <c r="Q329" s="5"/>
      <c r="R329" s="5"/>
      <c r="S329" s="5"/>
      <c r="T329" s="5"/>
      <c r="U329" s="5"/>
      <c r="V329" s="5"/>
      <c r="W329" s="5"/>
      <c r="X329" s="8"/>
      <c r="Y329" s="9"/>
      <c r="Z329" s="10"/>
      <c r="AA329" s="10"/>
      <c r="AB329" s="8"/>
      <c r="AC329" s="10"/>
    </row>
    <row r="330" spans="1:29" s="4" customFormat="1" x14ac:dyDescent="0.3">
      <c r="A330" s="3"/>
      <c r="B330" s="39"/>
      <c r="C330" s="5"/>
      <c r="D330" s="5"/>
      <c r="E330" s="5"/>
      <c r="F330" s="5"/>
      <c r="G330" s="29"/>
      <c r="H330"/>
      <c r="I330" s="7"/>
      <c r="J330" s="7"/>
      <c r="K330" s="7"/>
      <c r="L330" s="8"/>
      <c r="M330" s="7"/>
      <c r="N330" s="7"/>
      <c r="O330" s="8"/>
      <c r="P330" s="6"/>
      <c r="Q330" s="5"/>
      <c r="R330" s="5"/>
      <c r="S330" s="5"/>
      <c r="T330" s="5"/>
      <c r="U330" s="5"/>
      <c r="V330" s="5"/>
      <c r="W330" s="5"/>
      <c r="X330" s="8"/>
      <c r="Y330" s="9"/>
      <c r="Z330" s="10"/>
      <c r="AA330" s="10"/>
      <c r="AB330" s="8"/>
      <c r="AC330" s="10"/>
    </row>
    <row r="331" spans="1:29" s="4" customFormat="1" x14ac:dyDescent="0.3">
      <c r="A331" s="3"/>
      <c r="B331" s="39"/>
      <c r="C331" s="5"/>
      <c r="D331" s="5"/>
      <c r="E331" s="5"/>
      <c r="F331" s="5"/>
      <c r="G331" s="29"/>
      <c r="H331"/>
      <c r="I331" s="7"/>
      <c r="J331" s="7"/>
      <c r="K331" s="7"/>
      <c r="L331" s="8"/>
      <c r="M331" s="7"/>
      <c r="N331" s="7"/>
      <c r="O331" s="8"/>
      <c r="P331" s="6"/>
      <c r="Q331" s="5"/>
      <c r="R331" s="5"/>
      <c r="S331" s="5"/>
      <c r="T331" s="5"/>
      <c r="U331" s="5"/>
      <c r="V331" s="5"/>
      <c r="W331" s="5"/>
      <c r="X331" s="8"/>
      <c r="Y331" s="9"/>
      <c r="Z331" s="10"/>
      <c r="AA331" s="10"/>
      <c r="AB331" s="8"/>
      <c r="AC331" s="10"/>
    </row>
    <row r="332" spans="1:29" s="4" customFormat="1" x14ac:dyDescent="0.3">
      <c r="A332" s="3"/>
      <c r="B332" s="39"/>
      <c r="C332" s="5"/>
      <c r="D332" s="5"/>
      <c r="E332" s="5"/>
      <c r="F332" s="5"/>
      <c r="G332" s="29"/>
      <c r="H332"/>
      <c r="I332" s="7"/>
      <c r="J332" s="7"/>
      <c r="K332" s="7"/>
      <c r="L332" s="8"/>
      <c r="M332" s="7"/>
      <c r="N332" s="7"/>
      <c r="O332" s="8"/>
      <c r="P332" s="6"/>
      <c r="Q332" s="5"/>
      <c r="R332" s="5"/>
      <c r="S332" s="5"/>
      <c r="T332" s="5"/>
      <c r="U332" s="5"/>
      <c r="V332" s="5"/>
      <c r="W332" s="5"/>
      <c r="X332" s="8"/>
      <c r="Y332" s="9"/>
      <c r="Z332" s="10"/>
      <c r="AA332" s="10"/>
      <c r="AB332" s="8"/>
      <c r="AC332" s="10"/>
    </row>
    <row r="333" spans="1:29" s="4" customFormat="1" x14ac:dyDescent="0.3">
      <c r="A333" s="3"/>
      <c r="B333" s="39"/>
      <c r="C333" s="5"/>
      <c r="D333" s="5"/>
      <c r="E333" s="5"/>
      <c r="F333" s="5"/>
      <c r="G333" s="29"/>
      <c r="H333"/>
      <c r="I333" s="7"/>
      <c r="J333" s="7"/>
      <c r="K333" s="7"/>
      <c r="L333" s="8"/>
      <c r="M333" s="7"/>
      <c r="N333" s="7"/>
      <c r="O333" s="8"/>
      <c r="P333" s="6"/>
      <c r="Q333" s="5"/>
      <c r="R333" s="5"/>
      <c r="S333" s="5"/>
      <c r="T333" s="5"/>
      <c r="U333" s="5"/>
      <c r="V333" s="5"/>
      <c r="W333" s="5"/>
      <c r="X333" s="8"/>
      <c r="Y333" s="9"/>
      <c r="Z333" s="10"/>
      <c r="AA333" s="10"/>
      <c r="AB333" s="8"/>
      <c r="AC333" s="10"/>
    </row>
    <row r="334" spans="1:29" s="4" customFormat="1" x14ac:dyDescent="0.3">
      <c r="A334" s="3"/>
      <c r="B334" s="39"/>
      <c r="C334" s="5"/>
      <c r="D334" s="5"/>
      <c r="E334" s="5"/>
      <c r="F334" s="5"/>
      <c r="G334" s="29"/>
      <c r="H334"/>
      <c r="I334" s="7"/>
      <c r="J334" s="7"/>
      <c r="K334" s="7"/>
      <c r="L334" s="8"/>
      <c r="M334" s="7"/>
      <c r="N334" s="7"/>
      <c r="O334" s="8"/>
      <c r="P334" s="6"/>
      <c r="Q334" s="5"/>
      <c r="R334" s="5"/>
      <c r="S334" s="5"/>
      <c r="T334" s="5"/>
      <c r="U334" s="5"/>
      <c r="V334" s="5"/>
      <c r="W334" s="5"/>
      <c r="X334" s="8"/>
      <c r="Y334" s="9"/>
      <c r="Z334" s="10"/>
      <c r="AA334" s="10"/>
      <c r="AB334" s="8"/>
      <c r="AC334" s="10"/>
    </row>
    <row r="335" spans="1:29" s="4" customFormat="1" x14ac:dyDescent="0.3">
      <c r="A335" s="3"/>
      <c r="B335" s="39"/>
      <c r="C335" s="5"/>
      <c r="D335" s="5"/>
      <c r="E335" s="5"/>
      <c r="F335" s="5"/>
      <c r="G335" s="29"/>
      <c r="H335"/>
      <c r="I335" s="7"/>
      <c r="J335" s="7"/>
      <c r="K335" s="7"/>
      <c r="L335" s="8"/>
      <c r="M335" s="7"/>
      <c r="N335" s="7"/>
      <c r="O335" s="8"/>
      <c r="P335" s="6"/>
      <c r="Q335" s="5"/>
      <c r="R335" s="5"/>
      <c r="S335" s="5"/>
      <c r="T335" s="5"/>
      <c r="U335" s="5"/>
      <c r="V335" s="5"/>
      <c r="W335" s="5"/>
      <c r="X335" s="8"/>
      <c r="Y335" s="9"/>
      <c r="Z335" s="10"/>
      <c r="AA335" s="10"/>
      <c r="AB335" s="8"/>
      <c r="AC335" s="10"/>
    </row>
    <row r="336" spans="1:29" s="4" customFormat="1" x14ac:dyDescent="0.3">
      <c r="A336" s="3"/>
      <c r="B336" s="39"/>
      <c r="C336" s="5"/>
      <c r="D336" s="5"/>
      <c r="E336" s="5"/>
      <c r="F336" s="5"/>
      <c r="G336" s="29"/>
      <c r="H336"/>
      <c r="I336" s="7"/>
      <c r="J336" s="7"/>
      <c r="K336" s="7"/>
      <c r="L336" s="8"/>
      <c r="M336" s="7"/>
      <c r="N336" s="7"/>
      <c r="O336" s="8"/>
      <c r="P336" s="6"/>
      <c r="Q336" s="5"/>
      <c r="R336" s="5"/>
      <c r="S336" s="5"/>
      <c r="T336" s="5"/>
      <c r="U336" s="5"/>
      <c r="V336" s="5"/>
      <c r="W336" s="5"/>
      <c r="X336" s="8"/>
      <c r="Y336" s="9"/>
      <c r="Z336" s="10"/>
      <c r="AA336" s="10"/>
      <c r="AB336" s="8"/>
      <c r="AC336" s="10"/>
    </row>
    <row r="337" spans="1:29" s="4" customFormat="1" x14ac:dyDescent="0.3">
      <c r="A337" s="3"/>
      <c r="B337" s="39"/>
      <c r="C337" s="5"/>
      <c r="D337" s="5"/>
      <c r="E337" s="5"/>
      <c r="F337" s="5"/>
      <c r="G337" s="29"/>
      <c r="H337"/>
      <c r="I337" s="7"/>
      <c r="J337" s="7"/>
      <c r="K337" s="7"/>
      <c r="L337" s="8"/>
      <c r="M337" s="7"/>
      <c r="N337" s="7"/>
      <c r="O337" s="8"/>
      <c r="P337" s="6"/>
      <c r="Q337" s="5"/>
      <c r="R337" s="5"/>
      <c r="S337" s="5"/>
      <c r="T337" s="5"/>
      <c r="U337" s="5"/>
      <c r="V337" s="5"/>
      <c r="W337" s="5"/>
      <c r="X337" s="8"/>
      <c r="Y337" s="9"/>
      <c r="Z337" s="10"/>
      <c r="AA337" s="10"/>
      <c r="AB337" s="8"/>
      <c r="AC337" s="10"/>
    </row>
    <row r="338" spans="1:29" s="4" customFormat="1" x14ac:dyDescent="0.3">
      <c r="A338" s="3"/>
      <c r="B338" s="39"/>
      <c r="C338" s="5"/>
      <c r="D338" s="5"/>
      <c r="E338" s="5"/>
      <c r="F338" s="5"/>
      <c r="G338" s="29"/>
      <c r="H338"/>
      <c r="I338" s="7"/>
      <c r="J338" s="7"/>
      <c r="K338" s="7"/>
      <c r="L338" s="8"/>
      <c r="M338" s="7"/>
      <c r="N338" s="7"/>
      <c r="O338" s="8"/>
      <c r="P338" s="6"/>
      <c r="Q338" s="5"/>
      <c r="R338" s="5"/>
      <c r="S338" s="5"/>
      <c r="T338" s="5"/>
      <c r="U338" s="5"/>
      <c r="V338" s="5"/>
      <c r="W338" s="5"/>
      <c r="X338" s="8"/>
      <c r="Y338" s="9"/>
      <c r="Z338" s="10"/>
      <c r="AA338" s="10"/>
      <c r="AB338" s="8"/>
      <c r="AC338" s="10"/>
    </row>
    <row r="339" spans="1:29" s="4" customFormat="1" x14ac:dyDescent="0.3">
      <c r="A339" s="3"/>
      <c r="B339" s="39"/>
      <c r="C339" s="5"/>
      <c r="D339" s="5"/>
      <c r="E339" s="5"/>
      <c r="F339" s="5"/>
      <c r="G339" s="29"/>
      <c r="H339"/>
      <c r="I339" s="7"/>
      <c r="J339" s="7"/>
      <c r="K339" s="7"/>
      <c r="L339" s="8"/>
      <c r="M339" s="7"/>
      <c r="N339" s="7"/>
      <c r="O339" s="8"/>
      <c r="P339" s="6"/>
      <c r="Q339" s="5"/>
      <c r="R339" s="5"/>
      <c r="S339" s="5"/>
      <c r="T339" s="5"/>
      <c r="U339" s="5"/>
      <c r="V339" s="5"/>
      <c r="W339" s="5"/>
      <c r="X339" s="8"/>
      <c r="Y339" s="9"/>
      <c r="Z339" s="10"/>
      <c r="AA339" s="10"/>
      <c r="AB339" s="8"/>
      <c r="AC339" s="10"/>
    </row>
    <row r="340" spans="1:29" s="4" customFormat="1" x14ac:dyDescent="0.3">
      <c r="A340" s="3"/>
      <c r="B340" s="39"/>
      <c r="C340" s="5"/>
      <c r="D340" s="5"/>
      <c r="E340" s="5"/>
      <c r="F340" s="5"/>
      <c r="G340" s="29"/>
      <c r="H340"/>
      <c r="I340" s="7"/>
      <c r="J340" s="7"/>
      <c r="K340" s="7"/>
      <c r="L340" s="8"/>
      <c r="M340" s="7"/>
      <c r="N340" s="7"/>
      <c r="O340" s="8"/>
      <c r="P340" s="6"/>
      <c r="Q340" s="5"/>
      <c r="R340" s="5"/>
      <c r="S340" s="5"/>
      <c r="T340" s="5"/>
      <c r="U340" s="5"/>
      <c r="V340" s="5"/>
      <c r="W340" s="5"/>
      <c r="X340" s="8"/>
      <c r="Y340" s="9"/>
      <c r="Z340" s="10"/>
      <c r="AA340" s="10"/>
      <c r="AB340" s="8"/>
      <c r="AC340" s="10"/>
    </row>
    <row r="341" spans="1:29" s="4" customFormat="1" x14ac:dyDescent="0.3">
      <c r="A341" s="3"/>
      <c r="B341" s="39"/>
      <c r="C341" s="5"/>
      <c r="D341" s="5"/>
      <c r="E341" s="5"/>
      <c r="F341" s="5"/>
      <c r="G341" s="29"/>
      <c r="H341"/>
      <c r="I341" s="7"/>
      <c r="J341" s="7"/>
      <c r="K341" s="7"/>
      <c r="L341" s="8"/>
      <c r="M341" s="7"/>
      <c r="N341" s="7"/>
      <c r="O341" s="8"/>
      <c r="P341" s="6"/>
      <c r="Q341" s="5"/>
      <c r="R341" s="5"/>
      <c r="S341" s="5"/>
      <c r="T341" s="5"/>
      <c r="U341" s="5"/>
      <c r="V341" s="5"/>
      <c r="W341" s="5"/>
      <c r="X341" s="8"/>
      <c r="Y341" s="9"/>
      <c r="Z341" s="10"/>
      <c r="AA341" s="10"/>
      <c r="AB341" s="8"/>
      <c r="AC341" s="10"/>
    </row>
    <row r="342" spans="1:29" s="4" customFormat="1" x14ac:dyDescent="0.3">
      <c r="A342" s="3"/>
      <c r="B342" s="39"/>
      <c r="C342" s="5"/>
      <c r="D342" s="5"/>
      <c r="E342" s="5"/>
      <c r="F342" s="5"/>
      <c r="G342" s="29"/>
      <c r="H342"/>
      <c r="I342" s="7"/>
      <c r="J342" s="7"/>
      <c r="K342" s="7"/>
      <c r="L342" s="8"/>
      <c r="M342" s="7"/>
      <c r="N342" s="7"/>
      <c r="O342" s="8"/>
      <c r="P342" s="6"/>
      <c r="Q342" s="5"/>
      <c r="R342" s="5"/>
      <c r="S342" s="5"/>
      <c r="T342" s="5"/>
      <c r="U342" s="5"/>
      <c r="V342" s="5"/>
      <c r="W342" s="5"/>
      <c r="X342" s="8"/>
      <c r="Y342" s="9"/>
      <c r="Z342" s="10"/>
      <c r="AA342" s="10"/>
      <c r="AB342" s="8"/>
      <c r="AC342" s="10"/>
    </row>
    <row r="343" spans="1:29" s="4" customFormat="1" x14ac:dyDescent="0.3">
      <c r="A343" s="3"/>
      <c r="B343" s="39"/>
      <c r="C343" s="5"/>
      <c r="D343" s="5"/>
      <c r="E343" s="5"/>
      <c r="F343" s="5"/>
      <c r="G343" s="29"/>
      <c r="H343"/>
      <c r="I343" s="7"/>
      <c r="J343" s="7"/>
      <c r="K343" s="7"/>
      <c r="L343" s="8"/>
      <c r="M343" s="7"/>
      <c r="N343" s="7"/>
      <c r="O343" s="8"/>
      <c r="P343" s="6"/>
      <c r="Q343" s="5"/>
      <c r="R343" s="5"/>
      <c r="S343" s="5"/>
      <c r="T343" s="5"/>
      <c r="U343" s="5"/>
      <c r="V343" s="5"/>
      <c r="W343" s="5"/>
      <c r="X343" s="8"/>
      <c r="Y343" s="9"/>
      <c r="Z343" s="10"/>
      <c r="AA343" s="10"/>
      <c r="AB343" s="8"/>
      <c r="AC343" s="10"/>
    </row>
    <row r="344" spans="1:29" s="4" customFormat="1" x14ac:dyDescent="0.3">
      <c r="A344" s="3"/>
      <c r="B344" s="39"/>
      <c r="C344" s="5"/>
      <c r="D344" s="5"/>
      <c r="E344" s="5"/>
      <c r="F344" s="5"/>
      <c r="G344" s="29"/>
      <c r="H344"/>
      <c r="I344" s="7"/>
      <c r="J344" s="7"/>
      <c r="K344" s="7"/>
      <c r="L344" s="8"/>
      <c r="M344" s="7"/>
      <c r="N344" s="7"/>
      <c r="O344" s="8"/>
      <c r="P344" s="6"/>
      <c r="Q344" s="5"/>
      <c r="R344" s="5"/>
      <c r="S344" s="5"/>
      <c r="T344" s="5"/>
      <c r="U344" s="5"/>
      <c r="V344" s="5"/>
      <c r="W344" s="5"/>
      <c r="X344" s="8"/>
      <c r="Y344" s="9"/>
      <c r="Z344" s="10"/>
      <c r="AA344" s="10"/>
      <c r="AB344" s="8"/>
      <c r="AC344" s="10"/>
    </row>
    <row r="345" spans="1:29" s="4" customFormat="1" x14ac:dyDescent="0.3">
      <c r="A345" s="3"/>
      <c r="B345" s="39"/>
      <c r="C345" s="5"/>
      <c r="D345" s="5"/>
      <c r="E345" s="5"/>
      <c r="F345" s="5"/>
      <c r="G345" s="29"/>
      <c r="H345"/>
      <c r="I345" s="7"/>
      <c r="J345" s="7"/>
      <c r="K345" s="7"/>
      <c r="L345" s="8"/>
      <c r="M345" s="7"/>
      <c r="N345" s="7"/>
      <c r="O345" s="8"/>
      <c r="P345" s="6"/>
      <c r="Q345" s="5"/>
      <c r="R345" s="5"/>
      <c r="S345" s="5"/>
      <c r="T345" s="5"/>
      <c r="U345" s="5"/>
      <c r="V345" s="5"/>
      <c r="W345" s="5"/>
      <c r="X345" s="8"/>
      <c r="Y345" s="9"/>
      <c r="Z345" s="10"/>
      <c r="AA345" s="10"/>
      <c r="AB345" s="8"/>
      <c r="AC345" s="10"/>
    </row>
    <row r="346" spans="1:29" s="4" customFormat="1" x14ac:dyDescent="0.3">
      <c r="A346" s="3"/>
      <c r="B346" s="39"/>
      <c r="C346" s="5"/>
      <c r="D346" s="5"/>
      <c r="E346" s="5"/>
      <c r="F346" s="5"/>
      <c r="G346" s="29"/>
      <c r="H346"/>
      <c r="I346" s="7"/>
      <c r="J346" s="7"/>
      <c r="K346" s="7"/>
      <c r="L346" s="8"/>
      <c r="M346" s="7"/>
      <c r="N346" s="7"/>
      <c r="O346" s="8"/>
      <c r="P346" s="6"/>
      <c r="Q346" s="5"/>
      <c r="R346" s="5"/>
      <c r="S346" s="5"/>
      <c r="T346" s="5"/>
      <c r="U346" s="5"/>
      <c r="V346" s="5"/>
      <c r="W346" s="5"/>
      <c r="X346" s="8"/>
      <c r="Y346" s="9"/>
      <c r="Z346" s="10"/>
      <c r="AA346" s="10"/>
      <c r="AB346" s="8"/>
      <c r="AC346" s="10"/>
    </row>
    <row r="347" spans="1:29" s="4" customFormat="1" x14ac:dyDescent="0.3">
      <c r="A347" s="3"/>
      <c r="B347" s="39"/>
      <c r="C347" s="5"/>
      <c r="D347" s="5"/>
      <c r="E347" s="5"/>
      <c r="F347" s="5"/>
      <c r="G347" s="29"/>
      <c r="H347"/>
      <c r="I347" s="7"/>
      <c r="J347" s="7"/>
      <c r="K347" s="7"/>
      <c r="L347" s="8"/>
      <c r="M347" s="7"/>
      <c r="N347" s="7"/>
      <c r="O347" s="8"/>
      <c r="P347" s="6"/>
      <c r="Q347" s="5"/>
      <c r="R347" s="5"/>
      <c r="S347" s="5"/>
      <c r="T347" s="5"/>
      <c r="U347" s="5"/>
      <c r="V347" s="5"/>
      <c r="W347" s="5"/>
      <c r="X347" s="8"/>
      <c r="Y347" s="9"/>
      <c r="Z347" s="10"/>
      <c r="AA347" s="10"/>
      <c r="AB347" s="8"/>
      <c r="AC347" s="10"/>
    </row>
    <row r="348" spans="1:29" s="4" customFormat="1" x14ac:dyDescent="0.3">
      <c r="A348" s="3"/>
      <c r="B348" s="39"/>
      <c r="C348" s="5"/>
      <c r="D348" s="5"/>
      <c r="E348" s="5"/>
      <c r="F348" s="5"/>
      <c r="G348" s="29"/>
      <c r="H348"/>
      <c r="I348" s="7"/>
      <c r="J348" s="7"/>
      <c r="K348" s="7"/>
      <c r="L348" s="8"/>
      <c r="M348" s="7"/>
      <c r="N348" s="7"/>
      <c r="O348" s="8"/>
      <c r="P348" s="6"/>
      <c r="Q348" s="5"/>
      <c r="R348" s="5"/>
      <c r="S348" s="5"/>
      <c r="T348" s="5"/>
      <c r="U348" s="5"/>
      <c r="V348" s="5"/>
      <c r="W348" s="5"/>
      <c r="X348" s="8"/>
      <c r="Y348" s="9"/>
      <c r="Z348" s="10"/>
      <c r="AA348" s="10"/>
      <c r="AB348" s="8"/>
      <c r="AC348" s="10"/>
    </row>
    <row r="349" spans="1:29" s="4" customFormat="1" x14ac:dyDescent="0.3">
      <c r="A349" s="3"/>
      <c r="B349" s="39"/>
      <c r="C349" s="5"/>
      <c r="D349" s="5"/>
      <c r="E349" s="5"/>
      <c r="F349" s="5"/>
      <c r="G349" s="29"/>
      <c r="H349"/>
      <c r="I349" s="7"/>
      <c r="J349" s="7"/>
      <c r="K349" s="7"/>
      <c r="L349" s="8"/>
      <c r="M349" s="7"/>
      <c r="N349" s="7"/>
      <c r="O349" s="8"/>
      <c r="P349" s="6"/>
      <c r="Q349" s="5"/>
      <c r="R349" s="5"/>
      <c r="S349" s="5"/>
      <c r="T349" s="5"/>
      <c r="U349" s="5"/>
      <c r="V349" s="5"/>
      <c r="W349" s="5"/>
      <c r="X349" s="8"/>
      <c r="Y349" s="9"/>
      <c r="Z349" s="10"/>
      <c r="AA349" s="10"/>
      <c r="AB349" s="8"/>
      <c r="AC349" s="10"/>
    </row>
    <row r="350" spans="1:29" s="4" customFormat="1" x14ac:dyDescent="0.3">
      <c r="A350" s="3"/>
      <c r="B350" s="39"/>
      <c r="C350" s="5"/>
      <c r="D350" s="5"/>
      <c r="E350" s="5"/>
      <c r="F350" s="5"/>
      <c r="G350" s="29"/>
      <c r="H350"/>
      <c r="I350" s="7"/>
      <c r="J350" s="7"/>
      <c r="K350" s="7"/>
      <c r="L350" s="8"/>
      <c r="M350" s="7"/>
      <c r="N350" s="7"/>
      <c r="O350" s="8"/>
      <c r="P350" s="6"/>
      <c r="Q350" s="5"/>
      <c r="R350" s="5"/>
      <c r="S350" s="5"/>
      <c r="T350" s="5"/>
      <c r="U350" s="5"/>
      <c r="V350" s="5"/>
      <c r="W350" s="5"/>
      <c r="X350" s="8"/>
      <c r="Y350" s="9"/>
      <c r="Z350" s="10"/>
      <c r="AA350" s="10"/>
      <c r="AB350" s="8"/>
      <c r="AC350" s="10"/>
    </row>
    <row r="351" spans="1:29" s="4" customFormat="1" x14ac:dyDescent="0.3">
      <c r="A351" s="3"/>
      <c r="B351" s="39"/>
      <c r="C351" s="5"/>
      <c r="D351" s="5"/>
      <c r="E351" s="5"/>
      <c r="F351" s="5"/>
      <c r="G351" s="29"/>
      <c r="H351"/>
      <c r="I351" s="7"/>
      <c r="J351" s="7"/>
      <c r="K351" s="7"/>
      <c r="L351" s="8"/>
      <c r="M351" s="7"/>
      <c r="N351" s="7"/>
      <c r="O351" s="8"/>
      <c r="P351" s="6"/>
      <c r="Q351" s="5"/>
      <c r="R351" s="5"/>
      <c r="S351" s="5"/>
      <c r="T351" s="5"/>
      <c r="U351" s="5"/>
      <c r="V351" s="5"/>
      <c r="W351" s="5"/>
      <c r="X351" s="8"/>
      <c r="Y351" s="9"/>
      <c r="Z351" s="10"/>
      <c r="AA351" s="10"/>
      <c r="AB351" s="8"/>
      <c r="AC351" s="10"/>
    </row>
    <row r="352" spans="1:29" s="4" customFormat="1" x14ac:dyDescent="0.3">
      <c r="A352" s="3"/>
      <c r="B352" s="39"/>
      <c r="C352" s="5"/>
      <c r="D352" s="5"/>
      <c r="E352" s="5"/>
      <c r="F352" s="5"/>
      <c r="G352" s="29"/>
      <c r="H352"/>
      <c r="I352" s="7"/>
      <c r="J352" s="7"/>
      <c r="K352" s="7"/>
      <c r="L352" s="8"/>
      <c r="M352" s="7"/>
      <c r="N352" s="7"/>
      <c r="O352" s="8"/>
      <c r="P352" s="6"/>
      <c r="Q352" s="5"/>
      <c r="R352" s="5"/>
      <c r="S352" s="5"/>
      <c r="T352" s="5"/>
      <c r="U352" s="5"/>
      <c r="V352" s="5"/>
      <c r="W352" s="5"/>
      <c r="X352" s="8"/>
      <c r="Y352" s="9"/>
      <c r="Z352" s="10"/>
      <c r="AA352" s="10"/>
      <c r="AB352" s="8"/>
      <c r="AC352" s="10"/>
    </row>
    <row r="353" spans="1:29" s="4" customFormat="1" x14ac:dyDescent="0.3">
      <c r="A353" s="3"/>
      <c r="B353" s="39"/>
      <c r="C353" s="5"/>
      <c r="D353" s="5"/>
      <c r="E353" s="5"/>
      <c r="F353" s="5"/>
      <c r="G353" s="29"/>
      <c r="H353"/>
      <c r="I353" s="7"/>
      <c r="J353" s="7"/>
      <c r="K353" s="7"/>
      <c r="L353" s="8"/>
      <c r="M353" s="7"/>
      <c r="N353" s="7"/>
      <c r="O353" s="8"/>
      <c r="P353" s="6"/>
      <c r="Q353" s="5"/>
      <c r="R353" s="5"/>
      <c r="S353" s="5"/>
      <c r="T353" s="5"/>
      <c r="U353" s="5"/>
      <c r="V353" s="5"/>
      <c r="W353" s="5"/>
      <c r="X353" s="8"/>
      <c r="Y353" s="9"/>
      <c r="Z353" s="10"/>
      <c r="AA353" s="10"/>
      <c r="AB353" s="8"/>
      <c r="AC353" s="10"/>
    </row>
    <row r="354" spans="1:29" s="4" customFormat="1" x14ac:dyDescent="0.3">
      <c r="A354" s="3"/>
      <c r="B354" s="39"/>
      <c r="C354" s="5"/>
      <c r="D354" s="5"/>
      <c r="E354" s="5"/>
      <c r="F354" s="5"/>
      <c r="G354" s="29"/>
      <c r="H354"/>
      <c r="I354" s="7"/>
      <c r="J354" s="7"/>
      <c r="K354" s="7"/>
      <c r="L354" s="8"/>
      <c r="M354" s="7"/>
      <c r="N354" s="7"/>
      <c r="O354" s="8"/>
      <c r="P354" s="6"/>
      <c r="Q354" s="5"/>
      <c r="R354" s="5"/>
      <c r="S354" s="5"/>
      <c r="T354" s="5"/>
      <c r="U354" s="5"/>
      <c r="V354" s="5"/>
      <c r="W354" s="5"/>
      <c r="X354" s="8"/>
      <c r="Y354" s="9"/>
      <c r="Z354" s="10"/>
      <c r="AA354" s="10"/>
      <c r="AB354" s="8"/>
      <c r="AC354" s="10"/>
    </row>
    <row r="355" spans="1:29" s="4" customFormat="1" x14ac:dyDescent="0.3">
      <c r="A355" s="3"/>
      <c r="B355" s="39"/>
      <c r="C355" s="5"/>
      <c r="D355" s="5"/>
      <c r="E355" s="5"/>
      <c r="F355" s="5"/>
      <c r="G355" s="29"/>
      <c r="H355"/>
      <c r="I355" s="7"/>
      <c r="J355" s="7"/>
      <c r="K355" s="7"/>
      <c r="L355" s="8"/>
      <c r="M355" s="7"/>
      <c r="N355" s="7"/>
      <c r="O355" s="8"/>
      <c r="P355" s="6"/>
      <c r="Q355" s="5"/>
      <c r="R355" s="5"/>
      <c r="S355" s="5"/>
      <c r="T355" s="5"/>
      <c r="U355" s="5"/>
      <c r="V355" s="5"/>
      <c r="W355" s="5"/>
      <c r="X355" s="8"/>
      <c r="Y355" s="9"/>
      <c r="Z355" s="10"/>
      <c r="AA355" s="10"/>
      <c r="AB355" s="8"/>
      <c r="AC355" s="10"/>
    </row>
    <row r="356" spans="1:29" s="4" customFormat="1" x14ac:dyDescent="0.3">
      <c r="A356" s="3"/>
      <c r="B356" s="39"/>
      <c r="C356" s="5"/>
      <c r="D356" s="5"/>
      <c r="E356" s="5"/>
      <c r="F356" s="5"/>
      <c r="G356" s="29"/>
      <c r="H356"/>
      <c r="I356" s="7"/>
      <c r="J356" s="7"/>
      <c r="K356" s="7"/>
      <c r="L356" s="8"/>
      <c r="M356" s="7"/>
      <c r="N356" s="7"/>
      <c r="O356" s="8"/>
      <c r="P356" s="6"/>
      <c r="Q356" s="5"/>
      <c r="R356" s="5"/>
      <c r="S356" s="5"/>
      <c r="T356" s="5"/>
      <c r="U356" s="5"/>
      <c r="V356" s="5"/>
      <c r="W356" s="5"/>
      <c r="X356" s="8"/>
      <c r="Y356" s="9"/>
      <c r="Z356" s="10"/>
      <c r="AA356" s="10"/>
      <c r="AB356" s="8"/>
      <c r="AC356" s="10"/>
    </row>
    <row r="357" spans="1:29" s="4" customFormat="1" x14ac:dyDescent="0.3">
      <c r="A357" s="3"/>
      <c r="B357" s="39"/>
      <c r="C357" s="5"/>
      <c r="D357" s="5"/>
      <c r="E357" s="5"/>
      <c r="F357" s="5"/>
      <c r="G357" s="29"/>
      <c r="H357"/>
      <c r="I357" s="7"/>
      <c r="J357" s="7"/>
      <c r="K357" s="7"/>
      <c r="L357" s="8"/>
      <c r="M357" s="7"/>
      <c r="N357" s="7"/>
      <c r="O357" s="8"/>
      <c r="P357" s="6"/>
      <c r="Q357" s="5"/>
      <c r="R357" s="5"/>
      <c r="S357" s="5"/>
      <c r="T357" s="5"/>
      <c r="U357" s="5"/>
      <c r="V357" s="5"/>
      <c r="W357" s="5"/>
      <c r="X357" s="8"/>
      <c r="Y357" s="9"/>
      <c r="Z357" s="10"/>
      <c r="AA357" s="10"/>
      <c r="AB357" s="8"/>
      <c r="AC357" s="10"/>
    </row>
    <row r="358" spans="1:29" s="4" customFormat="1" x14ac:dyDescent="0.3">
      <c r="A358" s="3"/>
      <c r="B358" s="39"/>
      <c r="C358" s="5"/>
      <c r="D358" s="5"/>
      <c r="E358" s="5"/>
      <c r="F358" s="5"/>
      <c r="G358" s="29"/>
      <c r="H358"/>
      <c r="I358" s="7"/>
      <c r="J358" s="7"/>
      <c r="K358" s="7"/>
      <c r="L358" s="8"/>
      <c r="M358" s="7"/>
      <c r="N358" s="7"/>
      <c r="O358" s="8"/>
      <c r="P358" s="6"/>
      <c r="Q358" s="5"/>
      <c r="R358" s="5"/>
      <c r="S358" s="5"/>
      <c r="T358" s="5"/>
      <c r="U358" s="5"/>
      <c r="V358" s="5"/>
      <c r="W358" s="5"/>
      <c r="X358" s="8"/>
      <c r="Y358" s="9"/>
      <c r="Z358" s="10"/>
      <c r="AA358" s="10"/>
      <c r="AB358" s="8"/>
      <c r="AC358" s="10"/>
    </row>
    <row r="359" spans="1:29" s="4" customFormat="1" x14ac:dyDescent="0.3">
      <c r="A359" s="3"/>
      <c r="B359" s="39"/>
      <c r="C359" s="5"/>
      <c r="D359" s="5"/>
      <c r="E359" s="5"/>
      <c r="F359" s="5"/>
      <c r="G359" s="29"/>
      <c r="H359"/>
      <c r="I359" s="7"/>
      <c r="J359" s="7"/>
      <c r="K359" s="7"/>
      <c r="L359" s="8"/>
      <c r="M359" s="7"/>
      <c r="N359" s="7"/>
      <c r="O359" s="8"/>
      <c r="P359" s="6"/>
      <c r="Q359" s="5"/>
      <c r="R359" s="5"/>
      <c r="S359" s="5"/>
      <c r="T359" s="5"/>
      <c r="U359" s="5"/>
      <c r="V359" s="5"/>
      <c r="W359" s="5"/>
      <c r="X359" s="8"/>
      <c r="Y359" s="9"/>
      <c r="Z359" s="10"/>
      <c r="AA359" s="10"/>
      <c r="AB359" s="8"/>
      <c r="AC359" s="10"/>
    </row>
    <row r="360" spans="1:29" s="4" customFormat="1" x14ac:dyDescent="0.3">
      <c r="A360" s="3"/>
      <c r="B360" s="39"/>
      <c r="C360" s="5"/>
      <c r="D360" s="5"/>
      <c r="E360" s="5"/>
      <c r="F360" s="5"/>
      <c r="G360" s="29"/>
      <c r="H360"/>
      <c r="I360" s="7"/>
      <c r="J360" s="7"/>
      <c r="K360" s="7"/>
      <c r="L360" s="8"/>
      <c r="M360" s="7"/>
      <c r="N360" s="7"/>
      <c r="O360" s="8"/>
      <c r="P360" s="6"/>
      <c r="Q360" s="5"/>
      <c r="R360" s="5"/>
      <c r="S360" s="5"/>
      <c r="T360" s="5"/>
      <c r="U360" s="5"/>
      <c r="V360" s="5"/>
      <c r="W360" s="5"/>
      <c r="X360" s="8"/>
      <c r="Y360" s="9"/>
      <c r="Z360" s="10"/>
      <c r="AA360" s="10"/>
      <c r="AB360" s="8"/>
      <c r="AC360" s="10"/>
    </row>
    <row r="361" spans="1:29" s="4" customFormat="1" x14ac:dyDescent="0.3">
      <c r="A361" s="3"/>
      <c r="B361" s="39"/>
      <c r="C361" s="5"/>
      <c r="D361" s="5"/>
      <c r="E361" s="5"/>
      <c r="F361" s="5"/>
      <c r="G361" s="29"/>
      <c r="H361"/>
      <c r="I361" s="7"/>
      <c r="J361" s="7"/>
      <c r="K361" s="7"/>
      <c r="L361" s="8"/>
      <c r="M361" s="7"/>
      <c r="N361" s="7"/>
      <c r="O361" s="8"/>
      <c r="P361" s="6"/>
      <c r="Q361" s="5"/>
      <c r="R361" s="5"/>
      <c r="S361" s="5"/>
      <c r="T361" s="5"/>
      <c r="U361" s="5"/>
      <c r="V361" s="5"/>
      <c r="W361" s="5"/>
      <c r="X361" s="8"/>
      <c r="Y361" s="9"/>
      <c r="Z361" s="10"/>
      <c r="AA361" s="10"/>
      <c r="AB361" s="8"/>
      <c r="AC361" s="10"/>
    </row>
    <row r="362" spans="1:29" s="4" customFormat="1" x14ac:dyDescent="0.3">
      <c r="A362" s="3"/>
      <c r="B362" s="39"/>
      <c r="C362" s="5"/>
      <c r="D362" s="5"/>
      <c r="E362" s="5"/>
      <c r="F362" s="5"/>
      <c r="G362" s="29"/>
      <c r="H362"/>
      <c r="I362" s="7"/>
      <c r="J362" s="7"/>
      <c r="K362" s="7"/>
      <c r="L362" s="8"/>
      <c r="M362" s="7"/>
      <c r="N362" s="7"/>
      <c r="O362" s="8"/>
      <c r="P362" s="6"/>
      <c r="Q362" s="5"/>
      <c r="R362" s="5"/>
      <c r="S362" s="5"/>
      <c r="T362" s="5"/>
      <c r="U362" s="5"/>
      <c r="V362" s="5"/>
      <c r="W362" s="5"/>
      <c r="X362" s="8"/>
      <c r="Y362" s="9"/>
      <c r="Z362" s="10"/>
      <c r="AA362" s="10"/>
      <c r="AB362" s="8"/>
      <c r="AC362" s="10"/>
    </row>
    <row r="363" spans="1:29" s="4" customFormat="1" x14ac:dyDescent="0.3">
      <c r="A363" s="3"/>
      <c r="B363" s="39"/>
      <c r="C363" s="5"/>
      <c r="D363" s="5"/>
      <c r="E363" s="5"/>
      <c r="F363" s="5"/>
      <c r="G363" s="29"/>
      <c r="H363"/>
      <c r="I363" s="7"/>
      <c r="J363" s="7"/>
      <c r="K363" s="7"/>
      <c r="L363" s="8"/>
      <c r="M363" s="7"/>
      <c r="N363" s="7"/>
      <c r="O363" s="8"/>
      <c r="P363" s="6"/>
      <c r="Q363" s="5"/>
      <c r="R363" s="5"/>
      <c r="S363" s="5"/>
      <c r="T363" s="5"/>
      <c r="U363" s="5"/>
      <c r="V363" s="5"/>
      <c r="W363" s="5"/>
      <c r="X363" s="8"/>
      <c r="Y363" s="9"/>
      <c r="Z363" s="10"/>
      <c r="AA363" s="10"/>
      <c r="AB363" s="8"/>
      <c r="AC363" s="10"/>
    </row>
    <row r="364" spans="1:29" s="4" customFormat="1" x14ac:dyDescent="0.3">
      <c r="A364" s="3"/>
      <c r="B364" s="39"/>
      <c r="C364" s="5"/>
      <c r="D364" s="5"/>
      <c r="E364" s="5"/>
      <c r="F364" s="5"/>
      <c r="G364" s="29"/>
      <c r="H364"/>
      <c r="I364" s="7"/>
      <c r="J364" s="7"/>
      <c r="K364" s="7"/>
      <c r="L364" s="8"/>
      <c r="M364" s="7"/>
      <c r="N364" s="7"/>
      <c r="O364" s="8"/>
      <c r="P364" s="6"/>
      <c r="Q364" s="5"/>
      <c r="R364" s="5"/>
      <c r="S364" s="5"/>
      <c r="T364" s="5"/>
      <c r="U364" s="5"/>
      <c r="V364" s="5"/>
      <c r="W364" s="5"/>
      <c r="X364" s="8"/>
      <c r="Y364" s="9"/>
      <c r="Z364" s="10"/>
      <c r="AA364" s="10"/>
      <c r="AB364" s="8"/>
      <c r="AC364" s="10"/>
    </row>
    <row r="365" spans="1:29" s="4" customFormat="1" x14ac:dyDescent="0.3">
      <c r="A365" s="3"/>
      <c r="B365" s="39"/>
      <c r="C365" s="5"/>
      <c r="D365" s="5"/>
      <c r="E365" s="5"/>
      <c r="F365" s="5"/>
      <c r="G365" s="29"/>
      <c r="H365"/>
      <c r="I365" s="7"/>
      <c r="J365" s="7"/>
      <c r="K365" s="7"/>
      <c r="L365" s="8"/>
      <c r="M365" s="7"/>
      <c r="N365" s="7"/>
      <c r="O365" s="8"/>
      <c r="P365" s="6"/>
      <c r="Q365" s="5"/>
      <c r="R365" s="5"/>
      <c r="S365" s="5"/>
      <c r="T365" s="5"/>
      <c r="U365" s="5"/>
      <c r="V365" s="5"/>
      <c r="W365" s="5"/>
      <c r="X365" s="8"/>
      <c r="Y365" s="9"/>
      <c r="Z365" s="10"/>
      <c r="AA365" s="10"/>
      <c r="AB365" s="8"/>
      <c r="AC365" s="10"/>
    </row>
    <row r="366" spans="1:29" s="4" customFormat="1" x14ac:dyDescent="0.3">
      <c r="A366" s="3"/>
      <c r="B366" s="39"/>
      <c r="C366" s="5"/>
      <c r="D366" s="5"/>
      <c r="E366" s="5"/>
      <c r="F366" s="5"/>
      <c r="G366" s="29"/>
      <c r="H366"/>
      <c r="I366" s="7"/>
      <c r="J366" s="7"/>
      <c r="K366" s="7"/>
      <c r="L366" s="8"/>
      <c r="M366" s="7"/>
      <c r="N366" s="7"/>
      <c r="O366" s="8"/>
      <c r="P366" s="6"/>
      <c r="Q366" s="5"/>
      <c r="R366" s="5"/>
      <c r="S366" s="5"/>
      <c r="T366" s="5"/>
      <c r="U366" s="5"/>
      <c r="V366" s="5"/>
      <c r="W366" s="5"/>
      <c r="X366" s="8"/>
      <c r="Y366" s="9"/>
      <c r="Z366" s="10"/>
      <c r="AA366" s="10"/>
      <c r="AB366" s="8"/>
      <c r="AC366" s="10"/>
    </row>
    <row r="367" spans="1:29" s="4" customFormat="1" x14ac:dyDescent="0.3">
      <c r="A367" s="3"/>
      <c r="B367" s="39"/>
      <c r="C367" s="5"/>
      <c r="D367" s="5"/>
      <c r="E367" s="5"/>
      <c r="F367" s="5"/>
      <c r="G367" s="29"/>
      <c r="H367"/>
      <c r="I367" s="7"/>
      <c r="J367" s="7"/>
      <c r="K367" s="7"/>
      <c r="L367" s="8"/>
      <c r="M367" s="7"/>
      <c r="N367" s="7"/>
      <c r="O367" s="8"/>
      <c r="P367" s="6"/>
      <c r="Q367" s="5"/>
      <c r="R367" s="5"/>
      <c r="S367" s="5"/>
      <c r="T367" s="5"/>
      <c r="U367" s="5"/>
      <c r="V367" s="5"/>
      <c r="W367" s="5"/>
      <c r="X367" s="8"/>
      <c r="Y367" s="9"/>
      <c r="Z367" s="10"/>
      <c r="AA367" s="10"/>
      <c r="AB367" s="8"/>
      <c r="AC367" s="10"/>
    </row>
    <row r="368" spans="1:29" s="4" customFormat="1" x14ac:dyDescent="0.3">
      <c r="A368" s="3"/>
      <c r="B368" s="39"/>
      <c r="C368" s="5"/>
      <c r="D368" s="5"/>
      <c r="E368" s="5"/>
      <c r="F368" s="5"/>
      <c r="G368" s="29"/>
      <c r="H368"/>
      <c r="I368" s="7"/>
      <c r="J368" s="7"/>
      <c r="K368" s="7"/>
      <c r="L368" s="8"/>
      <c r="M368" s="7"/>
      <c r="N368" s="7"/>
      <c r="O368" s="8"/>
      <c r="P368" s="6"/>
      <c r="Q368" s="5"/>
      <c r="R368" s="5"/>
      <c r="S368" s="5"/>
      <c r="T368" s="5"/>
      <c r="U368" s="5"/>
      <c r="V368" s="5"/>
      <c r="W368" s="5"/>
      <c r="X368" s="8"/>
      <c r="Y368" s="9"/>
      <c r="Z368" s="10"/>
      <c r="AA368" s="10"/>
      <c r="AB368" s="8"/>
      <c r="AC368" s="10"/>
    </row>
    <row r="369" spans="1:29" s="4" customFormat="1" x14ac:dyDescent="0.3">
      <c r="A369" s="3"/>
      <c r="B369" s="39"/>
      <c r="C369" s="5"/>
      <c r="D369" s="5"/>
      <c r="E369" s="5"/>
      <c r="F369" s="5"/>
      <c r="G369" s="29"/>
      <c r="H369"/>
      <c r="I369" s="7"/>
      <c r="J369" s="7"/>
      <c r="K369" s="7"/>
      <c r="L369" s="8"/>
      <c r="M369" s="7"/>
      <c r="N369" s="7"/>
      <c r="O369" s="8"/>
      <c r="P369" s="6"/>
      <c r="Q369" s="5"/>
      <c r="R369" s="5"/>
      <c r="S369" s="5"/>
      <c r="T369" s="5"/>
      <c r="U369" s="5"/>
      <c r="V369" s="5"/>
      <c r="W369" s="5"/>
      <c r="X369" s="8"/>
      <c r="Y369" s="9"/>
      <c r="Z369" s="10"/>
      <c r="AA369" s="10"/>
      <c r="AB369" s="8"/>
      <c r="AC369" s="10"/>
    </row>
    <row r="370" spans="1:29" s="4" customFormat="1" x14ac:dyDescent="0.3">
      <c r="A370" s="3"/>
      <c r="B370" s="39"/>
      <c r="C370" s="5"/>
      <c r="D370" s="5"/>
      <c r="E370" s="5"/>
      <c r="F370" s="5"/>
      <c r="G370" s="29"/>
      <c r="H370"/>
      <c r="I370" s="7"/>
      <c r="J370" s="7"/>
      <c r="K370" s="7"/>
      <c r="L370" s="8"/>
      <c r="M370" s="7"/>
      <c r="N370" s="7"/>
      <c r="O370" s="8"/>
      <c r="P370" s="6"/>
      <c r="Q370" s="5"/>
      <c r="R370" s="5"/>
      <c r="S370" s="5"/>
      <c r="T370" s="5"/>
      <c r="U370" s="5"/>
      <c r="V370" s="5"/>
      <c r="W370" s="5"/>
      <c r="X370" s="8"/>
      <c r="Y370" s="9"/>
      <c r="Z370" s="10"/>
      <c r="AA370" s="10"/>
      <c r="AB370" s="8"/>
      <c r="AC370" s="10"/>
    </row>
    <row r="371" spans="1:29" s="4" customFormat="1" x14ac:dyDescent="0.3">
      <c r="A371" s="3"/>
      <c r="B371" s="39"/>
      <c r="C371" s="5"/>
      <c r="D371" s="5"/>
      <c r="E371" s="5"/>
      <c r="F371" s="5"/>
      <c r="G371" s="29"/>
      <c r="H371"/>
      <c r="I371" s="7"/>
      <c r="J371" s="7"/>
      <c r="K371" s="7"/>
      <c r="L371" s="8"/>
      <c r="M371" s="7"/>
      <c r="N371" s="7"/>
      <c r="O371" s="8"/>
      <c r="P371" s="6"/>
      <c r="Q371" s="5"/>
      <c r="R371" s="5"/>
      <c r="S371" s="5"/>
      <c r="T371" s="5"/>
      <c r="U371" s="5"/>
      <c r="V371" s="5"/>
      <c r="W371" s="5"/>
      <c r="X371" s="8"/>
      <c r="Y371" s="9"/>
      <c r="Z371" s="10"/>
      <c r="AA371" s="10"/>
      <c r="AB371" s="8"/>
      <c r="AC371" s="10"/>
    </row>
    <row r="372" spans="1:29" s="4" customFormat="1" x14ac:dyDescent="0.3">
      <c r="A372" s="3"/>
      <c r="B372" s="39"/>
      <c r="C372" s="5"/>
      <c r="D372" s="5"/>
      <c r="E372" s="5"/>
      <c r="F372" s="5"/>
      <c r="G372" s="29"/>
      <c r="H372"/>
      <c r="I372" s="7"/>
      <c r="J372" s="7"/>
      <c r="K372" s="7"/>
      <c r="L372" s="8"/>
      <c r="M372" s="7"/>
      <c r="N372" s="7"/>
      <c r="O372" s="8"/>
      <c r="P372" s="6"/>
      <c r="Q372" s="5"/>
      <c r="R372" s="5"/>
      <c r="S372" s="5"/>
      <c r="T372" s="5"/>
      <c r="U372" s="5"/>
      <c r="V372" s="5"/>
      <c r="W372" s="5"/>
      <c r="X372" s="8"/>
      <c r="Y372" s="9"/>
      <c r="Z372" s="10"/>
      <c r="AA372" s="10"/>
      <c r="AB372" s="8"/>
      <c r="AC372" s="10"/>
    </row>
    <row r="373" spans="1:29" s="4" customFormat="1" x14ac:dyDescent="0.3">
      <c r="A373" s="3"/>
      <c r="B373" s="39"/>
      <c r="C373" s="5"/>
      <c r="D373" s="5"/>
      <c r="E373" s="5"/>
      <c r="F373" s="5"/>
      <c r="G373" s="29"/>
      <c r="H373"/>
      <c r="I373" s="7"/>
      <c r="J373" s="7"/>
      <c r="K373" s="7"/>
      <c r="L373" s="8"/>
      <c r="M373" s="7"/>
      <c r="N373" s="7"/>
      <c r="O373" s="8"/>
      <c r="P373" s="6"/>
      <c r="Q373" s="5"/>
      <c r="R373" s="5"/>
      <c r="S373" s="5"/>
      <c r="T373" s="5"/>
      <c r="U373" s="5"/>
      <c r="V373" s="5"/>
      <c r="W373" s="5"/>
      <c r="X373" s="8"/>
      <c r="Y373" s="9"/>
      <c r="Z373" s="10"/>
      <c r="AA373" s="10"/>
      <c r="AB373" s="8"/>
      <c r="AC373" s="10"/>
    </row>
    <row r="374" spans="1:29" s="4" customFormat="1" x14ac:dyDescent="0.3">
      <c r="A374" s="3"/>
      <c r="B374" s="39"/>
      <c r="C374" s="5"/>
      <c r="D374" s="5"/>
      <c r="E374" s="5"/>
      <c r="F374" s="5"/>
      <c r="G374" s="29"/>
      <c r="H374"/>
      <c r="I374" s="7"/>
      <c r="J374" s="7"/>
      <c r="K374" s="7"/>
      <c r="L374" s="8"/>
      <c r="M374" s="7"/>
      <c r="N374" s="7"/>
      <c r="O374" s="8"/>
      <c r="P374" s="6"/>
      <c r="Q374" s="5"/>
      <c r="R374" s="5"/>
      <c r="S374" s="5"/>
      <c r="T374" s="5"/>
      <c r="U374" s="5"/>
      <c r="V374" s="5"/>
      <c r="W374" s="5"/>
      <c r="X374" s="8"/>
      <c r="Y374" s="9"/>
      <c r="Z374" s="10"/>
      <c r="AA374" s="10"/>
      <c r="AB374" s="8"/>
      <c r="AC374" s="10"/>
    </row>
    <row r="375" spans="1:29" s="4" customFormat="1" x14ac:dyDescent="0.3">
      <c r="A375" s="3"/>
      <c r="B375" s="39"/>
      <c r="C375" s="5"/>
      <c r="D375" s="5"/>
      <c r="E375" s="5"/>
      <c r="F375" s="5"/>
      <c r="G375" s="29"/>
      <c r="H375"/>
      <c r="I375" s="7"/>
      <c r="J375" s="7"/>
      <c r="K375" s="7"/>
      <c r="L375" s="8"/>
      <c r="M375" s="7"/>
      <c r="N375" s="7"/>
      <c r="O375" s="8"/>
      <c r="P375" s="6"/>
      <c r="Q375" s="5"/>
      <c r="R375" s="5"/>
      <c r="S375" s="5"/>
      <c r="T375" s="5"/>
      <c r="U375" s="5"/>
      <c r="V375" s="5"/>
      <c r="W375" s="5"/>
      <c r="X375" s="8"/>
      <c r="Y375" s="9"/>
      <c r="Z375" s="10"/>
      <c r="AA375" s="10"/>
      <c r="AB375" s="8"/>
      <c r="AC375" s="10"/>
    </row>
    <row r="376" spans="1:29" s="4" customFormat="1" x14ac:dyDescent="0.3">
      <c r="A376" s="3"/>
      <c r="B376" s="39"/>
      <c r="C376" s="5"/>
      <c r="D376" s="5"/>
      <c r="E376" s="5"/>
      <c r="F376" s="5"/>
      <c r="G376" s="29"/>
      <c r="H376"/>
      <c r="I376" s="7"/>
      <c r="J376" s="7"/>
      <c r="K376" s="7"/>
      <c r="L376" s="8"/>
      <c r="M376" s="7"/>
      <c r="N376" s="7"/>
      <c r="O376" s="8"/>
      <c r="P376" s="6"/>
      <c r="Q376" s="5"/>
      <c r="R376" s="5"/>
      <c r="S376" s="5"/>
      <c r="T376" s="5"/>
      <c r="U376" s="5"/>
      <c r="V376" s="5"/>
      <c r="W376" s="5"/>
      <c r="X376" s="8"/>
      <c r="Y376" s="9"/>
      <c r="Z376" s="10"/>
      <c r="AA376" s="10"/>
      <c r="AB376" s="8"/>
      <c r="AC376" s="10"/>
    </row>
    <row r="377" spans="1:29" s="4" customFormat="1" x14ac:dyDescent="0.3">
      <c r="A377" s="3"/>
      <c r="B377" s="39"/>
      <c r="C377" s="5"/>
      <c r="D377" s="5"/>
      <c r="E377" s="5"/>
      <c r="F377" s="5"/>
      <c r="G377" s="29"/>
      <c r="H377"/>
      <c r="I377" s="7"/>
      <c r="J377" s="7"/>
      <c r="K377" s="7"/>
      <c r="L377" s="8"/>
      <c r="M377" s="7"/>
      <c r="N377" s="7"/>
      <c r="O377" s="8"/>
      <c r="P377" s="6"/>
      <c r="Q377" s="5"/>
      <c r="R377" s="5"/>
      <c r="S377" s="5"/>
      <c r="T377" s="5"/>
      <c r="U377" s="5"/>
      <c r="V377" s="5"/>
      <c r="W377" s="5"/>
      <c r="X377" s="8"/>
      <c r="Y377" s="9"/>
      <c r="Z377" s="10"/>
      <c r="AA377" s="10"/>
      <c r="AB377" s="8"/>
      <c r="AC377" s="10"/>
    </row>
    <row r="378" spans="1:29" s="4" customFormat="1" x14ac:dyDescent="0.3">
      <c r="A378" s="3"/>
      <c r="B378" s="39"/>
      <c r="C378" s="5"/>
      <c r="D378" s="5"/>
      <c r="E378" s="5"/>
      <c r="F378" s="5"/>
      <c r="G378" s="29"/>
      <c r="H378"/>
      <c r="I378" s="7"/>
      <c r="J378" s="7"/>
      <c r="K378" s="7"/>
      <c r="L378" s="8"/>
      <c r="M378" s="7"/>
      <c r="N378" s="7"/>
      <c r="O378" s="8"/>
      <c r="P378" s="6"/>
      <c r="Q378" s="5"/>
      <c r="R378" s="5"/>
      <c r="S378" s="5"/>
      <c r="T378" s="5"/>
      <c r="U378" s="5"/>
      <c r="V378" s="5"/>
      <c r="W378" s="5"/>
      <c r="X378" s="8"/>
      <c r="Y378" s="9"/>
      <c r="Z378" s="10"/>
      <c r="AA378" s="10"/>
      <c r="AB378" s="8"/>
      <c r="AC378" s="10"/>
    </row>
    <row r="379" spans="1:29" s="4" customFormat="1" x14ac:dyDescent="0.3">
      <c r="A379" s="3"/>
      <c r="B379" s="39"/>
      <c r="C379" s="5"/>
      <c r="D379" s="5"/>
      <c r="E379" s="5"/>
      <c r="F379" s="5"/>
      <c r="G379" s="29"/>
      <c r="H379"/>
      <c r="I379" s="7"/>
      <c r="J379" s="7"/>
      <c r="K379" s="7"/>
      <c r="L379" s="8"/>
      <c r="M379" s="7"/>
      <c r="N379" s="7"/>
      <c r="O379" s="8"/>
      <c r="P379" s="6"/>
      <c r="Q379" s="5"/>
      <c r="R379" s="5"/>
      <c r="S379" s="5"/>
      <c r="T379" s="5"/>
      <c r="U379" s="5"/>
      <c r="V379" s="5"/>
      <c r="W379" s="5"/>
      <c r="X379" s="8"/>
      <c r="Y379" s="9"/>
      <c r="Z379" s="10"/>
      <c r="AA379" s="10"/>
      <c r="AB379" s="8"/>
      <c r="AC379" s="10"/>
    </row>
    <row r="380" spans="1:29" s="4" customFormat="1" x14ac:dyDescent="0.3">
      <c r="A380" s="3"/>
      <c r="B380" s="39"/>
      <c r="C380" s="5"/>
      <c r="D380" s="5"/>
      <c r="E380" s="5"/>
      <c r="F380" s="5"/>
      <c r="G380" s="29"/>
      <c r="H380"/>
      <c r="I380" s="7"/>
      <c r="J380" s="7"/>
      <c r="K380" s="7"/>
      <c r="L380" s="8"/>
      <c r="M380" s="7"/>
      <c r="N380" s="7"/>
      <c r="O380" s="8"/>
      <c r="P380" s="6"/>
      <c r="Q380" s="5"/>
      <c r="R380" s="5"/>
      <c r="S380" s="5"/>
      <c r="T380" s="5"/>
      <c r="U380" s="5"/>
      <c r="V380" s="5"/>
      <c r="W380" s="5"/>
      <c r="X380" s="8"/>
      <c r="Y380" s="9"/>
      <c r="Z380" s="10"/>
      <c r="AA380" s="10"/>
      <c r="AB380" s="8"/>
      <c r="AC380" s="10"/>
    </row>
    <row r="381" spans="1:29" s="4" customFormat="1" x14ac:dyDescent="0.3">
      <c r="A381" s="3"/>
      <c r="B381" s="39"/>
      <c r="C381" s="5"/>
      <c r="D381" s="5"/>
      <c r="E381" s="5"/>
      <c r="F381" s="5"/>
      <c r="G381" s="29"/>
      <c r="H381"/>
      <c r="I381" s="7"/>
      <c r="J381" s="7"/>
      <c r="K381" s="7"/>
      <c r="L381" s="8"/>
      <c r="M381" s="7"/>
      <c r="N381" s="7"/>
      <c r="O381" s="8"/>
      <c r="P381" s="6"/>
      <c r="Q381" s="5"/>
      <c r="R381" s="5"/>
      <c r="S381" s="5"/>
      <c r="T381" s="5"/>
      <c r="U381" s="5"/>
      <c r="V381" s="5"/>
      <c r="W381" s="5"/>
      <c r="X381" s="8"/>
      <c r="Y381" s="9"/>
      <c r="Z381" s="10"/>
      <c r="AA381" s="10"/>
      <c r="AB381" s="8"/>
      <c r="AC381" s="10"/>
    </row>
    <row r="382" spans="1:29" s="4" customFormat="1" x14ac:dyDescent="0.3">
      <c r="A382" s="3"/>
      <c r="B382" s="39"/>
      <c r="C382" s="5"/>
      <c r="D382" s="5"/>
      <c r="E382" s="5"/>
      <c r="F382" s="5"/>
      <c r="G382" s="29"/>
      <c r="H382"/>
      <c r="I382" s="7"/>
      <c r="J382" s="7"/>
      <c r="K382" s="7"/>
      <c r="L382" s="8"/>
      <c r="M382" s="7"/>
      <c r="N382" s="7"/>
      <c r="O382" s="8"/>
      <c r="P382" s="6"/>
      <c r="Q382" s="5"/>
      <c r="R382" s="5"/>
      <c r="S382" s="5"/>
      <c r="T382" s="5"/>
      <c r="U382" s="5"/>
      <c r="V382" s="5"/>
      <c r="W382" s="5"/>
      <c r="X382" s="8"/>
      <c r="Y382" s="9"/>
      <c r="Z382" s="10"/>
      <c r="AA382" s="10"/>
      <c r="AB382" s="8"/>
      <c r="AC382" s="10"/>
    </row>
    <row r="383" spans="1:29" s="4" customFormat="1" x14ac:dyDescent="0.3">
      <c r="A383" s="3"/>
      <c r="B383" s="39"/>
      <c r="C383" s="5"/>
      <c r="D383" s="5"/>
      <c r="E383" s="5"/>
      <c r="F383" s="5"/>
      <c r="G383" s="29"/>
      <c r="H383"/>
      <c r="I383" s="7"/>
      <c r="J383" s="7"/>
      <c r="K383" s="7"/>
      <c r="L383" s="8"/>
      <c r="M383" s="7"/>
      <c r="N383" s="7"/>
      <c r="O383" s="8"/>
      <c r="P383" s="6"/>
      <c r="Q383" s="5"/>
      <c r="R383" s="5"/>
      <c r="S383" s="5"/>
      <c r="T383" s="5"/>
      <c r="U383" s="5"/>
      <c r="V383" s="5"/>
      <c r="W383" s="5"/>
      <c r="X383" s="8"/>
      <c r="Y383" s="9"/>
      <c r="Z383" s="10"/>
      <c r="AA383" s="10"/>
      <c r="AB383" s="8"/>
      <c r="AC383" s="10"/>
    </row>
    <row r="384" spans="1:29" s="4" customFormat="1" x14ac:dyDescent="0.3">
      <c r="A384" s="3"/>
      <c r="B384" s="39"/>
      <c r="C384" s="5"/>
      <c r="D384" s="5"/>
      <c r="E384" s="5"/>
      <c r="F384" s="5"/>
      <c r="G384" s="29"/>
      <c r="H384"/>
      <c r="I384" s="7"/>
      <c r="J384" s="7"/>
      <c r="K384" s="7"/>
      <c r="L384" s="8"/>
      <c r="M384" s="7"/>
      <c r="N384" s="7"/>
      <c r="O384" s="8"/>
      <c r="P384" s="6"/>
      <c r="Q384" s="5"/>
      <c r="R384" s="5"/>
      <c r="S384" s="5"/>
      <c r="T384" s="5"/>
      <c r="U384" s="5"/>
      <c r="V384" s="5"/>
      <c r="W384" s="5"/>
      <c r="X384" s="8"/>
      <c r="Y384" s="9"/>
      <c r="Z384" s="10"/>
      <c r="AA384" s="10"/>
      <c r="AB384" s="8"/>
      <c r="AC384" s="10"/>
    </row>
    <row r="385" spans="1:29" s="4" customFormat="1" x14ac:dyDescent="0.3">
      <c r="A385" s="3"/>
      <c r="B385" s="39"/>
      <c r="C385" s="5"/>
      <c r="D385" s="5"/>
      <c r="E385" s="5"/>
      <c r="F385" s="5"/>
      <c r="G385" s="29"/>
      <c r="H385"/>
      <c r="I385" s="7"/>
      <c r="J385" s="7"/>
      <c r="K385" s="7"/>
      <c r="L385" s="8"/>
      <c r="M385" s="7"/>
      <c r="N385" s="7"/>
      <c r="O385" s="8"/>
      <c r="P385" s="6"/>
      <c r="Q385" s="5"/>
      <c r="R385" s="5"/>
      <c r="S385" s="5"/>
      <c r="T385" s="5"/>
      <c r="U385" s="5"/>
      <c r="V385" s="5"/>
      <c r="W385" s="5"/>
      <c r="X385" s="8"/>
      <c r="Y385" s="9"/>
      <c r="Z385" s="10"/>
      <c r="AA385" s="10"/>
      <c r="AB385" s="8"/>
      <c r="AC385" s="10"/>
    </row>
    <row r="386" spans="1:29" s="4" customFormat="1" x14ac:dyDescent="0.3">
      <c r="A386" s="3"/>
      <c r="B386" s="39"/>
      <c r="C386" s="5"/>
      <c r="D386" s="5"/>
      <c r="E386" s="5"/>
      <c r="F386" s="5"/>
      <c r="G386" s="29"/>
      <c r="H386"/>
      <c r="I386" s="7"/>
      <c r="J386" s="7"/>
      <c r="K386" s="7"/>
      <c r="L386" s="8"/>
      <c r="M386" s="7"/>
      <c r="N386" s="7"/>
      <c r="O386" s="8"/>
      <c r="P386" s="6"/>
      <c r="Q386" s="5"/>
      <c r="R386" s="5"/>
      <c r="S386" s="5"/>
      <c r="T386" s="5"/>
      <c r="U386" s="5"/>
      <c r="V386" s="5"/>
      <c r="W386" s="5"/>
      <c r="X386" s="8"/>
      <c r="Y386" s="9"/>
      <c r="Z386" s="10"/>
      <c r="AA386" s="10"/>
      <c r="AB386" s="8"/>
      <c r="AC386" s="10"/>
    </row>
    <row r="387" spans="1:29" s="4" customFormat="1" x14ac:dyDescent="0.3">
      <c r="A387" s="3"/>
      <c r="B387" s="39"/>
      <c r="C387" s="5"/>
      <c r="D387" s="5"/>
      <c r="E387" s="5"/>
      <c r="F387" s="5"/>
      <c r="G387" s="29"/>
      <c r="H387"/>
      <c r="I387" s="7"/>
      <c r="J387" s="7"/>
      <c r="K387" s="7"/>
      <c r="L387" s="8"/>
      <c r="M387" s="7"/>
      <c r="N387" s="7"/>
      <c r="O387" s="8"/>
      <c r="P387" s="6"/>
      <c r="Q387" s="5"/>
      <c r="R387" s="5"/>
      <c r="S387" s="5"/>
      <c r="T387" s="5"/>
      <c r="U387" s="5"/>
      <c r="V387" s="5"/>
      <c r="W387" s="5"/>
      <c r="X387" s="8"/>
      <c r="Y387" s="9"/>
      <c r="Z387" s="10"/>
      <c r="AA387" s="10"/>
      <c r="AB387" s="8"/>
      <c r="AC387" s="10"/>
    </row>
    <row r="388" spans="1:29" s="4" customFormat="1" x14ac:dyDescent="0.3">
      <c r="A388" s="3"/>
      <c r="B388" s="39"/>
      <c r="C388" s="5"/>
      <c r="D388" s="5"/>
      <c r="E388" s="5"/>
      <c r="F388" s="5"/>
      <c r="G388" s="29"/>
      <c r="H388"/>
      <c r="I388" s="7"/>
      <c r="J388" s="7"/>
      <c r="K388" s="7"/>
      <c r="L388" s="8"/>
      <c r="M388" s="7"/>
      <c r="N388" s="7"/>
      <c r="O388" s="8"/>
      <c r="P388" s="6"/>
      <c r="Q388" s="5"/>
      <c r="R388" s="5"/>
      <c r="S388" s="5"/>
      <c r="T388" s="5"/>
      <c r="U388" s="5"/>
      <c r="V388" s="5"/>
      <c r="W388" s="5"/>
      <c r="X388" s="8"/>
      <c r="Y388" s="9"/>
      <c r="Z388" s="10"/>
      <c r="AA388" s="10"/>
      <c r="AB388" s="8"/>
      <c r="AC388" s="10"/>
    </row>
    <row r="389" spans="1:29" s="4" customFormat="1" x14ac:dyDescent="0.3">
      <c r="A389" s="3"/>
      <c r="B389" s="39"/>
      <c r="C389" s="5"/>
      <c r="D389" s="5"/>
      <c r="E389" s="5"/>
      <c r="F389" s="5"/>
      <c r="G389" s="29"/>
      <c r="H389"/>
      <c r="I389" s="7"/>
      <c r="J389" s="7"/>
      <c r="K389" s="7"/>
      <c r="L389" s="8"/>
      <c r="M389" s="7"/>
      <c r="N389" s="7"/>
      <c r="O389" s="8"/>
      <c r="P389" s="6"/>
      <c r="Q389" s="5"/>
      <c r="R389" s="5"/>
      <c r="S389" s="5"/>
      <c r="T389" s="5"/>
      <c r="U389" s="5"/>
      <c r="V389" s="5"/>
      <c r="W389" s="5"/>
      <c r="X389" s="8"/>
      <c r="Y389" s="9"/>
      <c r="Z389" s="10"/>
      <c r="AA389" s="10"/>
      <c r="AB389" s="8"/>
      <c r="AC389" s="10"/>
    </row>
    <row r="390" spans="1:29" s="4" customFormat="1" x14ac:dyDescent="0.3">
      <c r="A390" s="3"/>
      <c r="B390" s="39"/>
      <c r="C390" s="5"/>
      <c r="D390" s="5"/>
      <c r="E390" s="5"/>
      <c r="F390" s="5"/>
      <c r="G390" s="29"/>
      <c r="H390"/>
      <c r="I390" s="7"/>
      <c r="J390" s="7"/>
      <c r="K390" s="7"/>
      <c r="L390" s="8"/>
      <c r="M390" s="7"/>
      <c r="N390" s="7"/>
      <c r="O390" s="8"/>
      <c r="P390" s="6"/>
      <c r="Q390" s="5"/>
      <c r="R390" s="5"/>
      <c r="S390" s="5"/>
      <c r="T390" s="5"/>
      <c r="U390" s="5"/>
      <c r="V390" s="5"/>
      <c r="W390" s="5"/>
      <c r="X390" s="8"/>
      <c r="Y390" s="9"/>
      <c r="Z390" s="10"/>
      <c r="AA390" s="10"/>
      <c r="AB390" s="8"/>
      <c r="AC390" s="10"/>
    </row>
    <row r="391" spans="1:29" s="4" customFormat="1" x14ac:dyDescent="0.3">
      <c r="A391" s="3"/>
      <c r="B391" s="39"/>
      <c r="C391" s="5"/>
      <c r="D391" s="5"/>
      <c r="E391" s="5"/>
      <c r="F391" s="5"/>
      <c r="G391" s="29"/>
      <c r="H391"/>
      <c r="I391" s="7"/>
      <c r="J391" s="7"/>
      <c r="K391" s="7"/>
      <c r="L391" s="8"/>
      <c r="M391" s="7"/>
      <c r="N391" s="7"/>
      <c r="O391" s="8"/>
      <c r="P391" s="6"/>
      <c r="Q391" s="5"/>
      <c r="R391" s="5"/>
      <c r="S391" s="5"/>
      <c r="T391" s="5"/>
      <c r="U391" s="5"/>
      <c r="V391" s="5"/>
      <c r="W391" s="5"/>
      <c r="X391" s="8"/>
      <c r="Y391" s="9"/>
      <c r="Z391" s="10"/>
      <c r="AA391" s="10"/>
      <c r="AB391" s="8"/>
      <c r="AC391" s="10"/>
    </row>
    <row r="392" spans="1:29" s="4" customFormat="1" x14ac:dyDescent="0.3">
      <c r="A392" s="3"/>
      <c r="B392" s="39"/>
      <c r="C392" s="5"/>
      <c r="D392" s="5"/>
      <c r="E392" s="5"/>
      <c r="F392" s="5"/>
      <c r="G392" s="29"/>
      <c r="H392"/>
      <c r="I392" s="7"/>
      <c r="J392" s="7"/>
      <c r="K392" s="7"/>
      <c r="L392" s="8"/>
      <c r="M392" s="7"/>
      <c r="N392" s="7"/>
      <c r="O392" s="8"/>
      <c r="P392" s="6"/>
      <c r="Q392" s="5"/>
      <c r="R392" s="5"/>
      <c r="S392" s="5"/>
      <c r="T392" s="5"/>
      <c r="U392" s="5"/>
      <c r="V392" s="5"/>
      <c r="W392" s="5"/>
      <c r="X392" s="8"/>
      <c r="Y392" s="9"/>
      <c r="Z392" s="10"/>
      <c r="AA392" s="10"/>
      <c r="AB392" s="8"/>
      <c r="AC392" s="10"/>
    </row>
    <row r="393" spans="1:29" s="4" customFormat="1" x14ac:dyDescent="0.3">
      <c r="A393" s="3"/>
      <c r="B393" s="39"/>
      <c r="C393" s="5"/>
      <c r="D393" s="5"/>
      <c r="E393" s="5"/>
      <c r="F393" s="5"/>
      <c r="G393" s="29"/>
      <c r="H393"/>
      <c r="I393" s="7"/>
      <c r="J393" s="7"/>
      <c r="K393" s="7"/>
      <c r="L393" s="8"/>
      <c r="M393" s="7"/>
      <c r="N393" s="7"/>
      <c r="O393" s="8"/>
      <c r="P393" s="6"/>
      <c r="Q393" s="5"/>
      <c r="R393" s="5"/>
      <c r="S393" s="5"/>
      <c r="T393" s="5"/>
      <c r="U393" s="5"/>
      <c r="V393" s="5"/>
      <c r="W393" s="5"/>
      <c r="X393" s="8"/>
      <c r="Y393" s="9"/>
      <c r="Z393" s="10"/>
      <c r="AA393" s="10"/>
      <c r="AB393" s="8"/>
      <c r="AC393" s="10"/>
    </row>
    <row r="394" spans="1:29" s="4" customFormat="1" x14ac:dyDescent="0.3">
      <c r="A394" s="3"/>
      <c r="B394" s="39"/>
      <c r="C394" s="5"/>
      <c r="D394" s="5"/>
      <c r="E394" s="5"/>
      <c r="F394" s="5"/>
      <c r="G394" s="29"/>
      <c r="H394"/>
      <c r="I394" s="7"/>
      <c r="J394" s="7"/>
      <c r="K394" s="7"/>
      <c r="L394" s="8"/>
      <c r="M394" s="7"/>
      <c r="N394" s="7"/>
      <c r="O394" s="8"/>
      <c r="P394" s="6"/>
      <c r="Q394" s="5"/>
      <c r="R394" s="5"/>
      <c r="S394" s="5"/>
      <c r="T394" s="5"/>
      <c r="U394" s="5"/>
      <c r="V394" s="5"/>
      <c r="W394" s="5"/>
      <c r="X394" s="8"/>
      <c r="Y394" s="9"/>
      <c r="Z394" s="10"/>
      <c r="AA394" s="10"/>
      <c r="AB394" s="8"/>
      <c r="AC394" s="10"/>
    </row>
    <row r="395" spans="1:29" s="4" customFormat="1" x14ac:dyDescent="0.3">
      <c r="A395" s="3"/>
      <c r="B395" s="39"/>
      <c r="C395" s="5"/>
      <c r="D395" s="5"/>
      <c r="E395" s="5"/>
      <c r="F395" s="5"/>
      <c r="G395" s="29"/>
      <c r="H395"/>
      <c r="I395" s="7"/>
      <c r="J395" s="7"/>
      <c r="K395" s="7"/>
      <c r="L395" s="8"/>
      <c r="M395" s="7"/>
      <c r="N395" s="7"/>
      <c r="O395" s="8"/>
      <c r="P395" s="6"/>
      <c r="Q395" s="5"/>
      <c r="R395" s="5"/>
      <c r="S395" s="5"/>
      <c r="T395" s="5"/>
      <c r="U395" s="5"/>
      <c r="V395" s="5"/>
      <c r="W395" s="5"/>
      <c r="X395" s="8"/>
      <c r="Y395" s="9"/>
      <c r="Z395" s="10"/>
      <c r="AA395" s="10"/>
      <c r="AB395" s="8"/>
      <c r="AC395" s="10"/>
    </row>
    <row r="396" spans="1:29" s="4" customFormat="1" x14ac:dyDescent="0.3">
      <c r="A396" s="3"/>
      <c r="B396" s="39"/>
      <c r="C396" s="5"/>
      <c r="D396" s="5"/>
      <c r="E396" s="5"/>
      <c r="F396" s="5"/>
      <c r="G396" s="29"/>
      <c r="H396"/>
      <c r="I396" s="7"/>
      <c r="J396" s="7"/>
      <c r="K396" s="7"/>
      <c r="L396" s="8"/>
      <c r="M396" s="7"/>
      <c r="N396" s="7"/>
      <c r="O396" s="8"/>
      <c r="P396" s="6"/>
      <c r="Q396" s="5"/>
      <c r="R396" s="5"/>
      <c r="S396" s="5"/>
      <c r="T396" s="5"/>
      <c r="U396" s="5"/>
      <c r="V396" s="5"/>
      <c r="W396" s="5"/>
      <c r="X396" s="8"/>
      <c r="Y396" s="9"/>
      <c r="Z396" s="10"/>
      <c r="AA396" s="10"/>
      <c r="AB396" s="8"/>
      <c r="AC396" s="10"/>
    </row>
    <row r="397" spans="1:29" s="4" customFormat="1" x14ac:dyDescent="0.3">
      <c r="A397" s="3"/>
      <c r="B397" s="39"/>
      <c r="C397" s="5"/>
      <c r="D397" s="5"/>
      <c r="E397" s="5"/>
      <c r="F397" s="5"/>
      <c r="G397" s="29"/>
      <c r="H397"/>
      <c r="I397" s="7"/>
      <c r="J397" s="7"/>
      <c r="K397" s="7"/>
      <c r="L397" s="8"/>
      <c r="M397" s="7"/>
      <c r="N397" s="7"/>
      <c r="O397" s="8"/>
      <c r="P397" s="6"/>
      <c r="Q397" s="5"/>
      <c r="R397" s="5"/>
      <c r="S397" s="5"/>
      <c r="T397" s="5"/>
      <c r="U397" s="5"/>
      <c r="V397" s="5"/>
      <c r="W397" s="5"/>
      <c r="X397" s="8"/>
      <c r="Y397" s="9"/>
      <c r="Z397" s="10"/>
      <c r="AA397" s="10"/>
      <c r="AB397" s="8"/>
      <c r="AC397" s="10"/>
    </row>
    <row r="398" spans="1:29" s="4" customFormat="1" x14ac:dyDescent="0.3">
      <c r="A398" s="3"/>
      <c r="B398" s="39"/>
      <c r="C398" s="5"/>
      <c r="D398" s="5"/>
      <c r="E398" s="5"/>
      <c r="F398" s="5"/>
      <c r="G398" s="29"/>
      <c r="H398"/>
      <c r="I398" s="7"/>
      <c r="J398" s="7"/>
      <c r="K398" s="7"/>
      <c r="L398" s="8"/>
      <c r="M398" s="7"/>
      <c r="N398" s="7"/>
      <c r="O398" s="8"/>
      <c r="P398" s="6"/>
      <c r="Q398" s="5"/>
      <c r="R398" s="5"/>
      <c r="S398" s="5"/>
      <c r="T398" s="5"/>
      <c r="U398" s="5"/>
      <c r="V398" s="5"/>
      <c r="W398" s="5"/>
      <c r="X398" s="8"/>
      <c r="Y398" s="9"/>
      <c r="Z398" s="10"/>
      <c r="AA398" s="10"/>
      <c r="AB398" s="8"/>
      <c r="AC398" s="10"/>
    </row>
    <row r="399" spans="1:29" s="4" customFormat="1" x14ac:dyDescent="0.3">
      <c r="A399" s="3"/>
      <c r="B399" s="39"/>
      <c r="C399" s="5"/>
      <c r="D399" s="5"/>
      <c r="E399" s="5"/>
      <c r="F399" s="5"/>
      <c r="G399" s="29"/>
      <c r="H399"/>
      <c r="I399" s="7"/>
      <c r="J399" s="7"/>
      <c r="K399" s="7"/>
      <c r="L399" s="8"/>
      <c r="M399" s="7"/>
      <c r="N399" s="7"/>
      <c r="O399" s="8"/>
      <c r="P399" s="6"/>
      <c r="Q399" s="5"/>
      <c r="R399" s="5"/>
      <c r="S399" s="5"/>
      <c r="T399" s="5"/>
      <c r="U399" s="5"/>
      <c r="V399" s="5"/>
      <c r="W399" s="5"/>
      <c r="X399" s="8"/>
      <c r="Y399" s="9"/>
      <c r="Z399" s="10"/>
      <c r="AA399" s="10"/>
      <c r="AB399" s="8"/>
      <c r="AC399" s="10"/>
    </row>
    <row r="400" spans="1:29" s="4" customFormat="1" x14ac:dyDescent="0.3">
      <c r="A400" s="3"/>
      <c r="B400" s="39"/>
      <c r="C400" s="5"/>
      <c r="D400" s="5"/>
      <c r="E400" s="5"/>
      <c r="F400" s="5"/>
      <c r="G400" s="29"/>
      <c r="H400"/>
      <c r="I400" s="7"/>
      <c r="J400" s="7"/>
      <c r="K400" s="7"/>
      <c r="L400" s="8"/>
      <c r="M400" s="7"/>
      <c r="N400" s="7"/>
      <c r="O400" s="8"/>
      <c r="P400" s="6"/>
      <c r="Q400" s="5"/>
      <c r="R400" s="5"/>
      <c r="S400" s="5"/>
      <c r="T400" s="5"/>
      <c r="U400" s="5"/>
      <c r="V400" s="5"/>
      <c r="W400" s="5"/>
      <c r="X400" s="8"/>
      <c r="Y400" s="9"/>
      <c r="Z400" s="10"/>
      <c r="AA400" s="10"/>
      <c r="AB400" s="8"/>
      <c r="AC400" s="10"/>
    </row>
    <row r="401" spans="1:29" s="4" customFormat="1" x14ac:dyDescent="0.3">
      <c r="A401" s="3"/>
      <c r="B401" s="39"/>
      <c r="C401" s="5"/>
      <c r="D401" s="5"/>
      <c r="E401" s="5"/>
      <c r="F401" s="5"/>
      <c r="G401" s="29"/>
      <c r="H401"/>
      <c r="I401" s="7"/>
      <c r="J401" s="7"/>
      <c r="K401" s="7"/>
      <c r="L401" s="8"/>
      <c r="M401" s="7"/>
      <c r="N401" s="7"/>
      <c r="O401" s="8"/>
      <c r="P401" s="6"/>
      <c r="Q401" s="5"/>
      <c r="R401" s="5"/>
      <c r="S401" s="5"/>
      <c r="T401" s="5"/>
      <c r="U401" s="5"/>
      <c r="V401" s="5"/>
      <c r="W401" s="5"/>
      <c r="X401" s="8"/>
      <c r="Y401" s="9"/>
      <c r="Z401" s="10"/>
      <c r="AA401" s="10"/>
      <c r="AB401" s="8"/>
      <c r="AC401" s="10"/>
    </row>
    <row r="402" spans="1:29" s="4" customFormat="1" x14ac:dyDescent="0.3">
      <c r="A402" s="3"/>
      <c r="B402" s="39"/>
      <c r="C402" s="5"/>
      <c r="D402" s="5"/>
      <c r="E402" s="5"/>
      <c r="F402" s="5"/>
      <c r="G402" s="29"/>
      <c r="H402"/>
      <c r="I402" s="7"/>
      <c r="J402" s="7"/>
      <c r="K402" s="7"/>
      <c r="L402" s="8"/>
      <c r="M402" s="7"/>
      <c r="N402" s="7"/>
      <c r="O402" s="8"/>
      <c r="P402" s="6"/>
      <c r="Q402" s="5"/>
      <c r="R402" s="5"/>
      <c r="S402" s="5"/>
      <c r="T402" s="5"/>
      <c r="U402" s="5"/>
      <c r="V402" s="5"/>
      <c r="W402" s="5"/>
      <c r="X402" s="8"/>
      <c r="Y402" s="9"/>
      <c r="Z402" s="10"/>
      <c r="AA402" s="10"/>
      <c r="AB402" s="8"/>
      <c r="AC402" s="10"/>
    </row>
    <row r="403" spans="1:29" s="4" customFormat="1" x14ac:dyDescent="0.3">
      <c r="A403" s="3"/>
      <c r="B403" s="39"/>
      <c r="C403" s="5"/>
      <c r="D403" s="5"/>
      <c r="E403" s="5"/>
      <c r="F403" s="5"/>
      <c r="G403" s="29"/>
      <c r="H403"/>
      <c r="I403" s="7"/>
      <c r="J403" s="7"/>
      <c r="K403" s="7"/>
      <c r="L403" s="8"/>
      <c r="M403" s="7"/>
      <c r="N403" s="7"/>
      <c r="O403" s="8"/>
      <c r="P403" s="6"/>
      <c r="Q403" s="5"/>
      <c r="R403" s="5"/>
      <c r="S403" s="5"/>
      <c r="T403" s="5"/>
      <c r="U403" s="5"/>
      <c r="V403" s="5"/>
      <c r="W403" s="5"/>
      <c r="X403" s="8"/>
      <c r="Y403" s="9"/>
      <c r="Z403" s="10"/>
      <c r="AA403" s="10"/>
      <c r="AB403" s="8"/>
      <c r="AC403" s="10"/>
    </row>
    <row r="404" spans="1:29" s="4" customFormat="1" x14ac:dyDescent="0.3">
      <c r="A404" s="3"/>
      <c r="B404" s="39"/>
      <c r="C404" s="5"/>
      <c r="D404" s="5"/>
      <c r="E404" s="5"/>
      <c r="F404" s="5"/>
      <c r="G404" s="29"/>
      <c r="H404"/>
      <c r="I404" s="7"/>
      <c r="J404" s="7"/>
      <c r="K404" s="7"/>
      <c r="L404" s="8"/>
      <c r="M404" s="7"/>
      <c r="N404" s="7"/>
      <c r="O404" s="8"/>
      <c r="P404" s="6"/>
      <c r="Q404" s="5"/>
      <c r="R404" s="5"/>
      <c r="S404" s="5"/>
      <c r="T404" s="5"/>
      <c r="U404" s="5"/>
      <c r="V404" s="5"/>
      <c r="W404" s="5"/>
      <c r="X404" s="8"/>
      <c r="Y404" s="9"/>
      <c r="Z404" s="10"/>
      <c r="AA404" s="10"/>
      <c r="AB404" s="8"/>
      <c r="AC404" s="10"/>
    </row>
    <row r="405" spans="1:29" s="4" customFormat="1" x14ac:dyDescent="0.3">
      <c r="A405" s="3"/>
      <c r="B405" s="39"/>
      <c r="C405" s="5"/>
      <c r="D405" s="5"/>
      <c r="E405" s="5"/>
      <c r="F405" s="5"/>
      <c r="G405" s="29"/>
      <c r="H405"/>
      <c r="I405" s="7"/>
      <c r="J405" s="7"/>
      <c r="K405" s="7"/>
      <c r="L405" s="8"/>
      <c r="M405" s="7"/>
      <c r="N405" s="7"/>
      <c r="O405" s="8"/>
      <c r="P405" s="6"/>
      <c r="Q405" s="5"/>
      <c r="R405" s="5"/>
      <c r="S405" s="5"/>
      <c r="T405" s="5"/>
      <c r="U405" s="5"/>
      <c r="V405" s="5"/>
      <c r="W405" s="5"/>
      <c r="X405" s="8"/>
      <c r="Y405" s="9"/>
      <c r="Z405" s="10"/>
      <c r="AA405" s="10"/>
      <c r="AB405" s="8"/>
      <c r="AC405" s="10"/>
    </row>
    <row r="406" spans="1:29" s="4" customFormat="1" x14ac:dyDescent="0.3">
      <c r="A406" s="3"/>
      <c r="B406" s="39"/>
      <c r="C406" s="5"/>
      <c r="D406" s="5"/>
      <c r="E406" s="5"/>
      <c r="F406" s="5"/>
      <c r="G406" s="29"/>
      <c r="H406"/>
      <c r="I406" s="7"/>
      <c r="J406" s="7"/>
      <c r="K406" s="7"/>
      <c r="L406" s="8"/>
      <c r="M406" s="7"/>
      <c r="N406" s="7"/>
      <c r="O406" s="8"/>
      <c r="P406" s="6"/>
      <c r="Q406" s="5"/>
      <c r="R406" s="5"/>
      <c r="S406" s="5"/>
      <c r="T406" s="5"/>
      <c r="U406" s="5"/>
      <c r="V406" s="5"/>
      <c r="W406" s="5"/>
      <c r="X406" s="8"/>
      <c r="Y406" s="9"/>
      <c r="Z406" s="10"/>
      <c r="AA406" s="10"/>
      <c r="AB406" s="8"/>
      <c r="AC406" s="10"/>
    </row>
    <row r="407" spans="1:29" s="4" customFormat="1" x14ac:dyDescent="0.3">
      <c r="A407" s="3"/>
      <c r="B407" s="39"/>
      <c r="C407" s="5"/>
      <c r="D407" s="5"/>
      <c r="E407" s="5"/>
      <c r="F407" s="5"/>
      <c r="G407" s="29"/>
      <c r="H407"/>
      <c r="I407" s="7"/>
      <c r="J407" s="7"/>
      <c r="K407" s="7"/>
      <c r="L407" s="8"/>
      <c r="M407" s="7"/>
      <c r="N407" s="7"/>
      <c r="O407" s="8"/>
      <c r="P407" s="6"/>
      <c r="Q407" s="5"/>
      <c r="R407" s="5"/>
      <c r="S407" s="5"/>
      <c r="T407" s="5"/>
      <c r="U407" s="5"/>
      <c r="V407" s="5"/>
      <c r="W407" s="5"/>
      <c r="X407" s="8"/>
      <c r="Y407" s="9"/>
      <c r="Z407" s="10"/>
      <c r="AA407" s="10"/>
      <c r="AB407" s="8"/>
      <c r="AC407" s="10"/>
    </row>
    <row r="408" spans="1:29" s="4" customFormat="1" x14ac:dyDescent="0.3">
      <c r="A408" s="3"/>
      <c r="B408" s="39"/>
      <c r="C408" s="5"/>
      <c r="D408" s="5"/>
      <c r="E408" s="5"/>
      <c r="F408" s="5"/>
      <c r="G408" s="29"/>
      <c r="H408"/>
      <c r="I408" s="7"/>
      <c r="J408" s="7"/>
      <c r="K408" s="7"/>
      <c r="L408" s="8"/>
      <c r="M408" s="7"/>
      <c r="N408" s="7"/>
      <c r="O408" s="8"/>
      <c r="P408" s="6"/>
      <c r="Q408" s="5"/>
      <c r="R408" s="5"/>
      <c r="S408" s="5"/>
      <c r="T408" s="5"/>
      <c r="U408" s="5"/>
      <c r="V408" s="5"/>
      <c r="W408" s="5"/>
      <c r="X408" s="8"/>
      <c r="Y408" s="9"/>
      <c r="Z408" s="10"/>
      <c r="AA408" s="10"/>
      <c r="AB408" s="8"/>
      <c r="AC408" s="10"/>
    </row>
    <row r="409" spans="1:29" s="4" customFormat="1" x14ac:dyDescent="0.3">
      <c r="A409" s="3"/>
      <c r="B409" s="39"/>
      <c r="C409" s="5"/>
      <c r="D409" s="5"/>
      <c r="E409" s="5"/>
      <c r="F409" s="5"/>
      <c r="G409" s="29"/>
      <c r="H409"/>
      <c r="I409" s="7"/>
      <c r="J409" s="7"/>
      <c r="K409" s="7"/>
      <c r="L409" s="8"/>
      <c r="M409" s="7"/>
      <c r="N409" s="7"/>
      <c r="O409" s="8"/>
      <c r="P409" s="6"/>
      <c r="Q409" s="5"/>
      <c r="R409" s="5"/>
      <c r="S409" s="5"/>
      <c r="T409" s="5"/>
      <c r="U409" s="5"/>
      <c r="V409" s="5"/>
      <c r="W409" s="5"/>
      <c r="X409" s="8"/>
      <c r="Y409" s="9"/>
      <c r="Z409" s="10"/>
      <c r="AA409" s="10"/>
      <c r="AB409" s="8"/>
      <c r="AC409" s="10"/>
    </row>
    <row r="410" spans="1:29" s="4" customFormat="1" x14ac:dyDescent="0.3">
      <c r="A410" s="3"/>
      <c r="B410" s="39"/>
      <c r="C410" s="5"/>
      <c r="D410" s="5"/>
      <c r="E410" s="5"/>
      <c r="F410" s="5"/>
      <c r="G410" s="29"/>
      <c r="H410"/>
      <c r="I410" s="7"/>
      <c r="J410" s="7"/>
      <c r="K410" s="7"/>
      <c r="L410" s="8"/>
      <c r="M410" s="7"/>
      <c r="N410" s="7"/>
      <c r="O410" s="8"/>
      <c r="P410" s="6"/>
      <c r="Q410" s="5"/>
      <c r="R410" s="5"/>
      <c r="S410" s="5"/>
      <c r="T410" s="5"/>
      <c r="U410" s="5"/>
      <c r="V410" s="5"/>
      <c r="W410" s="5"/>
      <c r="X410" s="8"/>
      <c r="Y410" s="9"/>
      <c r="Z410" s="10"/>
      <c r="AA410" s="10"/>
      <c r="AB410" s="8"/>
      <c r="AC410" s="10"/>
    </row>
    <row r="411" spans="1:29" s="4" customFormat="1" x14ac:dyDescent="0.3">
      <c r="A411" s="3"/>
      <c r="B411" s="39"/>
      <c r="C411" s="5"/>
      <c r="D411" s="5"/>
      <c r="E411" s="5"/>
      <c r="F411" s="5"/>
      <c r="G411" s="29"/>
      <c r="H411"/>
      <c r="I411" s="7"/>
      <c r="J411" s="7"/>
      <c r="K411" s="7"/>
      <c r="L411" s="8"/>
      <c r="M411" s="7"/>
      <c r="N411" s="7"/>
      <c r="O411" s="8"/>
      <c r="P411" s="6"/>
      <c r="Q411" s="5"/>
      <c r="R411" s="5"/>
      <c r="S411" s="5"/>
      <c r="T411" s="5"/>
      <c r="U411" s="5"/>
      <c r="V411" s="5"/>
      <c r="W411" s="5"/>
      <c r="X411" s="8"/>
      <c r="Y411" s="9"/>
      <c r="Z411" s="10"/>
      <c r="AA411" s="10"/>
      <c r="AB411" s="8"/>
      <c r="AC411" s="10"/>
    </row>
    <row r="412" spans="1:29" s="4" customFormat="1" x14ac:dyDescent="0.3">
      <c r="A412" s="3"/>
      <c r="B412" s="39"/>
      <c r="C412" s="5"/>
      <c r="D412" s="5"/>
      <c r="E412" s="5"/>
      <c r="F412" s="5"/>
      <c r="G412" s="29"/>
      <c r="H412"/>
      <c r="I412" s="7"/>
      <c r="J412" s="7"/>
      <c r="K412" s="7"/>
      <c r="L412" s="8"/>
      <c r="M412" s="7"/>
      <c r="N412" s="7"/>
      <c r="O412" s="8"/>
      <c r="P412" s="6"/>
      <c r="Q412" s="5"/>
      <c r="R412" s="5"/>
      <c r="S412" s="5"/>
      <c r="T412" s="5"/>
      <c r="U412" s="5"/>
      <c r="V412" s="5"/>
      <c r="W412" s="5"/>
      <c r="X412" s="8"/>
      <c r="Y412" s="9"/>
      <c r="Z412" s="10"/>
      <c r="AA412" s="10"/>
      <c r="AB412" s="8"/>
      <c r="AC412" s="10"/>
    </row>
    <row r="413" spans="1:29" s="4" customFormat="1" x14ac:dyDescent="0.3">
      <c r="A413" s="3"/>
      <c r="B413" s="39"/>
      <c r="C413" s="5"/>
      <c r="D413" s="5"/>
      <c r="E413" s="5"/>
      <c r="F413" s="5"/>
      <c r="G413" s="29"/>
      <c r="H413"/>
      <c r="I413" s="7"/>
      <c r="J413" s="7"/>
      <c r="K413" s="7"/>
      <c r="L413" s="8"/>
      <c r="M413" s="7"/>
      <c r="N413" s="7"/>
      <c r="O413" s="8"/>
      <c r="P413" s="6"/>
      <c r="Q413" s="5"/>
      <c r="R413" s="5"/>
      <c r="S413" s="5"/>
      <c r="T413" s="5"/>
      <c r="U413" s="5"/>
      <c r="V413" s="5"/>
      <c r="W413" s="5"/>
      <c r="X413" s="8"/>
      <c r="Y413" s="9"/>
      <c r="Z413" s="10"/>
      <c r="AA413" s="10"/>
      <c r="AB413" s="8"/>
      <c r="AC413" s="10"/>
    </row>
    <row r="414" spans="1:29" s="4" customFormat="1" x14ac:dyDescent="0.3">
      <c r="A414" s="3"/>
      <c r="B414" s="39"/>
      <c r="C414" s="5"/>
      <c r="D414" s="5"/>
      <c r="E414" s="5"/>
      <c r="F414" s="5"/>
      <c r="G414" s="29"/>
      <c r="H414"/>
      <c r="I414" s="7"/>
      <c r="J414" s="7"/>
      <c r="K414" s="7"/>
      <c r="L414" s="8"/>
      <c r="M414" s="7"/>
      <c r="N414" s="7"/>
      <c r="O414" s="8"/>
      <c r="P414" s="6"/>
      <c r="Q414" s="5"/>
      <c r="R414" s="5"/>
      <c r="S414" s="5"/>
      <c r="T414" s="5"/>
      <c r="U414" s="5"/>
      <c r="V414" s="5"/>
      <c r="W414" s="5"/>
      <c r="X414" s="8"/>
      <c r="Y414" s="9"/>
      <c r="Z414" s="10"/>
      <c r="AA414" s="10"/>
      <c r="AB414" s="8"/>
      <c r="AC414" s="10"/>
    </row>
    <row r="415" spans="1:29" s="4" customFormat="1" x14ac:dyDescent="0.3">
      <c r="A415" s="3"/>
      <c r="B415" s="39"/>
      <c r="C415" s="5"/>
      <c r="D415" s="5"/>
      <c r="E415" s="5"/>
      <c r="F415" s="5"/>
      <c r="G415" s="29"/>
      <c r="H415"/>
      <c r="I415" s="7"/>
      <c r="J415" s="7"/>
      <c r="K415" s="7"/>
      <c r="L415" s="8"/>
      <c r="M415" s="7"/>
      <c r="N415" s="7"/>
      <c r="O415" s="8"/>
      <c r="P415" s="6"/>
      <c r="Q415" s="5"/>
      <c r="R415" s="5"/>
      <c r="S415" s="5"/>
      <c r="T415" s="5"/>
      <c r="U415" s="5"/>
      <c r="V415" s="5"/>
      <c r="W415" s="5"/>
      <c r="X415" s="8"/>
      <c r="Y415" s="9"/>
      <c r="Z415" s="10"/>
      <c r="AA415" s="10"/>
      <c r="AB415" s="8"/>
      <c r="AC415" s="10"/>
    </row>
    <row r="416" spans="1:29" s="4" customFormat="1" x14ac:dyDescent="0.3">
      <c r="A416" s="3"/>
      <c r="B416" s="39"/>
      <c r="C416" s="5"/>
      <c r="D416" s="5"/>
      <c r="E416" s="5"/>
      <c r="F416" s="5"/>
      <c r="G416" s="29"/>
      <c r="H416"/>
      <c r="I416" s="7"/>
      <c r="J416" s="7"/>
      <c r="K416" s="7"/>
      <c r="L416" s="8"/>
      <c r="M416" s="7"/>
      <c r="N416" s="7"/>
      <c r="O416" s="8"/>
      <c r="P416" s="6"/>
      <c r="Q416" s="5"/>
      <c r="R416" s="5"/>
      <c r="S416" s="5"/>
      <c r="T416" s="5"/>
      <c r="U416" s="5"/>
      <c r="V416" s="5"/>
      <c r="W416" s="5"/>
      <c r="X416" s="8"/>
      <c r="Y416" s="9"/>
      <c r="Z416" s="10"/>
      <c r="AA416" s="10"/>
      <c r="AB416" s="8"/>
      <c r="AC416" s="10"/>
    </row>
    <row r="417" spans="1:29" s="4" customFormat="1" x14ac:dyDescent="0.3">
      <c r="A417" s="3"/>
      <c r="B417" s="39"/>
      <c r="C417" s="5"/>
      <c r="D417" s="5"/>
      <c r="E417" s="5"/>
      <c r="F417" s="5"/>
      <c r="G417" s="29"/>
      <c r="H417"/>
      <c r="I417" s="7"/>
      <c r="J417" s="7"/>
      <c r="K417" s="7"/>
      <c r="L417" s="8"/>
      <c r="M417" s="7"/>
      <c r="N417" s="7"/>
      <c r="O417" s="8"/>
      <c r="P417" s="6"/>
      <c r="Q417" s="5"/>
      <c r="R417" s="5"/>
      <c r="S417" s="5"/>
      <c r="T417" s="5"/>
      <c r="U417" s="5"/>
      <c r="V417" s="5"/>
      <c r="W417" s="5"/>
      <c r="X417" s="8"/>
      <c r="Y417" s="9"/>
      <c r="Z417" s="10"/>
      <c r="AA417" s="10"/>
      <c r="AB417" s="8"/>
      <c r="AC417" s="10"/>
    </row>
    <row r="418" spans="1:29" s="4" customFormat="1" x14ac:dyDescent="0.3">
      <c r="A418" s="3"/>
      <c r="B418" s="39"/>
      <c r="C418" s="5"/>
      <c r="D418" s="5"/>
      <c r="E418" s="5"/>
      <c r="F418" s="5"/>
      <c r="G418" s="29"/>
      <c r="H418"/>
      <c r="I418" s="7"/>
      <c r="J418" s="7"/>
      <c r="K418" s="7"/>
      <c r="L418" s="8"/>
      <c r="M418" s="7"/>
      <c r="N418" s="7"/>
      <c r="O418" s="8"/>
      <c r="P418" s="6"/>
      <c r="Q418" s="5"/>
      <c r="R418" s="5"/>
      <c r="S418" s="5"/>
      <c r="T418" s="5"/>
      <c r="U418" s="5"/>
      <c r="V418" s="5"/>
      <c r="W418" s="5"/>
      <c r="X418" s="8"/>
      <c r="Y418" s="9"/>
      <c r="Z418" s="10"/>
      <c r="AA418" s="10"/>
      <c r="AB418" s="8"/>
      <c r="AC418" s="10"/>
    </row>
    <row r="419" spans="1:29" s="4" customFormat="1" x14ac:dyDescent="0.3">
      <c r="A419" s="3"/>
      <c r="B419" s="39"/>
      <c r="C419" s="5"/>
      <c r="D419" s="5"/>
      <c r="E419" s="5"/>
      <c r="F419" s="5"/>
      <c r="G419" s="29"/>
      <c r="H419"/>
      <c r="I419" s="7"/>
      <c r="J419" s="7"/>
      <c r="K419" s="7"/>
      <c r="L419" s="8"/>
      <c r="M419" s="7"/>
      <c r="N419" s="7"/>
      <c r="O419" s="8"/>
      <c r="P419" s="6"/>
      <c r="Q419" s="5"/>
      <c r="R419" s="5"/>
      <c r="S419" s="5"/>
      <c r="T419" s="5"/>
      <c r="U419" s="5"/>
      <c r="V419" s="5"/>
      <c r="W419" s="5"/>
      <c r="X419" s="8"/>
      <c r="Y419" s="9"/>
      <c r="Z419" s="10"/>
      <c r="AA419" s="10"/>
      <c r="AB419" s="8"/>
      <c r="AC419" s="10"/>
    </row>
    <row r="420" spans="1:29" s="4" customFormat="1" x14ac:dyDescent="0.3">
      <c r="A420" s="3"/>
      <c r="B420" s="39"/>
      <c r="C420" s="5"/>
      <c r="D420" s="5"/>
      <c r="E420" s="5"/>
      <c r="F420" s="5"/>
      <c r="G420" s="29"/>
      <c r="H420"/>
      <c r="I420" s="7"/>
      <c r="J420" s="7"/>
      <c r="K420" s="7"/>
      <c r="L420" s="8"/>
      <c r="M420" s="7"/>
      <c r="N420" s="7"/>
      <c r="O420" s="8"/>
      <c r="P420" s="6"/>
      <c r="Q420" s="5"/>
      <c r="R420" s="5"/>
      <c r="S420" s="5"/>
      <c r="T420" s="5"/>
      <c r="U420" s="5"/>
      <c r="V420" s="5"/>
      <c r="W420" s="5"/>
      <c r="X420" s="8"/>
      <c r="Y420" s="9"/>
      <c r="Z420" s="10"/>
      <c r="AA420" s="10"/>
      <c r="AB420" s="8"/>
      <c r="AC420" s="10"/>
    </row>
    <row r="421" spans="1:29" s="4" customFormat="1" x14ac:dyDescent="0.3">
      <c r="A421" s="3"/>
      <c r="B421" s="39"/>
      <c r="C421" s="5"/>
      <c r="D421" s="5"/>
      <c r="E421" s="5"/>
      <c r="F421" s="5"/>
      <c r="G421" s="29"/>
      <c r="H421"/>
      <c r="I421" s="7"/>
      <c r="J421" s="7"/>
      <c r="K421" s="7"/>
      <c r="L421" s="8"/>
      <c r="M421" s="7"/>
      <c r="N421" s="7"/>
      <c r="O421" s="8"/>
      <c r="P421" s="6"/>
      <c r="Q421" s="5"/>
      <c r="R421" s="5"/>
      <c r="S421" s="5"/>
      <c r="T421" s="5"/>
      <c r="U421" s="5"/>
      <c r="V421" s="5"/>
      <c r="W421" s="5"/>
      <c r="X421" s="8"/>
      <c r="Y421" s="9"/>
      <c r="Z421" s="10"/>
      <c r="AA421" s="10"/>
      <c r="AB421" s="8"/>
      <c r="AC421" s="10"/>
    </row>
    <row r="422" spans="1:29" s="4" customFormat="1" x14ac:dyDescent="0.3">
      <c r="A422" s="3"/>
      <c r="B422" s="39"/>
      <c r="C422" s="5"/>
      <c r="D422" s="5"/>
      <c r="E422" s="5"/>
      <c r="F422" s="5"/>
      <c r="G422" s="29"/>
      <c r="H422"/>
      <c r="I422" s="7"/>
      <c r="J422" s="7"/>
      <c r="K422" s="7"/>
      <c r="L422" s="8"/>
      <c r="M422" s="7"/>
      <c r="N422" s="7"/>
      <c r="O422" s="8"/>
      <c r="P422" s="6"/>
      <c r="Q422" s="5"/>
      <c r="R422" s="5"/>
      <c r="S422" s="5"/>
      <c r="T422" s="5"/>
      <c r="U422" s="5"/>
      <c r="V422" s="5"/>
      <c r="W422" s="5"/>
      <c r="X422" s="8"/>
      <c r="Y422" s="9"/>
      <c r="Z422" s="10"/>
      <c r="AA422" s="10"/>
      <c r="AB422" s="8"/>
      <c r="AC422" s="10"/>
    </row>
    <row r="423" spans="1:29" s="4" customFormat="1" x14ac:dyDescent="0.3">
      <c r="A423" s="3"/>
      <c r="B423" s="39"/>
      <c r="C423" s="5"/>
      <c r="D423" s="5"/>
      <c r="E423" s="5"/>
      <c r="F423" s="5"/>
      <c r="G423" s="29"/>
      <c r="H423"/>
      <c r="I423" s="7"/>
      <c r="J423" s="7"/>
      <c r="K423" s="7"/>
      <c r="L423" s="8"/>
      <c r="M423" s="7"/>
      <c r="N423" s="7"/>
      <c r="O423" s="8"/>
      <c r="P423" s="6"/>
      <c r="Q423" s="5"/>
      <c r="R423" s="5"/>
      <c r="S423" s="5"/>
      <c r="T423" s="5"/>
      <c r="U423" s="5"/>
      <c r="V423" s="5"/>
      <c r="W423" s="5"/>
      <c r="X423" s="8"/>
      <c r="Y423" s="9"/>
      <c r="Z423" s="10"/>
      <c r="AA423" s="10"/>
      <c r="AB423" s="8"/>
      <c r="AC423" s="10"/>
    </row>
    <row r="424" spans="1:29" s="4" customFormat="1" x14ac:dyDescent="0.3">
      <c r="A424" s="3"/>
      <c r="B424" s="39"/>
      <c r="C424" s="5"/>
      <c r="D424" s="5"/>
      <c r="E424" s="5"/>
      <c r="F424" s="5"/>
      <c r="G424" s="29"/>
      <c r="H424"/>
      <c r="I424" s="7"/>
      <c r="J424" s="7"/>
      <c r="K424" s="7"/>
      <c r="L424" s="8"/>
      <c r="M424" s="7"/>
      <c r="N424" s="7"/>
      <c r="O424" s="8"/>
      <c r="P424" s="6"/>
      <c r="Q424" s="5"/>
      <c r="R424" s="5"/>
      <c r="S424" s="5"/>
      <c r="T424" s="5"/>
      <c r="U424" s="5"/>
      <c r="V424" s="5"/>
      <c r="W424" s="5"/>
      <c r="X424" s="8"/>
      <c r="Y424" s="9"/>
      <c r="Z424" s="10"/>
      <c r="AA424" s="10"/>
      <c r="AB424" s="8"/>
      <c r="AC424" s="10"/>
    </row>
    <row r="425" spans="1:29" s="4" customFormat="1" x14ac:dyDescent="0.3">
      <c r="A425" s="3"/>
      <c r="B425" s="39"/>
      <c r="C425" s="5"/>
      <c r="D425" s="5"/>
      <c r="E425" s="5"/>
      <c r="F425" s="5"/>
      <c r="G425" s="29"/>
      <c r="H425"/>
      <c r="I425" s="7"/>
      <c r="J425" s="7"/>
      <c r="K425" s="7"/>
      <c r="L425" s="8"/>
      <c r="M425" s="7"/>
      <c r="N425" s="7"/>
      <c r="O425" s="8"/>
      <c r="P425" s="6"/>
      <c r="Q425" s="5"/>
      <c r="R425" s="5"/>
      <c r="S425" s="5"/>
      <c r="T425" s="5"/>
      <c r="U425" s="5"/>
      <c r="V425" s="5"/>
      <c r="W425" s="5"/>
      <c r="X425" s="8"/>
      <c r="Y425" s="9"/>
      <c r="Z425" s="10"/>
      <c r="AA425" s="10"/>
      <c r="AB425" s="8"/>
      <c r="AC425" s="10"/>
    </row>
    <row r="426" spans="1:29" s="4" customFormat="1" x14ac:dyDescent="0.3">
      <c r="A426" s="3"/>
      <c r="B426" s="39"/>
      <c r="C426" s="5"/>
      <c r="D426" s="5"/>
      <c r="E426" s="5"/>
      <c r="F426" s="5"/>
      <c r="G426" s="29"/>
      <c r="H426"/>
      <c r="I426" s="7"/>
      <c r="J426" s="7"/>
      <c r="K426" s="7"/>
      <c r="L426" s="8"/>
      <c r="M426" s="7"/>
      <c r="N426" s="7"/>
      <c r="O426" s="8"/>
      <c r="P426" s="6"/>
      <c r="Q426" s="5"/>
      <c r="R426" s="5"/>
      <c r="S426" s="5"/>
      <c r="T426" s="5"/>
      <c r="U426" s="5"/>
      <c r="V426" s="5"/>
      <c r="W426" s="5"/>
      <c r="X426" s="8"/>
      <c r="Y426" s="9"/>
      <c r="Z426" s="10"/>
      <c r="AA426" s="10"/>
      <c r="AB426" s="8"/>
      <c r="AC426" s="10"/>
    </row>
    <row r="427" spans="1:29" s="4" customFormat="1" x14ac:dyDescent="0.3">
      <c r="A427" s="3"/>
      <c r="B427" s="39"/>
      <c r="C427" s="5"/>
      <c r="D427" s="5"/>
      <c r="E427" s="5"/>
      <c r="F427" s="5"/>
      <c r="G427" s="29"/>
      <c r="H427"/>
      <c r="I427" s="7"/>
      <c r="J427" s="7"/>
      <c r="K427" s="7"/>
      <c r="L427" s="8"/>
      <c r="M427" s="7"/>
      <c r="N427" s="7"/>
      <c r="O427" s="8"/>
      <c r="P427" s="6"/>
      <c r="Q427" s="5"/>
      <c r="R427" s="5"/>
      <c r="S427" s="5"/>
      <c r="T427" s="5"/>
      <c r="U427" s="5"/>
      <c r="V427" s="5"/>
      <c r="W427" s="5"/>
      <c r="X427" s="8"/>
      <c r="Y427" s="9"/>
      <c r="Z427" s="10"/>
      <c r="AA427" s="10"/>
      <c r="AB427" s="8"/>
      <c r="AC427" s="10"/>
    </row>
    <row r="428" spans="1:29" s="4" customFormat="1" x14ac:dyDescent="0.3">
      <c r="A428" s="3"/>
      <c r="B428" s="39"/>
      <c r="C428" s="5"/>
      <c r="D428" s="5"/>
      <c r="E428" s="5"/>
      <c r="F428" s="5"/>
      <c r="G428" s="29"/>
      <c r="H428"/>
      <c r="I428" s="7"/>
      <c r="J428" s="7"/>
      <c r="K428" s="7"/>
      <c r="L428" s="8"/>
      <c r="M428" s="7"/>
      <c r="N428" s="7"/>
      <c r="O428" s="8"/>
      <c r="P428" s="6"/>
      <c r="Q428" s="5"/>
      <c r="R428" s="5"/>
      <c r="S428" s="5"/>
      <c r="T428" s="5"/>
      <c r="U428" s="5"/>
      <c r="V428" s="5"/>
      <c r="W428" s="5"/>
      <c r="X428" s="8"/>
      <c r="Y428" s="9"/>
      <c r="Z428" s="10"/>
      <c r="AA428" s="10"/>
      <c r="AB428" s="8"/>
      <c r="AC428" s="10"/>
    </row>
    <row r="429" spans="1:29" s="4" customFormat="1" x14ac:dyDescent="0.3">
      <c r="A429" s="3"/>
      <c r="B429" s="39"/>
      <c r="C429" s="5"/>
      <c r="D429" s="5"/>
      <c r="E429" s="5"/>
      <c r="F429" s="5"/>
      <c r="G429" s="29"/>
      <c r="H429"/>
      <c r="I429" s="7"/>
      <c r="J429" s="7"/>
      <c r="K429" s="7"/>
      <c r="L429" s="8"/>
      <c r="M429" s="7"/>
      <c r="N429" s="7"/>
      <c r="O429" s="8"/>
      <c r="P429" s="6"/>
      <c r="Q429" s="5"/>
      <c r="R429" s="5"/>
      <c r="S429" s="5"/>
      <c r="T429" s="5"/>
      <c r="U429" s="5"/>
      <c r="V429" s="5"/>
      <c r="W429" s="5"/>
      <c r="X429" s="8"/>
      <c r="Y429" s="9"/>
      <c r="Z429" s="10"/>
      <c r="AA429" s="10"/>
      <c r="AB429" s="8"/>
      <c r="AC429" s="10"/>
    </row>
    <row r="430" spans="1:29" s="4" customFormat="1" x14ac:dyDescent="0.3">
      <c r="A430" s="3"/>
      <c r="B430" s="39"/>
      <c r="C430" s="5"/>
      <c r="D430" s="5"/>
      <c r="E430" s="5"/>
      <c r="F430" s="5"/>
      <c r="G430" s="29"/>
      <c r="H430"/>
      <c r="I430" s="7"/>
      <c r="J430" s="7"/>
      <c r="K430" s="7"/>
      <c r="L430" s="8"/>
      <c r="M430" s="7"/>
      <c r="N430" s="7"/>
      <c r="O430" s="8"/>
      <c r="P430" s="6"/>
      <c r="Q430" s="5"/>
      <c r="R430" s="5"/>
      <c r="S430" s="5"/>
      <c r="T430" s="5"/>
      <c r="U430" s="5"/>
      <c r="V430" s="5"/>
      <c r="W430" s="5"/>
      <c r="X430" s="8"/>
      <c r="Y430" s="9"/>
      <c r="Z430" s="10"/>
      <c r="AA430" s="10"/>
      <c r="AB430" s="8"/>
      <c r="AC430" s="10"/>
    </row>
    <row r="431" spans="1:29" s="4" customFormat="1" x14ac:dyDescent="0.3">
      <c r="A431" s="3"/>
      <c r="B431" s="39"/>
      <c r="C431" s="5"/>
      <c r="D431" s="5"/>
      <c r="E431" s="5"/>
      <c r="F431" s="5"/>
      <c r="G431" s="29"/>
      <c r="H431"/>
      <c r="I431" s="7"/>
      <c r="J431" s="7"/>
      <c r="K431" s="7"/>
      <c r="L431" s="8"/>
      <c r="M431" s="7"/>
      <c r="N431" s="7"/>
      <c r="O431" s="8"/>
      <c r="P431" s="6"/>
      <c r="Q431" s="5"/>
      <c r="R431" s="5"/>
      <c r="S431" s="5"/>
      <c r="T431" s="5"/>
      <c r="U431" s="5"/>
      <c r="V431" s="5"/>
      <c r="W431" s="5"/>
      <c r="X431" s="8"/>
      <c r="Y431" s="9"/>
      <c r="Z431" s="10"/>
      <c r="AA431" s="10"/>
      <c r="AB431" s="8"/>
      <c r="AC431" s="10"/>
    </row>
    <row r="432" spans="1:29" s="4" customFormat="1" x14ac:dyDescent="0.3">
      <c r="A432" s="3"/>
      <c r="B432" s="39"/>
      <c r="C432" s="5"/>
      <c r="D432" s="5"/>
      <c r="E432" s="5"/>
      <c r="F432" s="5"/>
      <c r="G432" s="29"/>
      <c r="H432"/>
      <c r="I432" s="7"/>
      <c r="J432" s="7"/>
      <c r="K432" s="7"/>
      <c r="L432" s="8"/>
      <c r="M432" s="7"/>
      <c r="N432" s="7"/>
      <c r="O432" s="8"/>
      <c r="P432" s="6"/>
      <c r="Q432" s="5"/>
      <c r="R432" s="5"/>
      <c r="S432" s="5"/>
      <c r="T432" s="5"/>
      <c r="U432" s="5"/>
      <c r="V432" s="5"/>
      <c r="W432" s="5"/>
      <c r="X432" s="8"/>
      <c r="Y432" s="9"/>
      <c r="Z432" s="10"/>
      <c r="AA432" s="10"/>
      <c r="AB432" s="8"/>
      <c r="AC432" s="10"/>
    </row>
    <row r="433" spans="1:29" s="4" customFormat="1" x14ac:dyDescent="0.3">
      <c r="A433" s="3"/>
      <c r="B433" s="39"/>
      <c r="C433" s="5"/>
      <c r="D433" s="5"/>
      <c r="E433" s="5"/>
      <c r="F433" s="5"/>
      <c r="G433" s="29"/>
      <c r="H433"/>
      <c r="I433" s="7"/>
      <c r="J433" s="7"/>
      <c r="K433" s="7"/>
      <c r="L433" s="8"/>
      <c r="M433" s="7"/>
      <c r="N433" s="7"/>
      <c r="O433" s="8"/>
      <c r="P433" s="6"/>
      <c r="Q433" s="5"/>
      <c r="R433" s="5"/>
      <c r="S433" s="5"/>
      <c r="T433" s="5"/>
      <c r="U433" s="5"/>
      <c r="V433" s="5"/>
      <c r="W433" s="5"/>
      <c r="X433" s="8"/>
      <c r="Y433" s="9"/>
      <c r="Z433" s="10"/>
      <c r="AA433" s="10"/>
      <c r="AB433" s="8"/>
      <c r="AC433" s="10"/>
    </row>
    <row r="434" spans="1:29" s="4" customFormat="1" x14ac:dyDescent="0.3">
      <c r="A434" s="3"/>
      <c r="B434" s="39"/>
      <c r="C434" s="5"/>
      <c r="D434" s="5"/>
      <c r="E434" s="5"/>
      <c r="F434" s="5"/>
      <c r="G434" s="29"/>
      <c r="H434"/>
      <c r="I434" s="7"/>
      <c r="J434" s="7"/>
      <c r="K434" s="7"/>
      <c r="L434" s="8"/>
      <c r="M434" s="7"/>
      <c r="N434" s="7"/>
      <c r="O434" s="8"/>
      <c r="P434" s="6"/>
      <c r="Q434" s="5"/>
      <c r="R434" s="5"/>
      <c r="S434" s="5"/>
      <c r="T434" s="5"/>
      <c r="U434" s="5"/>
      <c r="V434" s="5"/>
      <c r="W434" s="5"/>
      <c r="X434" s="8"/>
      <c r="Y434" s="9"/>
      <c r="Z434" s="10"/>
      <c r="AA434" s="10"/>
      <c r="AB434" s="8"/>
      <c r="AC434" s="10"/>
    </row>
    <row r="435" spans="1:29" s="4" customFormat="1" x14ac:dyDescent="0.3">
      <c r="A435" s="3"/>
      <c r="B435" s="39"/>
      <c r="C435" s="5"/>
      <c r="D435" s="5"/>
      <c r="E435" s="5"/>
      <c r="F435" s="5"/>
      <c r="G435" s="29"/>
      <c r="H435"/>
      <c r="I435" s="7"/>
      <c r="J435" s="7"/>
      <c r="K435" s="7"/>
      <c r="L435" s="8"/>
      <c r="M435" s="7"/>
      <c r="N435" s="7"/>
      <c r="O435" s="8"/>
      <c r="P435" s="6"/>
      <c r="Q435" s="5"/>
      <c r="R435" s="5"/>
      <c r="S435" s="5"/>
      <c r="T435" s="5"/>
      <c r="U435" s="5"/>
      <c r="V435" s="5"/>
      <c r="W435" s="5"/>
      <c r="X435" s="8"/>
      <c r="Y435" s="9"/>
      <c r="Z435" s="10"/>
      <c r="AA435" s="10"/>
      <c r="AB435" s="8"/>
      <c r="AC435" s="10"/>
    </row>
    <row r="436" spans="1:29" s="4" customFormat="1" x14ac:dyDescent="0.3">
      <c r="A436" s="3"/>
      <c r="B436" s="39"/>
      <c r="C436" s="5"/>
      <c r="D436" s="5"/>
      <c r="E436" s="5"/>
      <c r="F436" s="5"/>
      <c r="G436" s="29"/>
      <c r="H436"/>
      <c r="I436" s="7"/>
      <c r="J436" s="7"/>
      <c r="K436" s="7"/>
      <c r="L436" s="8"/>
      <c r="M436" s="7"/>
      <c r="N436" s="7"/>
      <c r="O436" s="8"/>
      <c r="P436" s="6"/>
      <c r="Q436" s="5"/>
      <c r="R436" s="5"/>
      <c r="S436" s="5"/>
      <c r="T436" s="5"/>
      <c r="U436" s="5"/>
      <c r="V436" s="5"/>
      <c r="W436" s="5"/>
      <c r="X436" s="8"/>
      <c r="Y436" s="9"/>
      <c r="Z436" s="10"/>
      <c r="AA436" s="10"/>
      <c r="AB436" s="8"/>
      <c r="AC436" s="10"/>
    </row>
    <row r="437" spans="1:29" s="4" customFormat="1" x14ac:dyDescent="0.3">
      <c r="A437" s="3"/>
      <c r="B437" s="39"/>
      <c r="C437" s="5"/>
      <c r="D437" s="5"/>
      <c r="E437" s="5"/>
      <c r="F437" s="5"/>
      <c r="G437" s="29"/>
      <c r="H437"/>
      <c r="I437" s="7"/>
      <c r="J437" s="7"/>
      <c r="K437" s="7"/>
      <c r="L437" s="8"/>
      <c r="M437" s="7"/>
      <c r="N437" s="7"/>
      <c r="O437" s="8"/>
      <c r="P437" s="6"/>
      <c r="Q437" s="5"/>
      <c r="R437" s="5"/>
      <c r="S437" s="5"/>
      <c r="T437" s="5"/>
      <c r="U437" s="5"/>
      <c r="V437" s="5"/>
      <c r="W437" s="5"/>
      <c r="X437" s="8"/>
      <c r="Y437" s="9"/>
      <c r="Z437" s="10"/>
      <c r="AA437" s="10"/>
      <c r="AB437" s="8"/>
      <c r="AC437" s="10"/>
    </row>
    <row r="438" spans="1:29" s="4" customFormat="1" x14ac:dyDescent="0.3">
      <c r="A438" s="3"/>
      <c r="B438" s="39"/>
      <c r="C438" s="5"/>
      <c r="D438" s="5"/>
      <c r="E438" s="5"/>
      <c r="F438" s="5"/>
      <c r="G438" s="29"/>
      <c r="H438"/>
      <c r="I438" s="7"/>
      <c r="J438" s="7"/>
      <c r="K438" s="7"/>
      <c r="L438" s="8"/>
      <c r="M438" s="7"/>
      <c r="N438" s="7"/>
      <c r="O438" s="8"/>
      <c r="P438" s="6"/>
      <c r="Q438" s="5"/>
      <c r="R438" s="5"/>
      <c r="S438" s="5"/>
      <c r="T438" s="5"/>
      <c r="U438" s="5"/>
      <c r="V438" s="5"/>
      <c r="W438" s="5"/>
      <c r="X438" s="8"/>
      <c r="Y438" s="9"/>
      <c r="Z438" s="10"/>
      <c r="AA438" s="10"/>
      <c r="AB438" s="8"/>
      <c r="AC438" s="10"/>
    </row>
    <row r="439" spans="1:29" s="4" customFormat="1" x14ac:dyDescent="0.3">
      <c r="A439" s="3"/>
      <c r="B439" s="39"/>
      <c r="C439" s="5"/>
      <c r="D439" s="5"/>
      <c r="E439" s="5"/>
      <c r="F439" s="5"/>
      <c r="G439" s="29"/>
      <c r="H439"/>
      <c r="I439" s="7"/>
      <c r="J439" s="7"/>
      <c r="K439" s="7"/>
      <c r="L439" s="8"/>
      <c r="M439" s="7"/>
      <c r="N439" s="7"/>
      <c r="O439" s="8"/>
      <c r="P439" s="6"/>
      <c r="Q439" s="5"/>
      <c r="R439" s="5"/>
      <c r="S439" s="5"/>
      <c r="T439" s="5"/>
      <c r="U439" s="5"/>
      <c r="V439" s="5"/>
      <c r="W439" s="5"/>
      <c r="X439" s="8"/>
      <c r="Y439" s="9"/>
      <c r="Z439" s="10"/>
      <c r="AA439" s="10"/>
      <c r="AB439" s="8"/>
      <c r="AC439" s="10"/>
    </row>
    <row r="440" spans="1:29" s="4" customFormat="1" x14ac:dyDescent="0.3">
      <c r="A440" s="3"/>
      <c r="B440" s="39"/>
      <c r="C440" s="5"/>
      <c r="D440" s="5"/>
      <c r="E440" s="5"/>
      <c r="F440" s="5"/>
      <c r="G440" s="29"/>
      <c r="H440"/>
      <c r="I440" s="7"/>
      <c r="J440" s="7"/>
      <c r="K440" s="7"/>
      <c r="L440" s="8"/>
      <c r="M440" s="7"/>
      <c r="N440" s="7"/>
      <c r="O440" s="8"/>
      <c r="P440" s="6"/>
      <c r="Q440" s="5"/>
      <c r="R440" s="5"/>
      <c r="S440" s="5"/>
      <c r="T440" s="5"/>
      <c r="U440" s="5"/>
      <c r="V440" s="5"/>
      <c r="W440" s="5"/>
      <c r="X440" s="8"/>
      <c r="Y440" s="9"/>
      <c r="Z440" s="10"/>
      <c r="AA440" s="10"/>
      <c r="AB440" s="8"/>
      <c r="AC440" s="10"/>
    </row>
    <row r="441" spans="1:29" s="4" customFormat="1" x14ac:dyDescent="0.3">
      <c r="A441" s="3"/>
      <c r="B441" s="39"/>
      <c r="C441" s="5"/>
      <c r="D441" s="5"/>
      <c r="E441" s="5"/>
      <c r="F441" s="5"/>
      <c r="G441" s="29"/>
      <c r="H441"/>
      <c r="I441" s="7"/>
      <c r="J441" s="7"/>
      <c r="K441" s="7"/>
      <c r="L441" s="8"/>
      <c r="M441" s="7"/>
      <c r="N441" s="7"/>
      <c r="O441" s="8"/>
      <c r="P441" s="6"/>
      <c r="Q441" s="5"/>
      <c r="R441" s="5"/>
      <c r="S441" s="5"/>
      <c r="T441" s="5"/>
      <c r="U441" s="5"/>
      <c r="V441" s="5"/>
      <c r="W441" s="5"/>
      <c r="X441" s="8"/>
      <c r="Y441" s="9"/>
      <c r="Z441" s="10"/>
      <c r="AA441" s="10"/>
      <c r="AB441" s="8"/>
      <c r="AC441" s="10"/>
    </row>
    <row r="442" spans="1:29" s="4" customFormat="1" x14ac:dyDescent="0.3">
      <c r="A442" s="3"/>
      <c r="B442" s="39"/>
      <c r="C442" s="5"/>
      <c r="D442" s="5"/>
      <c r="E442" s="5"/>
      <c r="F442" s="5"/>
      <c r="G442" s="29"/>
      <c r="H442"/>
      <c r="I442" s="7"/>
      <c r="J442" s="7"/>
      <c r="K442" s="7"/>
      <c r="L442" s="8"/>
      <c r="M442" s="7"/>
      <c r="N442" s="7"/>
      <c r="O442" s="8"/>
      <c r="P442" s="6"/>
      <c r="Q442" s="5"/>
      <c r="R442" s="5"/>
      <c r="S442" s="5"/>
      <c r="T442" s="5"/>
      <c r="U442" s="5"/>
      <c r="V442" s="5"/>
      <c r="W442" s="5"/>
      <c r="X442" s="8"/>
      <c r="Y442" s="9"/>
      <c r="Z442" s="10"/>
      <c r="AA442" s="10"/>
      <c r="AB442" s="8"/>
      <c r="AC442" s="10"/>
    </row>
    <row r="443" spans="1:29" s="4" customFormat="1" x14ac:dyDescent="0.3">
      <c r="A443" s="3"/>
      <c r="B443" s="39"/>
      <c r="C443" s="5"/>
      <c r="D443" s="5"/>
      <c r="E443" s="5"/>
      <c r="F443" s="5"/>
      <c r="G443" s="29"/>
      <c r="H443"/>
      <c r="I443" s="7"/>
      <c r="J443" s="7"/>
      <c r="K443" s="7"/>
      <c r="L443" s="8"/>
      <c r="M443" s="7"/>
      <c r="N443" s="7"/>
      <c r="O443" s="8"/>
      <c r="P443" s="6"/>
      <c r="Q443" s="5"/>
      <c r="R443" s="5"/>
      <c r="S443" s="5"/>
      <c r="T443" s="5"/>
      <c r="U443" s="5"/>
      <c r="V443" s="5"/>
      <c r="W443" s="5"/>
      <c r="X443" s="8"/>
      <c r="Y443" s="9"/>
      <c r="Z443" s="10"/>
      <c r="AA443" s="10"/>
      <c r="AB443" s="8"/>
      <c r="AC443" s="10"/>
    </row>
    <row r="444" spans="1:29" s="4" customFormat="1" x14ac:dyDescent="0.3">
      <c r="A444" s="3"/>
      <c r="B444" s="39"/>
      <c r="C444" s="5"/>
      <c r="D444" s="5"/>
      <c r="E444" s="5"/>
      <c r="F444" s="5"/>
      <c r="G444" s="29"/>
      <c r="H444"/>
      <c r="I444" s="7"/>
      <c r="J444" s="7"/>
      <c r="K444" s="7"/>
      <c r="L444" s="8"/>
      <c r="M444" s="7"/>
      <c r="N444" s="7"/>
      <c r="O444" s="8"/>
      <c r="P444" s="6"/>
      <c r="Q444" s="5"/>
      <c r="R444" s="5"/>
      <c r="S444" s="5"/>
      <c r="T444" s="5"/>
      <c r="U444" s="5"/>
      <c r="V444" s="5"/>
      <c r="W444" s="5"/>
      <c r="X444" s="8"/>
      <c r="Y444" s="9"/>
      <c r="Z444" s="10"/>
      <c r="AA444" s="10"/>
      <c r="AB444" s="8"/>
      <c r="AC444" s="10"/>
    </row>
    <row r="445" spans="1:29" s="4" customFormat="1" x14ac:dyDescent="0.3">
      <c r="A445" s="3"/>
      <c r="B445" s="39"/>
      <c r="C445" s="5"/>
      <c r="D445" s="5"/>
      <c r="E445" s="5"/>
      <c r="F445" s="5"/>
      <c r="G445" s="29"/>
      <c r="H445"/>
      <c r="I445" s="7"/>
      <c r="J445" s="7"/>
      <c r="K445" s="7"/>
      <c r="L445" s="8"/>
      <c r="M445" s="7"/>
      <c r="N445" s="7"/>
      <c r="O445" s="8"/>
      <c r="P445" s="6"/>
      <c r="Q445" s="5"/>
      <c r="R445" s="5"/>
      <c r="S445" s="5"/>
      <c r="T445" s="5"/>
      <c r="U445" s="5"/>
      <c r="V445" s="5"/>
      <c r="W445" s="5"/>
      <c r="X445" s="8"/>
      <c r="Y445" s="9"/>
      <c r="Z445" s="10"/>
      <c r="AA445" s="10"/>
      <c r="AB445" s="8"/>
      <c r="AC445" s="10"/>
    </row>
    <row r="446" spans="1:29" s="4" customFormat="1" x14ac:dyDescent="0.3">
      <c r="A446" s="3"/>
      <c r="B446" s="39"/>
      <c r="C446" s="5"/>
      <c r="D446" s="5"/>
      <c r="E446" s="5"/>
      <c r="F446" s="5"/>
      <c r="G446" s="29"/>
      <c r="H446"/>
      <c r="I446" s="7"/>
      <c r="J446" s="7"/>
      <c r="K446" s="7"/>
      <c r="L446" s="8"/>
      <c r="M446" s="7"/>
      <c r="N446" s="7"/>
      <c r="O446" s="8"/>
      <c r="P446" s="6"/>
      <c r="Q446" s="5"/>
      <c r="R446" s="5"/>
      <c r="S446" s="5"/>
      <c r="T446" s="5"/>
      <c r="U446" s="5"/>
      <c r="V446" s="5"/>
      <c r="W446" s="5"/>
      <c r="X446" s="8"/>
      <c r="Y446" s="9"/>
      <c r="Z446" s="10"/>
      <c r="AA446" s="10"/>
      <c r="AB446" s="8"/>
      <c r="AC446" s="10"/>
    </row>
    <row r="447" spans="1:29" s="4" customFormat="1" x14ac:dyDescent="0.3">
      <c r="A447" s="3"/>
      <c r="B447" s="39"/>
      <c r="C447" s="5"/>
      <c r="D447" s="5"/>
      <c r="E447" s="5"/>
      <c r="F447" s="5"/>
      <c r="G447" s="29"/>
      <c r="H447"/>
      <c r="I447" s="7"/>
      <c r="J447" s="7"/>
      <c r="K447" s="7"/>
      <c r="L447" s="8"/>
      <c r="M447" s="7"/>
      <c r="N447" s="7"/>
      <c r="O447" s="8"/>
      <c r="P447" s="6"/>
      <c r="Q447" s="5"/>
      <c r="R447" s="5"/>
      <c r="S447" s="5"/>
      <c r="T447" s="5"/>
      <c r="U447" s="5"/>
      <c r="V447" s="5"/>
      <c r="W447" s="5"/>
      <c r="X447" s="8"/>
      <c r="Y447" s="9"/>
      <c r="Z447" s="10"/>
      <c r="AA447" s="10"/>
      <c r="AB447" s="8"/>
      <c r="AC447" s="10"/>
    </row>
    <row r="448" spans="1:29" s="4" customFormat="1" x14ac:dyDescent="0.3">
      <c r="A448" s="3"/>
      <c r="B448" s="39"/>
      <c r="C448" s="5"/>
      <c r="D448" s="5"/>
      <c r="E448" s="5"/>
      <c r="F448" s="5"/>
      <c r="G448" s="29"/>
      <c r="H448"/>
      <c r="I448" s="7"/>
      <c r="J448" s="7"/>
      <c r="K448" s="7"/>
      <c r="L448" s="8"/>
      <c r="M448" s="7"/>
      <c r="N448" s="7"/>
      <c r="O448" s="8"/>
      <c r="P448" s="6"/>
      <c r="Q448" s="5"/>
      <c r="R448" s="5"/>
      <c r="S448" s="5"/>
      <c r="T448" s="5"/>
      <c r="U448" s="5"/>
      <c r="V448" s="5"/>
      <c r="W448" s="5"/>
      <c r="X448" s="8"/>
      <c r="Y448" s="9"/>
      <c r="Z448" s="10"/>
      <c r="AA448" s="10"/>
      <c r="AB448" s="8"/>
      <c r="AC448" s="10"/>
    </row>
    <row r="449" spans="1:29" s="4" customFormat="1" x14ac:dyDescent="0.3">
      <c r="A449" s="3"/>
      <c r="B449" s="39"/>
      <c r="C449" s="5"/>
      <c r="D449" s="5"/>
      <c r="E449" s="5"/>
      <c r="F449" s="5"/>
      <c r="G449" s="29"/>
      <c r="H449"/>
      <c r="I449" s="7"/>
      <c r="J449" s="7"/>
      <c r="K449" s="7"/>
      <c r="L449" s="8"/>
      <c r="M449" s="7"/>
      <c r="N449" s="7"/>
      <c r="O449" s="8"/>
      <c r="P449" s="6"/>
      <c r="Q449" s="5"/>
      <c r="R449" s="5"/>
      <c r="S449" s="5"/>
      <c r="T449" s="5"/>
      <c r="U449" s="5"/>
      <c r="V449" s="5"/>
      <c r="W449" s="5"/>
      <c r="X449" s="8"/>
      <c r="Y449" s="9"/>
      <c r="Z449" s="10"/>
      <c r="AA449" s="10"/>
      <c r="AB449" s="8"/>
      <c r="AC449" s="10"/>
    </row>
    <row r="450" spans="1:29" s="4" customFormat="1" x14ac:dyDescent="0.3">
      <c r="A450" s="3"/>
      <c r="B450" s="39"/>
      <c r="C450" s="5"/>
      <c r="D450" s="5"/>
      <c r="E450" s="5"/>
      <c r="F450" s="5"/>
      <c r="G450" s="29"/>
      <c r="H450"/>
      <c r="I450" s="7"/>
      <c r="J450" s="7"/>
      <c r="K450" s="7"/>
      <c r="L450" s="8"/>
      <c r="M450" s="7"/>
      <c r="N450" s="7"/>
      <c r="O450" s="8"/>
      <c r="P450" s="6"/>
      <c r="Q450" s="5"/>
      <c r="R450" s="5"/>
      <c r="S450" s="5"/>
      <c r="T450" s="5"/>
      <c r="U450" s="5"/>
      <c r="V450" s="5"/>
      <c r="W450" s="5"/>
      <c r="X450" s="8"/>
      <c r="Y450" s="9"/>
      <c r="Z450" s="10"/>
      <c r="AA450" s="10"/>
      <c r="AB450" s="8"/>
      <c r="AC450" s="10"/>
    </row>
    <row r="451" spans="1:29" s="4" customFormat="1" x14ac:dyDescent="0.3">
      <c r="A451" s="3"/>
      <c r="B451" s="39"/>
      <c r="C451" s="5"/>
      <c r="D451" s="5"/>
      <c r="E451" s="5"/>
      <c r="F451" s="5"/>
      <c r="G451" s="29"/>
      <c r="H451"/>
      <c r="I451" s="7"/>
      <c r="J451" s="7"/>
      <c r="K451" s="7"/>
      <c r="L451" s="8"/>
      <c r="M451" s="7"/>
      <c r="N451" s="7"/>
      <c r="O451" s="8"/>
      <c r="P451" s="6"/>
      <c r="Q451" s="5"/>
      <c r="R451" s="5"/>
      <c r="S451" s="5"/>
      <c r="T451" s="5"/>
      <c r="U451" s="5"/>
      <c r="V451" s="5"/>
      <c r="W451" s="5"/>
      <c r="X451" s="8"/>
      <c r="Y451" s="9"/>
      <c r="Z451" s="10"/>
      <c r="AA451" s="10"/>
      <c r="AB451" s="8"/>
      <c r="AC451" s="10"/>
    </row>
    <row r="452" spans="1:29" s="4" customFormat="1" x14ac:dyDescent="0.3">
      <c r="A452" s="3"/>
      <c r="B452" s="39"/>
      <c r="C452" s="5"/>
      <c r="D452" s="5"/>
      <c r="E452" s="5"/>
      <c r="F452" s="5"/>
      <c r="G452" s="29"/>
      <c r="H452"/>
      <c r="I452" s="7"/>
      <c r="J452" s="7"/>
      <c r="K452" s="7"/>
      <c r="L452" s="8"/>
      <c r="M452" s="7"/>
      <c r="N452" s="7"/>
      <c r="O452" s="8"/>
      <c r="P452" s="6"/>
      <c r="Q452" s="5"/>
      <c r="R452" s="5"/>
      <c r="S452" s="5"/>
      <c r="T452" s="5"/>
      <c r="U452" s="5"/>
      <c r="V452" s="5"/>
      <c r="W452" s="5"/>
      <c r="X452" s="8"/>
      <c r="Y452" s="9"/>
      <c r="Z452" s="10"/>
      <c r="AA452" s="10"/>
      <c r="AB452" s="8"/>
      <c r="AC452" s="10"/>
    </row>
    <row r="453" spans="1:29" s="4" customFormat="1" x14ac:dyDescent="0.3">
      <c r="A453" s="3"/>
      <c r="B453" s="39"/>
      <c r="C453" s="5"/>
      <c r="D453" s="5"/>
      <c r="E453" s="5"/>
      <c r="F453" s="5"/>
      <c r="G453" s="29"/>
      <c r="H453"/>
      <c r="I453" s="7"/>
      <c r="J453" s="7"/>
      <c r="K453" s="7"/>
      <c r="L453" s="8"/>
      <c r="M453" s="7"/>
      <c r="N453" s="7"/>
      <c r="O453" s="8"/>
      <c r="P453" s="6"/>
      <c r="Q453" s="5"/>
      <c r="R453" s="5"/>
      <c r="S453" s="5"/>
      <c r="T453" s="5"/>
      <c r="U453" s="5"/>
      <c r="V453" s="5"/>
      <c r="W453" s="5"/>
      <c r="X453" s="8"/>
      <c r="Y453" s="9"/>
      <c r="Z453" s="10"/>
      <c r="AA453" s="10"/>
      <c r="AB453" s="8"/>
      <c r="AC453" s="10"/>
    </row>
    <row r="454" spans="1:29" s="4" customFormat="1" x14ac:dyDescent="0.3">
      <c r="A454" s="3"/>
      <c r="B454" s="39"/>
      <c r="C454" s="5"/>
      <c r="D454" s="5"/>
      <c r="E454" s="5"/>
      <c r="F454" s="5"/>
      <c r="G454" s="29"/>
      <c r="H454"/>
      <c r="I454" s="7"/>
      <c r="J454" s="7"/>
      <c r="K454" s="7"/>
      <c r="L454" s="8"/>
      <c r="M454" s="7"/>
      <c r="N454" s="7"/>
      <c r="O454" s="8"/>
      <c r="P454" s="6"/>
      <c r="Q454" s="5"/>
      <c r="R454" s="5"/>
      <c r="S454" s="5"/>
      <c r="T454" s="5"/>
      <c r="U454" s="5"/>
      <c r="V454" s="5"/>
      <c r="W454" s="5"/>
      <c r="X454" s="8"/>
      <c r="Y454" s="9"/>
      <c r="Z454" s="10"/>
      <c r="AA454" s="10"/>
      <c r="AB454" s="8"/>
      <c r="AC454" s="10"/>
    </row>
    <row r="455" spans="1:29" s="4" customFormat="1" x14ac:dyDescent="0.3">
      <c r="A455" s="3"/>
      <c r="B455" s="39"/>
      <c r="C455" s="5"/>
      <c r="D455" s="5"/>
      <c r="E455" s="5"/>
      <c r="F455" s="5"/>
      <c r="G455" s="29"/>
      <c r="H455"/>
      <c r="I455" s="7"/>
      <c r="J455" s="7"/>
      <c r="K455" s="7"/>
      <c r="L455" s="8"/>
      <c r="M455" s="7"/>
      <c r="N455" s="7"/>
      <c r="O455" s="8"/>
      <c r="P455" s="6"/>
      <c r="Q455" s="5"/>
      <c r="R455" s="5"/>
      <c r="S455" s="5"/>
      <c r="T455" s="5"/>
      <c r="U455" s="5"/>
      <c r="V455" s="5"/>
      <c r="W455" s="5"/>
      <c r="X455" s="8"/>
      <c r="Y455" s="9"/>
      <c r="Z455" s="10"/>
      <c r="AA455" s="10"/>
      <c r="AB455" s="8"/>
      <c r="AC455" s="10"/>
    </row>
    <row r="456" spans="1:29" s="4" customFormat="1" x14ac:dyDescent="0.3">
      <c r="A456" s="3"/>
      <c r="B456" s="39"/>
      <c r="C456" s="5"/>
      <c r="D456" s="5"/>
      <c r="E456" s="5"/>
      <c r="F456" s="5"/>
      <c r="G456" s="29"/>
      <c r="H456"/>
      <c r="I456" s="7"/>
      <c r="J456" s="7"/>
      <c r="K456" s="7"/>
      <c r="L456" s="8"/>
      <c r="M456" s="7"/>
      <c r="N456" s="7"/>
      <c r="O456" s="8"/>
      <c r="P456" s="6"/>
      <c r="Q456" s="5"/>
      <c r="R456" s="5"/>
      <c r="S456" s="5"/>
      <c r="T456" s="5"/>
      <c r="U456" s="5"/>
      <c r="V456" s="5"/>
      <c r="W456" s="5"/>
      <c r="X456" s="8"/>
      <c r="Y456" s="9"/>
      <c r="Z456" s="10"/>
      <c r="AA456" s="10"/>
      <c r="AB456" s="8"/>
      <c r="AC456" s="10"/>
    </row>
    <row r="457" spans="1:29" s="4" customFormat="1" x14ac:dyDescent="0.3">
      <c r="A457" s="3"/>
      <c r="B457" s="39"/>
      <c r="C457" s="5"/>
      <c r="D457" s="5"/>
      <c r="E457" s="5"/>
      <c r="F457" s="5"/>
      <c r="G457" s="29"/>
      <c r="H457"/>
      <c r="I457" s="7"/>
      <c r="J457" s="7"/>
      <c r="K457" s="7"/>
      <c r="L457" s="8"/>
      <c r="M457" s="7"/>
      <c r="N457" s="7"/>
      <c r="O457" s="8"/>
      <c r="P457" s="6"/>
      <c r="Q457" s="5"/>
      <c r="R457" s="5"/>
      <c r="S457" s="5"/>
      <c r="T457" s="5"/>
      <c r="U457" s="5"/>
      <c r="V457" s="5"/>
      <c r="W457" s="5"/>
      <c r="X457" s="8"/>
      <c r="Y457" s="9"/>
      <c r="Z457" s="10"/>
      <c r="AA457" s="10"/>
      <c r="AB457" s="8"/>
      <c r="AC457" s="10"/>
    </row>
    <row r="458" spans="1:29" s="4" customFormat="1" x14ac:dyDescent="0.3">
      <c r="A458" s="3"/>
      <c r="B458" s="39"/>
      <c r="C458" s="5"/>
      <c r="D458" s="5"/>
      <c r="E458" s="5"/>
      <c r="F458" s="5"/>
      <c r="G458" s="29"/>
      <c r="H458"/>
      <c r="I458" s="7"/>
      <c r="J458" s="7"/>
      <c r="K458" s="7"/>
      <c r="L458" s="8"/>
      <c r="M458" s="7"/>
      <c r="N458" s="7"/>
      <c r="O458" s="8"/>
      <c r="P458" s="6"/>
      <c r="Q458" s="5"/>
      <c r="R458" s="5"/>
      <c r="S458" s="5"/>
      <c r="T458" s="5"/>
      <c r="U458" s="5"/>
      <c r="V458" s="5"/>
      <c r="W458" s="5"/>
      <c r="X458" s="8"/>
      <c r="Y458" s="9"/>
      <c r="Z458" s="10"/>
      <c r="AA458" s="10"/>
      <c r="AB458" s="8"/>
      <c r="AC458" s="10"/>
    </row>
    <row r="459" spans="1:29" s="4" customFormat="1" x14ac:dyDescent="0.3">
      <c r="A459" s="3"/>
      <c r="B459" s="39"/>
      <c r="C459" s="5"/>
      <c r="D459" s="5"/>
      <c r="E459" s="5"/>
      <c r="F459" s="5"/>
      <c r="G459" s="29"/>
      <c r="H459"/>
      <c r="I459" s="7"/>
      <c r="J459" s="7"/>
      <c r="K459" s="7"/>
      <c r="L459" s="8"/>
      <c r="M459" s="7"/>
      <c r="N459" s="7"/>
      <c r="O459" s="8"/>
      <c r="P459" s="6"/>
      <c r="Q459" s="5"/>
      <c r="R459" s="5"/>
      <c r="S459" s="5"/>
      <c r="T459" s="5"/>
      <c r="U459" s="5"/>
      <c r="V459" s="5"/>
      <c r="W459" s="5"/>
      <c r="X459" s="8"/>
      <c r="Y459" s="9"/>
      <c r="Z459" s="10"/>
      <c r="AA459" s="10"/>
      <c r="AB459" s="8"/>
      <c r="AC459" s="10"/>
    </row>
    <row r="460" spans="1:29" s="4" customFormat="1" x14ac:dyDescent="0.3">
      <c r="A460" s="3"/>
      <c r="B460" s="39"/>
      <c r="C460" s="5"/>
      <c r="D460" s="5"/>
      <c r="E460" s="5"/>
      <c r="F460" s="5"/>
      <c r="G460" s="29"/>
      <c r="H460"/>
      <c r="I460" s="7"/>
      <c r="J460" s="7"/>
      <c r="K460" s="7"/>
      <c r="L460" s="8"/>
      <c r="M460" s="7"/>
      <c r="N460" s="7"/>
      <c r="O460" s="8"/>
      <c r="P460" s="6"/>
      <c r="Q460" s="5"/>
      <c r="R460" s="5"/>
      <c r="S460" s="5"/>
      <c r="T460" s="5"/>
      <c r="U460" s="5"/>
      <c r="V460" s="5"/>
      <c r="W460" s="5"/>
      <c r="X460" s="8"/>
      <c r="Y460" s="9"/>
      <c r="Z460" s="10"/>
      <c r="AA460" s="10"/>
      <c r="AB460" s="8"/>
      <c r="AC460" s="10"/>
    </row>
    <row r="461" spans="1:29" s="4" customFormat="1" x14ac:dyDescent="0.3">
      <c r="A461" s="3"/>
      <c r="B461" s="39"/>
      <c r="C461" s="5"/>
      <c r="D461" s="5"/>
      <c r="E461" s="5"/>
      <c r="F461" s="5"/>
      <c r="G461" s="29"/>
      <c r="H461"/>
      <c r="I461" s="7"/>
      <c r="J461" s="7"/>
      <c r="K461" s="7"/>
      <c r="L461" s="8"/>
      <c r="M461" s="7"/>
      <c r="N461" s="7"/>
      <c r="O461" s="8"/>
      <c r="P461" s="6"/>
      <c r="Q461" s="5"/>
      <c r="R461" s="5"/>
      <c r="S461" s="5"/>
      <c r="T461" s="5"/>
      <c r="U461" s="5"/>
      <c r="V461" s="5"/>
      <c r="W461" s="5"/>
      <c r="X461" s="8"/>
      <c r="Y461" s="9"/>
      <c r="Z461" s="10"/>
      <c r="AA461" s="10"/>
      <c r="AB461" s="8"/>
      <c r="AC461" s="10"/>
    </row>
    <row r="462" spans="1:29" s="4" customFormat="1" x14ac:dyDescent="0.3">
      <c r="A462" s="3"/>
      <c r="B462" s="39"/>
      <c r="C462" s="5"/>
      <c r="D462" s="5"/>
      <c r="E462" s="5"/>
      <c r="F462" s="5"/>
      <c r="G462" s="29"/>
      <c r="H462"/>
      <c r="I462" s="7"/>
      <c r="J462" s="7"/>
      <c r="K462" s="7"/>
      <c r="L462" s="8"/>
      <c r="M462" s="7"/>
      <c r="N462" s="7"/>
      <c r="O462" s="8"/>
      <c r="P462" s="6"/>
      <c r="Q462" s="5"/>
      <c r="R462" s="5"/>
      <c r="S462" s="5"/>
      <c r="T462" s="5"/>
      <c r="U462" s="5"/>
      <c r="V462" s="5"/>
      <c r="W462" s="5"/>
      <c r="X462" s="8"/>
      <c r="Y462" s="9"/>
      <c r="Z462" s="10"/>
      <c r="AA462" s="10"/>
      <c r="AB462" s="8"/>
      <c r="AC462" s="10"/>
    </row>
    <row r="463" spans="1:29" s="4" customFormat="1" x14ac:dyDescent="0.3">
      <c r="A463" s="3"/>
      <c r="B463" s="39"/>
      <c r="C463" s="5"/>
      <c r="D463" s="5"/>
      <c r="E463" s="5"/>
      <c r="F463" s="5"/>
      <c r="G463" s="29"/>
      <c r="H463"/>
      <c r="I463" s="7"/>
      <c r="J463" s="7"/>
      <c r="K463" s="7"/>
      <c r="L463" s="8"/>
      <c r="M463" s="7"/>
      <c r="N463" s="7"/>
      <c r="O463" s="8"/>
      <c r="P463" s="6"/>
      <c r="Q463" s="5"/>
      <c r="R463" s="5"/>
      <c r="S463" s="5"/>
      <c r="T463" s="5"/>
      <c r="U463" s="5"/>
      <c r="V463" s="5"/>
      <c r="W463" s="5"/>
      <c r="X463" s="8"/>
      <c r="Y463" s="9"/>
      <c r="Z463" s="10"/>
      <c r="AA463" s="10"/>
      <c r="AB463" s="8"/>
      <c r="AC463" s="10"/>
    </row>
    <row r="464" spans="1:29" s="4" customFormat="1" x14ac:dyDescent="0.3">
      <c r="A464" s="3"/>
      <c r="B464" s="39"/>
      <c r="C464" s="5"/>
      <c r="D464" s="5"/>
      <c r="E464" s="5"/>
      <c r="F464" s="5"/>
      <c r="G464" s="29"/>
      <c r="H464"/>
      <c r="I464" s="7"/>
      <c r="J464" s="7"/>
      <c r="K464" s="7"/>
      <c r="L464" s="8"/>
      <c r="M464" s="7"/>
      <c r="N464" s="7"/>
      <c r="O464" s="8"/>
      <c r="P464" s="6"/>
      <c r="Q464" s="5"/>
      <c r="R464" s="5"/>
      <c r="S464" s="5"/>
      <c r="T464" s="5"/>
      <c r="U464" s="5"/>
      <c r="V464" s="5"/>
      <c r="W464" s="5"/>
      <c r="X464" s="8"/>
      <c r="Y464" s="9"/>
      <c r="Z464" s="10"/>
      <c r="AA464" s="10"/>
      <c r="AB464" s="8"/>
      <c r="AC464" s="10"/>
    </row>
    <row r="465" spans="1:29" s="4" customFormat="1" x14ac:dyDescent="0.3">
      <c r="A465" s="3"/>
      <c r="B465" s="39"/>
      <c r="C465" s="5"/>
      <c r="D465" s="5"/>
      <c r="E465" s="5"/>
      <c r="F465" s="5"/>
      <c r="G465" s="29"/>
      <c r="H465"/>
      <c r="I465" s="7"/>
      <c r="J465" s="7"/>
      <c r="K465" s="7"/>
      <c r="L465" s="8"/>
      <c r="M465" s="7"/>
      <c r="N465" s="7"/>
      <c r="O465" s="8"/>
      <c r="P465" s="6"/>
      <c r="Q465" s="5"/>
      <c r="R465" s="5"/>
      <c r="S465" s="5"/>
      <c r="T465" s="5"/>
      <c r="U465" s="5"/>
      <c r="V465" s="5"/>
      <c r="W465" s="5"/>
      <c r="X465" s="8"/>
      <c r="Y465" s="9"/>
      <c r="Z465" s="10"/>
      <c r="AA465" s="10"/>
      <c r="AB465" s="8"/>
      <c r="AC465" s="10"/>
    </row>
    <row r="466" spans="1:29" s="4" customFormat="1" x14ac:dyDescent="0.3">
      <c r="A466" s="3"/>
      <c r="B466" s="39"/>
      <c r="C466" s="5"/>
      <c r="D466" s="5"/>
      <c r="E466" s="5"/>
      <c r="F466" s="5"/>
      <c r="G466" s="29"/>
      <c r="H466"/>
      <c r="I466" s="7"/>
      <c r="J466" s="7"/>
      <c r="K466" s="7"/>
      <c r="L466" s="8"/>
      <c r="M466" s="7"/>
      <c r="N466" s="7"/>
      <c r="O466" s="8"/>
      <c r="P466" s="6"/>
      <c r="Q466" s="5"/>
      <c r="R466" s="5"/>
      <c r="S466" s="5"/>
      <c r="T466" s="5"/>
      <c r="U466" s="5"/>
      <c r="V466" s="5"/>
      <c r="W466" s="5"/>
      <c r="X466" s="8"/>
      <c r="Y466" s="9"/>
      <c r="Z466" s="10"/>
      <c r="AA466" s="10"/>
      <c r="AB466" s="8"/>
      <c r="AC466" s="10"/>
    </row>
    <row r="467" spans="1:29" s="4" customFormat="1" x14ac:dyDescent="0.3">
      <c r="A467" s="3"/>
      <c r="B467" s="39"/>
      <c r="C467" s="5"/>
      <c r="D467" s="5"/>
      <c r="E467" s="5"/>
      <c r="F467" s="5"/>
      <c r="G467" s="29"/>
      <c r="H467"/>
      <c r="I467" s="7"/>
      <c r="J467" s="7"/>
      <c r="K467" s="7"/>
      <c r="L467" s="8"/>
      <c r="M467" s="7"/>
      <c r="N467" s="7"/>
      <c r="O467" s="8"/>
      <c r="P467" s="6"/>
      <c r="Q467" s="5"/>
      <c r="R467" s="5"/>
      <c r="S467" s="5"/>
      <c r="T467" s="5"/>
      <c r="U467" s="5"/>
      <c r="V467" s="5"/>
      <c r="W467" s="5"/>
      <c r="X467" s="8"/>
      <c r="Y467" s="9"/>
      <c r="Z467" s="10"/>
      <c r="AA467" s="10"/>
      <c r="AB467" s="8"/>
      <c r="AC467" s="10"/>
    </row>
    <row r="468" spans="1:29" s="4" customFormat="1" x14ac:dyDescent="0.3">
      <c r="A468" s="3"/>
      <c r="B468" s="39"/>
      <c r="C468" s="5"/>
      <c r="D468" s="5"/>
      <c r="E468" s="5"/>
      <c r="F468" s="5"/>
      <c r="G468" s="29"/>
      <c r="H468"/>
      <c r="I468" s="7"/>
      <c r="J468" s="7"/>
      <c r="K468" s="7"/>
      <c r="L468" s="8"/>
      <c r="M468" s="7"/>
      <c r="N468" s="7"/>
      <c r="O468" s="8"/>
      <c r="P468" s="6"/>
      <c r="Q468" s="5"/>
      <c r="R468" s="5"/>
      <c r="S468" s="5"/>
      <c r="T468" s="5"/>
      <c r="U468" s="5"/>
      <c r="V468" s="5"/>
      <c r="W468" s="5"/>
      <c r="X468" s="8"/>
      <c r="Y468" s="9"/>
      <c r="Z468" s="10"/>
      <c r="AA468" s="10"/>
      <c r="AB468" s="8"/>
      <c r="AC468" s="10"/>
    </row>
    <row r="469" spans="1:29" s="4" customFormat="1" x14ac:dyDescent="0.3">
      <c r="A469" s="3"/>
      <c r="B469" s="39"/>
      <c r="C469" s="5"/>
      <c r="D469" s="5"/>
      <c r="E469" s="5"/>
      <c r="F469" s="5"/>
      <c r="G469" s="29"/>
      <c r="H469"/>
      <c r="I469" s="7"/>
      <c r="J469" s="7"/>
      <c r="K469" s="7"/>
      <c r="L469" s="8"/>
      <c r="M469" s="7"/>
      <c r="N469" s="7"/>
      <c r="O469" s="8"/>
      <c r="P469" s="6"/>
      <c r="Q469" s="5"/>
      <c r="R469" s="5"/>
      <c r="S469" s="5"/>
      <c r="T469" s="5"/>
      <c r="U469" s="5"/>
      <c r="V469" s="5"/>
      <c r="W469" s="5"/>
      <c r="X469" s="8"/>
      <c r="Y469" s="9"/>
      <c r="Z469" s="10"/>
      <c r="AA469" s="10"/>
      <c r="AB469" s="8"/>
      <c r="AC469" s="10"/>
    </row>
    <row r="470" spans="1:29" s="4" customFormat="1" x14ac:dyDescent="0.3">
      <c r="A470" s="3"/>
      <c r="B470" s="39"/>
      <c r="C470" s="5"/>
      <c r="D470" s="5"/>
      <c r="E470" s="5"/>
      <c r="F470" s="5"/>
      <c r="G470" s="29"/>
      <c r="H470"/>
      <c r="I470" s="7"/>
      <c r="J470" s="7"/>
      <c r="K470" s="7"/>
      <c r="L470" s="8"/>
      <c r="M470" s="7"/>
      <c r="N470" s="7"/>
      <c r="O470" s="8"/>
      <c r="P470" s="6"/>
      <c r="Q470" s="5"/>
      <c r="R470" s="5"/>
      <c r="S470" s="5"/>
      <c r="T470" s="5"/>
      <c r="U470" s="5"/>
      <c r="V470" s="5"/>
      <c r="W470" s="5"/>
      <c r="X470" s="8"/>
      <c r="Y470" s="9"/>
      <c r="Z470" s="10"/>
      <c r="AA470" s="10"/>
      <c r="AB470" s="8"/>
      <c r="AC470" s="10"/>
    </row>
    <row r="471" spans="1:29" s="4" customFormat="1" x14ac:dyDescent="0.3">
      <c r="A471" s="3"/>
      <c r="B471" s="39"/>
      <c r="C471" s="5"/>
      <c r="D471" s="5"/>
      <c r="E471" s="5"/>
      <c r="F471" s="5"/>
      <c r="G471" s="29"/>
      <c r="H471"/>
      <c r="I471" s="7"/>
      <c r="J471" s="7"/>
      <c r="K471" s="7"/>
      <c r="L471" s="8"/>
      <c r="M471" s="7"/>
      <c r="N471" s="7"/>
      <c r="O471" s="8"/>
      <c r="P471" s="6"/>
      <c r="Q471" s="5"/>
      <c r="R471" s="5"/>
      <c r="S471" s="5"/>
      <c r="T471" s="5"/>
      <c r="U471" s="5"/>
      <c r="V471" s="5"/>
      <c r="W471" s="5"/>
      <c r="X471" s="8"/>
      <c r="Y471" s="9"/>
      <c r="Z471" s="10"/>
      <c r="AA471" s="10"/>
      <c r="AB471" s="8"/>
      <c r="AC471" s="10"/>
    </row>
    <row r="472" spans="1:29" s="4" customFormat="1" x14ac:dyDescent="0.3">
      <c r="A472" s="3"/>
      <c r="B472" s="39"/>
      <c r="C472" s="5"/>
      <c r="D472" s="5"/>
      <c r="E472" s="5"/>
      <c r="F472" s="5"/>
      <c r="G472" s="29"/>
      <c r="H472"/>
      <c r="I472" s="7"/>
      <c r="J472" s="7"/>
      <c r="K472" s="7"/>
      <c r="L472" s="8"/>
      <c r="M472" s="7"/>
      <c r="N472" s="7"/>
      <c r="O472" s="8"/>
      <c r="P472" s="6"/>
      <c r="Q472" s="5"/>
      <c r="R472" s="5"/>
      <c r="S472" s="5"/>
      <c r="T472" s="5"/>
      <c r="U472" s="5"/>
      <c r="V472" s="5"/>
      <c r="W472" s="5"/>
      <c r="X472" s="8"/>
      <c r="Y472" s="9"/>
      <c r="Z472" s="10"/>
      <c r="AA472" s="10"/>
      <c r="AB472" s="8"/>
      <c r="AC472" s="10"/>
    </row>
    <row r="473" spans="1:29" s="4" customFormat="1" x14ac:dyDescent="0.3">
      <c r="A473" s="3"/>
      <c r="B473" s="39"/>
      <c r="C473" s="5"/>
      <c r="D473" s="5"/>
      <c r="E473" s="5"/>
      <c r="F473" s="5"/>
      <c r="G473" s="29"/>
      <c r="H473"/>
      <c r="I473" s="7"/>
      <c r="J473" s="7"/>
      <c r="K473" s="7"/>
      <c r="L473" s="8"/>
      <c r="M473" s="7"/>
      <c r="N473" s="7"/>
      <c r="O473" s="8"/>
      <c r="P473" s="6"/>
      <c r="Q473" s="5"/>
      <c r="R473" s="5"/>
      <c r="S473" s="5"/>
      <c r="T473" s="5"/>
      <c r="U473" s="5"/>
      <c r="V473" s="5"/>
      <c r="W473" s="5"/>
      <c r="X473" s="8"/>
      <c r="Y473" s="9"/>
      <c r="Z473" s="10"/>
      <c r="AA473" s="10"/>
      <c r="AB473" s="8"/>
      <c r="AC473" s="10"/>
    </row>
    <row r="474" spans="1:29" s="4" customFormat="1" x14ac:dyDescent="0.3">
      <c r="A474" s="3"/>
      <c r="B474" s="39"/>
      <c r="C474" s="5"/>
      <c r="D474" s="5"/>
      <c r="E474" s="5"/>
      <c r="F474" s="5"/>
      <c r="G474" s="29"/>
      <c r="H474"/>
      <c r="I474" s="7"/>
      <c r="J474" s="7"/>
      <c r="K474" s="7"/>
      <c r="L474" s="8"/>
      <c r="M474" s="7"/>
      <c r="N474" s="7"/>
      <c r="O474" s="8"/>
      <c r="P474" s="6"/>
      <c r="Q474" s="5"/>
      <c r="R474" s="5"/>
      <c r="S474" s="5"/>
      <c r="T474" s="5"/>
      <c r="U474" s="5"/>
      <c r="V474" s="5"/>
      <c r="W474" s="5"/>
      <c r="X474" s="8"/>
      <c r="Y474" s="9"/>
      <c r="Z474" s="10"/>
      <c r="AA474" s="10"/>
      <c r="AB474" s="8"/>
      <c r="AC474" s="10"/>
    </row>
    <row r="475" spans="1:29" s="4" customFormat="1" x14ac:dyDescent="0.3">
      <c r="A475" s="3"/>
      <c r="B475" s="39"/>
      <c r="C475" s="5"/>
      <c r="D475" s="5"/>
      <c r="E475" s="5"/>
      <c r="F475" s="5"/>
      <c r="G475" s="29"/>
      <c r="H475"/>
      <c r="I475" s="7"/>
      <c r="J475" s="7"/>
      <c r="K475" s="7"/>
      <c r="L475" s="8"/>
      <c r="M475" s="7"/>
      <c r="N475" s="7"/>
      <c r="O475" s="8"/>
      <c r="P475" s="6"/>
      <c r="Q475" s="5"/>
      <c r="R475" s="5"/>
      <c r="S475" s="5"/>
      <c r="T475" s="5"/>
      <c r="U475" s="5"/>
      <c r="V475" s="5"/>
      <c r="W475" s="5"/>
      <c r="X475" s="8"/>
      <c r="Y475" s="9"/>
      <c r="Z475" s="10"/>
      <c r="AA475" s="10"/>
      <c r="AB475" s="8"/>
      <c r="AC475" s="10"/>
    </row>
    <row r="476" spans="1:29" s="4" customFormat="1" x14ac:dyDescent="0.3">
      <c r="A476" s="3"/>
      <c r="B476" s="39"/>
      <c r="C476" s="5"/>
      <c r="D476" s="5"/>
      <c r="E476" s="5"/>
      <c r="F476" s="5"/>
      <c r="G476" s="29"/>
      <c r="H476"/>
      <c r="I476" s="7"/>
      <c r="J476" s="7"/>
      <c r="K476" s="7"/>
      <c r="L476" s="8"/>
      <c r="M476" s="7"/>
      <c r="N476" s="7"/>
      <c r="O476" s="8"/>
      <c r="P476" s="6"/>
      <c r="Q476" s="5"/>
      <c r="R476" s="5"/>
      <c r="S476" s="5"/>
      <c r="T476" s="5"/>
      <c r="U476" s="5"/>
      <c r="V476" s="5"/>
      <c r="W476" s="5"/>
      <c r="X476" s="8"/>
      <c r="Y476" s="9"/>
      <c r="Z476" s="10"/>
      <c r="AA476" s="10"/>
      <c r="AB476" s="8"/>
      <c r="AC476" s="10"/>
    </row>
    <row r="477" spans="1:29" s="4" customFormat="1" x14ac:dyDescent="0.3">
      <c r="A477" s="3"/>
      <c r="B477" s="39"/>
      <c r="C477" s="5"/>
      <c r="D477" s="5"/>
      <c r="E477" s="5"/>
      <c r="F477" s="5"/>
      <c r="G477" s="29"/>
      <c r="H477"/>
      <c r="I477" s="7"/>
      <c r="J477" s="7"/>
      <c r="K477" s="7"/>
      <c r="L477" s="8"/>
      <c r="M477" s="7"/>
      <c r="N477" s="7"/>
      <c r="O477" s="8"/>
      <c r="P477" s="6"/>
      <c r="Q477" s="5"/>
      <c r="R477" s="5"/>
      <c r="S477" s="5"/>
      <c r="T477" s="5"/>
      <c r="U477" s="5"/>
      <c r="V477" s="5"/>
      <c r="W477" s="5"/>
      <c r="X477" s="8"/>
      <c r="Y477" s="9"/>
      <c r="Z477" s="10"/>
      <c r="AA477" s="10"/>
      <c r="AB477" s="8"/>
      <c r="AC477" s="10"/>
    </row>
    <row r="478" spans="1:29" s="4" customFormat="1" x14ac:dyDescent="0.3">
      <c r="A478" s="3"/>
      <c r="B478" s="39"/>
      <c r="C478" s="5"/>
      <c r="D478" s="5"/>
      <c r="E478" s="5"/>
      <c r="F478" s="5"/>
      <c r="G478" s="29"/>
      <c r="H478"/>
      <c r="I478" s="7"/>
      <c r="J478" s="7"/>
      <c r="K478" s="7"/>
      <c r="L478" s="8"/>
      <c r="M478" s="7"/>
      <c r="N478" s="7"/>
      <c r="O478" s="8"/>
      <c r="P478" s="6"/>
      <c r="Q478" s="5"/>
      <c r="R478" s="5"/>
      <c r="S478" s="5"/>
      <c r="T478" s="5"/>
      <c r="U478" s="5"/>
      <c r="V478" s="5"/>
      <c r="W478" s="5"/>
      <c r="X478" s="8"/>
      <c r="Y478" s="9"/>
      <c r="Z478" s="10"/>
      <c r="AA478" s="10"/>
      <c r="AB478" s="8"/>
      <c r="AC478" s="10"/>
    </row>
    <row r="479" spans="1:29" s="4" customFormat="1" x14ac:dyDescent="0.3">
      <c r="A479" s="3"/>
      <c r="B479" s="39"/>
      <c r="C479" s="5"/>
      <c r="D479" s="5"/>
      <c r="E479" s="5"/>
      <c r="F479" s="5"/>
      <c r="G479" s="29"/>
      <c r="H479"/>
      <c r="I479" s="7"/>
      <c r="J479" s="7"/>
      <c r="K479" s="7"/>
      <c r="L479" s="8"/>
      <c r="M479" s="7"/>
      <c r="N479" s="7"/>
      <c r="O479" s="8"/>
      <c r="P479" s="6"/>
      <c r="Q479" s="5"/>
      <c r="R479" s="5"/>
      <c r="S479" s="5"/>
      <c r="T479" s="5"/>
      <c r="U479" s="5"/>
      <c r="V479" s="5"/>
      <c r="W479" s="5"/>
      <c r="X479" s="8"/>
      <c r="Y479" s="9"/>
      <c r="Z479" s="10"/>
      <c r="AA479" s="10"/>
      <c r="AB479" s="8"/>
      <c r="AC479" s="10"/>
    </row>
    <row r="480" spans="1:29" s="4" customFormat="1" x14ac:dyDescent="0.3">
      <c r="A480" s="3"/>
      <c r="B480" s="39"/>
      <c r="C480" s="5"/>
      <c r="D480" s="5"/>
      <c r="E480" s="5"/>
      <c r="F480" s="5"/>
      <c r="G480" s="29"/>
      <c r="H480"/>
      <c r="I480" s="7"/>
      <c r="J480" s="7"/>
      <c r="K480" s="7"/>
      <c r="L480" s="8"/>
      <c r="M480" s="7"/>
      <c r="N480" s="7"/>
      <c r="O480" s="8"/>
      <c r="P480" s="6"/>
      <c r="Q480" s="5"/>
      <c r="R480" s="5"/>
      <c r="S480" s="5"/>
      <c r="T480" s="5"/>
      <c r="U480" s="5"/>
      <c r="V480" s="5"/>
      <c r="W480" s="5"/>
      <c r="X480" s="8"/>
      <c r="Y480" s="9"/>
      <c r="Z480" s="10"/>
      <c r="AA480" s="10"/>
      <c r="AB480" s="8"/>
      <c r="AC480" s="10"/>
    </row>
    <row r="481" spans="1:29" s="4" customFormat="1" x14ac:dyDescent="0.3">
      <c r="A481" s="3"/>
      <c r="B481" s="39"/>
      <c r="C481" s="5"/>
      <c r="D481" s="5"/>
      <c r="E481" s="5"/>
      <c r="F481" s="5"/>
      <c r="G481" s="29"/>
      <c r="H481"/>
      <c r="I481" s="7"/>
      <c r="J481" s="7"/>
      <c r="K481" s="7"/>
      <c r="L481" s="8"/>
      <c r="M481" s="7"/>
      <c r="N481" s="7"/>
      <c r="O481" s="8"/>
      <c r="P481" s="6"/>
      <c r="Q481" s="5"/>
      <c r="R481" s="5"/>
      <c r="S481" s="5"/>
      <c r="T481" s="5"/>
      <c r="U481" s="5"/>
      <c r="V481" s="5"/>
      <c r="W481" s="5"/>
      <c r="X481" s="8"/>
      <c r="Y481" s="9"/>
      <c r="Z481" s="10"/>
      <c r="AA481" s="10"/>
      <c r="AB481" s="8"/>
      <c r="AC481" s="10"/>
    </row>
    <row r="482" spans="1:29" s="4" customFormat="1" x14ac:dyDescent="0.3">
      <c r="A482" s="3"/>
      <c r="B482" s="39"/>
      <c r="C482" s="5"/>
      <c r="D482" s="5"/>
      <c r="E482" s="5"/>
      <c r="F482" s="5"/>
      <c r="G482" s="29"/>
      <c r="H482"/>
      <c r="I482" s="7"/>
      <c r="J482" s="7"/>
      <c r="K482" s="7"/>
      <c r="L482" s="8"/>
      <c r="M482" s="7"/>
      <c r="N482" s="7"/>
      <c r="O482" s="8"/>
      <c r="P482" s="6"/>
      <c r="Q482" s="5"/>
      <c r="R482" s="5"/>
      <c r="S482" s="5"/>
      <c r="T482" s="5"/>
      <c r="U482" s="5"/>
      <c r="V482" s="5"/>
      <c r="W482" s="5"/>
      <c r="X482" s="8"/>
      <c r="Y482" s="9"/>
      <c r="Z482" s="10"/>
      <c r="AA482" s="10"/>
      <c r="AB482" s="8"/>
      <c r="AC482" s="10"/>
    </row>
    <row r="483" spans="1:29" s="4" customFormat="1" x14ac:dyDescent="0.3">
      <c r="A483" s="3"/>
      <c r="B483" s="39"/>
      <c r="C483" s="5"/>
      <c r="D483" s="5"/>
      <c r="E483" s="5"/>
      <c r="F483" s="5"/>
      <c r="G483" s="29"/>
      <c r="H483"/>
      <c r="I483" s="7"/>
      <c r="J483" s="7"/>
      <c r="K483" s="7"/>
      <c r="L483" s="8"/>
      <c r="M483" s="7"/>
      <c r="N483" s="7"/>
      <c r="O483" s="8"/>
      <c r="P483" s="6"/>
      <c r="Q483" s="5"/>
      <c r="R483" s="5"/>
      <c r="S483" s="5"/>
      <c r="T483" s="5"/>
      <c r="U483" s="5"/>
      <c r="V483" s="5"/>
      <c r="W483" s="5"/>
      <c r="X483" s="8"/>
      <c r="Y483" s="9"/>
      <c r="Z483" s="10"/>
      <c r="AA483" s="10"/>
      <c r="AB483" s="8"/>
      <c r="AC483" s="10"/>
    </row>
    <row r="484" spans="1:29" s="4" customFormat="1" x14ac:dyDescent="0.3">
      <c r="A484" s="3"/>
      <c r="B484" s="39"/>
      <c r="C484" s="5"/>
      <c r="D484" s="5"/>
      <c r="E484" s="5"/>
      <c r="F484" s="5"/>
      <c r="G484" s="29"/>
      <c r="H484"/>
      <c r="I484" s="7"/>
      <c r="J484" s="7"/>
      <c r="K484" s="7"/>
      <c r="L484" s="8"/>
      <c r="M484" s="7"/>
      <c r="N484" s="7"/>
      <c r="O484" s="8"/>
      <c r="P484" s="6"/>
      <c r="Q484" s="5"/>
      <c r="R484" s="5"/>
      <c r="S484" s="5"/>
      <c r="T484" s="5"/>
      <c r="U484" s="5"/>
      <c r="V484" s="5"/>
      <c r="W484" s="5"/>
      <c r="X484" s="8"/>
      <c r="Y484" s="9"/>
      <c r="Z484" s="10"/>
      <c r="AA484" s="10"/>
      <c r="AB484" s="8"/>
      <c r="AC484" s="10"/>
    </row>
    <row r="485" spans="1:29" s="4" customFormat="1" x14ac:dyDescent="0.3">
      <c r="A485" s="3"/>
      <c r="B485" s="39"/>
      <c r="C485" s="5"/>
      <c r="D485" s="5"/>
      <c r="E485" s="5"/>
      <c r="F485" s="5"/>
      <c r="G485" s="29"/>
      <c r="H485"/>
      <c r="I485" s="7"/>
      <c r="J485" s="7"/>
      <c r="K485" s="7"/>
      <c r="L485" s="8"/>
      <c r="M485" s="7"/>
      <c r="N485" s="7"/>
      <c r="O485" s="8"/>
      <c r="P485" s="6"/>
      <c r="Q485" s="5"/>
      <c r="R485" s="5"/>
      <c r="S485" s="5"/>
      <c r="T485" s="5"/>
      <c r="U485" s="5"/>
      <c r="V485" s="5"/>
      <c r="W485" s="5"/>
      <c r="X485" s="8"/>
      <c r="Y485" s="9"/>
      <c r="Z485" s="10"/>
      <c r="AA485" s="10"/>
      <c r="AB485" s="8"/>
      <c r="AC485" s="10"/>
    </row>
    <row r="486" spans="1:29" s="4" customFormat="1" x14ac:dyDescent="0.3">
      <c r="A486" s="3"/>
      <c r="B486" s="39"/>
      <c r="C486" s="5"/>
      <c r="D486" s="5"/>
      <c r="E486" s="5"/>
      <c r="F486" s="5"/>
      <c r="G486" s="29"/>
      <c r="H486"/>
      <c r="I486" s="7"/>
      <c r="J486" s="7"/>
      <c r="K486" s="7"/>
      <c r="L486" s="8"/>
      <c r="M486" s="7"/>
      <c r="N486" s="7"/>
      <c r="O486" s="8"/>
      <c r="P486" s="6"/>
      <c r="Q486" s="5"/>
      <c r="R486" s="5"/>
      <c r="S486" s="5"/>
      <c r="T486" s="5"/>
      <c r="U486" s="5"/>
      <c r="V486" s="5"/>
      <c r="W486" s="5"/>
      <c r="X486" s="8"/>
      <c r="Y486" s="9"/>
      <c r="Z486" s="10"/>
      <c r="AA486" s="10"/>
      <c r="AB486" s="8"/>
      <c r="AC486" s="10"/>
    </row>
    <row r="487" spans="1:29" s="4" customFormat="1" x14ac:dyDescent="0.3">
      <c r="A487" s="3"/>
      <c r="B487" s="39"/>
      <c r="C487" s="5"/>
      <c r="D487" s="5"/>
      <c r="E487" s="5"/>
      <c r="F487" s="5"/>
      <c r="G487" s="29"/>
      <c r="H487"/>
      <c r="I487" s="7"/>
      <c r="J487" s="7"/>
      <c r="K487" s="7"/>
      <c r="L487" s="8"/>
      <c r="M487" s="7"/>
      <c r="N487" s="7"/>
      <c r="O487" s="8"/>
      <c r="P487" s="6"/>
      <c r="Q487" s="5"/>
      <c r="R487" s="5"/>
      <c r="S487" s="5"/>
      <c r="T487" s="5"/>
      <c r="U487" s="5"/>
      <c r="V487" s="5"/>
      <c r="W487" s="5"/>
      <c r="X487" s="8"/>
      <c r="Y487" s="9"/>
      <c r="Z487" s="10"/>
      <c r="AA487" s="10"/>
      <c r="AB487" s="8"/>
      <c r="AC487" s="10"/>
    </row>
    <row r="488" spans="1:29" s="4" customFormat="1" x14ac:dyDescent="0.3">
      <c r="A488" s="3"/>
      <c r="B488" s="39"/>
      <c r="C488" s="5"/>
      <c r="D488" s="5"/>
      <c r="E488" s="5"/>
      <c r="F488" s="5"/>
      <c r="G488" s="29"/>
      <c r="H488"/>
      <c r="I488" s="7"/>
      <c r="J488" s="7"/>
      <c r="K488" s="7"/>
      <c r="L488" s="8"/>
      <c r="M488" s="7"/>
      <c r="N488" s="7"/>
      <c r="O488" s="8"/>
      <c r="P488" s="6"/>
      <c r="Q488" s="5"/>
      <c r="R488" s="5"/>
      <c r="S488" s="5"/>
      <c r="T488" s="5"/>
      <c r="U488" s="5"/>
      <c r="V488" s="5"/>
      <c r="W488" s="5"/>
      <c r="X488" s="8"/>
      <c r="Y488" s="9"/>
      <c r="Z488" s="10"/>
      <c r="AA488" s="10"/>
      <c r="AB488" s="8"/>
      <c r="AC488" s="10"/>
    </row>
    <row r="489" spans="1:29" s="4" customFormat="1" x14ac:dyDescent="0.3">
      <c r="A489" s="3"/>
      <c r="B489" s="39"/>
      <c r="C489" s="5"/>
      <c r="D489" s="5"/>
      <c r="E489" s="5"/>
      <c r="F489" s="5"/>
      <c r="G489" s="29"/>
      <c r="H489"/>
      <c r="I489" s="7"/>
      <c r="J489" s="7"/>
      <c r="K489" s="7"/>
      <c r="L489" s="8"/>
      <c r="M489" s="7"/>
      <c r="N489" s="7"/>
      <c r="O489" s="8"/>
      <c r="P489" s="6"/>
      <c r="Q489" s="5"/>
      <c r="R489" s="5"/>
      <c r="S489" s="5"/>
      <c r="T489" s="5"/>
      <c r="U489" s="5"/>
      <c r="V489" s="5"/>
      <c r="W489" s="5"/>
      <c r="X489" s="8"/>
      <c r="Y489" s="9"/>
      <c r="Z489" s="10"/>
      <c r="AA489" s="10"/>
      <c r="AB489" s="8"/>
      <c r="AC489" s="10"/>
    </row>
    <row r="490" spans="1:29" s="4" customFormat="1" x14ac:dyDescent="0.3">
      <c r="A490" s="3"/>
      <c r="B490" s="39"/>
      <c r="C490" s="5"/>
      <c r="D490" s="5"/>
      <c r="E490" s="5"/>
      <c r="F490" s="5"/>
      <c r="G490" s="29"/>
      <c r="H490"/>
      <c r="I490" s="7"/>
      <c r="J490" s="7"/>
      <c r="K490" s="7"/>
      <c r="L490" s="8"/>
      <c r="M490" s="7"/>
      <c r="N490" s="7"/>
      <c r="O490" s="8"/>
      <c r="P490" s="6"/>
      <c r="Q490" s="5"/>
      <c r="R490" s="5"/>
      <c r="S490" s="5"/>
      <c r="T490" s="5"/>
      <c r="U490" s="5"/>
      <c r="V490" s="5"/>
      <c r="W490" s="5"/>
      <c r="X490" s="8"/>
      <c r="Y490" s="9"/>
      <c r="Z490" s="10"/>
      <c r="AA490" s="10"/>
      <c r="AB490" s="8"/>
      <c r="AC490" s="10"/>
    </row>
    <row r="491" spans="1:29" s="4" customFormat="1" x14ac:dyDescent="0.3">
      <c r="A491" s="3"/>
      <c r="B491" s="39"/>
      <c r="C491" s="5"/>
      <c r="D491" s="5"/>
      <c r="E491" s="5"/>
      <c r="F491" s="5"/>
      <c r="G491" s="29"/>
      <c r="H491"/>
      <c r="I491" s="7"/>
      <c r="J491" s="7"/>
      <c r="K491" s="7"/>
      <c r="L491" s="8"/>
      <c r="M491" s="7"/>
      <c r="N491" s="7"/>
      <c r="O491" s="8"/>
      <c r="P491" s="6"/>
      <c r="Q491" s="5"/>
      <c r="R491" s="5"/>
      <c r="S491" s="5"/>
      <c r="T491" s="5"/>
      <c r="U491" s="5"/>
      <c r="V491" s="5"/>
      <c r="W491" s="5"/>
      <c r="X491" s="8"/>
      <c r="Y491" s="9"/>
      <c r="Z491" s="10"/>
      <c r="AA491" s="10"/>
      <c r="AB491" s="8"/>
      <c r="AC491" s="10"/>
    </row>
    <row r="492" spans="1:29" s="4" customFormat="1" x14ac:dyDescent="0.3">
      <c r="A492" s="3"/>
      <c r="B492" s="39"/>
      <c r="C492" s="5"/>
      <c r="D492" s="5"/>
      <c r="E492" s="5"/>
      <c r="F492" s="5"/>
      <c r="G492" s="29"/>
      <c r="H492"/>
      <c r="I492" s="7"/>
      <c r="J492" s="7"/>
      <c r="K492" s="7"/>
      <c r="L492" s="8"/>
      <c r="M492" s="7"/>
      <c r="N492" s="7"/>
      <c r="O492" s="8"/>
      <c r="P492" s="6"/>
      <c r="Q492" s="5"/>
      <c r="R492" s="5"/>
      <c r="S492" s="5"/>
      <c r="T492" s="5"/>
      <c r="U492" s="5"/>
      <c r="V492" s="5"/>
      <c r="W492" s="5"/>
      <c r="X492" s="8"/>
      <c r="Y492" s="9"/>
      <c r="Z492" s="10"/>
      <c r="AA492" s="10"/>
      <c r="AB492" s="8"/>
      <c r="AC492" s="10"/>
    </row>
    <row r="493" spans="1:29" s="4" customFormat="1" x14ac:dyDescent="0.3">
      <c r="A493" s="3"/>
      <c r="B493" s="39"/>
      <c r="C493" s="5"/>
      <c r="D493" s="5"/>
      <c r="E493" s="5"/>
      <c r="F493" s="5"/>
      <c r="G493" s="29"/>
      <c r="H493"/>
      <c r="I493" s="7"/>
      <c r="J493" s="7"/>
      <c r="K493" s="7"/>
      <c r="L493" s="8"/>
      <c r="M493" s="7"/>
      <c r="N493" s="7"/>
      <c r="O493" s="8"/>
      <c r="P493" s="6"/>
      <c r="Q493" s="5"/>
      <c r="R493" s="5"/>
      <c r="S493" s="5"/>
      <c r="T493" s="5"/>
      <c r="U493" s="5"/>
      <c r="V493" s="5"/>
      <c r="W493" s="5"/>
      <c r="X493" s="8"/>
      <c r="Y493" s="9"/>
      <c r="Z493" s="10"/>
      <c r="AA493" s="10"/>
      <c r="AB493" s="8"/>
      <c r="AC493" s="10"/>
    </row>
    <row r="494" spans="1:29" s="4" customFormat="1" x14ac:dyDescent="0.3">
      <c r="A494" s="3"/>
      <c r="B494" s="39"/>
      <c r="C494" s="5"/>
      <c r="D494" s="5"/>
      <c r="E494" s="5"/>
      <c r="F494" s="5"/>
      <c r="G494" s="29"/>
      <c r="H494"/>
      <c r="I494" s="7"/>
      <c r="J494" s="7"/>
      <c r="K494" s="7"/>
      <c r="L494" s="8"/>
      <c r="M494" s="7"/>
      <c r="N494" s="7"/>
      <c r="O494" s="8"/>
      <c r="P494" s="6"/>
      <c r="Q494" s="5"/>
      <c r="R494" s="5"/>
      <c r="S494" s="5"/>
      <c r="T494" s="5"/>
      <c r="U494" s="5"/>
      <c r="V494" s="5"/>
      <c r="W494" s="5"/>
      <c r="X494" s="8"/>
      <c r="Y494" s="9"/>
      <c r="Z494" s="10"/>
      <c r="AA494" s="10"/>
      <c r="AB494" s="8"/>
      <c r="AC494" s="10"/>
    </row>
    <row r="495" spans="1:29" s="4" customFormat="1" x14ac:dyDescent="0.3">
      <c r="A495" s="3"/>
      <c r="B495" s="39"/>
      <c r="C495" s="5"/>
      <c r="D495" s="5"/>
      <c r="E495" s="5"/>
      <c r="F495" s="5"/>
      <c r="G495" s="29"/>
      <c r="H495"/>
      <c r="I495" s="7"/>
      <c r="J495" s="7"/>
      <c r="K495" s="7"/>
      <c r="L495" s="8"/>
      <c r="M495" s="7"/>
      <c r="N495" s="7"/>
      <c r="O495" s="8"/>
      <c r="P495" s="6"/>
      <c r="Q495" s="5"/>
      <c r="R495" s="5"/>
      <c r="S495" s="5"/>
      <c r="T495" s="5"/>
      <c r="U495" s="5"/>
      <c r="V495" s="5"/>
      <c r="W495" s="5"/>
      <c r="X495" s="8"/>
      <c r="Y495" s="9"/>
      <c r="Z495" s="10"/>
      <c r="AA495" s="10"/>
      <c r="AB495" s="8"/>
      <c r="AC495" s="10"/>
    </row>
    <row r="496" spans="1:29" s="4" customFormat="1" x14ac:dyDescent="0.3">
      <c r="A496" s="3"/>
      <c r="B496" s="39"/>
      <c r="C496" s="5"/>
      <c r="D496" s="5"/>
      <c r="E496" s="5"/>
      <c r="F496" s="5"/>
      <c r="G496" s="29"/>
      <c r="H496"/>
      <c r="I496" s="7"/>
      <c r="J496" s="7"/>
      <c r="K496" s="7"/>
      <c r="L496" s="8"/>
      <c r="M496" s="7"/>
      <c r="N496" s="7"/>
      <c r="O496" s="8"/>
      <c r="P496" s="6"/>
      <c r="Q496" s="5"/>
      <c r="R496" s="5"/>
      <c r="S496" s="5"/>
      <c r="T496" s="5"/>
      <c r="U496" s="5"/>
      <c r="V496" s="5"/>
      <c r="W496" s="5"/>
      <c r="X496" s="8"/>
      <c r="Y496" s="9"/>
      <c r="Z496" s="10"/>
      <c r="AA496" s="10"/>
      <c r="AB496" s="8"/>
      <c r="AC496" s="10"/>
    </row>
    <row r="497" spans="1:29" s="4" customFormat="1" x14ac:dyDescent="0.3">
      <c r="A497" s="3"/>
      <c r="B497" s="39"/>
      <c r="C497" s="5"/>
      <c r="D497" s="5"/>
      <c r="E497" s="5"/>
      <c r="F497" s="5"/>
      <c r="G497" s="29"/>
      <c r="H497"/>
      <c r="I497" s="7"/>
      <c r="J497" s="7"/>
      <c r="K497" s="7"/>
      <c r="L497" s="8"/>
      <c r="M497" s="7"/>
      <c r="N497" s="7"/>
      <c r="O497" s="8"/>
      <c r="P497" s="6"/>
      <c r="Q497" s="5"/>
      <c r="R497" s="5"/>
      <c r="S497" s="5"/>
      <c r="T497" s="5"/>
      <c r="U497" s="5"/>
      <c r="V497" s="5"/>
      <c r="W497" s="5"/>
      <c r="X497" s="8"/>
      <c r="Y497" s="9"/>
      <c r="Z497" s="10"/>
      <c r="AA497" s="10"/>
      <c r="AB497" s="8"/>
      <c r="AC497" s="10"/>
    </row>
    <row r="498" spans="1:29" s="4" customFormat="1" x14ac:dyDescent="0.3">
      <c r="A498" s="3"/>
      <c r="B498" s="39"/>
      <c r="C498" s="5"/>
      <c r="D498" s="5"/>
      <c r="E498" s="5"/>
      <c r="F498" s="5"/>
      <c r="G498" s="29"/>
      <c r="H498"/>
      <c r="I498" s="7"/>
      <c r="J498" s="7"/>
      <c r="K498" s="7"/>
      <c r="L498" s="8"/>
      <c r="M498" s="7"/>
      <c r="N498" s="7"/>
      <c r="O498" s="8"/>
      <c r="P498" s="6"/>
      <c r="Q498" s="5"/>
      <c r="R498" s="5"/>
      <c r="S498" s="5"/>
      <c r="T498" s="5"/>
      <c r="U498" s="5"/>
      <c r="V498" s="5"/>
      <c r="W498" s="5"/>
      <c r="X498" s="8"/>
      <c r="Y498" s="9"/>
      <c r="Z498" s="10"/>
      <c r="AA498" s="10"/>
      <c r="AB498" s="8"/>
      <c r="AC498" s="10"/>
    </row>
    <row r="499" spans="1:29" s="4" customFormat="1" x14ac:dyDescent="0.3">
      <c r="A499" s="3"/>
      <c r="B499" s="39"/>
      <c r="C499" s="5"/>
      <c r="D499" s="5"/>
      <c r="E499" s="5"/>
      <c r="F499" s="5"/>
      <c r="G499" s="29"/>
      <c r="H499"/>
      <c r="I499" s="7"/>
      <c r="J499" s="7"/>
      <c r="K499" s="7"/>
      <c r="L499" s="8"/>
      <c r="M499" s="7"/>
      <c r="N499" s="7"/>
      <c r="O499" s="8"/>
      <c r="P499" s="6"/>
      <c r="Q499" s="5"/>
      <c r="R499" s="5"/>
      <c r="S499" s="5"/>
      <c r="T499" s="5"/>
      <c r="U499" s="5"/>
      <c r="V499" s="5"/>
      <c r="W499" s="5"/>
      <c r="X499" s="8"/>
      <c r="Y499" s="9"/>
      <c r="Z499" s="10"/>
      <c r="AA499" s="10"/>
      <c r="AB499" s="8"/>
      <c r="AC499" s="10"/>
    </row>
    <row r="500" spans="1:29" s="4" customFormat="1" x14ac:dyDescent="0.3">
      <c r="A500" s="3"/>
      <c r="B500" s="39"/>
      <c r="C500" s="5"/>
      <c r="D500" s="5"/>
      <c r="E500" s="5"/>
      <c r="F500" s="5"/>
      <c r="G500" s="29"/>
      <c r="H500"/>
      <c r="I500" s="7"/>
      <c r="J500" s="7"/>
      <c r="K500" s="7"/>
      <c r="L500" s="8"/>
      <c r="M500" s="7"/>
      <c r="N500" s="7"/>
      <c r="O500" s="8"/>
      <c r="P500" s="6"/>
      <c r="Q500" s="5"/>
      <c r="R500" s="5"/>
      <c r="S500" s="5"/>
      <c r="T500" s="5"/>
      <c r="U500" s="5"/>
      <c r="V500" s="5"/>
      <c r="W500" s="5"/>
      <c r="X500" s="8"/>
      <c r="Y500" s="9"/>
      <c r="Z500" s="10"/>
      <c r="AA500" s="10"/>
      <c r="AB500" s="8"/>
      <c r="AC500" s="10"/>
    </row>
    <row r="501" spans="1:29" s="4" customFormat="1" x14ac:dyDescent="0.3">
      <c r="A501" s="3"/>
      <c r="B501" s="39"/>
      <c r="C501" s="5"/>
      <c r="D501" s="5"/>
      <c r="E501" s="5"/>
      <c r="F501" s="5"/>
      <c r="G501" s="29"/>
      <c r="H501"/>
      <c r="I501" s="7"/>
      <c r="J501" s="7"/>
      <c r="K501" s="7"/>
      <c r="L501" s="8"/>
      <c r="M501" s="7"/>
      <c r="N501" s="7"/>
      <c r="O501" s="8"/>
      <c r="P501" s="6"/>
      <c r="Q501" s="5"/>
      <c r="R501" s="5"/>
      <c r="S501" s="5"/>
      <c r="T501" s="5"/>
      <c r="U501" s="5"/>
      <c r="V501" s="5"/>
      <c r="W501" s="5"/>
      <c r="X501" s="8"/>
      <c r="Y501" s="9"/>
      <c r="Z501" s="10"/>
      <c r="AA501" s="10"/>
      <c r="AB501" s="8"/>
      <c r="AC501" s="10"/>
    </row>
    <row r="502" spans="1:29" s="4" customFormat="1" x14ac:dyDescent="0.3">
      <c r="A502" s="3"/>
      <c r="B502" s="39"/>
      <c r="C502" s="5"/>
      <c r="D502" s="5"/>
      <c r="E502" s="5"/>
      <c r="F502" s="5"/>
      <c r="G502" s="29"/>
      <c r="H502"/>
      <c r="I502" s="7"/>
      <c r="J502" s="7"/>
      <c r="K502" s="7"/>
      <c r="L502" s="8"/>
      <c r="M502" s="7"/>
      <c r="N502" s="7"/>
      <c r="O502" s="8"/>
      <c r="P502" s="6"/>
      <c r="Q502" s="5"/>
      <c r="R502" s="5"/>
      <c r="S502" s="5"/>
      <c r="T502" s="5"/>
      <c r="U502" s="5"/>
      <c r="V502" s="5"/>
      <c r="W502" s="5"/>
      <c r="X502" s="8"/>
      <c r="Y502" s="9"/>
      <c r="Z502" s="10"/>
      <c r="AA502" s="10"/>
      <c r="AB502" s="8"/>
      <c r="AC502" s="10"/>
    </row>
    <row r="503" spans="1:29" s="4" customFormat="1" x14ac:dyDescent="0.3">
      <c r="A503" s="3"/>
      <c r="B503" s="39"/>
      <c r="C503" s="5"/>
      <c r="D503" s="5"/>
      <c r="E503" s="5"/>
      <c r="F503" s="5"/>
      <c r="G503" s="29"/>
      <c r="H503"/>
      <c r="I503" s="7"/>
      <c r="J503" s="7"/>
      <c r="K503" s="7"/>
      <c r="L503" s="8"/>
      <c r="M503" s="7"/>
      <c r="N503" s="7"/>
      <c r="O503" s="8"/>
      <c r="P503" s="6"/>
      <c r="Q503" s="5"/>
      <c r="R503" s="5"/>
      <c r="S503" s="5"/>
      <c r="T503" s="5"/>
      <c r="U503" s="5"/>
      <c r="V503" s="5"/>
      <c r="W503" s="5"/>
      <c r="X503" s="8"/>
      <c r="Y503" s="9"/>
      <c r="Z503" s="10"/>
      <c r="AA503" s="10"/>
      <c r="AB503" s="8"/>
      <c r="AC503" s="10"/>
    </row>
    <row r="504" spans="1:29" s="4" customFormat="1" x14ac:dyDescent="0.3">
      <c r="A504" s="3"/>
      <c r="B504" s="39"/>
      <c r="C504" s="5"/>
      <c r="D504" s="5"/>
      <c r="E504" s="5"/>
      <c r="F504" s="5"/>
      <c r="G504" s="29"/>
      <c r="H504"/>
      <c r="I504" s="7"/>
      <c r="J504" s="7"/>
      <c r="K504" s="7"/>
      <c r="L504" s="8"/>
      <c r="M504" s="7"/>
      <c r="N504" s="7"/>
      <c r="O504" s="8"/>
      <c r="P504" s="6"/>
      <c r="Q504" s="5"/>
      <c r="R504" s="5"/>
      <c r="S504" s="5"/>
      <c r="T504" s="5"/>
      <c r="U504" s="5"/>
      <c r="V504" s="5"/>
      <c r="W504" s="5"/>
      <c r="X504" s="8"/>
      <c r="Y504" s="9"/>
      <c r="Z504" s="10"/>
      <c r="AA504" s="10"/>
      <c r="AB504" s="8"/>
      <c r="AC504" s="10"/>
    </row>
    <row r="505" spans="1:29" s="4" customFormat="1" x14ac:dyDescent="0.3">
      <c r="A505" s="3"/>
      <c r="B505" s="39"/>
      <c r="C505" s="5"/>
      <c r="D505" s="5"/>
      <c r="E505" s="5"/>
      <c r="F505" s="5"/>
      <c r="G505" s="29"/>
      <c r="H505"/>
      <c r="I505" s="7"/>
      <c r="J505" s="7"/>
      <c r="K505" s="7"/>
      <c r="L505" s="8"/>
      <c r="M505" s="7"/>
      <c r="N505" s="7"/>
      <c r="O505" s="8"/>
      <c r="P505" s="6"/>
      <c r="Q505" s="5"/>
      <c r="R505" s="5"/>
      <c r="S505" s="5"/>
      <c r="T505" s="5"/>
      <c r="U505" s="5"/>
      <c r="V505" s="5"/>
      <c r="W505" s="5"/>
      <c r="X505" s="8"/>
      <c r="Y505" s="9"/>
      <c r="Z505" s="10"/>
      <c r="AA505" s="10"/>
      <c r="AB505" s="8"/>
      <c r="AC505" s="10"/>
    </row>
    <row r="506" spans="1:29" s="4" customFormat="1" x14ac:dyDescent="0.3">
      <c r="A506" s="3"/>
      <c r="B506" s="39"/>
      <c r="C506" s="5"/>
      <c r="D506" s="5"/>
      <c r="E506" s="5"/>
      <c r="F506" s="5"/>
      <c r="G506" s="29"/>
      <c r="H506"/>
      <c r="I506" s="7"/>
      <c r="J506" s="7"/>
      <c r="K506" s="7"/>
      <c r="L506" s="8"/>
      <c r="M506" s="7"/>
      <c r="N506" s="7"/>
      <c r="O506" s="8"/>
      <c r="P506" s="6"/>
      <c r="Q506" s="5"/>
      <c r="R506" s="5"/>
      <c r="S506" s="5"/>
      <c r="T506" s="5"/>
      <c r="U506" s="5"/>
      <c r="V506" s="5"/>
      <c r="W506" s="5"/>
      <c r="X506" s="8"/>
      <c r="Y506" s="9"/>
      <c r="Z506" s="10"/>
      <c r="AA506" s="10"/>
      <c r="AB506" s="8"/>
      <c r="AC506" s="10"/>
    </row>
    <row r="507" spans="1:29" s="4" customFormat="1" x14ac:dyDescent="0.3">
      <c r="A507" s="3"/>
      <c r="B507" s="39"/>
      <c r="C507" s="5"/>
      <c r="D507" s="5"/>
      <c r="E507" s="5"/>
      <c r="F507" s="5"/>
      <c r="G507" s="29"/>
      <c r="H507"/>
      <c r="I507" s="7"/>
      <c r="J507" s="7"/>
      <c r="K507" s="7"/>
      <c r="L507" s="8"/>
      <c r="M507" s="7"/>
      <c r="N507" s="7"/>
      <c r="O507" s="8"/>
      <c r="P507" s="6"/>
      <c r="Q507" s="5"/>
      <c r="R507" s="5"/>
      <c r="S507" s="5"/>
      <c r="T507" s="5"/>
      <c r="U507" s="5"/>
      <c r="V507" s="5"/>
      <c r="W507" s="5"/>
      <c r="X507" s="8"/>
      <c r="Y507" s="9"/>
      <c r="Z507" s="10"/>
      <c r="AA507" s="10"/>
      <c r="AB507" s="8"/>
      <c r="AC507" s="10"/>
    </row>
    <row r="508" spans="1:29" s="4" customFormat="1" x14ac:dyDescent="0.3">
      <c r="A508" s="3"/>
      <c r="B508" s="39"/>
      <c r="C508" s="5"/>
      <c r="D508" s="5"/>
      <c r="E508" s="5"/>
      <c r="F508" s="5"/>
      <c r="G508" s="29"/>
      <c r="H508"/>
      <c r="I508" s="7"/>
      <c r="J508" s="7"/>
      <c r="K508" s="7"/>
      <c r="L508" s="8"/>
      <c r="M508" s="7"/>
      <c r="N508" s="7"/>
      <c r="O508" s="8"/>
      <c r="P508" s="6"/>
      <c r="Q508" s="5"/>
      <c r="R508" s="5"/>
      <c r="S508" s="5"/>
      <c r="T508" s="5"/>
      <c r="U508" s="5"/>
      <c r="V508" s="5"/>
      <c r="W508" s="5"/>
      <c r="X508" s="8"/>
      <c r="Y508" s="9"/>
      <c r="Z508" s="10"/>
      <c r="AA508" s="10"/>
      <c r="AB508" s="8"/>
      <c r="AC508" s="10"/>
    </row>
    <row r="509" spans="1:29" s="4" customFormat="1" x14ac:dyDescent="0.3">
      <c r="A509" s="3"/>
      <c r="B509" s="39"/>
      <c r="C509" s="5"/>
      <c r="D509" s="5"/>
      <c r="E509" s="5"/>
      <c r="F509" s="5"/>
      <c r="G509" s="29"/>
      <c r="H509"/>
      <c r="I509" s="7"/>
      <c r="J509" s="7"/>
      <c r="K509" s="7"/>
      <c r="L509" s="8"/>
      <c r="M509" s="7"/>
      <c r="N509" s="7"/>
      <c r="O509" s="8"/>
      <c r="P509" s="6"/>
      <c r="Q509" s="5"/>
      <c r="R509" s="5"/>
      <c r="S509" s="5"/>
      <c r="T509" s="5"/>
      <c r="U509" s="5"/>
      <c r="V509" s="5"/>
      <c r="W509" s="5"/>
      <c r="X509" s="8"/>
      <c r="Y509" s="9"/>
      <c r="Z509" s="10"/>
      <c r="AA509" s="10"/>
      <c r="AB509" s="8"/>
      <c r="AC509" s="10"/>
    </row>
    <row r="510" spans="1:29" s="4" customFormat="1" x14ac:dyDescent="0.3">
      <c r="A510" s="3"/>
      <c r="B510" s="39"/>
      <c r="C510" s="5"/>
      <c r="D510" s="5"/>
      <c r="E510" s="5"/>
      <c r="F510" s="5"/>
      <c r="G510" s="29"/>
      <c r="H510"/>
      <c r="I510" s="7"/>
      <c r="J510" s="7"/>
      <c r="K510" s="7"/>
      <c r="L510" s="8"/>
      <c r="M510" s="7"/>
      <c r="N510" s="7"/>
      <c r="O510" s="8"/>
      <c r="P510" s="6"/>
      <c r="Q510" s="5"/>
      <c r="R510" s="5"/>
      <c r="S510" s="5"/>
      <c r="T510" s="5"/>
      <c r="U510" s="5"/>
      <c r="V510" s="5"/>
      <c r="W510" s="5"/>
      <c r="X510" s="8"/>
      <c r="Y510" s="9"/>
      <c r="Z510" s="10"/>
      <c r="AA510" s="10"/>
      <c r="AB510" s="8"/>
      <c r="AC510" s="10"/>
    </row>
    <row r="511" spans="1:29" s="4" customFormat="1" x14ac:dyDescent="0.3">
      <c r="A511" s="3"/>
      <c r="B511" s="39"/>
      <c r="C511" s="5"/>
      <c r="D511" s="5"/>
      <c r="E511" s="5"/>
      <c r="F511" s="5"/>
      <c r="G511" s="29"/>
      <c r="H511"/>
      <c r="I511" s="7"/>
      <c r="J511" s="7"/>
      <c r="K511" s="7"/>
      <c r="L511" s="8"/>
      <c r="M511" s="7"/>
      <c r="N511" s="7"/>
      <c r="O511" s="8"/>
      <c r="P511" s="6"/>
      <c r="Q511" s="5"/>
      <c r="R511" s="5"/>
      <c r="S511" s="5"/>
      <c r="T511" s="5"/>
      <c r="U511" s="5"/>
      <c r="V511" s="5"/>
      <c r="W511" s="5"/>
      <c r="X511" s="8"/>
      <c r="Y511" s="9"/>
      <c r="Z511" s="10"/>
      <c r="AA511" s="10"/>
      <c r="AB511" s="8"/>
      <c r="AC511" s="10"/>
    </row>
    <row r="512" spans="1:29" s="4" customFormat="1" x14ac:dyDescent="0.3">
      <c r="A512" s="3"/>
      <c r="B512" s="39"/>
      <c r="C512" s="5"/>
      <c r="D512" s="5"/>
      <c r="E512" s="5"/>
      <c r="F512" s="5"/>
      <c r="G512" s="29"/>
      <c r="H512"/>
      <c r="I512" s="7"/>
      <c r="J512" s="7"/>
      <c r="K512" s="7"/>
      <c r="L512" s="8"/>
      <c r="M512" s="7"/>
      <c r="N512" s="7"/>
      <c r="O512" s="8"/>
      <c r="P512" s="6"/>
      <c r="Q512" s="5"/>
      <c r="R512" s="5"/>
      <c r="S512" s="5"/>
      <c r="T512" s="5"/>
      <c r="U512" s="5"/>
      <c r="V512" s="5"/>
      <c r="W512" s="5"/>
      <c r="X512" s="8"/>
      <c r="Y512" s="9"/>
      <c r="Z512" s="10"/>
      <c r="AA512" s="10"/>
      <c r="AB512" s="8"/>
      <c r="AC512" s="10"/>
    </row>
    <row r="513" spans="1:29" s="4" customFormat="1" x14ac:dyDescent="0.3">
      <c r="A513" s="3"/>
      <c r="B513" s="39"/>
      <c r="C513" s="5"/>
      <c r="D513" s="5"/>
      <c r="E513" s="5"/>
      <c r="F513" s="5"/>
      <c r="G513" s="29"/>
      <c r="H513"/>
      <c r="I513" s="7"/>
      <c r="J513" s="7"/>
      <c r="K513" s="7"/>
      <c r="L513" s="8"/>
      <c r="M513" s="7"/>
      <c r="N513" s="7"/>
      <c r="O513" s="8"/>
      <c r="P513" s="6"/>
      <c r="Q513" s="5"/>
      <c r="R513" s="5"/>
      <c r="S513" s="5"/>
      <c r="T513" s="5"/>
      <c r="U513" s="5"/>
      <c r="V513" s="5"/>
      <c r="W513" s="5"/>
      <c r="X513" s="8"/>
      <c r="Y513" s="9"/>
      <c r="Z513" s="10"/>
      <c r="AA513" s="10"/>
      <c r="AB513" s="8"/>
      <c r="AC513" s="10"/>
    </row>
    <row r="514" spans="1:29" s="4" customFormat="1" x14ac:dyDescent="0.3">
      <c r="A514" s="3"/>
      <c r="B514" s="39"/>
      <c r="C514" s="5"/>
      <c r="D514" s="5"/>
      <c r="E514" s="5"/>
      <c r="F514" s="5"/>
      <c r="G514" s="29"/>
      <c r="H514"/>
      <c r="I514" s="7"/>
      <c r="J514" s="7"/>
      <c r="K514" s="7"/>
      <c r="L514" s="8"/>
      <c r="M514" s="7"/>
      <c r="N514" s="7"/>
      <c r="O514" s="8"/>
      <c r="P514" s="6"/>
      <c r="Q514" s="5"/>
      <c r="R514" s="5"/>
      <c r="S514" s="5"/>
      <c r="T514" s="5"/>
      <c r="U514" s="5"/>
      <c r="V514" s="5"/>
      <c r="W514" s="5"/>
      <c r="X514" s="8"/>
      <c r="Y514" s="9"/>
      <c r="Z514" s="10"/>
      <c r="AA514" s="10"/>
      <c r="AB514" s="8"/>
      <c r="AC514" s="10"/>
    </row>
    <row r="515" spans="1:29" s="4" customFormat="1" x14ac:dyDescent="0.3">
      <c r="A515" s="3"/>
      <c r="B515" s="39"/>
      <c r="C515" s="5"/>
      <c r="D515" s="5"/>
      <c r="E515" s="5"/>
      <c r="F515" s="5"/>
      <c r="G515" s="29"/>
      <c r="H515"/>
      <c r="I515" s="7"/>
      <c r="J515" s="7"/>
      <c r="K515" s="7"/>
      <c r="L515" s="8"/>
      <c r="M515" s="7"/>
      <c r="N515" s="7"/>
      <c r="O515" s="8"/>
      <c r="P515" s="6"/>
      <c r="Q515" s="5"/>
      <c r="R515" s="5"/>
      <c r="S515" s="5"/>
      <c r="T515" s="5"/>
      <c r="U515" s="5"/>
      <c r="V515" s="5"/>
      <c r="W515" s="5"/>
      <c r="X515" s="8"/>
      <c r="Y515" s="9"/>
      <c r="Z515" s="10"/>
      <c r="AA515" s="10"/>
      <c r="AB515" s="8"/>
      <c r="AC515" s="10"/>
    </row>
    <row r="516" spans="1:29" s="4" customFormat="1" x14ac:dyDescent="0.3">
      <c r="A516" s="3"/>
      <c r="B516" s="39"/>
      <c r="C516" s="5"/>
      <c r="D516" s="5"/>
      <c r="E516" s="5"/>
      <c r="F516" s="5"/>
      <c r="G516" s="29"/>
      <c r="H516"/>
      <c r="I516" s="7"/>
      <c r="J516" s="7"/>
      <c r="K516" s="7"/>
      <c r="L516" s="8"/>
      <c r="M516" s="7"/>
      <c r="N516" s="7"/>
      <c r="O516" s="8"/>
      <c r="P516" s="6"/>
      <c r="Q516" s="5"/>
      <c r="R516" s="5"/>
      <c r="S516" s="5"/>
      <c r="T516" s="5"/>
      <c r="U516" s="5"/>
      <c r="V516" s="5"/>
      <c r="W516" s="5"/>
      <c r="X516" s="8"/>
      <c r="Y516" s="9"/>
      <c r="Z516" s="10"/>
      <c r="AA516" s="10"/>
      <c r="AB516" s="8"/>
      <c r="AC516" s="10"/>
    </row>
    <row r="517" spans="1:29" s="4" customFormat="1" x14ac:dyDescent="0.3">
      <c r="A517" s="3"/>
      <c r="B517" s="39"/>
      <c r="C517" s="5"/>
      <c r="D517" s="5"/>
      <c r="E517" s="5"/>
      <c r="F517" s="5"/>
      <c r="G517" s="29"/>
      <c r="H517"/>
      <c r="I517" s="7"/>
      <c r="J517" s="7"/>
      <c r="K517" s="7"/>
      <c r="L517" s="8"/>
      <c r="M517" s="7"/>
      <c r="N517" s="7"/>
      <c r="O517" s="8"/>
      <c r="P517" s="6"/>
      <c r="Q517" s="5"/>
      <c r="R517" s="5"/>
      <c r="S517" s="5"/>
      <c r="T517" s="5"/>
      <c r="U517" s="5"/>
      <c r="V517" s="5"/>
      <c r="W517" s="5"/>
      <c r="X517" s="8"/>
      <c r="Y517" s="9"/>
      <c r="Z517" s="10"/>
      <c r="AA517" s="10"/>
      <c r="AB517" s="8"/>
      <c r="AC517" s="10"/>
    </row>
    <row r="518" spans="1:29" s="4" customFormat="1" x14ac:dyDescent="0.3">
      <c r="A518" s="3"/>
      <c r="B518" s="39"/>
      <c r="C518" s="5"/>
      <c r="D518" s="5"/>
      <c r="E518" s="5"/>
      <c r="F518" s="5"/>
      <c r="G518" s="29"/>
      <c r="H518"/>
      <c r="I518" s="7"/>
      <c r="J518" s="7"/>
      <c r="K518" s="7"/>
      <c r="L518" s="8"/>
      <c r="M518" s="7"/>
      <c r="N518" s="7"/>
      <c r="O518" s="8"/>
      <c r="P518" s="6"/>
      <c r="Q518" s="5"/>
      <c r="R518" s="5"/>
      <c r="S518" s="5"/>
      <c r="T518" s="5"/>
      <c r="U518" s="5"/>
      <c r="V518" s="5"/>
      <c r="W518" s="5"/>
      <c r="X518" s="8"/>
      <c r="Y518" s="9"/>
      <c r="Z518" s="10"/>
      <c r="AA518" s="10"/>
      <c r="AB518" s="8"/>
      <c r="AC518" s="10"/>
    </row>
    <row r="519" spans="1:29" s="4" customFormat="1" x14ac:dyDescent="0.3">
      <c r="A519" s="3"/>
      <c r="B519" s="39"/>
      <c r="C519" s="5"/>
      <c r="D519" s="5"/>
      <c r="E519" s="5"/>
      <c r="F519" s="5"/>
      <c r="G519" s="29"/>
      <c r="H519"/>
      <c r="I519" s="7"/>
      <c r="J519" s="7"/>
      <c r="K519" s="7"/>
      <c r="L519" s="8"/>
      <c r="M519" s="7"/>
      <c r="N519" s="7"/>
      <c r="O519" s="8"/>
      <c r="P519" s="6"/>
      <c r="Q519" s="5"/>
      <c r="R519" s="5"/>
      <c r="S519" s="5"/>
      <c r="T519" s="5"/>
      <c r="U519" s="5"/>
      <c r="V519" s="5"/>
      <c r="W519" s="5"/>
      <c r="X519" s="8"/>
      <c r="Y519" s="9"/>
      <c r="Z519" s="10"/>
      <c r="AA519" s="10"/>
      <c r="AB519" s="8"/>
      <c r="AC519" s="10"/>
    </row>
    <row r="520" spans="1:29" s="4" customFormat="1" x14ac:dyDescent="0.3">
      <c r="A520" s="3"/>
      <c r="B520" s="39"/>
      <c r="C520" s="5"/>
      <c r="D520" s="5"/>
      <c r="E520" s="5"/>
      <c r="F520" s="5"/>
      <c r="G520" s="29"/>
      <c r="H520"/>
      <c r="I520" s="7"/>
      <c r="J520" s="7"/>
      <c r="K520" s="7"/>
      <c r="L520" s="8"/>
      <c r="M520" s="7"/>
      <c r="N520" s="7"/>
      <c r="O520" s="8"/>
      <c r="P520" s="6"/>
      <c r="Q520" s="5"/>
      <c r="R520" s="5"/>
      <c r="S520" s="5"/>
      <c r="T520" s="5"/>
      <c r="U520" s="5"/>
      <c r="V520" s="5"/>
      <c r="W520" s="5"/>
      <c r="X520" s="8"/>
      <c r="Y520" s="9"/>
      <c r="Z520" s="10"/>
      <c r="AA520" s="10"/>
      <c r="AB520" s="8"/>
      <c r="AC520" s="10"/>
    </row>
    <row r="521" spans="1:29" s="4" customFormat="1" x14ac:dyDescent="0.3">
      <c r="A521" s="3"/>
      <c r="B521" s="39"/>
      <c r="C521" s="5"/>
      <c r="D521" s="5"/>
      <c r="E521" s="5"/>
      <c r="F521" s="5"/>
      <c r="G521" s="29"/>
      <c r="H521"/>
      <c r="I521" s="7"/>
      <c r="J521" s="7"/>
      <c r="K521" s="7"/>
      <c r="L521" s="8"/>
      <c r="M521" s="7"/>
      <c r="N521" s="7"/>
      <c r="O521" s="8"/>
      <c r="P521" s="6"/>
      <c r="Q521" s="5"/>
      <c r="R521" s="5"/>
      <c r="S521" s="5"/>
      <c r="T521" s="5"/>
      <c r="U521" s="5"/>
      <c r="V521" s="5"/>
      <c r="W521" s="5"/>
      <c r="X521" s="8"/>
      <c r="Y521" s="9"/>
      <c r="Z521" s="10"/>
      <c r="AA521" s="10"/>
      <c r="AB521" s="8"/>
      <c r="AC521" s="10"/>
    </row>
    <row r="522" spans="1:29" s="4" customFormat="1" x14ac:dyDescent="0.3">
      <c r="A522" s="3"/>
      <c r="B522" s="39"/>
      <c r="C522" s="5"/>
      <c r="D522" s="5"/>
      <c r="E522" s="5"/>
      <c r="F522" s="5"/>
      <c r="G522" s="29"/>
      <c r="H522"/>
      <c r="I522" s="7"/>
      <c r="J522" s="7"/>
      <c r="K522" s="7"/>
      <c r="L522" s="8"/>
      <c r="M522" s="7"/>
      <c r="N522" s="7"/>
      <c r="O522" s="8"/>
      <c r="P522" s="6"/>
      <c r="Q522" s="5"/>
      <c r="R522" s="5"/>
      <c r="S522" s="5"/>
      <c r="T522" s="5"/>
      <c r="U522" s="5"/>
      <c r="V522" s="5"/>
      <c r="W522" s="5"/>
      <c r="X522" s="8"/>
      <c r="Y522" s="9"/>
      <c r="Z522" s="10"/>
      <c r="AA522" s="10"/>
      <c r="AB522" s="8"/>
      <c r="AC522" s="10"/>
    </row>
    <row r="523" spans="1:29" s="4" customFormat="1" x14ac:dyDescent="0.3">
      <c r="A523" s="3"/>
      <c r="B523" s="39"/>
      <c r="C523" s="5"/>
      <c r="D523" s="5"/>
      <c r="E523" s="5"/>
      <c r="F523" s="5"/>
      <c r="G523" s="29"/>
      <c r="H523"/>
      <c r="I523" s="7"/>
      <c r="J523" s="7"/>
      <c r="K523" s="7"/>
      <c r="L523" s="8"/>
      <c r="M523" s="7"/>
      <c r="N523" s="7"/>
      <c r="O523" s="8"/>
      <c r="P523" s="6"/>
      <c r="Q523" s="5"/>
      <c r="R523" s="5"/>
      <c r="S523" s="5"/>
      <c r="T523" s="5"/>
      <c r="U523" s="5"/>
      <c r="V523" s="5"/>
      <c r="W523" s="5"/>
      <c r="X523" s="8"/>
      <c r="Y523" s="9"/>
      <c r="Z523" s="10"/>
      <c r="AA523" s="10"/>
      <c r="AB523" s="8"/>
      <c r="AC523" s="10"/>
    </row>
    <row r="524" spans="1:29" s="4" customFormat="1" x14ac:dyDescent="0.3">
      <c r="A524" s="3"/>
      <c r="B524" s="39"/>
      <c r="C524" s="5"/>
      <c r="D524" s="5"/>
      <c r="E524" s="5"/>
      <c r="F524" s="5"/>
      <c r="G524" s="29"/>
      <c r="H524"/>
      <c r="I524" s="7"/>
      <c r="J524" s="7"/>
      <c r="K524" s="7"/>
      <c r="L524" s="8"/>
      <c r="M524" s="7"/>
      <c r="N524" s="7"/>
      <c r="O524" s="8"/>
      <c r="P524" s="6"/>
      <c r="Q524" s="5"/>
      <c r="R524" s="5"/>
      <c r="S524" s="5"/>
      <c r="T524" s="5"/>
      <c r="U524" s="5"/>
      <c r="V524" s="5"/>
      <c r="W524" s="5"/>
      <c r="X524" s="8"/>
      <c r="Y524" s="9"/>
      <c r="Z524" s="10"/>
      <c r="AA524" s="10"/>
      <c r="AB524" s="8"/>
      <c r="AC524" s="10"/>
    </row>
    <row r="525" spans="1:29" s="4" customFormat="1" x14ac:dyDescent="0.3">
      <c r="A525" s="3"/>
      <c r="B525" s="39"/>
      <c r="C525" s="5"/>
      <c r="D525" s="5"/>
      <c r="E525" s="5"/>
      <c r="F525" s="5"/>
      <c r="G525" s="29"/>
      <c r="H525"/>
      <c r="I525" s="7"/>
      <c r="J525" s="7"/>
      <c r="K525" s="7"/>
      <c r="L525" s="8"/>
      <c r="M525" s="7"/>
      <c r="N525" s="7"/>
      <c r="O525" s="8"/>
      <c r="P525" s="6"/>
      <c r="Q525" s="5"/>
      <c r="R525" s="5"/>
      <c r="S525" s="5"/>
      <c r="T525" s="5"/>
      <c r="U525" s="5"/>
      <c r="V525" s="5"/>
      <c r="W525" s="5"/>
      <c r="X525" s="8"/>
      <c r="Y525" s="9"/>
      <c r="Z525" s="10"/>
      <c r="AA525" s="10"/>
      <c r="AB525" s="8"/>
      <c r="AC525" s="10"/>
    </row>
    <row r="526" spans="1:29" s="4" customFormat="1" x14ac:dyDescent="0.3">
      <c r="A526" s="3"/>
      <c r="B526" s="39"/>
      <c r="C526" s="5"/>
      <c r="D526" s="5"/>
      <c r="E526" s="5"/>
      <c r="F526" s="5"/>
      <c r="G526" s="29"/>
      <c r="H526"/>
      <c r="I526" s="7"/>
      <c r="J526" s="7"/>
      <c r="K526" s="7"/>
      <c r="L526" s="8"/>
      <c r="M526" s="7"/>
      <c r="N526" s="7"/>
      <c r="O526" s="8"/>
      <c r="P526" s="6"/>
      <c r="Q526" s="5"/>
      <c r="R526" s="5"/>
      <c r="S526" s="5"/>
      <c r="T526" s="5"/>
      <c r="U526" s="5"/>
      <c r="V526" s="5"/>
      <c r="W526" s="5"/>
      <c r="X526" s="8"/>
      <c r="Y526" s="9"/>
      <c r="Z526" s="10"/>
      <c r="AA526" s="10"/>
      <c r="AB526" s="8"/>
      <c r="AC526" s="10"/>
    </row>
    <row r="527" spans="1:29" s="4" customFormat="1" x14ac:dyDescent="0.3">
      <c r="A527" s="3"/>
      <c r="B527" s="39"/>
      <c r="C527" s="5"/>
      <c r="D527" s="5"/>
      <c r="E527" s="5"/>
      <c r="F527" s="5"/>
      <c r="G527" s="29"/>
      <c r="H527"/>
      <c r="I527" s="7"/>
      <c r="J527" s="7"/>
      <c r="K527" s="7"/>
      <c r="L527" s="8"/>
      <c r="M527" s="7"/>
      <c r="N527" s="7"/>
      <c r="O527" s="8"/>
      <c r="P527" s="6"/>
      <c r="Q527" s="5"/>
      <c r="R527" s="5"/>
      <c r="S527" s="5"/>
      <c r="T527" s="5"/>
      <c r="U527" s="5"/>
      <c r="V527" s="5"/>
      <c r="W527" s="5"/>
      <c r="X527" s="8"/>
      <c r="Y527" s="9"/>
      <c r="Z527" s="10"/>
      <c r="AA527" s="10"/>
      <c r="AB527" s="8"/>
      <c r="AC527" s="10"/>
    </row>
    <row r="528" spans="1:29" s="4" customFormat="1" x14ac:dyDescent="0.3">
      <c r="A528" s="3"/>
      <c r="B528" s="39"/>
      <c r="C528" s="5"/>
      <c r="D528" s="5"/>
      <c r="E528" s="5"/>
      <c r="F528" s="5"/>
      <c r="G528" s="29"/>
      <c r="H528"/>
      <c r="I528" s="7"/>
      <c r="J528" s="7"/>
      <c r="K528" s="7"/>
      <c r="L528" s="8"/>
      <c r="M528" s="7"/>
      <c r="N528" s="7"/>
      <c r="O528" s="8"/>
      <c r="P528" s="6"/>
      <c r="Q528" s="5"/>
      <c r="R528" s="5"/>
      <c r="S528" s="5"/>
      <c r="T528" s="5"/>
      <c r="U528" s="5"/>
      <c r="V528" s="5"/>
      <c r="W528" s="5"/>
      <c r="X528" s="8"/>
      <c r="Y528" s="9"/>
      <c r="Z528" s="10"/>
      <c r="AA528" s="10"/>
      <c r="AB528" s="8"/>
      <c r="AC528" s="10"/>
    </row>
    <row r="529" spans="1:29" s="4" customFormat="1" x14ac:dyDescent="0.3">
      <c r="A529" s="3"/>
      <c r="B529" s="39"/>
      <c r="C529" s="5"/>
      <c r="D529" s="5"/>
      <c r="E529" s="5"/>
      <c r="F529" s="5"/>
      <c r="G529" s="29"/>
      <c r="H529"/>
      <c r="I529" s="7"/>
      <c r="J529" s="7"/>
      <c r="K529" s="7"/>
      <c r="L529" s="8"/>
      <c r="M529" s="7"/>
      <c r="N529" s="7"/>
      <c r="O529" s="8"/>
      <c r="P529" s="6"/>
      <c r="Q529" s="5"/>
      <c r="R529" s="5"/>
      <c r="S529" s="5"/>
      <c r="T529" s="5"/>
      <c r="U529" s="5"/>
      <c r="V529" s="5"/>
      <c r="W529" s="5"/>
      <c r="X529" s="8"/>
      <c r="Y529" s="9"/>
      <c r="Z529" s="10"/>
      <c r="AA529" s="10"/>
      <c r="AB529" s="8"/>
      <c r="AC529" s="10"/>
    </row>
    <row r="530" spans="1:29" s="4" customFormat="1" x14ac:dyDescent="0.3">
      <c r="A530" s="3"/>
      <c r="B530" s="39"/>
      <c r="C530" s="5"/>
      <c r="D530" s="5"/>
      <c r="E530" s="5"/>
      <c r="F530" s="5"/>
      <c r="G530" s="29"/>
      <c r="H530"/>
      <c r="I530" s="7"/>
      <c r="J530" s="7"/>
      <c r="K530" s="7"/>
      <c r="L530" s="8"/>
      <c r="M530" s="7"/>
      <c r="N530" s="7"/>
      <c r="O530" s="8"/>
      <c r="P530" s="6"/>
      <c r="Q530" s="5"/>
      <c r="R530" s="5"/>
      <c r="S530" s="5"/>
      <c r="T530" s="5"/>
      <c r="U530" s="5"/>
      <c r="V530" s="5"/>
      <c r="W530" s="5"/>
      <c r="X530" s="8"/>
      <c r="Y530" s="9"/>
      <c r="Z530" s="10"/>
      <c r="AA530" s="10"/>
      <c r="AB530" s="8"/>
      <c r="AC530" s="10"/>
    </row>
    <row r="531" spans="1:29" s="4" customFormat="1" x14ac:dyDescent="0.3">
      <c r="A531" s="3"/>
      <c r="B531" s="39"/>
      <c r="C531" s="5"/>
      <c r="D531" s="5"/>
      <c r="E531" s="5"/>
      <c r="F531" s="5"/>
      <c r="G531" s="29"/>
      <c r="H531"/>
      <c r="I531" s="7"/>
      <c r="J531" s="7"/>
      <c r="K531" s="7"/>
      <c r="L531" s="8"/>
      <c r="M531" s="7"/>
      <c r="N531" s="7"/>
      <c r="O531" s="8"/>
      <c r="P531" s="6"/>
      <c r="Q531" s="5"/>
      <c r="R531" s="5"/>
      <c r="S531" s="5"/>
      <c r="T531" s="5"/>
      <c r="U531" s="5"/>
      <c r="V531" s="5"/>
      <c r="W531" s="5"/>
      <c r="X531" s="8"/>
      <c r="Y531" s="9"/>
      <c r="Z531" s="10"/>
      <c r="AA531" s="10"/>
      <c r="AB531" s="8"/>
      <c r="AC531" s="10"/>
    </row>
    <row r="532" spans="1:29" s="4" customFormat="1" x14ac:dyDescent="0.3">
      <c r="A532" s="3"/>
      <c r="B532" s="39"/>
      <c r="C532" s="5"/>
      <c r="D532" s="5"/>
      <c r="E532" s="5"/>
      <c r="F532" s="5"/>
      <c r="G532" s="29"/>
      <c r="H532"/>
      <c r="I532" s="7"/>
      <c r="J532" s="7"/>
      <c r="K532" s="7"/>
      <c r="L532" s="8"/>
      <c r="M532" s="7"/>
      <c r="N532" s="7"/>
      <c r="O532" s="8"/>
      <c r="P532" s="6"/>
      <c r="Q532" s="5"/>
      <c r="R532" s="5"/>
      <c r="S532" s="5"/>
      <c r="T532" s="5"/>
      <c r="U532" s="5"/>
      <c r="V532" s="5"/>
      <c r="W532" s="5"/>
      <c r="X532" s="8"/>
      <c r="Y532" s="9"/>
      <c r="Z532" s="10"/>
      <c r="AA532" s="10"/>
      <c r="AB532" s="8"/>
      <c r="AC532" s="10"/>
    </row>
    <row r="533" spans="1:29" s="4" customFormat="1" x14ac:dyDescent="0.3">
      <c r="A533" s="3"/>
      <c r="B533" s="39"/>
      <c r="C533" s="5"/>
      <c r="D533" s="5"/>
      <c r="E533" s="5"/>
      <c r="F533" s="5"/>
      <c r="G533" s="29"/>
      <c r="H533"/>
      <c r="I533" s="7"/>
      <c r="J533" s="7"/>
      <c r="K533" s="7"/>
      <c r="L533" s="8"/>
      <c r="M533" s="7"/>
      <c r="N533" s="7"/>
      <c r="O533" s="8"/>
      <c r="P533" s="6"/>
      <c r="Q533" s="5"/>
      <c r="R533" s="5"/>
      <c r="S533" s="5"/>
      <c r="T533" s="5"/>
      <c r="U533" s="5"/>
      <c r="V533" s="5"/>
      <c r="W533" s="5"/>
      <c r="X533" s="8"/>
      <c r="Y533" s="9"/>
      <c r="Z533" s="10"/>
      <c r="AA533" s="10"/>
      <c r="AB533" s="8"/>
      <c r="AC533" s="10"/>
    </row>
    <row r="534" spans="1:29" s="4" customFormat="1" x14ac:dyDescent="0.3">
      <c r="A534" s="3"/>
      <c r="B534" s="39"/>
      <c r="C534" s="5"/>
      <c r="D534" s="5"/>
      <c r="E534" s="5"/>
      <c r="F534" s="5"/>
      <c r="G534" s="29"/>
      <c r="H534"/>
      <c r="I534" s="7"/>
      <c r="J534" s="7"/>
      <c r="K534" s="7"/>
      <c r="L534" s="8"/>
      <c r="M534" s="7"/>
      <c r="N534" s="7"/>
      <c r="O534" s="8"/>
      <c r="P534" s="6"/>
      <c r="Q534" s="5"/>
      <c r="R534" s="5"/>
      <c r="S534" s="5"/>
      <c r="T534" s="5"/>
      <c r="U534" s="5"/>
      <c r="V534" s="5"/>
      <c r="W534" s="5"/>
      <c r="X534" s="8"/>
      <c r="Y534" s="9"/>
      <c r="Z534" s="10"/>
      <c r="AA534" s="10"/>
      <c r="AB534" s="8"/>
      <c r="AC534" s="10"/>
    </row>
    <row r="535" spans="1:29" s="4" customFormat="1" x14ac:dyDescent="0.3">
      <c r="A535" s="3"/>
      <c r="B535" s="39"/>
      <c r="C535" s="5"/>
      <c r="D535" s="5"/>
      <c r="E535" s="5"/>
      <c r="F535" s="5"/>
      <c r="G535" s="29"/>
      <c r="H535"/>
      <c r="I535" s="7"/>
      <c r="J535" s="7"/>
      <c r="K535" s="7"/>
      <c r="L535" s="8"/>
      <c r="M535" s="7"/>
      <c r="N535" s="7"/>
      <c r="O535" s="8"/>
      <c r="P535" s="6"/>
      <c r="Q535" s="5"/>
      <c r="R535" s="5"/>
      <c r="S535" s="5"/>
      <c r="T535" s="5"/>
      <c r="U535" s="5"/>
      <c r="V535" s="5"/>
      <c r="W535" s="5"/>
      <c r="X535" s="8"/>
      <c r="Y535" s="9"/>
      <c r="Z535" s="10"/>
      <c r="AA535" s="10"/>
      <c r="AB535" s="8"/>
      <c r="AC535" s="10"/>
    </row>
    <row r="536" spans="1:29" s="4" customFormat="1" x14ac:dyDescent="0.3">
      <c r="A536" s="3"/>
      <c r="B536" s="39"/>
      <c r="C536" s="5"/>
      <c r="D536" s="5"/>
      <c r="E536" s="5"/>
      <c r="F536" s="5"/>
      <c r="G536" s="29"/>
      <c r="H536"/>
      <c r="I536" s="7"/>
      <c r="J536" s="7"/>
      <c r="K536" s="7"/>
      <c r="L536" s="8"/>
      <c r="M536" s="7"/>
      <c r="N536" s="7"/>
      <c r="O536" s="8"/>
      <c r="P536" s="6"/>
      <c r="Q536" s="5"/>
      <c r="R536" s="5"/>
      <c r="S536" s="5"/>
      <c r="T536" s="5"/>
      <c r="U536" s="5"/>
      <c r="V536" s="5"/>
      <c r="W536" s="5"/>
      <c r="X536" s="8"/>
      <c r="Y536" s="9"/>
      <c r="Z536" s="10"/>
      <c r="AA536" s="10"/>
      <c r="AB536" s="8"/>
      <c r="AC536" s="10"/>
    </row>
    <row r="537" spans="1:29" s="4" customFormat="1" x14ac:dyDescent="0.3">
      <c r="A537" s="3"/>
      <c r="B537" s="39"/>
      <c r="C537" s="5"/>
      <c r="D537" s="5"/>
      <c r="E537" s="5"/>
      <c r="F537" s="5"/>
      <c r="G537" s="29"/>
      <c r="H537"/>
      <c r="I537" s="7"/>
      <c r="J537" s="7"/>
      <c r="K537" s="7"/>
      <c r="L537" s="8"/>
      <c r="M537" s="7"/>
      <c r="N537" s="7"/>
      <c r="O537" s="8"/>
      <c r="P537" s="6"/>
      <c r="Q537" s="5"/>
      <c r="R537" s="5"/>
      <c r="S537" s="5"/>
      <c r="T537" s="5"/>
      <c r="U537" s="5"/>
      <c r="V537" s="5"/>
      <c r="W537" s="5"/>
      <c r="X537" s="8"/>
      <c r="Y537" s="9"/>
      <c r="Z537" s="10"/>
      <c r="AA537" s="10"/>
      <c r="AB537" s="8"/>
      <c r="AC537" s="10"/>
    </row>
    <row r="538" spans="1:29" s="4" customFormat="1" x14ac:dyDescent="0.3">
      <c r="A538" s="3"/>
      <c r="B538" s="39"/>
      <c r="C538" s="5"/>
      <c r="D538" s="5"/>
      <c r="E538" s="5"/>
      <c r="F538" s="5"/>
      <c r="G538" s="29"/>
      <c r="H538"/>
      <c r="I538" s="7"/>
      <c r="J538" s="7"/>
      <c r="K538" s="7"/>
      <c r="L538" s="8"/>
      <c r="M538" s="7"/>
      <c r="N538" s="7"/>
      <c r="O538" s="8"/>
      <c r="P538" s="6"/>
      <c r="Q538" s="5"/>
      <c r="R538" s="5"/>
      <c r="S538" s="5"/>
      <c r="T538" s="5"/>
      <c r="U538" s="5"/>
      <c r="V538" s="5"/>
      <c r="W538" s="5"/>
      <c r="X538" s="8"/>
      <c r="Y538" s="9"/>
      <c r="Z538" s="10"/>
      <c r="AA538" s="10"/>
      <c r="AB538" s="8"/>
      <c r="AC538" s="10"/>
    </row>
    <row r="539" spans="1:29" s="4" customFormat="1" x14ac:dyDescent="0.3">
      <c r="A539" s="3"/>
      <c r="B539" s="39"/>
      <c r="C539" s="5"/>
      <c r="D539" s="5"/>
      <c r="E539" s="5"/>
      <c r="F539" s="5"/>
      <c r="G539" s="29"/>
      <c r="H539"/>
      <c r="I539" s="7"/>
      <c r="J539" s="7"/>
      <c r="K539" s="7"/>
      <c r="L539" s="8"/>
      <c r="M539" s="7"/>
      <c r="N539" s="7"/>
      <c r="O539" s="8"/>
      <c r="P539" s="6"/>
      <c r="Q539" s="5"/>
      <c r="R539" s="5"/>
      <c r="S539" s="5"/>
      <c r="T539" s="5"/>
      <c r="U539" s="5"/>
      <c r="V539" s="5"/>
      <c r="W539" s="5"/>
      <c r="X539" s="8"/>
      <c r="Y539" s="9"/>
      <c r="Z539" s="10"/>
      <c r="AA539" s="10"/>
      <c r="AB539" s="8"/>
      <c r="AC539" s="10"/>
    </row>
    <row r="540" spans="1:29" s="4" customFormat="1" x14ac:dyDescent="0.3">
      <c r="A540" s="3"/>
      <c r="B540" s="39"/>
      <c r="C540" s="5"/>
      <c r="D540" s="5"/>
      <c r="E540" s="5"/>
      <c r="F540" s="5"/>
      <c r="G540" s="29"/>
      <c r="H540"/>
      <c r="I540" s="7"/>
      <c r="J540" s="7"/>
      <c r="K540" s="7"/>
      <c r="L540" s="8"/>
      <c r="M540" s="7"/>
      <c r="N540" s="7"/>
      <c r="O540" s="8"/>
      <c r="P540" s="6"/>
      <c r="Q540" s="5"/>
      <c r="R540" s="5"/>
      <c r="S540" s="5"/>
      <c r="T540" s="5"/>
      <c r="U540" s="5"/>
      <c r="V540" s="5"/>
      <c r="W540" s="5"/>
      <c r="X540" s="8"/>
      <c r="Y540" s="9"/>
      <c r="Z540" s="10"/>
      <c r="AA540" s="10"/>
      <c r="AB540" s="8"/>
      <c r="AC540" s="10"/>
    </row>
    <row r="541" spans="1:29" s="4" customFormat="1" x14ac:dyDescent="0.3">
      <c r="A541" s="3"/>
      <c r="B541" s="39"/>
      <c r="C541" s="5"/>
      <c r="D541" s="5"/>
      <c r="E541" s="5"/>
      <c r="F541" s="5"/>
      <c r="G541" s="29"/>
      <c r="H541"/>
      <c r="I541" s="7"/>
      <c r="J541" s="7"/>
      <c r="K541" s="7"/>
      <c r="L541" s="8"/>
      <c r="M541" s="7"/>
      <c r="N541" s="7"/>
      <c r="O541" s="8"/>
      <c r="P541" s="6"/>
      <c r="Q541" s="5"/>
      <c r="R541" s="5"/>
      <c r="S541" s="5"/>
      <c r="T541" s="5"/>
      <c r="U541" s="5"/>
      <c r="V541" s="5"/>
      <c r="W541" s="5"/>
      <c r="X541" s="8"/>
      <c r="Y541" s="9"/>
      <c r="Z541" s="10"/>
      <c r="AA541" s="10"/>
      <c r="AB541" s="8"/>
      <c r="AC541" s="10"/>
    </row>
    <row r="542" spans="1:29" s="4" customFormat="1" x14ac:dyDescent="0.3">
      <c r="A542" s="3"/>
      <c r="B542" s="39"/>
      <c r="C542" s="5"/>
      <c r="D542" s="5"/>
      <c r="E542" s="5"/>
      <c r="F542" s="5"/>
      <c r="G542" s="29"/>
      <c r="H542"/>
      <c r="I542" s="7"/>
      <c r="J542" s="7"/>
      <c r="K542" s="7"/>
      <c r="L542" s="8"/>
      <c r="M542" s="7"/>
      <c r="N542" s="7"/>
      <c r="O542" s="8"/>
      <c r="P542" s="6"/>
      <c r="Q542" s="5"/>
      <c r="R542" s="5"/>
      <c r="S542" s="5"/>
      <c r="T542" s="5"/>
      <c r="U542" s="5"/>
      <c r="V542" s="5"/>
      <c r="W542" s="5"/>
      <c r="X542" s="8"/>
      <c r="Y542" s="9"/>
      <c r="Z542" s="10"/>
      <c r="AA542" s="10"/>
      <c r="AB542" s="8"/>
      <c r="AC542" s="10"/>
    </row>
    <row r="543" spans="1:29" s="4" customFormat="1" x14ac:dyDescent="0.3">
      <c r="A543" s="3"/>
      <c r="B543" s="39"/>
      <c r="C543" s="5"/>
      <c r="D543" s="5"/>
      <c r="E543" s="5"/>
      <c r="F543" s="5"/>
      <c r="G543" s="29"/>
      <c r="H543"/>
      <c r="I543" s="7"/>
      <c r="J543" s="7"/>
      <c r="K543" s="7"/>
      <c r="L543" s="8"/>
      <c r="M543" s="7"/>
      <c r="N543" s="7"/>
      <c r="O543" s="8"/>
      <c r="P543" s="6"/>
      <c r="Q543" s="5"/>
      <c r="R543" s="5"/>
      <c r="S543" s="5"/>
      <c r="T543" s="5"/>
      <c r="U543" s="5"/>
      <c r="V543" s="5"/>
      <c r="W543" s="5"/>
      <c r="X543" s="8"/>
      <c r="Y543" s="9"/>
      <c r="Z543" s="10"/>
      <c r="AA543" s="10"/>
      <c r="AB543" s="8"/>
      <c r="AC543" s="10"/>
    </row>
    <row r="544" spans="1:29" s="4" customFormat="1" x14ac:dyDescent="0.3">
      <c r="A544" s="3"/>
      <c r="B544" s="39"/>
      <c r="C544" s="5"/>
      <c r="D544" s="5"/>
      <c r="E544" s="5"/>
      <c r="F544" s="5"/>
      <c r="G544" s="29"/>
      <c r="H544"/>
      <c r="I544" s="7"/>
      <c r="J544" s="7"/>
      <c r="K544" s="7"/>
      <c r="L544" s="8"/>
      <c r="M544" s="7"/>
      <c r="N544" s="7"/>
      <c r="O544" s="8"/>
      <c r="P544" s="6"/>
      <c r="Q544" s="5"/>
      <c r="R544" s="5"/>
      <c r="S544" s="5"/>
      <c r="T544" s="5"/>
      <c r="U544" s="5"/>
      <c r="V544" s="5"/>
      <c r="W544" s="5"/>
      <c r="X544" s="8"/>
      <c r="Y544" s="9"/>
      <c r="Z544" s="10"/>
      <c r="AA544" s="10"/>
      <c r="AB544" s="8"/>
      <c r="AC544" s="10"/>
    </row>
    <row r="545" spans="1:29" s="4" customFormat="1" x14ac:dyDescent="0.3">
      <c r="A545" s="3"/>
      <c r="B545" s="39"/>
      <c r="C545" s="5"/>
      <c r="D545" s="5"/>
      <c r="E545" s="5"/>
      <c r="F545" s="5"/>
      <c r="G545" s="29"/>
      <c r="H545"/>
      <c r="I545" s="7"/>
      <c r="J545" s="7"/>
      <c r="K545" s="7"/>
      <c r="L545" s="8"/>
      <c r="M545" s="7"/>
      <c r="N545" s="7"/>
      <c r="O545" s="8"/>
      <c r="P545" s="6"/>
      <c r="Q545" s="5"/>
      <c r="R545" s="5"/>
      <c r="S545" s="5"/>
      <c r="T545" s="5"/>
      <c r="U545" s="5"/>
      <c r="V545" s="5"/>
      <c r="W545" s="5"/>
      <c r="X545" s="8"/>
      <c r="Y545" s="9"/>
      <c r="Z545" s="10"/>
      <c r="AA545" s="10"/>
      <c r="AB545" s="8"/>
      <c r="AC545" s="10"/>
    </row>
    <row r="546" spans="1:29" s="4" customFormat="1" x14ac:dyDescent="0.3">
      <c r="A546" s="3"/>
      <c r="B546" s="39"/>
      <c r="C546" s="5"/>
      <c r="D546" s="5"/>
      <c r="E546" s="5"/>
      <c r="F546" s="5"/>
      <c r="G546" s="29"/>
      <c r="H546"/>
      <c r="I546" s="7"/>
      <c r="J546" s="7"/>
      <c r="K546" s="7"/>
      <c r="L546" s="8"/>
      <c r="M546" s="7"/>
      <c r="N546" s="7"/>
      <c r="O546" s="8"/>
      <c r="P546" s="6"/>
      <c r="Q546" s="5"/>
      <c r="R546" s="5"/>
      <c r="S546" s="5"/>
      <c r="T546" s="5"/>
      <c r="U546" s="5"/>
      <c r="V546" s="5"/>
      <c r="W546" s="5"/>
      <c r="X546" s="8"/>
      <c r="Y546" s="9"/>
      <c r="Z546" s="10"/>
      <c r="AA546" s="10"/>
      <c r="AB546" s="8"/>
      <c r="AC546" s="10"/>
    </row>
    <row r="547" spans="1:29" s="4" customFormat="1" x14ac:dyDescent="0.3">
      <c r="A547" s="3"/>
      <c r="B547" s="39"/>
      <c r="C547" s="5"/>
      <c r="D547" s="5"/>
      <c r="E547" s="5"/>
      <c r="F547" s="5"/>
      <c r="G547" s="29"/>
      <c r="H547"/>
      <c r="I547" s="7"/>
      <c r="J547" s="7"/>
      <c r="K547" s="7"/>
      <c r="L547" s="8"/>
      <c r="M547" s="7"/>
      <c r="N547" s="7"/>
      <c r="O547" s="8"/>
      <c r="P547" s="6"/>
      <c r="Q547" s="5"/>
      <c r="R547" s="5"/>
      <c r="S547" s="5"/>
      <c r="T547" s="5"/>
      <c r="U547" s="5"/>
      <c r="V547" s="5"/>
      <c r="W547" s="5"/>
      <c r="X547" s="8"/>
      <c r="Y547" s="9"/>
      <c r="Z547" s="10"/>
      <c r="AA547" s="10"/>
      <c r="AB547" s="8"/>
      <c r="AC547" s="10"/>
    </row>
    <row r="548" spans="1:29" s="4" customFormat="1" x14ac:dyDescent="0.3">
      <c r="A548" s="3"/>
      <c r="B548" s="39"/>
      <c r="C548" s="5"/>
      <c r="D548" s="5"/>
      <c r="E548" s="5"/>
      <c r="F548" s="5"/>
      <c r="G548" s="29"/>
      <c r="H548"/>
      <c r="I548" s="7"/>
      <c r="J548" s="7"/>
      <c r="K548" s="7"/>
      <c r="L548" s="8"/>
      <c r="M548" s="7"/>
      <c r="N548" s="7"/>
      <c r="O548" s="8"/>
      <c r="P548" s="6"/>
      <c r="Q548" s="5"/>
      <c r="R548" s="5"/>
      <c r="S548" s="5"/>
      <c r="T548" s="5"/>
      <c r="U548" s="5"/>
      <c r="V548" s="5"/>
      <c r="W548" s="5"/>
      <c r="X548" s="8"/>
      <c r="Y548" s="9"/>
      <c r="Z548" s="10"/>
      <c r="AA548" s="10"/>
      <c r="AB548" s="8"/>
      <c r="AC548" s="10"/>
    </row>
    <row r="549" spans="1:29" s="4" customFormat="1" x14ac:dyDescent="0.3">
      <c r="A549" s="3"/>
      <c r="B549" s="39"/>
      <c r="C549" s="5"/>
      <c r="D549" s="5"/>
      <c r="E549" s="5"/>
      <c r="F549" s="5"/>
      <c r="G549" s="29"/>
      <c r="H549"/>
      <c r="I549" s="7"/>
      <c r="J549" s="7"/>
      <c r="K549" s="7"/>
      <c r="L549" s="8"/>
      <c r="M549" s="7"/>
      <c r="N549" s="7"/>
      <c r="O549" s="8"/>
      <c r="P549" s="6"/>
      <c r="Q549" s="5"/>
      <c r="R549" s="5"/>
      <c r="S549" s="5"/>
      <c r="T549" s="5"/>
      <c r="U549" s="5"/>
      <c r="V549" s="5"/>
      <c r="W549" s="5"/>
      <c r="X549" s="8"/>
      <c r="Y549" s="9"/>
      <c r="Z549" s="10"/>
      <c r="AA549" s="10"/>
      <c r="AB549" s="8"/>
      <c r="AC549" s="10"/>
    </row>
    <row r="550" spans="1:29" s="4" customFormat="1" x14ac:dyDescent="0.3">
      <c r="A550" s="3"/>
      <c r="B550" s="39"/>
      <c r="C550" s="5"/>
      <c r="D550" s="5"/>
      <c r="E550" s="5"/>
      <c r="F550" s="5"/>
      <c r="G550" s="29"/>
      <c r="H550"/>
      <c r="I550" s="7"/>
      <c r="J550" s="7"/>
      <c r="K550" s="7"/>
      <c r="L550" s="8"/>
      <c r="M550" s="7"/>
      <c r="N550" s="7"/>
      <c r="O550" s="8"/>
      <c r="P550" s="6"/>
      <c r="Q550" s="5"/>
      <c r="R550" s="5"/>
      <c r="S550" s="5"/>
      <c r="T550" s="5"/>
      <c r="U550" s="5"/>
      <c r="V550" s="5"/>
      <c r="W550" s="5"/>
      <c r="X550" s="8"/>
      <c r="Y550" s="9"/>
      <c r="Z550" s="10"/>
      <c r="AA550" s="10"/>
      <c r="AB550" s="8"/>
      <c r="AC550" s="10"/>
    </row>
    <row r="551" spans="1:29" s="4" customFormat="1" x14ac:dyDescent="0.3">
      <c r="A551" s="3"/>
      <c r="B551" s="39"/>
      <c r="C551" s="5"/>
      <c r="D551" s="5"/>
      <c r="E551" s="5"/>
      <c r="F551" s="5"/>
      <c r="G551" s="29"/>
      <c r="H551"/>
      <c r="I551" s="7"/>
      <c r="J551" s="7"/>
      <c r="K551" s="7"/>
      <c r="L551" s="8"/>
      <c r="M551" s="7"/>
      <c r="N551" s="7"/>
      <c r="O551" s="8"/>
      <c r="P551" s="6"/>
      <c r="Q551" s="5"/>
      <c r="R551" s="5"/>
      <c r="S551" s="5"/>
      <c r="T551" s="5"/>
      <c r="U551" s="5"/>
      <c r="V551" s="5"/>
      <c r="W551" s="5"/>
      <c r="X551" s="8"/>
      <c r="Y551" s="9"/>
      <c r="Z551" s="10"/>
      <c r="AA551" s="10"/>
      <c r="AB551" s="8"/>
      <c r="AC551" s="10"/>
    </row>
    <row r="552" spans="1:29" s="4" customFormat="1" x14ac:dyDescent="0.3">
      <c r="A552" s="3"/>
      <c r="B552" s="39"/>
      <c r="C552" s="5"/>
      <c r="D552" s="5"/>
      <c r="E552" s="5"/>
      <c r="F552" s="5"/>
      <c r="G552" s="29"/>
      <c r="H552"/>
      <c r="I552" s="7"/>
      <c r="J552" s="7"/>
      <c r="K552" s="7"/>
      <c r="L552" s="8"/>
      <c r="M552" s="7"/>
      <c r="N552" s="7"/>
      <c r="O552" s="8"/>
      <c r="P552" s="6"/>
      <c r="Q552" s="5"/>
      <c r="R552" s="5"/>
      <c r="S552" s="5"/>
      <c r="T552" s="5"/>
      <c r="U552" s="5"/>
      <c r="V552" s="5"/>
      <c r="W552" s="5"/>
      <c r="X552" s="8"/>
      <c r="Y552" s="9"/>
      <c r="Z552" s="10"/>
      <c r="AA552" s="10"/>
      <c r="AB552" s="8"/>
      <c r="AC552" s="10"/>
    </row>
    <row r="553" spans="1:29" s="4" customFormat="1" x14ac:dyDescent="0.3">
      <c r="A553" s="3"/>
      <c r="B553" s="39"/>
      <c r="C553" s="5"/>
      <c r="D553" s="5"/>
      <c r="E553" s="5"/>
      <c r="F553" s="5"/>
      <c r="G553" s="29"/>
      <c r="H553"/>
      <c r="I553" s="7"/>
      <c r="J553" s="7"/>
      <c r="K553" s="7"/>
      <c r="L553" s="8"/>
      <c r="M553" s="7"/>
      <c r="N553" s="7"/>
      <c r="O553" s="8"/>
      <c r="P553" s="6"/>
      <c r="Q553" s="5"/>
      <c r="R553" s="5"/>
      <c r="S553" s="5"/>
      <c r="T553" s="5"/>
      <c r="U553" s="5"/>
      <c r="V553" s="5"/>
      <c r="W553" s="5"/>
      <c r="X553" s="8"/>
      <c r="Y553" s="9"/>
      <c r="Z553" s="10"/>
      <c r="AA553" s="10"/>
      <c r="AB553" s="8"/>
      <c r="AC553" s="10"/>
    </row>
    <row r="554" spans="1:29" s="4" customFormat="1" x14ac:dyDescent="0.3">
      <c r="A554" s="3"/>
      <c r="B554" s="39"/>
      <c r="C554" s="5"/>
      <c r="D554" s="5"/>
      <c r="E554" s="5"/>
      <c r="F554" s="5"/>
      <c r="G554" s="29"/>
      <c r="H554"/>
      <c r="I554" s="7"/>
      <c r="J554" s="7"/>
      <c r="K554" s="7"/>
      <c r="L554" s="8"/>
      <c r="M554" s="7"/>
      <c r="N554" s="7"/>
      <c r="O554" s="8"/>
      <c r="P554" s="6"/>
      <c r="Q554" s="5"/>
      <c r="R554" s="5"/>
      <c r="S554" s="5"/>
      <c r="T554" s="5"/>
      <c r="U554" s="5"/>
      <c r="V554" s="5"/>
      <c r="W554" s="5"/>
      <c r="X554" s="8"/>
      <c r="Y554" s="9"/>
      <c r="Z554" s="10"/>
      <c r="AA554" s="10"/>
      <c r="AB554" s="8"/>
      <c r="AC554" s="10"/>
    </row>
    <row r="555" spans="1:29" s="4" customFormat="1" x14ac:dyDescent="0.3">
      <c r="A555" s="3"/>
      <c r="B555" s="39"/>
      <c r="C555" s="5"/>
      <c r="D555" s="5"/>
      <c r="E555" s="5"/>
      <c r="F555" s="5"/>
      <c r="G555" s="29"/>
      <c r="H555"/>
      <c r="I555" s="7"/>
      <c r="J555" s="7"/>
      <c r="K555" s="7"/>
      <c r="L555" s="8"/>
      <c r="M555" s="7"/>
      <c r="N555" s="7"/>
      <c r="O555" s="8"/>
      <c r="P555" s="6"/>
      <c r="Q555" s="5"/>
      <c r="R555" s="5"/>
      <c r="S555" s="5"/>
      <c r="T555" s="5"/>
      <c r="U555" s="5"/>
      <c r="V555" s="5"/>
      <c r="W555" s="5"/>
      <c r="X555" s="8"/>
      <c r="Y555" s="9"/>
      <c r="Z555" s="10"/>
      <c r="AA555" s="10"/>
      <c r="AB555" s="8"/>
      <c r="AC555" s="10"/>
    </row>
    <row r="556" spans="1:29" s="4" customFormat="1" x14ac:dyDescent="0.3">
      <c r="A556" s="3"/>
      <c r="B556" s="39"/>
      <c r="C556" s="5"/>
      <c r="D556" s="5"/>
      <c r="E556" s="5"/>
      <c r="F556" s="5"/>
      <c r="G556" s="29"/>
      <c r="H556"/>
      <c r="I556" s="7"/>
      <c r="J556" s="7"/>
      <c r="K556" s="7"/>
      <c r="L556" s="8"/>
      <c r="M556" s="7"/>
      <c r="N556" s="7"/>
      <c r="O556" s="8"/>
      <c r="P556" s="6"/>
      <c r="Q556" s="5"/>
      <c r="R556" s="5"/>
      <c r="S556" s="5"/>
      <c r="T556" s="5"/>
      <c r="U556" s="5"/>
      <c r="V556" s="5"/>
      <c r="W556" s="5"/>
      <c r="X556" s="8"/>
      <c r="Y556" s="9"/>
      <c r="Z556" s="10"/>
      <c r="AA556" s="10"/>
      <c r="AB556" s="8"/>
      <c r="AC556" s="10"/>
    </row>
    <row r="557" spans="1:29" s="4" customFormat="1" x14ac:dyDescent="0.3">
      <c r="A557" s="3"/>
      <c r="B557" s="39"/>
      <c r="C557" s="5"/>
      <c r="D557" s="5"/>
      <c r="E557" s="5"/>
      <c r="F557" s="5"/>
      <c r="G557" s="29"/>
      <c r="H557"/>
      <c r="I557" s="7"/>
      <c r="J557" s="7"/>
      <c r="K557" s="7"/>
      <c r="L557" s="8"/>
      <c r="M557" s="7"/>
      <c r="N557" s="7"/>
      <c r="O557" s="8"/>
      <c r="P557" s="6"/>
      <c r="Q557" s="5"/>
      <c r="R557" s="5"/>
      <c r="S557" s="5"/>
      <c r="T557" s="5"/>
      <c r="U557" s="5"/>
      <c r="V557" s="5"/>
      <c r="W557" s="5"/>
      <c r="X557" s="8"/>
      <c r="Y557" s="9"/>
      <c r="Z557" s="10"/>
      <c r="AA557" s="10"/>
      <c r="AB557" s="8"/>
      <c r="AC557" s="10"/>
    </row>
    <row r="558" spans="1:29" s="4" customFormat="1" x14ac:dyDescent="0.3">
      <c r="A558" s="3"/>
      <c r="B558" s="39"/>
      <c r="C558" s="5"/>
      <c r="D558" s="5"/>
      <c r="E558" s="5"/>
      <c r="F558" s="5"/>
      <c r="G558" s="29"/>
      <c r="H558"/>
      <c r="I558" s="7"/>
      <c r="J558" s="7"/>
      <c r="K558" s="7"/>
      <c r="L558" s="8"/>
      <c r="M558" s="7"/>
      <c r="N558" s="7"/>
      <c r="O558" s="8"/>
      <c r="P558" s="6"/>
      <c r="Q558" s="5"/>
      <c r="R558" s="5"/>
      <c r="S558" s="5"/>
      <c r="T558" s="5"/>
      <c r="U558" s="5"/>
      <c r="V558" s="5"/>
      <c r="W558" s="5"/>
      <c r="X558" s="8"/>
      <c r="Y558" s="9"/>
      <c r="Z558" s="10"/>
      <c r="AA558" s="10"/>
      <c r="AB558" s="8"/>
      <c r="AC558" s="10"/>
    </row>
    <row r="559" spans="1:29" s="4" customFormat="1" x14ac:dyDescent="0.3">
      <c r="A559" s="3"/>
      <c r="B559" s="39"/>
      <c r="C559" s="5"/>
      <c r="D559" s="5"/>
      <c r="E559" s="5"/>
      <c r="F559" s="5"/>
      <c r="G559" s="29"/>
      <c r="H559"/>
      <c r="I559" s="7"/>
      <c r="J559" s="7"/>
      <c r="K559" s="7"/>
      <c r="L559" s="8"/>
      <c r="M559" s="7"/>
      <c r="N559" s="7"/>
      <c r="O559" s="8"/>
      <c r="P559" s="6"/>
      <c r="Q559" s="5"/>
      <c r="R559" s="5"/>
      <c r="S559" s="5"/>
      <c r="T559" s="5"/>
      <c r="U559" s="5"/>
      <c r="V559" s="5"/>
      <c r="W559" s="5"/>
      <c r="X559" s="8"/>
      <c r="Y559" s="9"/>
      <c r="Z559" s="10"/>
      <c r="AA559" s="10"/>
      <c r="AB559" s="8"/>
      <c r="AC559" s="10"/>
    </row>
    <row r="560" spans="1:29" s="4" customFormat="1" x14ac:dyDescent="0.3">
      <c r="A560" s="3"/>
      <c r="B560" s="39"/>
      <c r="C560" s="5"/>
      <c r="D560" s="5"/>
      <c r="E560" s="5"/>
      <c r="F560" s="5"/>
      <c r="G560" s="29"/>
      <c r="H560"/>
      <c r="I560" s="7"/>
      <c r="J560" s="7"/>
      <c r="K560" s="7"/>
      <c r="L560" s="8"/>
      <c r="M560" s="7"/>
      <c r="N560" s="7"/>
      <c r="O560" s="8"/>
      <c r="P560" s="6"/>
      <c r="Q560" s="5"/>
      <c r="R560" s="5"/>
      <c r="S560" s="5"/>
      <c r="T560" s="5"/>
      <c r="U560" s="5"/>
      <c r="V560" s="5"/>
      <c r="W560" s="5"/>
      <c r="X560" s="8"/>
      <c r="Y560" s="9"/>
      <c r="Z560" s="10"/>
      <c r="AA560" s="10"/>
      <c r="AB560" s="8"/>
      <c r="AC560" s="10"/>
    </row>
    <row r="561" spans="1:29" s="4" customFormat="1" x14ac:dyDescent="0.3">
      <c r="A561" s="3"/>
      <c r="B561" s="39"/>
      <c r="C561" s="5"/>
      <c r="D561" s="5"/>
      <c r="E561" s="5"/>
      <c r="F561" s="5"/>
      <c r="G561" s="29"/>
      <c r="H561"/>
      <c r="I561" s="7"/>
      <c r="J561" s="7"/>
      <c r="K561" s="7"/>
      <c r="L561" s="8"/>
      <c r="M561" s="7"/>
      <c r="N561" s="7"/>
      <c r="O561" s="8"/>
      <c r="P561" s="6"/>
      <c r="Q561" s="5"/>
      <c r="R561" s="5"/>
      <c r="S561" s="5"/>
      <c r="T561" s="5"/>
      <c r="U561" s="5"/>
      <c r="V561" s="5"/>
      <c r="W561" s="5"/>
      <c r="X561" s="8"/>
      <c r="Y561" s="9"/>
      <c r="Z561" s="10"/>
      <c r="AA561" s="10"/>
      <c r="AB561" s="8"/>
      <c r="AC561" s="10"/>
    </row>
    <row r="562" spans="1:29" s="4" customFormat="1" x14ac:dyDescent="0.3">
      <c r="A562" s="3"/>
      <c r="B562" s="39"/>
      <c r="C562" s="5"/>
      <c r="D562" s="5"/>
      <c r="E562" s="5"/>
      <c r="F562" s="5"/>
      <c r="G562" s="29"/>
      <c r="H562"/>
      <c r="I562" s="7"/>
      <c r="J562" s="7"/>
      <c r="K562" s="7"/>
      <c r="L562" s="8"/>
      <c r="M562" s="7"/>
      <c r="N562" s="7"/>
      <c r="O562" s="8"/>
      <c r="P562" s="6"/>
      <c r="Q562" s="5"/>
      <c r="R562" s="5"/>
      <c r="S562" s="5"/>
      <c r="T562" s="5"/>
      <c r="U562" s="5"/>
      <c r="V562" s="5"/>
      <c r="W562" s="5"/>
      <c r="X562" s="8"/>
      <c r="Y562" s="9"/>
      <c r="Z562" s="10"/>
      <c r="AA562" s="10"/>
      <c r="AB562" s="8"/>
      <c r="AC562" s="10"/>
    </row>
    <row r="563" spans="1:29" s="4" customFormat="1" x14ac:dyDescent="0.3">
      <c r="A563" s="3"/>
      <c r="B563" s="39"/>
      <c r="C563" s="5"/>
      <c r="D563" s="5"/>
      <c r="E563" s="5"/>
      <c r="F563" s="5"/>
      <c r="G563" s="29"/>
      <c r="H563"/>
      <c r="I563" s="7"/>
      <c r="J563" s="7"/>
      <c r="K563" s="7"/>
      <c r="L563" s="8"/>
      <c r="M563" s="7"/>
      <c r="N563" s="7"/>
      <c r="O563" s="8"/>
      <c r="P563" s="6"/>
      <c r="Q563" s="5"/>
      <c r="R563" s="5"/>
      <c r="S563" s="5"/>
      <c r="T563" s="5"/>
      <c r="U563" s="5"/>
      <c r="V563" s="5"/>
      <c r="W563" s="5"/>
      <c r="X563" s="8"/>
      <c r="Y563" s="9"/>
      <c r="Z563" s="10"/>
      <c r="AA563" s="10"/>
      <c r="AB563" s="8"/>
      <c r="AC563" s="10"/>
    </row>
    <row r="564" spans="1:29" s="4" customFormat="1" x14ac:dyDescent="0.3">
      <c r="A564" s="3"/>
      <c r="B564" s="39"/>
      <c r="C564" s="5"/>
      <c r="D564" s="5"/>
      <c r="E564" s="5"/>
      <c r="F564" s="5"/>
      <c r="G564" s="29"/>
      <c r="H564"/>
      <c r="I564" s="7"/>
      <c r="J564" s="7"/>
      <c r="K564" s="7"/>
      <c r="L564" s="8"/>
      <c r="M564" s="7"/>
      <c r="N564" s="7"/>
      <c r="O564" s="8"/>
      <c r="P564" s="6"/>
      <c r="Q564" s="5"/>
      <c r="R564" s="5"/>
      <c r="S564" s="5"/>
      <c r="T564" s="5"/>
      <c r="U564" s="5"/>
      <c r="V564" s="5"/>
      <c r="W564" s="5"/>
      <c r="X564" s="8"/>
      <c r="Y564" s="9"/>
      <c r="Z564" s="10"/>
      <c r="AA564" s="10"/>
      <c r="AB564" s="8"/>
      <c r="AC564" s="10"/>
    </row>
    <row r="565" spans="1:29" s="4" customFormat="1" x14ac:dyDescent="0.3">
      <c r="A565" s="3"/>
      <c r="B565" s="39"/>
      <c r="C565" s="5"/>
      <c r="D565" s="5"/>
      <c r="E565" s="5"/>
      <c r="F565" s="5"/>
      <c r="G565" s="29"/>
      <c r="H565"/>
      <c r="I565" s="7"/>
      <c r="J565" s="7"/>
      <c r="K565" s="7"/>
      <c r="L565" s="8"/>
      <c r="M565" s="7"/>
      <c r="N565" s="7"/>
      <c r="O565" s="8"/>
      <c r="P565" s="6"/>
      <c r="Q565" s="5"/>
      <c r="R565" s="5"/>
      <c r="S565" s="5"/>
      <c r="T565" s="5"/>
      <c r="U565" s="5"/>
      <c r="V565" s="5"/>
      <c r="W565" s="5"/>
      <c r="X565" s="8"/>
      <c r="Y565" s="9"/>
      <c r="Z565" s="10"/>
      <c r="AA565" s="10"/>
      <c r="AB565" s="8"/>
      <c r="AC565" s="10"/>
    </row>
    <row r="566" spans="1:29" s="4" customFormat="1" x14ac:dyDescent="0.3">
      <c r="A566" s="3"/>
      <c r="B566" s="39"/>
      <c r="C566" s="5"/>
      <c r="D566" s="5"/>
      <c r="E566" s="5"/>
      <c r="F566" s="5"/>
      <c r="G566" s="29"/>
      <c r="H566"/>
      <c r="I566" s="7"/>
      <c r="J566" s="7"/>
      <c r="K566" s="7"/>
      <c r="L566" s="8"/>
      <c r="M566" s="7"/>
      <c r="N566" s="7"/>
      <c r="O566" s="8"/>
      <c r="P566" s="6"/>
      <c r="Q566" s="5"/>
      <c r="R566" s="5"/>
      <c r="S566" s="5"/>
      <c r="T566" s="5"/>
      <c r="U566" s="5"/>
      <c r="V566" s="5"/>
      <c r="W566" s="5"/>
      <c r="X566" s="8"/>
      <c r="Y566" s="9"/>
      <c r="Z566" s="10"/>
      <c r="AA566" s="10"/>
      <c r="AB566" s="8"/>
      <c r="AC566" s="10"/>
    </row>
    <row r="567" spans="1:29" s="4" customFormat="1" x14ac:dyDescent="0.3">
      <c r="A567" s="3"/>
      <c r="B567" s="39"/>
      <c r="C567" s="5"/>
      <c r="D567" s="5"/>
      <c r="E567" s="5"/>
      <c r="F567" s="5"/>
      <c r="G567" s="29"/>
      <c r="H567"/>
      <c r="I567" s="7"/>
      <c r="J567" s="7"/>
      <c r="K567" s="7"/>
      <c r="L567" s="8"/>
      <c r="M567" s="7"/>
      <c r="N567" s="7"/>
      <c r="O567" s="8"/>
      <c r="P567" s="6"/>
      <c r="Q567" s="5"/>
      <c r="R567" s="5"/>
      <c r="S567" s="5"/>
      <c r="T567" s="5"/>
      <c r="U567" s="5"/>
      <c r="V567" s="5"/>
      <c r="W567" s="5"/>
      <c r="X567" s="8"/>
      <c r="Y567" s="9"/>
      <c r="Z567" s="10"/>
      <c r="AA567" s="10"/>
      <c r="AB567" s="8"/>
      <c r="AC567" s="10"/>
    </row>
    <row r="568" spans="1:29" s="4" customFormat="1" x14ac:dyDescent="0.3">
      <c r="A568" s="3"/>
      <c r="B568" s="39"/>
      <c r="C568" s="5"/>
      <c r="D568" s="5"/>
      <c r="E568" s="5"/>
      <c r="F568" s="5"/>
      <c r="G568" s="29"/>
      <c r="H568"/>
      <c r="I568" s="7"/>
      <c r="J568" s="7"/>
      <c r="K568" s="7"/>
      <c r="L568" s="8"/>
      <c r="M568" s="7"/>
      <c r="N568" s="7"/>
      <c r="O568" s="8"/>
      <c r="P568" s="6"/>
      <c r="Q568" s="5"/>
      <c r="R568" s="5"/>
      <c r="S568" s="5"/>
      <c r="T568" s="5"/>
      <c r="U568" s="5"/>
      <c r="V568" s="5"/>
      <c r="W568" s="5"/>
      <c r="X568" s="8"/>
      <c r="Y568" s="9"/>
      <c r="Z568" s="10"/>
      <c r="AA568" s="10"/>
      <c r="AB568" s="8"/>
      <c r="AC568" s="10"/>
    </row>
    <row r="569" spans="1:29" s="4" customFormat="1" x14ac:dyDescent="0.3">
      <c r="A569" s="3"/>
      <c r="B569" s="39"/>
      <c r="C569" s="5"/>
      <c r="D569" s="5"/>
      <c r="E569" s="5"/>
      <c r="F569" s="5"/>
      <c r="G569" s="29"/>
      <c r="H569"/>
      <c r="I569" s="7"/>
      <c r="J569" s="7"/>
      <c r="K569" s="7"/>
      <c r="L569" s="8"/>
      <c r="M569" s="7"/>
      <c r="N569" s="7"/>
      <c r="O569" s="8"/>
      <c r="P569" s="6"/>
      <c r="Q569" s="5"/>
      <c r="R569" s="5"/>
      <c r="S569" s="5"/>
      <c r="T569" s="5"/>
      <c r="U569" s="5"/>
      <c r="V569" s="5"/>
      <c r="W569" s="5"/>
      <c r="X569" s="8"/>
      <c r="Y569" s="9"/>
      <c r="Z569" s="10"/>
      <c r="AA569" s="10"/>
      <c r="AB569" s="8"/>
      <c r="AC569" s="10"/>
    </row>
    <row r="570" spans="1:29" s="4" customFormat="1" x14ac:dyDescent="0.3">
      <c r="A570" s="3"/>
      <c r="B570" s="39"/>
      <c r="C570" s="5"/>
      <c r="D570" s="5"/>
      <c r="E570" s="5"/>
      <c r="F570" s="5"/>
      <c r="G570" s="29"/>
      <c r="H570"/>
      <c r="I570" s="7"/>
      <c r="J570" s="7"/>
      <c r="K570" s="7"/>
      <c r="L570" s="8"/>
      <c r="M570" s="7"/>
      <c r="N570" s="7"/>
      <c r="O570" s="8"/>
      <c r="P570" s="6"/>
      <c r="Q570" s="5"/>
      <c r="R570" s="5"/>
      <c r="S570" s="5"/>
      <c r="T570" s="5"/>
      <c r="U570" s="5"/>
      <c r="V570" s="5"/>
      <c r="W570" s="5"/>
      <c r="X570" s="8"/>
      <c r="Y570" s="9"/>
      <c r="Z570" s="10"/>
      <c r="AA570" s="10"/>
      <c r="AB570" s="8"/>
      <c r="AC570" s="10"/>
    </row>
    <row r="571" spans="1:29" s="4" customFormat="1" x14ac:dyDescent="0.3">
      <c r="A571" s="3"/>
      <c r="B571" s="39"/>
      <c r="C571" s="5"/>
      <c r="D571" s="5"/>
      <c r="E571" s="5"/>
      <c r="F571" s="5"/>
      <c r="G571" s="29"/>
      <c r="H571"/>
      <c r="I571" s="7"/>
      <c r="J571" s="7"/>
      <c r="K571" s="7"/>
      <c r="L571" s="8"/>
      <c r="M571" s="7"/>
      <c r="N571" s="7"/>
      <c r="O571" s="8"/>
      <c r="P571" s="6"/>
      <c r="Q571" s="5"/>
      <c r="R571" s="5"/>
      <c r="S571" s="5"/>
      <c r="T571" s="5"/>
      <c r="U571" s="5"/>
      <c r="V571" s="5"/>
      <c r="W571" s="5"/>
      <c r="X571" s="8"/>
      <c r="Y571" s="9"/>
      <c r="Z571" s="10"/>
      <c r="AA571" s="10"/>
      <c r="AB571" s="8"/>
      <c r="AC571" s="10"/>
    </row>
    <row r="572" spans="1:29" s="4" customFormat="1" x14ac:dyDescent="0.3">
      <c r="A572" s="3"/>
      <c r="B572" s="39"/>
      <c r="C572" s="5"/>
      <c r="D572" s="5"/>
      <c r="E572" s="5"/>
      <c r="F572" s="5"/>
      <c r="G572" s="29"/>
      <c r="H572"/>
      <c r="I572" s="7"/>
      <c r="J572" s="7"/>
      <c r="K572" s="7"/>
      <c r="L572" s="8"/>
      <c r="M572" s="7"/>
      <c r="N572" s="7"/>
      <c r="O572" s="8"/>
      <c r="P572" s="6"/>
      <c r="Q572" s="5"/>
      <c r="R572" s="5"/>
      <c r="S572" s="5"/>
      <c r="T572" s="5"/>
      <c r="U572" s="5"/>
      <c r="V572" s="5"/>
      <c r="W572" s="5"/>
      <c r="X572" s="8"/>
      <c r="Y572" s="9"/>
      <c r="Z572" s="10"/>
      <c r="AA572" s="10"/>
      <c r="AB572" s="8"/>
      <c r="AC572" s="10"/>
    </row>
    <row r="573" spans="1:29" s="4" customFormat="1" x14ac:dyDescent="0.3">
      <c r="A573" s="3"/>
      <c r="B573" s="39"/>
      <c r="C573" s="5"/>
      <c r="D573" s="5"/>
      <c r="E573" s="5"/>
      <c r="F573" s="5"/>
      <c r="G573" s="29"/>
      <c r="H573"/>
      <c r="I573" s="7"/>
      <c r="J573" s="7"/>
      <c r="K573" s="7"/>
      <c r="L573" s="8"/>
      <c r="M573" s="7"/>
      <c r="N573" s="7"/>
      <c r="O573" s="8"/>
      <c r="P573" s="6"/>
      <c r="Q573" s="5"/>
      <c r="R573" s="5"/>
      <c r="S573" s="5"/>
      <c r="T573" s="5"/>
      <c r="U573" s="5"/>
      <c r="V573" s="5"/>
      <c r="W573" s="5"/>
      <c r="X573" s="8"/>
      <c r="Y573" s="9"/>
      <c r="Z573" s="10"/>
      <c r="AA573" s="10"/>
      <c r="AB573" s="8"/>
      <c r="AC573" s="10"/>
    </row>
    <row r="574" spans="1:29" s="4" customFormat="1" x14ac:dyDescent="0.3">
      <c r="A574" s="3"/>
      <c r="B574" s="39"/>
      <c r="C574" s="5"/>
      <c r="D574" s="5"/>
      <c r="E574" s="5"/>
      <c r="F574" s="5"/>
      <c r="G574" s="29"/>
      <c r="H574"/>
      <c r="I574" s="7"/>
      <c r="J574" s="7"/>
      <c r="K574" s="7"/>
      <c r="L574" s="8"/>
      <c r="M574" s="7"/>
      <c r="N574" s="7"/>
      <c r="O574" s="8"/>
      <c r="P574" s="6"/>
      <c r="Q574" s="5"/>
      <c r="R574" s="5"/>
      <c r="S574" s="5"/>
      <c r="T574" s="5"/>
      <c r="U574" s="5"/>
      <c r="V574" s="5"/>
      <c r="W574" s="5"/>
      <c r="X574" s="8"/>
      <c r="Y574" s="9"/>
      <c r="Z574" s="10"/>
      <c r="AA574" s="10"/>
      <c r="AB574" s="8"/>
      <c r="AC574" s="10"/>
    </row>
    <row r="575" spans="1:29" s="4" customFormat="1" x14ac:dyDescent="0.3">
      <c r="A575" s="3"/>
      <c r="B575" s="39"/>
      <c r="C575" s="5"/>
      <c r="D575" s="5"/>
      <c r="E575" s="5"/>
      <c r="F575" s="5"/>
      <c r="G575" s="29"/>
      <c r="H575"/>
      <c r="I575" s="7"/>
      <c r="J575" s="7"/>
      <c r="K575" s="7"/>
      <c r="L575" s="8"/>
      <c r="M575" s="7"/>
      <c r="N575" s="7"/>
      <c r="O575" s="8"/>
      <c r="P575" s="6"/>
      <c r="Q575" s="5"/>
      <c r="R575" s="5"/>
      <c r="S575" s="5"/>
      <c r="T575" s="5"/>
      <c r="U575" s="5"/>
      <c r="V575" s="5"/>
      <c r="W575" s="5"/>
      <c r="X575" s="8"/>
      <c r="Y575" s="9"/>
      <c r="Z575" s="10"/>
      <c r="AA575" s="10"/>
      <c r="AB575" s="8"/>
      <c r="AC575" s="10"/>
    </row>
    <row r="576" spans="1:29" s="4" customFormat="1" x14ac:dyDescent="0.3">
      <c r="A576" s="3"/>
      <c r="B576" s="39"/>
      <c r="C576" s="5"/>
      <c r="D576" s="5"/>
      <c r="E576" s="5"/>
      <c r="F576" s="5"/>
      <c r="G576" s="29"/>
      <c r="H576"/>
      <c r="I576" s="7"/>
      <c r="J576" s="7"/>
      <c r="K576" s="7"/>
      <c r="L576" s="8"/>
      <c r="M576" s="7"/>
      <c r="N576" s="7"/>
      <c r="O576" s="8"/>
      <c r="P576" s="6"/>
      <c r="Q576" s="5"/>
      <c r="R576" s="5"/>
      <c r="S576" s="5"/>
      <c r="T576" s="5"/>
      <c r="U576" s="5"/>
      <c r="V576" s="5"/>
      <c r="W576" s="5"/>
      <c r="X576" s="8"/>
      <c r="Y576" s="9"/>
      <c r="Z576" s="10"/>
      <c r="AA576" s="10"/>
      <c r="AB576" s="8"/>
      <c r="AC576" s="10"/>
    </row>
    <row r="577" spans="1:29" s="4" customFormat="1" x14ac:dyDescent="0.3">
      <c r="A577" s="3"/>
      <c r="B577" s="39"/>
      <c r="C577" s="5"/>
      <c r="D577" s="5"/>
      <c r="E577" s="5"/>
      <c r="F577" s="5"/>
      <c r="G577" s="29"/>
      <c r="H577"/>
      <c r="I577" s="7"/>
      <c r="J577" s="7"/>
      <c r="K577" s="7"/>
      <c r="L577" s="8"/>
      <c r="M577" s="7"/>
      <c r="N577" s="7"/>
      <c r="O577" s="8"/>
      <c r="P577" s="6"/>
      <c r="Q577" s="5"/>
      <c r="R577" s="5"/>
      <c r="S577" s="5"/>
      <c r="T577" s="5"/>
      <c r="U577" s="5"/>
      <c r="V577" s="5"/>
      <c r="W577" s="5"/>
      <c r="X577" s="8"/>
      <c r="Y577" s="9"/>
      <c r="Z577" s="10"/>
      <c r="AA577" s="10"/>
      <c r="AB577" s="8"/>
      <c r="AC577" s="10"/>
    </row>
    <row r="578" spans="1:29" s="4" customFormat="1" x14ac:dyDescent="0.3">
      <c r="A578" s="3"/>
      <c r="B578" s="39"/>
      <c r="C578" s="5"/>
      <c r="D578" s="5"/>
      <c r="E578" s="5"/>
      <c r="F578" s="5"/>
      <c r="G578" s="29"/>
      <c r="H578"/>
      <c r="I578" s="7"/>
      <c r="J578" s="7"/>
      <c r="K578" s="7"/>
      <c r="L578" s="8"/>
      <c r="M578" s="7"/>
      <c r="N578" s="7"/>
      <c r="O578" s="8"/>
      <c r="P578" s="6"/>
      <c r="Q578" s="5"/>
      <c r="R578" s="5"/>
      <c r="S578" s="5"/>
      <c r="T578" s="5"/>
      <c r="U578" s="5"/>
      <c r="V578" s="5"/>
      <c r="W578" s="5"/>
      <c r="X578" s="8"/>
      <c r="Y578" s="9"/>
      <c r="Z578" s="10"/>
      <c r="AA578" s="10"/>
      <c r="AB578" s="8"/>
      <c r="AC578" s="10"/>
    </row>
    <row r="579" spans="1:29" s="4" customFormat="1" x14ac:dyDescent="0.3">
      <c r="A579" s="3"/>
      <c r="B579" s="39"/>
      <c r="C579" s="5"/>
      <c r="D579" s="5"/>
      <c r="E579" s="5"/>
      <c r="F579" s="5"/>
      <c r="G579" s="29"/>
      <c r="H579"/>
      <c r="I579" s="7"/>
      <c r="J579" s="7"/>
      <c r="K579" s="7"/>
      <c r="L579" s="8"/>
      <c r="M579" s="7"/>
      <c r="N579" s="7"/>
      <c r="O579" s="8"/>
      <c r="P579" s="6"/>
      <c r="Q579" s="5"/>
      <c r="R579" s="5"/>
      <c r="S579" s="5"/>
      <c r="T579" s="5"/>
      <c r="U579" s="5"/>
      <c r="V579" s="5"/>
      <c r="W579" s="5"/>
      <c r="X579" s="8"/>
      <c r="Y579" s="9"/>
      <c r="Z579" s="10"/>
      <c r="AA579" s="10"/>
      <c r="AB579" s="8"/>
      <c r="AC579" s="10"/>
    </row>
    <row r="580" spans="1:29" s="4" customFormat="1" x14ac:dyDescent="0.3">
      <c r="A580" s="3"/>
      <c r="B580" s="39"/>
      <c r="C580" s="5"/>
      <c r="D580" s="5"/>
      <c r="E580" s="5"/>
      <c r="F580" s="5"/>
      <c r="G580" s="29"/>
      <c r="H580"/>
      <c r="I580" s="7"/>
      <c r="J580" s="7"/>
      <c r="K580" s="7"/>
      <c r="L580" s="8"/>
      <c r="M580" s="7"/>
      <c r="N580" s="7"/>
      <c r="O580" s="8"/>
      <c r="P580" s="6"/>
      <c r="Q580" s="5"/>
      <c r="R580" s="5"/>
      <c r="S580" s="5"/>
      <c r="T580" s="5"/>
      <c r="U580" s="5"/>
      <c r="V580" s="5"/>
      <c r="W580" s="5"/>
      <c r="X580" s="8"/>
      <c r="Y580" s="9"/>
      <c r="Z580" s="10"/>
      <c r="AA580" s="10"/>
      <c r="AB580" s="8"/>
      <c r="AC580" s="10"/>
    </row>
    <row r="581" spans="1:29" s="4" customFormat="1" x14ac:dyDescent="0.3">
      <c r="A581" s="3"/>
      <c r="B581" s="39"/>
      <c r="C581" s="5"/>
      <c r="D581" s="5"/>
      <c r="E581" s="5"/>
      <c r="F581" s="5"/>
      <c r="G581" s="29"/>
      <c r="H581"/>
      <c r="I581" s="7"/>
      <c r="J581" s="7"/>
      <c r="K581" s="7"/>
      <c r="L581" s="8"/>
      <c r="M581" s="7"/>
      <c r="N581" s="7"/>
      <c r="O581" s="8"/>
      <c r="P581" s="6"/>
      <c r="Q581" s="5"/>
      <c r="R581" s="5"/>
      <c r="S581" s="5"/>
      <c r="T581" s="5"/>
      <c r="U581" s="5"/>
      <c r="V581" s="5"/>
      <c r="W581" s="5"/>
      <c r="X581" s="8"/>
      <c r="Y581" s="9"/>
      <c r="Z581" s="10"/>
      <c r="AA581" s="10"/>
      <c r="AB581" s="8"/>
      <c r="AC581" s="10"/>
    </row>
    <row r="582" spans="1:29" s="4" customFormat="1" x14ac:dyDescent="0.3">
      <c r="A582" s="3"/>
      <c r="B582" s="39"/>
      <c r="C582" s="5"/>
      <c r="D582" s="5"/>
      <c r="E582" s="5"/>
      <c r="F582" s="5"/>
      <c r="G582" s="29"/>
      <c r="H582"/>
      <c r="I582" s="7"/>
      <c r="J582" s="7"/>
      <c r="K582" s="7"/>
      <c r="L582" s="8"/>
      <c r="M582" s="7"/>
      <c r="N582" s="7"/>
      <c r="O582" s="8"/>
      <c r="P582" s="6"/>
      <c r="Q582" s="5"/>
      <c r="R582" s="5"/>
      <c r="S582" s="5"/>
      <c r="T582" s="5"/>
      <c r="U582" s="5"/>
      <c r="V582" s="5"/>
      <c r="W582" s="5"/>
      <c r="X582" s="8"/>
      <c r="Y582" s="9"/>
      <c r="Z582" s="10"/>
      <c r="AA582" s="10"/>
      <c r="AB582" s="8"/>
      <c r="AC582" s="10"/>
    </row>
    <row r="583" spans="1:29" s="4" customFormat="1" x14ac:dyDescent="0.3">
      <c r="A583" s="3"/>
      <c r="B583" s="39"/>
      <c r="C583" s="5"/>
      <c r="D583" s="5"/>
      <c r="E583" s="5"/>
      <c r="F583" s="5"/>
      <c r="G583" s="29"/>
      <c r="H583"/>
      <c r="I583" s="7"/>
      <c r="J583" s="7"/>
      <c r="K583" s="7"/>
      <c r="L583" s="8"/>
      <c r="M583" s="7"/>
      <c r="N583" s="7"/>
      <c r="O583" s="8"/>
      <c r="P583" s="6"/>
      <c r="Q583" s="5"/>
      <c r="R583" s="5"/>
      <c r="S583" s="5"/>
      <c r="T583" s="5"/>
      <c r="U583" s="5"/>
      <c r="V583" s="5"/>
      <c r="W583" s="5"/>
      <c r="X583" s="8"/>
      <c r="Y583" s="9"/>
      <c r="Z583" s="10"/>
      <c r="AA583" s="10"/>
      <c r="AB583" s="8"/>
      <c r="AC583" s="10"/>
    </row>
    <row r="584" spans="1:29" s="4" customFormat="1" x14ac:dyDescent="0.3">
      <c r="A584" s="3"/>
      <c r="B584" s="39"/>
      <c r="C584" s="5"/>
      <c r="D584" s="5"/>
      <c r="E584" s="5"/>
      <c r="F584" s="5"/>
      <c r="G584" s="29"/>
      <c r="H584"/>
      <c r="I584" s="7"/>
      <c r="J584" s="7"/>
      <c r="K584" s="7"/>
      <c r="L584" s="8"/>
      <c r="M584" s="7"/>
      <c r="N584" s="7"/>
      <c r="O584" s="8"/>
      <c r="P584" s="6"/>
      <c r="Q584" s="5"/>
      <c r="R584" s="5"/>
      <c r="S584" s="5"/>
      <c r="T584" s="5"/>
      <c r="U584" s="5"/>
      <c r="V584" s="5"/>
      <c r="W584" s="5"/>
      <c r="X584" s="8"/>
      <c r="Y584" s="9"/>
      <c r="Z584" s="10"/>
      <c r="AA584" s="10"/>
      <c r="AB584" s="8"/>
      <c r="AC584" s="10"/>
    </row>
    <row r="585" spans="1:29" s="4" customFormat="1" x14ac:dyDescent="0.3">
      <c r="A585" s="3"/>
      <c r="B585" s="39"/>
      <c r="C585" s="5"/>
      <c r="D585" s="5"/>
      <c r="E585" s="5"/>
      <c r="F585" s="5"/>
      <c r="G585" s="29"/>
      <c r="H585"/>
      <c r="I585" s="7"/>
      <c r="J585" s="7"/>
      <c r="K585" s="7"/>
      <c r="L585" s="8"/>
      <c r="M585" s="7"/>
      <c r="N585" s="7"/>
      <c r="O585" s="8"/>
      <c r="P585" s="6"/>
      <c r="Q585" s="5"/>
      <c r="R585" s="5"/>
      <c r="S585" s="5"/>
      <c r="T585" s="5"/>
      <c r="U585" s="5"/>
      <c r="V585" s="5"/>
      <c r="W585" s="5"/>
      <c r="X585" s="8"/>
      <c r="Y585" s="9"/>
      <c r="Z585" s="10"/>
      <c r="AA585" s="10"/>
      <c r="AB585" s="8"/>
      <c r="AC585" s="10"/>
    </row>
    <row r="586" spans="1:29" s="4" customFormat="1" x14ac:dyDescent="0.3">
      <c r="A586" s="3"/>
      <c r="B586" s="39"/>
      <c r="C586" s="5"/>
      <c r="D586" s="5"/>
      <c r="E586" s="5"/>
      <c r="F586" s="5"/>
      <c r="G586" s="29"/>
      <c r="H586"/>
      <c r="I586" s="7"/>
      <c r="J586" s="7"/>
      <c r="K586" s="7"/>
      <c r="L586" s="8"/>
      <c r="M586" s="7"/>
      <c r="N586" s="7"/>
      <c r="O586" s="8"/>
      <c r="P586" s="6"/>
      <c r="Q586" s="5"/>
      <c r="R586" s="5"/>
      <c r="S586" s="5"/>
      <c r="T586" s="5"/>
      <c r="U586" s="5"/>
      <c r="V586" s="5"/>
      <c r="W586" s="5"/>
      <c r="X586" s="8"/>
      <c r="Y586" s="9"/>
      <c r="Z586" s="10"/>
      <c r="AA586" s="10"/>
      <c r="AB586" s="8"/>
      <c r="AC586" s="10"/>
    </row>
    <row r="587" spans="1:29" s="4" customFormat="1" x14ac:dyDescent="0.3">
      <c r="A587" s="3"/>
      <c r="B587" s="39"/>
      <c r="C587" s="5"/>
      <c r="D587" s="5"/>
      <c r="E587" s="5"/>
      <c r="F587" s="5"/>
      <c r="G587" s="29"/>
      <c r="H587"/>
      <c r="I587" s="7"/>
      <c r="J587" s="7"/>
      <c r="K587" s="7"/>
      <c r="L587" s="8"/>
      <c r="M587" s="7"/>
      <c r="N587" s="7"/>
      <c r="O587" s="8"/>
      <c r="P587" s="6"/>
      <c r="Q587" s="5"/>
      <c r="R587" s="5"/>
      <c r="S587" s="5"/>
      <c r="T587" s="5"/>
      <c r="U587" s="5"/>
      <c r="V587" s="5"/>
      <c r="W587" s="5"/>
      <c r="X587" s="8"/>
      <c r="Y587" s="9"/>
      <c r="Z587" s="10"/>
      <c r="AA587" s="10"/>
      <c r="AB587" s="8"/>
      <c r="AC587" s="10"/>
    </row>
    <row r="588" spans="1:29" s="4" customFormat="1" x14ac:dyDescent="0.3">
      <c r="A588" s="3"/>
      <c r="B588" s="39"/>
      <c r="C588" s="5"/>
      <c r="D588" s="5"/>
      <c r="E588" s="5"/>
      <c r="F588" s="5"/>
      <c r="G588" s="29"/>
      <c r="H588"/>
      <c r="I588" s="7"/>
      <c r="J588" s="7"/>
      <c r="K588" s="7"/>
      <c r="L588" s="8"/>
      <c r="M588" s="7"/>
      <c r="N588" s="7"/>
      <c r="O588" s="8"/>
      <c r="P588" s="6"/>
      <c r="Q588" s="5"/>
      <c r="R588" s="5"/>
      <c r="S588" s="5"/>
      <c r="T588" s="5"/>
      <c r="U588" s="5"/>
      <c r="V588" s="5"/>
      <c r="W588" s="5"/>
      <c r="X588" s="8"/>
      <c r="Y588" s="9"/>
      <c r="Z588" s="10"/>
      <c r="AA588" s="10"/>
      <c r="AB588" s="8"/>
      <c r="AC588" s="10"/>
    </row>
    <row r="589" spans="1:29" s="4" customFormat="1" x14ac:dyDescent="0.3">
      <c r="A589" s="3"/>
      <c r="B589" s="39"/>
      <c r="C589" s="5"/>
      <c r="D589" s="5"/>
      <c r="E589" s="5"/>
      <c r="F589" s="5"/>
      <c r="G589" s="29"/>
      <c r="H589"/>
      <c r="I589" s="7"/>
      <c r="J589" s="7"/>
      <c r="K589" s="7"/>
      <c r="L589" s="8"/>
      <c r="M589" s="7"/>
      <c r="N589" s="7"/>
      <c r="O589" s="8"/>
      <c r="P589" s="6"/>
      <c r="Q589" s="5"/>
      <c r="R589" s="5"/>
      <c r="S589" s="5"/>
      <c r="T589" s="5"/>
      <c r="U589" s="5"/>
      <c r="V589" s="5"/>
      <c r="W589" s="5"/>
      <c r="X589" s="8"/>
      <c r="Y589" s="9"/>
      <c r="Z589" s="10"/>
      <c r="AA589" s="10"/>
      <c r="AB589" s="8"/>
      <c r="AC589" s="10"/>
    </row>
    <row r="590" spans="1:29" s="4" customFormat="1" x14ac:dyDescent="0.3">
      <c r="A590" s="3"/>
      <c r="B590" s="39"/>
      <c r="C590" s="5"/>
      <c r="D590" s="5"/>
      <c r="E590" s="5"/>
      <c r="F590" s="5"/>
      <c r="G590" s="29"/>
      <c r="H590"/>
      <c r="I590" s="7"/>
      <c r="J590" s="7"/>
      <c r="K590" s="7"/>
      <c r="L590" s="8"/>
      <c r="M590" s="7"/>
      <c r="N590" s="7"/>
      <c r="O590" s="8"/>
      <c r="P590" s="6"/>
      <c r="Q590" s="5"/>
      <c r="R590" s="5"/>
      <c r="S590" s="5"/>
      <c r="T590" s="5"/>
      <c r="U590" s="5"/>
      <c r="V590" s="5"/>
      <c r="W590" s="5"/>
      <c r="X590" s="8"/>
      <c r="Y590" s="9"/>
      <c r="Z590" s="10"/>
      <c r="AA590" s="10"/>
      <c r="AB590" s="8"/>
      <c r="AC590" s="10"/>
    </row>
    <row r="591" spans="1:29" s="4" customFormat="1" x14ac:dyDescent="0.3">
      <c r="A591" s="3"/>
      <c r="B591" s="39"/>
      <c r="C591" s="5"/>
      <c r="D591" s="5"/>
      <c r="E591" s="5"/>
      <c r="F591" s="5"/>
      <c r="G591" s="29"/>
      <c r="H591"/>
      <c r="I591" s="7"/>
      <c r="J591" s="7"/>
      <c r="K591" s="7"/>
      <c r="L591" s="8"/>
      <c r="M591" s="7"/>
      <c r="N591" s="7"/>
      <c r="O591" s="8"/>
      <c r="P591" s="6"/>
      <c r="Q591" s="5"/>
      <c r="R591" s="5"/>
      <c r="S591" s="5"/>
      <c r="T591" s="5"/>
      <c r="U591" s="5"/>
      <c r="V591" s="5"/>
      <c r="W591" s="5"/>
      <c r="X591" s="8"/>
      <c r="Y591" s="9"/>
      <c r="Z591" s="10"/>
      <c r="AA591" s="10"/>
      <c r="AB591" s="8"/>
      <c r="AC591" s="10"/>
    </row>
    <row r="592" spans="1:29" s="4" customFormat="1" x14ac:dyDescent="0.3">
      <c r="A592" s="3"/>
      <c r="B592" s="39"/>
      <c r="C592" s="5"/>
      <c r="D592" s="5"/>
      <c r="E592" s="5"/>
      <c r="F592" s="5"/>
      <c r="G592" s="29"/>
      <c r="H592"/>
      <c r="I592" s="7"/>
      <c r="J592" s="7"/>
      <c r="K592" s="7"/>
      <c r="L592" s="8"/>
      <c r="M592" s="7"/>
      <c r="N592" s="7"/>
      <c r="O592" s="8"/>
      <c r="P592" s="6"/>
      <c r="Q592" s="5"/>
      <c r="R592" s="5"/>
      <c r="S592" s="5"/>
      <c r="T592" s="5"/>
      <c r="U592" s="5"/>
      <c r="V592" s="5"/>
      <c r="W592" s="5"/>
      <c r="X592" s="8"/>
      <c r="Y592" s="9"/>
      <c r="Z592" s="10"/>
      <c r="AA592" s="10"/>
      <c r="AB592" s="8"/>
      <c r="AC592" s="10"/>
    </row>
    <row r="593" spans="1:29" s="4" customFormat="1" x14ac:dyDescent="0.3">
      <c r="A593" s="3"/>
      <c r="B593" s="39"/>
      <c r="C593" s="5"/>
      <c r="D593" s="5"/>
      <c r="E593" s="5"/>
      <c r="F593" s="5"/>
      <c r="G593" s="29"/>
      <c r="H593"/>
      <c r="I593" s="7"/>
      <c r="J593" s="7"/>
      <c r="K593" s="7"/>
      <c r="L593" s="8"/>
      <c r="M593" s="7"/>
      <c r="N593" s="7"/>
      <c r="O593" s="8"/>
      <c r="P593" s="6"/>
      <c r="Q593" s="5"/>
      <c r="R593" s="5"/>
      <c r="S593" s="5"/>
      <c r="T593" s="5"/>
      <c r="U593" s="5"/>
      <c r="V593" s="5"/>
      <c r="W593" s="5"/>
      <c r="X593" s="8"/>
      <c r="Y593" s="9"/>
      <c r="Z593" s="10"/>
      <c r="AA593" s="10"/>
      <c r="AB593" s="8"/>
      <c r="AC593" s="10"/>
    </row>
    <row r="594" spans="1:29" s="4" customFormat="1" x14ac:dyDescent="0.3">
      <c r="A594" s="3"/>
      <c r="B594" s="39"/>
      <c r="C594" s="5"/>
      <c r="D594" s="5"/>
      <c r="E594" s="5"/>
      <c r="F594" s="5"/>
      <c r="G594" s="29"/>
      <c r="H594"/>
      <c r="I594" s="7"/>
      <c r="J594" s="7"/>
      <c r="K594" s="7"/>
      <c r="L594" s="8"/>
      <c r="M594" s="7"/>
      <c r="N594" s="7"/>
      <c r="O594" s="8"/>
      <c r="P594" s="6"/>
      <c r="Q594" s="5"/>
      <c r="R594" s="5"/>
      <c r="S594" s="5"/>
      <c r="T594" s="5"/>
      <c r="U594" s="5"/>
      <c r="V594" s="5"/>
      <c r="W594" s="5"/>
      <c r="X594" s="8"/>
      <c r="Y594" s="9"/>
      <c r="Z594" s="10"/>
      <c r="AA594" s="10"/>
      <c r="AB594" s="8"/>
      <c r="AC594" s="10"/>
    </row>
    <row r="595" spans="1:29" s="4" customFormat="1" x14ac:dyDescent="0.3">
      <c r="A595" s="3"/>
      <c r="B595" s="39"/>
      <c r="C595" s="5"/>
      <c r="D595" s="5"/>
      <c r="E595" s="5"/>
      <c r="F595" s="5"/>
      <c r="G595" s="29"/>
      <c r="H595"/>
      <c r="I595" s="7"/>
      <c r="J595" s="7"/>
      <c r="K595" s="7"/>
      <c r="L595" s="8"/>
      <c r="M595" s="7"/>
      <c r="N595" s="7"/>
      <c r="O595" s="8"/>
      <c r="P595" s="6"/>
      <c r="Q595" s="5"/>
      <c r="R595" s="5"/>
      <c r="S595" s="5"/>
      <c r="T595" s="5"/>
      <c r="U595" s="5"/>
      <c r="V595" s="5"/>
      <c r="W595" s="5"/>
      <c r="X595" s="8"/>
      <c r="Y595" s="9"/>
      <c r="Z595" s="10"/>
      <c r="AA595" s="10"/>
      <c r="AB595" s="8"/>
      <c r="AC595" s="10"/>
    </row>
    <row r="596" spans="1:29" s="4" customFormat="1" x14ac:dyDescent="0.3">
      <c r="A596" s="3"/>
      <c r="B596" s="39"/>
      <c r="C596" s="5"/>
      <c r="D596" s="5"/>
      <c r="E596" s="5"/>
      <c r="F596" s="5"/>
      <c r="G596" s="29"/>
      <c r="H596"/>
      <c r="I596" s="7"/>
      <c r="J596" s="7"/>
      <c r="K596" s="7"/>
      <c r="L596" s="8"/>
      <c r="M596" s="7"/>
      <c r="N596" s="7"/>
      <c r="O596" s="8"/>
      <c r="P596" s="6"/>
      <c r="Q596" s="5"/>
      <c r="R596" s="5"/>
      <c r="S596" s="5"/>
      <c r="T596" s="5"/>
      <c r="U596" s="5"/>
      <c r="V596" s="5"/>
      <c r="W596" s="5"/>
      <c r="X596" s="8"/>
      <c r="Y596" s="9"/>
      <c r="Z596" s="10"/>
      <c r="AA596" s="10"/>
      <c r="AB596" s="8"/>
      <c r="AC596" s="10"/>
    </row>
    <row r="597" spans="1:29" s="4" customFormat="1" x14ac:dyDescent="0.3">
      <c r="A597" s="3"/>
      <c r="B597" s="39"/>
      <c r="C597" s="5"/>
      <c r="D597" s="5"/>
      <c r="E597" s="5"/>
      <c r="F597" s="5"/>
      <c r="G597" s="29"/>
      <c r="H597"/>
      <c r="I597" s="7"/>
      <c r="J597" s="7"/>
      <c r="K597" s="7"/>
      <c r="L597" s="8"/>
      <c r="M597" s="7"/>
      <c r="N597" s="7"/>
      <c r="O597" s="8"/>
      <c r="P597" s="6"/>
      <c r="Q597" s="5"/>
      <c r="R597" s="5"/>
      <c r="S597" s="5"/>
      <c r="T597" s="5"/>
      <c r="U597" s="5"/>
      <c r="V597" s="5"/>
      <c r="W597" s="5"/>
      <c r="X597" s="8"/>
      <c r="Y597" s="9"/>
      <c r="Z597" s="10"/>
      <c r="AA597" s="10"/>
      <c r="AB597" s="8"/>
      <c r="AC597" s="10"/>
    </row>
    <row r="598" spans="1:29" s="4" customFormat="1" x14ac:dyDescent="0.3">
      <c r="A598" s="3"/>
      <c r="B598" s="39"/>
      <c r="C598" s="5"/>
      <c r="D598" s="5"/>
      <c r="E598" s="5"/>
      <c r="F598" s="5"/>
      <c r="G598" s="29"/>
      <c r="H598"/>
      <c r="I598" s="7"/>
      <c r="J598" s="7"/>
      <c r="K598" s="7"/>
      <c r="L598" s="8"/>
      <c r="M598" s="7"/>
      <c r="N598" s="7"/>
      <c r="O598" s="8"/>
      <c r="P598" s="6"/>
      <c r="Q598" s="5"/>
      <c r="R598" s="5"/>
      <c r="S598" s="5"/>
      <c r="T598" s="5"/>
      <c r="U598" s="5"/>
      <c r="V598" s="5"/>
      <c r="W598" s="5"/>
      <c r="X598" s="8"/>
      <c r="Y598" s="9"/>
      <c r="Z598" s="10"/>
      <c r="AA598" s="10"/>
      <c r="AB598" s="8"/>
      <c r="AC598" s="10"/>
    </row>
    <row r="599" spans="1:29" s="4" customFormat="1" x14ac:dyDescent="0.3">
      <c r="A599" s="3"/>
      <c r="B599" s="39"/>
      <c r="C599" s="5"/>
      <c r="D599" s="5"/>
      <c r="E599" s="5"/>
      <c r="F599" s="5"/>
      <c r="G599" s="29"/>
      <c r="H599"/>
      <c r="I599" s="7"/>
      <c r="J599" s="7"/>
      <c r="K599" s="7"/>
      <c r="L599" s="8"/>
      <c r="M599" s="7"/>
      <c r="N599" s="7"/>
      <c r="O599" s="8"/>
      <c r="P599" s="6"/>
      <c r="Q599" s="5"/>
      <c r="R599" s="5"/>
      <c r="S599" s="5"/>
      <c r="T599" s="5"/>
      <c r="U599" s="5"/>
      <c r="V599" s="5"/>
      <c r="W599" s="5"/>
      <c r="X599" s="8"/>
      <c r="Y599" s="9"/>
      <c r="Z599" s="10"/>
      <c r="AA599" s="10"/>
      <c r="AB599" s="8"/>
      <c r="AC599" s="10"/>
    </row>
    <row r="600" spans="1:29" s="4" customFormat="1" x14ac:dyDescent="0.3">
      <c r="A600" s="3"/>
      <c r="B600" s="39"/>
      <c r="C600" s="5"/>
      <c r="D600" s="5"/>
      <c r="E600" s="5"/>
      <c r="F600" s="5"/>
      <c r="G600" s="29"/>
      <c r="H600"/>
      <c r="I600" s="7"/>
      <c r="J600" s="7"/>
      <c r="K600" s="7"/>
      <c r="L600" s="8"/>
      <c r="M600" s="7"/>
      <c r="N600" s="7"/>
      <c r="O600" s="8"/>
      <c r="P600" s="6"/>
      <c r="Q600" s="5"/>
      <c r="R600" s="5"/>
      <c r="S600" s="5"/>
      <c r="T600" s="5"/>
      <c r="U600" s="5"/>
      <c r="V600" s="5"/>
      <c r="W600" s="5"/>
      <c r="X600" s="8"/>
      <c r="Y600" s="9"/>
      <c r="Z600" s="10"/>
      <c r="AA600" s="10"/>
      <c r="AB600" s="8"/>
      <c r="AC600" s="10"/>
    </row>
    <row r="601" spans="1:29" s="4" customFormat="1" x14ac:dyDescent="0.3">
      <c r="A601" s="3"/>
      <c r="B601" s="39"/>
      <c r="C601" s="5"/>
      <c r="D601" s="5"/>
      <c r="E601" s="5"/>
      <c r="F601" s="5"/>
      <c r="G601" s="29"/>
      <c r="H601"/>
      <c r="I601" s="7"/>
      <c r="J601" s="7"/>
      <c r="K601" s="7"/>
      <c r="L601" s="8"/>
      <c r="M601" s="7"/>
      <c r="N601" s="7"/>
      <c r="O601" s="8"/>
      <c r="P601" s="6"/>
      <c r="Q601" s="5"/>
      <c r="R601" s="5"/>
      <c r="S601" s="5"/>
      <c r="T601" s="5"/>
      <c r="U601" s="5"/>
      <c r="V601" s="5"/>
      <c r="W601" s="5"/>
      <c r="X601" s="8"/>
      <c r="Y601" s="9"/>
      <c r="Z601" s="10"/>
      <c r="AA601" s="10"/>
      <c r="AB601" s="8"/>
      <c r="AC601" s="10"/>
    </row>
    <row r="602" spans="1:29" s="4" customFormat="1" x14ac:dyDescent="0.3">
      <c r="A602" s="3"/>
      <c r="B602" s="39"/>
      <c r="C602" s="5"/>
      <c r="D602" s="5"/>
      <c r="E602" s="5"/>
      <c r="F602" s="5"/>
      <c r="G602" s="29"/>
      <c r="H602"/>
      <c r="I602" s="7"/>
      <c r="J602" s="7"/>
      <c r="K602" s="7"/>
      <c r="L602" s="8"/>
      <c r="M602" s="7"/>
      <c r="N602" s="7"/>
      <c r="O602" s="8"/>
      <c r="P602" s="6"/>
      <c r="Q602" s="5"/>
      <c r="R602" s="5"/>
      <c r="S602" s="5"/>
      <c r="T602" s="5"/>
      <c r="U602" s="5"/>
      <c r="V602" s="5"/>
      <c r="W602" s="5"/>
      <c r="X602" s="8"/>
      <c r="Y602" s="9"/>
      <c r="Z602" s="10"/>
      <c r="AA602" s="10"/>
      <c r="AB602" s="8"/>
      <c r="AC602" s="10"/>
    </row>
    <row r="603" spans="1:29" s="4" customFormat="1" x14ac:dyDescent="0.3">
      <c r="A603" s="3"/>
      <c r="B603" s="39"/>
      <c r="C603" s="5"/>
      <c r="D603" s="5"/>
      <c r="E603" s="5"/>
      <c r="F603" s="5"/>
      <c r="G603" s="29"/>
      <c r="H603"/>
      <c r="I603" s="7"/>
      <c r="J603" s="7"/>
      <c r="K603" s="7"/>
      <c r="L603" s="8"/>
      <c r="M603" s="7"/>
      <c r="N603" s="7"/>
      <c r="O603" s="8"/>
      <c r="P603" s="6"/>
      <c r="Q603" s="5"/>
      <c r="R603" s="5"/>
      <c r="S603" s="5"/>
      <c r="T603" s="5"/>
      <c r="U603" s="5"/>
      <c r="V603" s="5"/>
      <c r="W603" s="5"/>
      <c r="X603" s="8"/>
      <c r="Y603" s="9"/>
      <c r="Z603" s="10"/>
      <c r="AA603" s="10"/>
      <c r="AB603" s="8"/>
      <c r="AC603" s="10"/>
    </row>
    <row r="604" spans="1:29" s="4" customFormat="1" x14ac:dyDescent="0.3">
      <c r="A604" s="3"/>
      <c r="B604" s="39"/>
      <c r="C604" s="5"/>
      <c r="D604" s="5"/>
      <c r="E604" s="5"/>
      <c r="F604" s="5"/>
      <c r="G604" s="29"/>
      <c r="H604"/>
      <c r="I604" s="7"/>
      <c r="J604" s="7"/>
      <c r="K604" s="7"/>
      <c r="L604" s="8"/>
      <c r="M604" s="7"/>
      <c r="N604" s="7"/>
      <c r="O604" s="8"/>
      <c r="P604" s="6"/>
      <c r="Q604" s="5"/>
      <c r="R604" s="5"/>
      <c r="S604" s="5"/>
      <c r="T604" s="5"/>
      <c r="U604" s="5"/>
      <c r="V604" s="5"/>
      <c r="W604" s="5"/>
      <c r="X604" s="8"/>
      <c r="Y604" s="9"/>
      <c r="Z604" s="10"/>
      <c r="AA604" s="10"/>
      <c r="AB604" s="8"/>
      <c r="AC604" s="10"/>
    </row>
    <row r="605" spans="1:29" s="4" customFormat="1" x14ac:dyDescent="0.3">
      <c r="A605" s="3"/>
      <c r="B605" s="39"/>
      <c r="C605" s="5"/>
      <c r="D605" s="5"/>
      <c r="E605" s="5"/>
      <c r="F605" s="5"/>
      <c r="G605" s="29"/>
      <c r="H605"/>
      <c r="I605" s="7"/>
      <c r="J605" s="7"/>
      <c r="K605" s="7"/>
      <c r="L605" s="8"/>
      <c r="M605" s="7"/>
      <c r="N605" s="7"/>
      <c r="O605" s="8"/>
      <c r="P605" s="6"/>
      <c r="Q605" s="5"/>
      <c r="R605" s="5"/>
      <c r="S605" s="5"/>
      <c r="T605" s="5"/>
      <c r="U605" s="5"/>
      <c r="V605" s="5"/>
      <c r="W605" s="5"/>
      <c r="X605" s="8"/>
      <c r="Y605" s="9"/>
      <c r="Z605" s="10"/>
      <c r="AA605" s="10"/>
      <c r="AB605" s="8"/>
      <c r="AC605" s="10"/>
    </row>
    <row r="606" spans="1:29" s="4" customFormat="1" x14ac:dyDescent="0.3">
      <c r="A606" s="3"/>
      <c r="B606" s="39"/>
      <c r="C606" s="5"/>
      <c r="D606" s="5"/>
      <c r="E606" s="5"/>
      <c r="F606" s="5"/>
      <c r="G606" s="29"/>
      <c r="H606"/>
      <c r="I606" s="7"/>
      <c r="J606" s="7"/>
      <c r="K606" s="7"/>
      <c r="L606" s="8"/>
      <c r="M606" s="7"/>
      <c r="N606" s="7"/>
      <c r="O606" s="8"/>
      <c r="P606" s="6"/>
      <c r="Q606" s="5"/>
      <c r="R606" s="5"/>
      <c r="S606" s="5"/>
      <c r="T606" s="5"/>
      <c r="U606" s="5"/>
      <c r="V606" s="5"/>
      <c r="W606" s="5"/>
      <c r="X606" s="8"/>
      <c r="Y606" s="9"/>
      <c r="Z606" s="10"/>
      <c r="AA606" s="10"/>
      <c r="AB606" s="8"/>
      <c r="AC606" s="10"/>
    </row>
    <row r="607" spans="1:29" s="4" customFormat="1" x14ac:dyDescent="0.3">
      <c r="A607" s="3"/>
      <c r="B607" s="39"/>
      <c r="C607" s="5"/>
      <c r="D607" s="5"/>
      <c r="E607" s="5"/>
      <c r="F607" s="5"/>
      <c r="G607" s="29"/>
      <c r="H607"/>
      <c r="I607" s="7"/>
      <c r="J607" s="7"/>
      <c r="K607" s="7"/>
      <c r="L607" s="8"/>
      <c r="M607" s="7"/>
      <c r="N607" s="7"/>
      <c r="O607" s="8"/>
      <c r="P607" s="6"/>
      <c r="Q607" s="5"/>
      <c r="R607" s="5"/>
      <c r="S607" s="5"/>
      <c r="T607" s="5"/>
      <c r="U607" s="5"/>
      <c r="V607" s="5"/>
      <c r="W607" s="5"/>
      <c r="X607" s="8"/>
      <c r="Y607" s="9"/>
      <c r="Z607" s="10"/>
      <c r="AA607" s="10"/>
      <c r="AB607" s="8"/>
      <c r="AC607" s="10"/>
    </row>
    <row r="608" spans="1:29" s="4" customFormat="1" x14ac:dyDescent="0.3">
      <c r="A608" s="3"/>
      <c r="B608" s="39"/>
      <c r="C608" s="5"/>
      <c r="D608" s="5"/>
      <c r="E608" s="5"/>
      <c r="F608" s="5"/>
      <c r="G608" s="29"/>
      <c r="H608"/>
      <c r="I608" s="7"/>
      <c r="J608" s="7"/>
      <c r="K608" s="7"/>
      <c r="L608" s="8"/>
      <c r="M608" s="7"/>
      <c r="N608" s="7"/>
      <c r="O608" s="8"/>
      <c r="P608" s="6"/>
      <c r="Q608" s="5"/>
      <c r="R608" s="5"/>
      <c r="S608" s="5"/>
      <c r="T608" s="5"/>
      <c r="U608" s="5"/>
      <c r="V608" s="5"/>
      <c r="W608" s="5"/>
      <c r="X608" s="8"/>
      <c r="Y608" s="9"/>
      <c r="Z608" s="10"/>
      <c r="AA608" s="10"/>
      <c r="AB608" s="8"/>
      <c r="AC608" s="10"/>
    </row>
    <row r="609" spans="1:29" s="4" customFormat="1" x14ac:dyDescent="0.3">
      <c r="A609" s="3"/>
      <c r="B609" s="39"/>
      <c r="C609" s="5"/>
      <c r="D609" s="5"/>
      <c r="E609" s="5"/>
      <c r="F609" s="5"/>
      <c r="G609" s="29"/>
      <c r="H609"/>
      <c r="I609" s="7"/>
      <c r="J609" s="7"/>
      <c r="K609" s="7"/>
      <c r="L609" s="8"/>
      <c r="M609" s="7"/>
      <c r="N609" s="7"/>
      <c r="O609" s="8"/>
      <c r="P609" s="6"/>
      <c r="Q609" s="5"/>
      <c r="R609" s="5"/>
      <c r="S609" s="5"/>
      <c r="T609" s="5"/>
      <c r="U609" s="5"/>
      <c r="V609" s="5"/>
      <c r="W609" s="5"/>
      <c r="X609" s="8"/>
      <c r="Y609" s="9"/>
      <c r="Z609" s="10"/>
      <c r="AA609" s="10"/>
      <c r="AB609" s="8"/>
      <c r="AC609" s="10"/>
    </row>
    <row r="610" spans="1:29" s="4" customFormat="1" x14ac:dyDescent="0.3">
      <c r="A610" s="3"/>
      <c r="B610" s="39"/>
      <c r="C610" s="5"/>
      <c r="D610" s="5"/>
      <c r="E610" s="5"/>
      <c r="F610" s="5"/>
      <c r="G610" s="29"/>
      <c r="H610"/>
      <c r="I610" s="7"/>
      <c r="J610" s="7"/>
      <c r="K610" s="7"/>
      <c r="L610" s="8"/>
      <c r="M610" s="7"/>
      <c r="N610" s="7"/>
      <c r="O610" s="8"/>
      <c r="P610" s="6"/>
      <c r="Q610" s="5"/>
      <c r="R610" s="5"/>
      <c r="S610" s="5"/>
      <c r="T610" s="5"/>
      <c r="U610" s="5"/>
      <c r="V610" s="5"/>
      <c r="W610" s="5"/>
      <c r="X610" s="8"/>
      <c r="Y610" s="9"/>
      <c r="Z610" s="10"/>
      <c r="AA610" s="10"/>
      <c r="AB610" s="8"/>
      <c r="AC610" s="10"/>
    </row>
    <row r="611" spans="1:29" s="4" customFormat="1" x14ac:dyDescent="0.3">
      <c r="A611" s="3"/>
      <c r="B611" s="39"/>
      <c r="C611" s="5"/>
      <c r="D611" s="5"/>
      <c r="E611" s="5"/>
      <c r="F611" s="5"/>
      <c r="G611" s="29"/>
      <c r="H611"/>
      <c r="I611" s="7"/>
      <c r="J611" s="7"/>
      <c r="K611" s="7"/>
      <c r="L611" s="8"/>
      <c r="M611" s="7"/>
      <c r="N611" s="7"/>
      <c r="O611" s="8"/>
      <c r="P611" s="6"/>
      <c r="Q611" s="5"/>
      <c r="R611" s="5"/>
      <c r="S611" s="5"/>
      <c r="T611" s="5"/>
      <c r="U611" s="5"/>
      <c r="V611" s="5"/>
      <c r="W611" s="5"/>
      <c r="X611" s="8"/>
      <c r="Y611" s="9"/>
      <c r="Z611" s="10"/>
      <c r="AA611" s="10"/>
      <c r="AB611" s="8"/>
      <c r="AC611" s="10"/>
    </row>
    <row r="612" spans="1:29" s="4" customFormat="1" x14ac:dyDescent="0.3">
      <c r="A612" s="3"/>
      <c r="B612" s="39"/>
      <c r="C612" s="5"/>
      <c r="D612" s="5"/>
      <c r="E612" s="5"/>
      <c r="F612" s="5"/>
      <c r="G612" s="29"/>
      <c r="H612"/>
      <c r="I612" s="7"/>
      <c r="J612" s="7"/>
      <c r="K612" s="7"/>
      <c r="L612" s="8"/>
      <c r="M612" s="7"/>
      <c r="N612" s="7"/>
      <c r="O612" s="8"/>
      <c r="P612" s="6"/>
      <c r="Q612" s="5"/>
      <c r="R612" s="5"/>
      <c r="S612" s="5"/>
      <c r="T612" s="5"/>
      <c r="U612" s="5"/>
      <c r="V612" s="5"/>
      <c r="W612" s="5"/>
      <c r="X612" s="8"/>
      <c r="Y612" s="9"/>
      <c r="Z612" s="10"/>
      <c r="AA612" s="10"/>
      <c r="AB612" s="8"/>
      <c r="AC612" s="10"/>
    </row>
    <row r="613" spans="1:29" s="4" customFormat="1" x14ac:dyDescent="0.3">
      <c r="A613" s="3"/>
      <c r="B613" s="39"/>
      <c r="C613" s="5"/>
      <c r="D613" s="5"/>
      <c r="E613" s="5"/>
      <c r="F613" s="5"/>
      <c r="G613" s="29"/>
      <c r="H613"/>
      <c r="I613" s="7"/>
      <c r="J613" s="7"/>
      <c r="K613" s="7"/>
      <c r="L613" s="8"/>
      <c r="M613" s="7"/>
      <c r="N613" s="7"/>
      <c r="O613" s="8"/>
      <c r="P613" s="6"/>
      <c r="Q613" s="5"/>
      <c r="R613" s="5"/>
      <c r="S613" s="5"/>
      <c r="T613" s="5"/>
      <c r="U613" s="5"/>
      <c r="V613" s="5"/>
      <c r="W613" s="5"/>
      <c r="X613" s="8"/>
      <c r="Y613" s="9"/>
      <c r="Z613" s="10"/>
      <c r="AA613" s="10"/>
      <c r="AB613" s="8"/>
      <c r="AC613" s="10"/>
    </row>
    <row r="614" spans="1:29" s="4" customFormat="1" x14ac:dyDescent="0.3">
      <c r="A614" s="3"/>
      <c r="B614" s="39"/>
      <c r="C614" s="5"/>
      <c r="D614" s="5"/>
      <c r="E614" s="5"/>
      <c r="F614" s="5"/>
      <c r="G614" s="29"/>
      <c r="H614"/>
      <c r="I614" s="7"/>
      <c r="J614" s="7"/>
      <c r="K614" s="7"/>
      <c r="L614" s="8"/>
      <c r="M614" s="7"/>
      <c r="N614" s="7"/>
      <c r="O614" s="8"/>
      <c r="P614" s="6"/>
      <c r="Q614" s="5"/>
      <c r="R614" s="5"/>
      <c r="S614" s="5"/>
      <c r="T614" s="5"/>
      <c r="U614" s="5"/>
      <c r="V614" s="5"/>
      <c r="W614" s="5"/>
      <c r="X614" s="8"/>
      <c r="Y614" s="9"/>
      <c r="Z614" s="10"/>
      <c r="AA614" s="10"/>
      <c r="AB614" s="8"/>
      <c r="AC614" s="10"/>
    </row>
    <row r="615" spans="1:29" s="4" customFormat="1" x14ac:dyDescent="0.3">
      <c r="A615" s="3"/>
      <c r="B615" s="39"/>
      <c r="C615" s="5"/>
      <c r="D615" s="5"/>
      <c r="E615" s="5"/>
      <c r="F615" s="5"/>
      <c r="G615" s="29"/>
      <c r="H615"/>
      <c r="I615" s="7"/>
      <c r="J615" s="7"/>
      <c r="K615" s="7"/>
      <c r="L615" s="8"/>
      <c r="M615" s="7"/>
      <c r="N615" s="7"/>
      <c r="O615" s="8"/>
      <c r="P615" s="6"/>
      <c r="Q615" s="5"/>
      <c r="R615" s="5"/>
      <c r="S615" s="5"/>
      <c r="T615" s="5"/>
      <c r="U615" s="5"/>
      <c r="V615" s="5"/>
      <c r="W615" s="5"/>
      <c r="X615" s="8"/>
      <c r="Y615" s="9"/>
      <c r="Z615" s="10"/>
      <c r="AA615" s="10"/>
      <c r="AB615" s="8"/>
      <c r="AC615" s="10"/>
    </row>
    <row r="616" spans="1:29" s="4" customFormat="1" x14ac:dyDescent="0.3">
      <c r="A616" s="3"/>
      <c r="B616" s="39"/>
      <c r="C616" s="5"/>
      <c r="D616" s="5"/>
      <c r="E616" s="5"/>
      <c r="F616" s="5"/>
      <c r="G616" s="29"/>
      <c r="H616"/>
      <c r="I616" s="7"/>
      <c r="J616" s="7"/>
      <c r="K616" s="7"/>
      <c r="L616" s="8"/>
      <c r="M616" s="7"/>
      <c r="N616" s="7"/>
      <c r="O616" s="8"/>
      <c r="P616" s="6"/>
      <c r="Q616" s="5"/>
      <c r="R616" s="5"/>
      <c r="S616" s="5"/>
      <c r="T616" s="5"/>
      <c r="U616" s="5"/>
      <c r="V616" s="5"/>
      <c r="W616" s="5"/>
      <c r="X616" s="8"/>
      <c r="Y616" s="9"/>
      <c r="Z616" s="10"/>
      <c r="AA616" s="10"/>
      <c r="AB616" s="8"/>
      <c r="AC616" s="10"/>
    </row>
    <row r="617" spans="1:29" s="4" customFormat="1" x14ac:dyDescent="0.3">
      <c r="A617" s="3"/>
      <c r="B617" s="39"/>
      <c r="C617" s="5"/>
      <c r="D617" s="5"/>
      <c r="E617" s="5"/>
      <c r="F617" s="5"/>
      <c r="G617" s="29"/>
      <c r="H617"/>
      <c r="I617" s="7"/>
      <c r="J617" s="7"/>
      <c r="K617" s="7"/>
      <c r="L617" s="8"/>
      <c r="M617" s="7"/>
      <c r="N617" s="7"/>
      <c r="O617" s="8"/>
      <c r="P617" s="6"/>
      <c r="Q617" s="5"/>
      <c r="R617" s="5"/>
      <c r="S617" s="5"/>
      <c r="T617" s="5"/>
      <c r="U617" s="5"/>
      <c r="V617" s="5"/>
      <c r="W617" s="5"/>
      <c r="X617" s="8"/>
      <c r="Y617" s="9"/>
      <c r="Z617" s="10"/>
      <c r="AA617" s="10"/>
      <c r="AB617" s="8"/>
      <c r="AC617" s="10"/>
    </row>
    <row r="618" spans="1:29" s="4" customFormat="1" x14ac:dyDescent="0.3">
      <c r="A618" s="3"/>
      <c r="B618" s="39"/>
      <c r="C618" s="5"/>
      <c r="D618" s="5"/>
      <c r="E618" s="5"/>
      <c r="F618" s="5"/>
      <c r="G618" s="29"/>
      <c r="H618"/>
      <c r="I618" s="7"/>
      <c r="J618" s="7"/>
      <c r="K618" s="7"/>
      <c r="L618" s="8"/>
      <c r="M618" s="7"/>
      <c r="N618" s="7"/>
      <c r="O618" s="8"/>
      <c r="P618" s="6"/>
      <c r="Q618" s="5"/>
      <c r="R618" s="5"/>
      <c r="S618" s="5"/>
      <c r="T618" s="5"/>
      <c r="U618" s="5"/>
      <c r="V618" s="5"/>
      <c r="W618" s="5"/>
      <c r="X618" s="8"/>
      <c r="Y618" s="9"/>
      <c r="Z618" s="10"/>
      <c r="AA618" s="10"/>
      <c r="AB618" s="8"/>
      <c r="AC618" s="10"/>
    </row>
    <row r="619" spans="1:29" s="4" customFormat="1" x14ac:dyDescent="0.3">
      <c r="A619" s="3"/>
      <c r="B619" s="39"/>
      <c r="C619" s="5"/>
      <c r="D619" s="5"/>
      <c r="E619" s="5"/>
      <c r="F619" s="5"/>
      <c r="G619" s="29"/>
      <c r="H619"/>
      <c r="I619" s="7"/>
      <c r="J619" s="7"/>
      <c r="K619" s="7"/>
      <c r="L619" s="8"/>
      <c r="M619" s="7"/>
      <c r="N619" s="7"/>
      <c r="O619" s="8"/>
      <c r="P619" s="6"/>
      <c r="Q619" s="5"/>
      <c r="R619" s="5"/>
      <c r="S619" s="5"/>
      <c r="T619" s="5"/>
      <c r="U619" s="5"/>
      <c r="V619" s="5"/>
      <c r="W619" s="5"/>
      <c r="X619" s="8"/>
      <c r="Y619" s="9"/>
      <c r="Z619" s="10"/>
      <c r="AA619" s="10"/>
      <c r="AB619" s="8"/>
      <c r="AC619" s="10"/>
    </row>
    <row r="620" spans="1:29" s="4" customFormat="1" x14ac:dyDescent="0.3">
      <c r="A620" s="3"/>
      <c r="B620" s="39"/>
      <c r="C620" s="5"/>
      <c r="D620" s="5"/>
      <c r="E620" s="5"/>
      <c r="F620" s="5"/>
      <c r="G620" s="29"/>
      <c r="H620"/>
      <c r="I620" s="7"/>
      <c r="J620" s="7"/>
      <c r="K620" s="7"/>
      <c r="L620" s="8"/>
      <c r="M620" s="7"/>
      <c r="N620" s="7"/>
      <c r="O620" s="8"/>
      <c r="P620" s="6"/>
      <c r="Q620" s="5"/>
      <c r="R620" s="5"/>
      <c r="S620" s="5"/>
      <c r="T620" s="5"/>
      <c r="U620" s="5"/>
      <c r="V620" s="5"/>
      <c r="W620" s="5"/>
      <c r="X620" s="8"/>
      <c r="Y620" s="9"/>
      <c r="Z620" s="10"/>
      <c r="AA620" s="10"/>
      <c r="AB620" s="8"/>
      <c r="AC620" s="10"/>
    </row>
    <row r="621" spans="1:29" s="4" customFormat="1" x14ac:dyDescent="0.3">
      <c r="A621" s="3"/>
      <c r="B621" s="39"/>
      <c r="C621" s="5"/>
      <c r="D621" s="5"/>
      <c r="E621" s="5"/>
      <c r="F621" s="5"/>
      <c r="G621" s="29"/>
      <c r="H621"/>
      <c r="I621" s="7"/>
      <c r="J621" s="7"/>
      <c r="K621" s="7"/>
      <c r="L621" s="8"/>
      <c r="M621" s="7"/>
      <c r="N621" s="7"/>
      <c r="O621" s="8"/>
      <c r="P621" s="6"/>
      <c r="Q621" s="5"/>
      <c r="R621" s="5"/>
      <c r="S621" s="5"/>
      <c r="T621" s="5"/>
      <c r="U621" s="5"/>
      <c r="V621" s="5"/>
      <c r="W621" s="5"/>
      <c r="X621" s="8"/>
      <c r="Y621" s="9"/>
      <c r="Z621" s="10"/>
      <c r="AA621" s="10"/>
      <c r="AB621" s="8"/>
      <c r="AC621" s="10"/>
    </row>
    <row r="622" spans="1:29" s="4" customFormat="1" x14ac:dyDescent="0.3">
      <c r="A622" s="3"/>
      <c r="B622" s="39"/>
      <c r="C622" s="5"/>
      <c r="D622" s="5"/>
      <c r="E622" s="5"/>
      <c r="F622" s="5"/>
      <c r="G622" s="29"/>
      <c r="H622"/>
      <c r="I622" s="7"/>
      <c r="J622" s="7"/>
      <c r="K622" s="7"/>
      <c r="L622" s="8"/>
      <c r="M622" s="7"/>
      <c r="N622" s="7"/>
      <c r="O622" s="8"/>
      <c r="P622" s="6"/>
      <c r="Q622" s="5"/>
      <c r="R622" s="5"/>
      <c r="S622" s="5"/>
      <c r="T622" s="5"/>
      <c r="U622" s="5"/>
      <c r="V622" s="5"/>
      <c r="W622" s="5"/>
      <c r="X622" s="8"/>
      <c r="Y622" s="9"/>
      <c r="Z622" s="10"/>
      <c r="AA622" s="10"/>
      <c r="AB622" s="8"/>
      <c r="AC622" s="10"/>
    </row>
    <row r="623" spans="1:29" s="4" customFormat="1" x14ac:dyDescent="0.3">
      <c r="A623" s="3"/>
      <c r="B623" s="39"/>
      <c r="C623" s="5"/>
      <c r="D623" s="5"/>
      <c r="E623" s="5"/>
      <c r="F623" s="5"/>
      <c r="G623" s="29"/>
      <c r="H623"/>
      <c r="I623" s="7"/>
      <c r="J623" s="7"/>
      <c r="K623" s="7"/>
      <c r="L623" s="8"/>
      <c r="M623" s="7"/>
      <c r="N623" s="7"/>
      <c r="O623" s="8"/>
      <c r="P623" s="6"/>
      <c r="Q623" s="5"/>
      <c r="R623" s="5"/>
      <c r="S623" s="5"/>
      <c r="T623" s="5"/>
      <c r="U623" s="5"/>
      <c r="V623" s="5"/>
      <c r="W623" s="5"/>
      <c r="X623" s="8"/>
      <c r="Y623" s="9"/>
      <c r="Z623" s="10"/>
      <c r="AA623" s="10"/>
      <c r="AB623" s="8"/>
      <c r="AC623" s="10"/>
    </row>
    <row r="624" spans="1:29" s="4" customFormat="1" x14ac:dyDescent="0.3">
      <c r="A624" s="3"/>
      <c r="B624" s="39"/>
      <c r="C624" s="5"/>
      <c r="D624" s="5"/>
      <c r="E624" s="5"/>
      <c r="F624" s="5"/>
      <c r="G624" s="29"/>
      <c r="H624"/>
      <c r="I624" s="7"/>
      <c r="J624" s="7"/>
      <c r="K624" s="7"/>
      <c r="L624" s="8"/>
      <c r="M624" s="7"/>
      <c r="N624" s="7"/>
      <c r="O624" s="8"/>
      <c r="P624" s="6"/>
      <c r="Q624" s="5"/>
      <c r="R624" s="5"/>
      <c r="S624" s="5"/>
      <c r="T624" s="5"/>
      <c r="U624" s="5"/>
      <c r="V624" s="5"/>
      <c r="W624" s="5"/>
      <c r="X624" s="8"/>
      <c r="Y624" s="9"/>
      <c r="Z624" s="10"/>
      <c r="AA624" s="10"/>
      <c r="AB624" s="8"/>
      <c r="AC624" s="10"/>
    </row>
    <row r="625" spans="1:29" s="4" customFormat="1" x14ac:dyDescent="0.3">
      <c r="A625" s="3"/>
      <c r="B625" s="39"/>
      <c r="C625" s="5"/>
      <c r="D625" s="5"/>
      <c r="E625" s="5"/>
      <c r="F625" s="5"/>
      <c r="G625" s="29"/>
      <c r="H625"/>
      <c r="I625" s="7"/>
      <c r="J625" s="7"/>
      <c r="K625" s="7"/>
      <c r="L625" s="8"/>
      <c r="M625" s="7"/>
      <c r="N625" s="7"/>
      <c r="O625" s="8"/>
      <c r="P625" s="6"/>
      <c r="Q625" s="5"/>
      <c r="R625" s="5"/>
      <c r="S625" s="5"/>
      <c r="T625" s="5"/>
      <c r="U625" s="5"/>
      <c r="V625" s="5"/>
      <c r="W625" s="5"/>
      <c r="X625" s="8"/>
      <c r="Y625" s="9"/>
      <c r="Z625" s="10"/>
      <c r="AA625" s="10"/>
      <c r="AB625" s="8"/>
      <c r="AC625" s="10"/>
    </row>
    <row r="626" spans="1:29" s="4" customFormat="1" x14ac:dyDescent="0.3">
      <c r="A626" s="3"/>
      <c r="B626" s="39"/>
      <c r="C626" s="5"/>
      <c r="D626" s="5"/>
      <c r="E626" s="5"/>
      <c r="F626" s="5"/>
      <c r="G626" s="29"/>
      <c r="H626"/>
      <c r="I626" s="7"/>
      <c r="J626" s="7"/>
      <c r="K626" s="7"/>
      <c r="L626" s="8"/>
      <c r="M626" s="7"/>
      <c r="N626" s="7"/>
      <c r="O626" s="8"/>
      <c r="P626" s="6"/>
      <c r="Q626" s="5"/>
      <c r="R626" s="5"/>
      <c r="S626" s="5"/>
      <c r="T626" s="5"/>
      <c r="U626" s="5"/>
      <c r="V626" s="5"/>
      <c r="W626" s="5"/>
      <c r="X626" s="8"/>
      <c r="Y626" s="9"/>
      <c r="Z626" s="10"/>
      <c r="AA626" s="10"/>
      <c r="AB626" s="8"/>
      <c r="AC626" s="10"/>
    </row>
    <row r="627" spans="1:29" s="4" customFormat="1" x14ac:dyDescent="0.3">
      <c r="A627" s="3"/>
      <c r="B627" s="39"/>
      <c r="C627" s="5"/>
      <c r="D627" s="5"/>
      <c r="E627" s="5"/>
      <c r="F627" s="5"/>
      <c r="G627" s="29"/>
      <c r="H627"/>
      <c r="I627" s="7"/>
      <c r="J627" s="7"/>
      <c r="K627" s="7"/>
      <c r="L627" s="8"/>
      <c r="M627" s="7"/>
      <c r="N627" s="7"/>
      <c r="O627" s="8"/>
      <c r="P627" s="6"/>
      <c r="Q627" s="5"/>
      <c r="R627" s="5"/>
      <c r="S627" s="5"/>
      <c r="T627" s="5"/>
      <c r="U627" s="5"/>
      <c r="V627" s="5"/>
      <c r="W627" s="5"/>
      <c r="X627" s="8"/>
      <c r="Y627" s="9"/>
      <c r="Z627" s="10"/>
      <c r="AA627" s="10"/>
      <c r="AB627" s="8"/>
      <c r="AC627" s="10"/>
    </row>
    <row r="628" spans="1:29" s="4" customFormat="1" x14ac:dyDescent="0.3">
      <c r="A628" s="3"/>
      <c r="B628" s="39"/>
      <c r="C628" s="5"/>
      <c r="D628" s="5"/>
      <c r="E628" s="5"/>
      <c r="F628" s="5"/>
      <c r="G628" s="29"/>
      <c r="H628"/>
      <c r="I628" s="7"/>
      <c r="J628" s="7"/>
      <c r="K628" s="7"/>
      <c r="L628" s="8"/>
      <c r="M628" s="7"/>
      <c r="N628" s="7"/>
      <c r="O628" s="8"/>
      <c r="P628" s="6"/>
      <c r="Q628" s="5"/>
      <c r="R628" s="5"/>
      <c r="S628" s="5"/>
      <c r="T628" s="5"/>
      <c r="U628" s="5"/>
      <c r="V628" s="5"/>
      <c r="W628" s="5"/>
      <c r="X628" s="8"/>
      <c r="Y628" s="9"/>
      <c r="Z628" s="10"/>
      <c r="AA628" s="10"/>
      <c r="AB628" s="8"/>
      <c r="AC628" s="10"/>
    </row>
    <row r="629" spans="1:29" s="4" customFormat="1" x14ac:dyDescent="0.3">
      <c r="A629" s="3"/>
      <c r="B629" s="39"/>
      <c r="C629" s="5"/>
      <c r="D629" s="5"/>
      <c r="E629" s="5"/>
      <c r="F629" s="5"/>
      <c r="G629" s="29"/>
      <c r="H629"/>
      <c r="I629" s="7"/>
      <c r="J629" s="7"/>
      <c r="K629" s="7"/>
      <c r="L629" s="8"/>
      <c r="M629" s="7"/>
      <c r="N629" s="7"/>
      <c r="O629" s="8"/>
      <c r="P629" s="6"/>
      <c r="Q629" s="5"/>
      <c r="R629" s="5"/>
      <c r="S629" s="5"/>
      <c r="T629" s="5"/>
      <c r="U629" s="5"/>
      <c r="V629" s="5"/>
      <c r="W629" s="5"/>
      <c r="X629" s="8"/>
      <c r="Y629" s="9"/>
      <c r="Z629" s="10"/>
      <c r="AA629" s="10"/>
      <c r="AB629" s="8"/>
      <c r="AC629" s="10"/>
    </row>
    <row r="630" spans="1:29" s="4" customFormat="1" x14ac:dyDescent="0.3">
      <c r="A630" s="3"/>
      <c r="B630" s="39"/>
      <c r="C630" s="5"/>
      <c r="D630" s="5"/>
      <c r="E630" s="5"/>
      <c r="F630" s="5"/>
      <c r="G630" s="29"/>
      <c r="H630"/>
      <c r="I630" s="7"/>
      <c r="J630" s="7"/>
      <c r="K630" s="7"/>
      <c r="L630" s="8"/>
      <c r="M630" s="7"/>
      <c r="N630" s="7"/>
      <c r="O630" s="8"/>
      <c r="P630" s="6"/>
      <c r="Q630" s="5"/>
      <c r="R630" s="5"/>
      <c r="S630" s="5"/>
      <c r="T630" s="5"/>
      <c r="U630" s="5"/>
      <c r="V630" s="5"/>
      <c r="W630" s="5"/>
      <c r="X630" s="8"/>
      <c r="Y630" s="9"/>
      <c r="Z630" s="10"/>
      <c r="AA630" s="10"/>
      <c r="AB630" s="8"/>
      <c r="AC630" s="10"/>
    </row>
    <row r="631" spans="1:29" s="4" customFormat="1" x14ac:dyDescent="0.3">
      <c r="A631" s="3"/>
      <c r="B631" s="39"/>
      <c r="C631" s="5"/>
      <c r="D631" s="5"/>
      <c r="E631" s="5"/>
      <c r="F631" s="5"/>
      <c r="G631" s="29"/>
      <c r="H631"/>
      <c r="I631" s="7"/>
      <c r="J631" s="7"/>
      <c r="K631" s="7"/>
      <c r="L631" s="8"/>
      <c r="M631" s="7"/>
      <c r="N631" s="7"/>
      <c r="O631" s="8"/>
      <c r="P631" s="6"/>
      <c r="Q631" s="5"/>
      <c r="R631" s="5"/>
      <c r="S631" s="5"/>
      <c r="T631" s="5"/>
      <c r="U631" s="5"/>
      <c r="V631" s="5"/>
      <c r="W631" s="5"/>
      <c r="X631" s="8"/>
      <c r="Y631" s="9"/>
      <c r="Z631" s="10"/>
      <c r="AA631" s="10"/>
      <c r="AB631" s="8"/>
      <c r="AC631" s="10"/>
    </row>
    <row r="632" spans="1:29" s="4" customFormat="1" x14ac:dyDescent="0.3">
      <c r="A632" s="3"/>
      <c r="B632" s="39"/>
      <c r="C632" s="5"/>
      <c r="D632" s="5"/>
      <c r="E632" s="5"/>
      <c r="F632" s="5"/>
      <c r="G632" s="29"/>
      <c r="H632"/>
      <c r="I632" s="7"/>
      <c r="J632" s="7"/>
      <c r="K632" s="7"/>
      <c r="L632" s="8"/>
      <c r="M632" s="7"/>
      <c r="N632" s="7"/>
      <c r="O632" s="8"/>
      <c r="P632" s="6"/>
      <c r="Q632" s="5"/>
      <c r="R632" s="5"/>
      <c r="S632" s="5"/>
      <c r="T632" s="5"/>
      <c r="U632" s="5"/>
      <c r="V632" s="5"/>
      <c r="W632" s="5"/>
      <c r="X632" s="8"/>
      <c r="Y632" s="9"/>
      <c r="Z632" s="10"/>
      <c r="AA632" s="10"/>
      <c r="AB632" s="8"/>
      <c r="AC632" s="10"/>
    </row>
    <row r="633" spans="1:29" s="4" customFormat="1" x14ac:dyDescent="0.3">
      <c r="A633" s="3"/>
      <c r="B633" s="39"/>
      <c r="C633" s="5"/>
      <c r="D633" s="5"/>
      <c r="E633" s="5"/>
      <c r="F633" s="5"/>
      <c r="G633" s="29"/>
      <c r="H633"/>
      <c r="I633" s="7"/>
      <c r="J633" s="7"/>
      <c r="K633" s="7"/>
      <c r="L633" s="8"/>
      <c r="M633" s="7"/>
      <c r="N633" s="7"/>
      <c r="O633" s="8"/>
      <c r="P633" s="6"/>
      <c r="Q633" s="5"/>
      <c r="R633" s="5"/>
      <c r="S633" s="5"/>
      <c r="T633" s="5"/>
      <c r="U633" s="5"/>
      <c r="V633" s="5"/>
      <c r="W633" s="5"/>
      <c r="X633" s="8"/>
      <c r="Y633" s="9"/>
      <c r="Z633" s="10"/>
      <c r="AA633" s="10"/>
      <c r="AB633" s="8"/>
      <c r="AC633" s="10"/>
    </row>
    <row r="634" spans="1:29" s="4" customFormat="1" x14ac:dyDescent="0.3">
      <c r="A634" s="3"/>
      <c r="B634" s="39"/>
      <c r="C634" s="5"/>
      <c r="D634" s="5"/>
      <c r="E634" s="5"/>
      <c r="F634" s="5"/>
      <c r="G634" s="29"/>
      <c r="H634"/>
      <c r="I634" s="7"/>
      <c r="J634" s="7"/>
      <c r="K634" s="7"/>
      <c r="L634" s="8"/>
      <c r="M634" s="7"/>
      <c r="N634" s="7"/>
      <c r="O634" s="8"/>
      <c r="P634" s="6"/>
      <c r="Q634" s="5"/>
      <c r="R634" s="5"/>
      <c r="S634" s="5"/>
      <c r="T634" s="5"/>
      <c r="U634" s="5"/>
      <c r="V634" s="5"/>
      <c r="W634" s="5"/>
      <c r="X634" s="8"/>
      <c r="Y634" s="9"/>
      <c r="Z634" s="10"/>
      <c r="AA634" s="10"/>
      <c r="AB634" s="8"/>
      <c r="AC634" s="10"/>
    </row>
    <row r="635" spans="1:29" s="4" customFormat="1" x14ac:dyDescent="0.3">
      <c r="A635" s="3"/>
      <c r="B635" s="39"/>
      <c r="C635" s="5"/>
      <c r="D635" s="5"/>
      <c r="E635" s="5"/>
      <c r="F635" s="5"/>
      <c r="G635" s="29"/>
      <c r="H635"/>
      <c r="I635" s="7"/>
      <c r="J635" s="7"/>
      <c r="K635" s="7"/>
      <c r="L635" s="8"/>
      <c r="M635" s="7"/>
      <c r="N635" s="7"/>
      <c r="O635" s="8"/>
      <c r="P635" s="6"/>
      <c r="Q635" s="5"/>
      <c r="R635" s="5"/>
      <c r="S635" s="5"/>
      <c r="T635" s="5"/>
      <c r="U635" s="5"/>
      <c r="V635" s="5"/>
      <c r="W635" s="5"/>
      <c r="X635" s="8"/>
      <c r="Y635" s="9"/>
      <c r="Z635" s="10"/>
      <c r="AA635" s="10"/>
      <c r="AB635" s="8"/>
      <c r="AC635" s="10"/>
    </row>
    <row r="636" spans="1:29" s="4" customFormat="1" x14ac:dyDescent="0.3">
      <c r="A636" s="3"/>
      <c r="B636" s="39"/>
      <c r="C636" s="5"/>
      <c r="D636" s="5"/>
      <c r="E636" s="5"/>
      <c r="F636" s="5"/>
      <c r="G636" s="29"/>
      <c r="H636"/>
      <c r="I636" s="7"/>
      <c r="J636" s="7"/>
      <c r="K636" s="7"/>
      <c r="L636" s="8"/>
      <c r="M636" s="7"/>
      <c r="N636" s="7"/>
      <c r="O636" s="8"/>
      <c r="P636" s="6"/>
      <c r="Q636" s="5"/>
      <c r="R636" s="5"/>
      <c r="S636" s="5"/>
      <c r="T636" s="5"/>
      <c r="U636" s="5"/>
      <c r="V636" s="5"/>
      <c r="W636" s="5"/>
      <c r="X636" s="8"/>
      <c r="Y636" s="9"/>
      <c r="Z636" s="10"/>
      <c r="AA636" s="10"/>
      <c r="AB636" s="8"/>
      <c r="AC636" s="10"/>
    </row>
    <row r="637" spans="1:29" s="4" customFormat="1" x14ac:dyDescent="0.3">
      <c r="A637" s="3"/>
      <c r="B637" s="39"/>
      <c r="C637" s="5"/>
      <c r="D637" s="5"/>
      <c r="E637" s="5"/>
      <c r="F637" s="5"/>
      <c r="G637" s="29"/>
      <c r="H637"/>
      <c r="I637" s="7"/>
      <c r="J637" s="7"/>
      <c r="K637" s="7"/>
      <c r="L637" s="8"/>
      <c r="M637" s="7"/>
      <c r="N637" s="7"/>
      <c r="O637" s="8"/>
      <c r="P637" s="6"/>
      <c r="Q637" s="5"/>
      <c r="R637" s="5"/>
      <c r="S637" s="5"/>
      <c r="T637" s="5"/>
      <c r="U637" s="5"/>
      <c r="V637" s="5"/>
      <c r="W637" s="5"/>
      <c r="X637" s="8"/>
      <c r="Y637" s="9"/>
      <c r="Z637" s="10"/>
      <c r="AA637" s="10"/>
      <c r="AB637" s="8"/>
      <c r="AC637" s="10"/>
    </row>
    <row r="638" spans="1:29" s="4" customFormat="1" x14ac:dyDescent="0.3">
      <c r="A638" s="3"/>
      <c r="B638" s="39"/>
      <c r="C638" s="5"/>
      <c r="D638" s="5"/>
      <c r="E638" s="5"/>
      <c r="F638" s="5"/>
      <c r="G638" s="29"/>
      <c r="H638"/>
      <c r="I638" s="7"/>
      <c r="J638" s="7"/>
      <c r="K638" s="7"/>
      <c r="L638" s="8"/>
      <c r="M638" s="7"/>
      <c r="N638" s="7"/>
      <c r="O638" s="8"/>
      <c r="P638" s="6"/>
      <c r="Q638" s="5"/>
      <c r="R638" s="5"/>
      <c r="S638" s="5"/>
      <c r="T638" s="5"/>
      <c r="U638" s="5"/>
      <c r="V638" s="5"/>
      <c r="W638" s="5"/>
      <c r="X638" s="8"/>
      <c r="Y638" s="9"/>
      <c r="Z638" s="10"/>
      <c r="AA638" s="10"/>
      <c r="AB638" s="8"/>
      <c r="AC638" s="10"/>
    </row>
    <row r="639" spans="1:29" s="4" customFormat="1" x14ac:dyDescent="0.3">
      <c r="A639" s="3"/>
      <c r="B639" s="39"/>
      <c r="C639" s="5"/>
      <c r="D639" s="5"/>
      <c r="E639" s="5"/>
      <c r="F639" s="5"/>
      <c r="G639" s="29"/>
      <c r="H639"/>
      <c r="I639" s="7"/>
      <c r="J639" s="7"/>
      <c r="K639" s="7"/>
      <c r="L639" s="8"/>
      <c r="M639" s="7"/>
      <c r="N639" s="7"/>
      <c r="O639" s="8"/>
      <c r="P639" s="6"/>
      <c r="Q639" s="5"/>
      <c r="R639" s="5"/>
      <c r="S639" s="5"/>
      <c r="T639" s="5"/>
      <c r="U639" s="5"/>
      <c r="V639" s="5"/>
      <c r="W639" s="5"/>
      <c r="X639" s="8"/>
      <c r="Y639" s="9"/>
      <c r="Z639" s="10"/>
      <c r="AA639" s="10"/>
      <c r="AB639" s="8"/>
      <c r="AC639" s="10"/>
    </row>
    <row r="640" spans="1:29" s="4" customFormat="1" x14ac:dyDescent="0.3">
      <c r="A640" s="3"/>
      <c r="B640" s="39"/>
      <c r="C640" s="5"/>
      <c r="D640" s="5"/>
      <c r="E640" s="5"/>
      <c r="F640" s="5"/>
      <c r="G640" s="29"/>
      <c r="H640"/>
      <c r="I640" s="7"/>
      <c r="J640" s="7"/>
      <c r="K640" s="7"/>
      <c r="L640" s="8"/>
      <c r="M640" s="7"/>
      <c r="N640" s="7"/>
      <c r="O640" s="8"/>
      <c r="P640" s="6"/>
      <c r="Q640" s="5"/>
      <c r="R640" s="5"/>
      <c r="S640" s="5"/>
      <c r="T640" s="5"/>
      <c r="U640" s="5"/>
      <c r="V640" s="5"/>
      <c r="W640" s="5"/>
      <c r="X640" s="8"/>
      <c r="Y640" s="9"/>
      <c r="Z640" s="10"/>
      <c r="AA640" s="10"/>
      <c r="AB640" s="8"/>
      <c r="AC640" s="10"/>
    </row>
    <row r="641" spans="1:29" s="4" customFormat="1" x14ac:dyDescent="0.3">
      <c r="A641" s="3"/>
      <c r="B641" s="39"/>
      <c r="C641" s="5"/>
      <c r="D641" s="5"/>
      <c r="E641" s="5"/>
      <c r="F641" s="5"/>
      <c r="G641" s="29"/>
      <c r="H641"/>
      <c r="I641" s="7"/>
      <c r="J641" s="7"/>
      <c r="K641" s="7"/>
      <c r="L641" s="8"/>
      <c r="M641" s="7"/>
      <c r="N641" s="7"/>
      <c r="O641" s="8"/>
      <c r="P641" s="6"/>
      <c r="Q641" s="5"/>
      <c r="R641" s="5"/>
      <c r="S641" s="5"/>
      <c r="T641" s="5"/>
      <c r="U641" s="5"/>
      <c r="V641" s="5"/>
      <c r="W641" s="5"/>
      <c r="X641" s="8"/>
      <c r="Y641" s="9"/>
      <c r="Z641" s="10"/>
      <c r="AA641" s="10"/>
      <c r="AB641" s="8"/>
      <c r="AC641" s="10"/>
    </row>
    <row r="642" spans="1:29" s="4" customFormat="1" x14ac:dyDescent="0.3">
      <c r="A642" s="3"/>
      <c r="B642" s="39"/>
      <c r="C642" s="5"/>
      <c r="D642" s="5"/>
      <c r="E642" s="5"/>
      <c r="F642" s="5"/>
      <c r="G642" s="29"/>
      <c r="H642"/>
      <c r="I642" s="7"/>
      <c r="J642" s="7"/>
      <c r="K642" s="7"/>
      <c r="L642" s="8"/>
      <c r="M642" s="7"/>
      <c r="N642" s="7"/>
      <c r="O642" s="8"/>
      <c r="P642" s="6"/>
      <c r="Q642" s="5"/>
      <c r="R642" s="5"/>
      <c r="S642" s="5"/>
      <c r="T642" s="5"/>
      <c r="U642" s="5"/>
      <c r="V642" s="5"/>
      <c r="W642" s="5"/>
      <c r="X642" s="8"/>
      <c r="Y642" s="9"/>
      <c r="Z642" s="10"/>
      <c r="AA642" s="10"/>
      <c r="AB642" s="8"/>
      <c r="AC642" s="10"/>
    </row>
    <row r="643" spans="1:29" s="4" customFormat="1" x14ac:dyDescent="0.3">
      <c r="A643" s="3"/>
      <c r="B643" s="39"/>
      <c r="C643" s="5"/>
      <c r="D643" s="5"/>
      <c r="E643" s="5"/>
      <c r="F643" s="5"/>
      <c r="G643" s="29"/>
      <c r="H643"/>
      <c r="I643" s="7"/>
      <c r="J643" s="7"/>
      <c r="K643" s="7"/>
      <c r="L643" s="8"/>
      <c r="M643" s="7"/>
      <c r="N643" s="7"/>
      <c r="O643" s="8"/>
      <c r="P643" s="6"/>
      <c r="Q643" s="5"/>
      <c r="R643" s="5"/>
      <c r="S643" s="5"/>
      <c r="T643" s="5"/>
      <c r="U643" s="5"/>
      <c r="V643" s="5"/>
      <c r="W643" s="5"/>
      <c r="X643" s="8"/>
      <c r="Y643" s="9"/>
      <c r="Z643" s="10"/>
      <c r="AA643" s="10"/>
      <c r="AB643" s="8"/>
      <c r="AC643" s="10"/>
    </row>
    <row r="644" spans="1:29" s="4" customFormat="1" x14ac:dyDescent="0.3">
      <c r="A644" s="3"/>
      <c r="B644" s="39"/>
      <c r="C644" s="5"/>
      <c r="D644" s="5"/>
      <c r="E644" s="5"/>
      <c r="F644" s="5"/>
      <c r="G644" s="29"/>
      <c r="H644"/>
      <c r="I644" s="7"/>
      <c r="J644" s="7"/>
      <c r="K644" s="7"/>
      <c r="L644" s="8"/>
      <c r="M644" s="7"/>
      <c r="N644" s="7"/>
      <c r="O644" s="8"/>
      <c r="P644" s="6"/>
      <c r="Q644" s="5"/>
      <c r="R644" s="5"/>
      <c r="S644" s="5"/>
      <c r="T644" s="5"/>
      <c r="U644" s="5"/>
      <c r="V644" s="5"/>
      <c r="W644" s="5"/>
      <c r="X644" s="8"/>
      <c r="Y644" s="9"/>
      <c r="Z644" s="10"/>
      <c r="AA644" s="10"/>
      <c r="AB644" s="8"/>
      <c r="AC644" s="10"/>
    </row>
    <row r="645" spans="1:29" s="4" customFormat="1" x14ac:dyDescent="0.3">
      <c r="A645" s="3"/>
      <c r="B645" s="39"/>
      <c r="C645" s="5"/>
      <c r="D645" s="5"/>
      <c r="E645" s="5"/>
      <c r="F645" s="5"/>
      <c r="G645" s="29"/>
      <c r="H645"/>
      <c r="I645" s="7"/>
      <c r="J645" s="7"/>
      <c r="K645" s="7"/>
      <c r="L645" s="8"/>
      <c r="M645" s="7"/>
      <c r="N645" s="7"/>
      <c r="O645" s="8"/>
      <c r="P645" s="6"/>
      <c r="Q645" s="5"/>
      <c r="R645" s="5"/>
      <c r="S645" s="5"/>
      <c r="T645" s="5"/>
      <c r="U645" s="5"/>
      <c r="V645" s="5"/>
      <c r="W645" s="5"/>
      <c r="X645" s="8"/>
      <c r="Y645" s="9"/>
      <c r="Z645" s="10"/>
      <c r="AA645" s="10"/>
      <c r="AB645" s="8"/>
      <c r="AC645" s="10"/>
    </row>
    <row r="646" spans="1:29" s="4" customFormat="1" x14ac:dyDescent="0.3">
      <c r="A646" s="3"/>
      <c r="B646" s="39"/>
      <c r="C646" s="5"/>
      <c r="D646" s="5"/>
      <c r="E646" s="5"/>
      <c r="F646" s="5"/>
      <c r="G646" s="29"/>
      <c r="H646"/>
      <c r="I646" s="7"/>
      <c r="J646" s="7"/>
      <c r="K646" s="7"/>
      <c r="L646" s="8"/>
      <c r="M646" s="7"/>
      <c r="N646" s="7"/>
      <c r="O646" s="8"/>
      <c r="P646" s="6"/>
      <c r="Q646" s="5"/>
      <c r="R646" s="5"/>
      <c r="S646" s="5"/>
      <c r="T646" s="5"/>
      <c r="U646" s="5"/>
      <c r="V646" s="5"/>
      <c r="W646" s="5"/>
      <c r="X646" s="8"/>
      <c r="Y646" s="9"/>
      <c r="Z646" s="10"/>
      <c r="AA646" s="10"/>
      <c r="AB646" s="8"/>
      <c r="AC646" s="10"/>
    </row>
    <row r="647" spans="1:29" s="4" customFormat="1" x14ac:dyDescent="0.3">
      <c r="A647" s="3"/>
      <c r="B647" s="39"/>
      <c r="C647" s="5"/>
      <c r="D647" s="5"/>
      <c r="E647" s="5"/>
      <c r="F647" s="5"/>
      <c r="G647" s="29"/>
      <c r="H647"/>
      <c r="I647" s="7"/>
      <c r="J647" s="7"/>
      <c r="K647" s="7"/>
      <c r="L647" s="8"/>
      <c r="M647" s="7"/>
      <c r="N647" s="7"/>
      <c r="O647" s="8"/>
      <c r="P647" s="6"/>
      <c r="Q647" s="5"/>
      <c r="R647" s="5"/>
      <c r="S647" s="5"/>
      <c r="T647" s="5"/>
      <c r="U647" s="5"/>
      <c r="V647" s="5"/>
      <c r="W647" s="5"/>
      <c r="X647" s="8"/>
      <c r="Y647" s="9"/>
      <c r="Z647" s="10"/>
      <c r="AA647" s="10"/>
      <c r="AB647" s="8"/>
      <c r="AC647" s="10"/>
    </row>
    <row r="648" spans="1:29" s="4" customFormat="1" x14ac:dyDescent="0.3">
      <c r="A648" s="3"/>
      <c r="B648" s="39"/>
      <c r="C648" s="5"/>
      <c r="D648" s="5"/>
      <c r="E648" s="5"/>
      <c r="F648" s="5"/>
      <c r="G648" s="29"/>
      <c r="H648"/>
      <c r="I648" s="7"/>
      <c r="J648" s="7"/>
      <c r="K648" s="7"/>
      <c r="L648" s="8"/>
      <c r="M648" s="7"/>
      <c r="N648" s="7"/>
      <c r="O648" s="8"/>
      <c r="P648" s="6"/>
      <c r="Q648" s="5"/>
      <c r="R648" s="5"/>
      <c r="S648" s="5"/>
      <c r="T648" s="5"/>
      <c r="U648" s="5"/>
      <c r="V648" s="5"/>
      <c r="W648" s="5"/>
      <c r="X648" s="8"/>
      <c r="Y648" s="9"/>
      <c r="Z648" s="10"/>
      <c r="AA648" s="10"/>
      <c r="AB648" s="8"/>
      <c r="AC648" s="10"/>
    </row>
    <row r="649" spans="1:29" s="4" customFormat="1" x14ac:dyDescent="0.3">
      <c r="A649" s="3"/>
      <c r="B649" s="39"/>
      <c r="C649" s="5"/>
      <c r="D649" s="5"/>
      <c r="E649" s="5"/>
      <c r="F649" s="5"/>
      <c r="G649" s="29"/>
      <c r="H649"/>
      <c r="I649" s="7"/>
      <c r="J649" s="7"/>
      <c r="K649" s="7"/>
      <c r="L649" s="8"/>
      <c r="M649" s="7"/>
      <c r="N649" s="7"/>
      <c r="O649" s="8"/>
      <c r="P649" s="6"/>
      <c r="Q649" s="5"/>
      <c r="R649" s="5"/>
      <c r="S649" s="5"/>
      <c r="T649" s="5"/>
      <c r="U649" s="5"/>
      <c r="V649" s="5"/>
      <c r="W649" s="5"/>
      <c r="X649" s="8"/>
      <c r="Y649" s="9"/>
      <c r="Z649" s="10"/>
      <c r="AA649" s="10"/>
      <c r="AB649" s="8"/>
      <c r="AC649" s="10"/>
    </row>
    <row r="650" spans="1:29" s="4" customFormat="1" x14ac:dyDescent="0.3">
      <c r="A650" s="3"/>
      <c r="B650" s="39"/>
      <c r="C650" s="5"/>
      <c r="D650" s="5"/>
      <c r="E650" s="5"/>
      <c r="F650" s="5"/>
      <c r="G650" s="29"/>
      <c r="H650"/>
      <c r="I650" s="7"/>
      <c r="J650" s="7"/>
      <c r="K650" s="7"/>
      <c r="L650" s="8"/>
      <c r="M650" s="7"/>
      <c r="N650" s="7"/>
      <c r="O650" s="8"/>
      <c r="P650" s="6"/>
      <c r="Q650" s="5"/>
      <c r="R650" s="5"/>
      <c r="S650" s="5"/>
      <c r="T650" s="5"/>
      <c r="U650" s="5"/>
      <c r="V650" s="5"/>
      <c r="W650" s="5"/>
      <c r="X650" s="8"/>
      <c r="Y650" s="9"/>
      <c r="Z650" s="10"/>
      <c r="AA650" s="10"/>
      <c r="AB650" s="8"/>
      <c r="AC650" s="10"/>
    </row>
    <row r="651" spans="1:29" s="4" customFormat="1" x14ac:dyDescent="0.3">
      <c r="A651" s="3"/>
      <c r="B651" s="39"/>
      <c r="C651" s="5"/>
      <c r="D651" s="5"/>
      <c r="E651" s="5"/>
      <c r="F651" s="5"/>
      <c r="G651" s="29"/>
      <c r="H651"/>
      <c r="I651" s="7"/>
      <c r="J651" s="7"/>
      <c r="K651" s="7"/>
      <c r="L651" s="8"/>
      <c r="M651" s="7"/>
      <c r="N651" s="7"/>
      <c r="O651" s="8"/>
      <c r="P651" s="6"/>
      <c r="Q651" s="5"/>
      <c r="R651" s="5"/>
      <c r="S651" s="5"/>
      <c r="T651" s="5"/>
      <c r="U651" s="5"/>
      <c r="V651" s="5"/>
      <c r="W651" s="5"/>
      <c r="X651" s="8"/>
      <c r="Y651" s="9"/>
      <c r="Z651" s="10"/>
      <c r="AA651" s="10"/>
      <c r="AB651" s="8"/>
      <c r="AC651" s="10"/>
    </row>
    <row r="652" spans="1:29" s="4" customFormat="1" x14ac:dyDescent="0.3">
      <c r="A652" s="3"/>
      <c r="B652" s="39"/>
      <c r="C652" s="5"/>
      <c r="D652" s="5"/>
      <c r="E652" s="5"/>
      <c r="F652" s="5"/>
      <c r="G652" s="29"/>
      <c r="H652"/>
      <c r="I652" s="7"/>
      <c r="J652" s="7"/>
      <c r="K652" s="7"/>
      <c r="L652" s="8"/>
      <c r="M652" s="7"/>
      <c r="N652" s="7"/>
      <c r="O652" s="8"/>
      <c r="P652" s="6"/>
      <c r="Q652" s="5"/>
      <c r="R652" s="5"/>
      <c r="S652" s="5"/>
      <c r="T652" s="5"/>
      <c r="U652" s="5"/>
      <c r="V652" s="5"/>
      <c r="W652" s="5"/>
      <c r="X652" s="8"/>
      <c r="Y652" s="9"/>
      <c r="Z652" s="10"/>
      <c r="AA652" s="10"/>
      <c r="AB652" s="8"/>
      <c r="AC652" s="10"/>
    </row>
    <row r="653" spans="1:29" s="4" customFormat="1" x14ac:dyDescent="0.3">
      <c r="A653" s="3"/>
      <c r="B653" s="39"/>
      <c r="C653" s="5"/>
      <c r="D653" s="5"/>
      <c r="E653" s="5"/>
      <c r="F653" s="5"/>
      <c r="G653" s="29"/>
      <c r="H653"/>
      <c r="I653" s="7"/>
      <c r="J653" s="7"/>
      <c r="K653" s="7"/>
      <c r="L653" s="8"/>
      <c r="M653" s="7"/>
      <c r="N653" s="7"/>
      <c r="O653" s="8"/>
      <c r="P653" s="6"/>
      <c r="Q653" s="5"/>
      <c r="R653" s="5"/>
      <c r="S653" s="5"/>
      <c r="T653" s="5"/>
      <c r="U653" s="5"/>
      <c r="V653" s="5"/>
      <c r="W653" s="5"/>
      <c r="X653" s="8"/>
      <c r="Y653" s="9"/>
      <c r="Z653" s="10"/>
      <c r="AA653" s="10"/>
      <c r="AB653" s="8"/>
      <c r="AC653" s="10"/>
    </row>
    <row r="654" spans="1:29" s="4" customFormat="1" x14ac:dyDescent="0.3">
      <c r="A654" s="3"/>
      <c r="B654" s="39"/>
      <c r="C654" s="5"/>
      <c r="D654" s="5"/>
      <c r="E654" s="5"/>
      <c r="F654" s="5"/>
      <c r="G654" s="29"/>
      <c r="H654"/>
      <c r="I654" s="7"/>
      <c r="J654" s="7"/>
      <c r="K654" s="7"/>
      <c r="L654" s="8"/>
      <c r="M654" s="7"/>
      <c r="N654" s="7"/>
      <c r="O654" s="8"/>
      <c r="P654" s="6"/>
      <c r="Q654" s="5"/>
      <c r="R654" s="5"/>
      <c r="S654" s="5"/>
      <c r="T654" s="5"/>
      <c r="U654" s="5"/>
      <c r="V654" s="5"/>
      <c r="W654" s="5"/>
      <c r="X654" s="8"/>
      <c r="Y654" s="9"/>
      <c r="Z654" s="10"/>
      <c r="AA654" s="10"/>
      <c r="AB654" s="8"/>
      <c r="AC654" s="10"/>
    </row>
    <row r="655" spans="1:29" s="4" customFormat="1" x14ac:dyDescent="0.3">
      <c r="A655" s="3"/>
      <c r="B655" s="39"/>
      <c r="C655" s="5"/>
      <c r="D655" s="5"/>
      <c r="E655" s="5"/>
      <c r="F655" s="5"/>
      <c r="G655" s="29"/>
      <c r="H655"/>
      <c r="I655" s="7"/>
      <c r="J655" s="7"/>
      <c r="K655" s="7"/>
      <c r="L655" s="8"/>
      <c r="M655" s="7"/>
      <c r="N655" s="7"/>
      <c r="O655" s="8"/>
      <c r="P655" s="6"/>
      <c r="Q655" s="5"/>
      <c r="R655" s="5"/>
      <c r="S655" s="5"/>
      <c r="T655" s="5"/>
      <c r="U655" s="5"/>
      <c r="V655" s="5"/>
      <c r="W655" s="5"/>
      <c r="X655" s="8"/>
      <c r="Y655" s="9"/>
      <c r="Z655" s="10"/>
      <c r="AA655" s="10"/>
      <c r="AB655" s="8"/>
      <c r="AC655" s="10"/>
    </row>
    <row r="656" spans="1:29" s="4" customFormat="1" x14ac:dyDescent="0.3">
      <c r="A656" s="3"/>
      <c r="B656" s="39"/>
      <c r="C656" s="5"/>
      <c r="D656" s="5"/>
      <c r="E656" s="5"/>
      <c r="F656" s="5"/>
      <c r="G656" s="29"/>
      <c r="H656"/>
      <c r="I656" s="7"/>
      <c r="J656" s="7"/>
      <c r="K656" s="7"/>
      <c r="L656" s="8"/>
      <c r="M656" s="7"/>
      <c r="N656" s="7"/>
      <c r="O656" s="8"/>
      <c r="P656" s="6"/>
      <c r="Q656" s="5"/>
      <c r="R656" s="5"/>
      <c r="S656" s="5"/>
      <c r="T656" s="5"/>
      <c r="U656" s="5"/>
      <c r="V656" s="5"/>
      <c r="W656" s="5"/>
      <c r="X656" s="8"/>
      <c r="Y656" s="9"/>
      <c r="Z656" s="10"/>
      <c r="AA656" s="10"/>
      <c r="AB656" s="8"/>
      <c r="AC656" s="10"/>
    </row>
    <row r="657" spans="1:29" s="4" customFormat="1" x14ac:dyDescent="0.3">
      <c r="A657" s="3"/>
      <c r="B657" s="39"/>
      <c r="C657" s="5"/>
      <c r="D657" s="5"/>
      <c r="E657" s="5"/>
      <c r="F657" s="5"/>
      <c r="G657" s="29"/>
      <c r="H657"/>
      <c r="I657" s="7"/>
      <c r="J657" s="7"/>
      <c r="K657" s="7"/>
      <c r="L657" s="8"/>
      <c r="M657" s="7"/>
      <c r="N657" s="7"/>
      <c r="O657" s="8"/>
      <c r="P657" s="6"/>
      <c r="Q657" s="5"/>
      <c r="R657" s="5"/>
      <c r="S657" s="5"/>
      <c r="T657" s="5"/>
      <c r="U657" s="5"/>
      <c r="V657" s="5"/>
      <c r="W657" s="5"/>
      <c r="X657" s="8"/>
      <c r="Y657" s="9"/>
      <c r="Z657" s="10"/>
      <c r="AA657" s="10"/>
      <c r="AB657" s="8"/>
      <c r="AC657" s="10"/>
    </row>
    <row r="658" spans="1:29" s="4" customFormat="1" x14ac:dyDescent="0.3">
      <c r="A658" s="3"/>
      <c r="B658" s="39"/>
      <c r="C658" s="5"/>
      <c r="D658" s="5"/>
      <c r="E658" s="5"/>
      <c r="F658" s="5"/>
      <c r="G658" s="29"/>
      <c r="H658"/>
      <c r="I658" s="7"/>
      <c r="J658" s="7"/>
      <c r="K658" s="7"/>
      <c r="L658" s="8"/>
      <c r="M658" s="7"/>
      <c r="N658" s="7"/>
      <c r="O658" s="8"/>
      <c r="P658" s="6"/>
      <c r="Q658" s="5"/>
      <c r="R658" s="5"/>
      <c r="S658" s="5"/>
      <c r="T658" s="5"/>
      <c r="U658" s="5"/>
      <c r="V658" s="5"/>
      <c r="W658" s="5"/>
      <c r="X658" s="8"/>
      <c r="Y658" s="9"/>
      <c r="Z658" s="10"/>
      <c r="AA658" s="10"/>
      <c r="AB658" s="8"/>
      <c r="AC658" s="10"/>
    </row>
    <row r="659" spans="1:29" s="4" customFormat="1" x14ac:dyDescent="0.3">
      <c r="A659" s="3"/>
      <c r="B659" s="39"/>
      <c r="C659" s="5"/>
      <c r="D659" s="5"/>
      <c r="E659" s="5"/>
      <c r="F659" s="5"/>
      <c r="G659" s="29"/>
      <c r="H659"/>
      <c r="I659" s="7"/>
      <c r="J659" s="7"/>
      <c r="K659" s="7"/>
      <c r="L659" s="8"/>
      <c r="M659" s="7"/>
      <c r="N659" s="7"/>
      <c r="O659" s="8"/>
      <c r="P659" s="6"/>
      <c r="Q659" s="5"/>
      <c r="R659" s="5"/>
      <c r="S659" s="5"/>
      <c r="T659" s="5"/>
      <c r="U659" s="5"/>
      <c r="V659" s="5"/>
      <c r="W659" s="5"/>
      <c r="X659" s="8"/>
      <c r="Y659" s="9"/>
      <c r="Z659" s="10"/>
      <c r="AA659" s="10"/>
      <c r="AB659" s="8"/>
      <c r="AC659" s="10"/>
    </row>
    <row r="660" spans="1:29" s="4" customFormat="1" x14ac:dyDescent="0.3">
      <c r="A660" s="3"/>
      <c r="B660" s="39"/>
      <c r="C660" s="5"/>
      <c r="D660" s="5"/>
      <c r="E660" s="5"/>
      <c r="F660" s="5"/>
      <c r="G660" s="29"/>
      <c r="H660"/>
      <c r="I660" s="7"/>
      <c r="J660" s="7"/>
      <c r="K660" s="7"/>
      <c r="L660" s="8"/>
      <c r="M660" s="7"/>
      <c r="N660" s="7"/>
      <c r="O660" s="8"/>
      <c r="P660" s="6"/>
      <c r="Q660" s="5"/>
      <c r="R660" s="5"/>
      <c r="S660" s="5"/>
      <c r="T660" s="5"/>
      <c r="U660" s="5"/>
      <c r="V660" s="5"/>
      <c r="W660" s="5"/>
      <c r="X660" s="8"/>
      <c r="Y660" s="9"/>
      <c r="Z660" s="10"/>
      <c r="AA660" s="10"/>
      <c r="AB660" s="8"/>
      <c r="AC660" s="10"/>
    </row>
    <row r="661" spans="1:29" s="4" customFormat="1" x14ac:dyDescent="0.3">
      <c r="A661" s="3"/>
      <c r="B661" s="39"/>
      <c r="C661" s="5"/>
      <c r="D661" s="5"/>
      <c r="E661" s="5"/>
      <c r="F661" s="5"/>
      <c r="G661" s="29"/>
      <c r="H661"/>
      <c r="I661" s="7"/>
      <c r="J661" s="7"/>
      <c r="K661" s="7"/>
      <c r="L661" s="8"/>
      <c r="M661" s="7"/>
      <c r="N661" s="7"/>
      <c r="O661" s="8"/>
      <c r="P661" s="6"/>
      <c r="Q661" s="5"/>
      <c r="R661" s="5"/>
      <c r="S661" s="5"/>
      <c r="T661" s="5"/>
      <c r="U661" s="5"/>
      <c r="V661" s="5"/>
      <c r="W661" s="5"/>
      <c r="X661" s="8"/>
      <c r="Y661" s="9"/>
      <c r="Z661" s="10"/>
      <c r="AA661" s="10"/>
      <c r="AB661" s="8"/>
      <c r="AC661" s="10"/>
    </row>
    <row r="662" spans="1:29" s="4" customFormat="1" x14ac:dyDescent="0.3">
      <c r="A662" s="3"/>
      <c r="B662" s="39"/>
      <c r="C662" s="5"/>
      <c r="D662" s="5"/>
      <c r="E662" s="5"/>
      <c r="F662" s="5"/>
      <c r="G662" s="29"/>
      <c r="H662"/>
      <c r="I662" s="7"/>
      <c r="J662" s="7"/>
      <c r="K662" s="7"/>
      <c r="L662" s="8"/>
      <c r="M662" s="7"/>
      <c r="N662" s="7"/>
      <c r="O662" s="8"/>
      <c r="P662" s="6"/>
      <c r="Q662" s="5"/>
      <c r="R662" s="5"/>
      <c r="S662" s="5"/>
      <c r="T662" s="5"/>
      <c r="U662" s="5"/>
      <c r="V662" s="5"/>
      <c r="W662" s="5"/>
      <c r="X662" s="8"/>
      <c r="Y662" s="9"/>
      <c r="Z662" s="10"/>
      <c r="AA662" s="10"/>
      <c r="AB662" s="8"/>
      <c r="AC662" s="10"/>
    </row>
    <row r="663" spans="1:29" s="4" customFormat="1" x14ac:dyDescent="0.3">
      <c r="A663" s="3"/>
      <c r="B663" s="39"/>
      <c r="C663" s="5"/>
      <c r="D663" s="5"/>
      <c r="E663" s="5"/>
      <c r="F663" s="5"/>
      <c r="G663" s="29"/>
      <c r="H663"/>
      <c r="I663" s="7"/>
      <c r="J663" s="7"/>
      <c r="K663" s="7"/>
      <c r="L663" s="8"/>
      <c r="M663" s="7"/>
      <c r="N663" s="7"/>
      <c r="O663" s="8"/>
      <c r="P663" s="6"/>
      <c r="Q663" s="5"/>
      <c r="R663" s="5"/>
      <c r="S663" s="5"/>
      <c r="T663" s="5"/>
      <c r="U663" s="5"/>
      <c r="V663" s="5"/>
      <c r="W663" s="5"/>
      <c r="X663" s="8"/>
      <c r="Y663" s="9"/>
      <c r="Z663" s="10"/>
      <c r="AA663" s="10"/>
      <c r="AB663" s="8"/>
      <c r="AC663" s="10"/>
    </row>
    <row r="664" spans="1:29" s="4" customFormat="1" x14ac:dyDescent="0.3">
      <c r="A664" s="3"/>
      <c r="B664" s="39"/>
      <c r="C664" s="5"/>
      <c r="D664" s="5"/>
      <c r="E664" s="5"/>
      <c r="F664" s="5"/>
      <c r="G664" s="29"/>
      <c r="H664"/>
      <c r="I664" s="7"/>
      <c r="J664" s="7"/>
      <c r="K664" s="7"/>
      <c r="L664" s="8"/>
      <c r="M664" s="7"/>
      <c r="N664" s="7"/>
      <c r="O664" s="8"/>
      <c r="P664" s="6"/>
      <c r="Q664" s="5"/>
      <c r="R664" s="5"/>
      <c r="S664" s="5"/>
      <c r="T664" s="5"/>
      <c r="U664" s="5"/>
      <c r="V664" s="5"/>
      <c r="W664" s="5"/>
      <c r="X664" s="8"/>
      <c r="Y664" s="9"/>
      <c r="Z664" s="10"/>
      <c r="AA664" s="10"/>
      <c r="AB664" s="8"/>
      <c r="AC664" s="10"/>
    </row>
    <row r="665" spans="1:29" s="4" customFormat="1" x14ac:dyDescent="0.3">
      <c r="A665" s="3"/>
      <c r="B665" s="39"/>
      <c r="C665" s="5"/>
      <c r="D665" s="5"/>
      <c r="E665" s="5"/>
      <c r="F665" s="5"/>
      <c r="G665" s="29"/>
      <c r="H665"/>
      <c r="I665" s="7"/>
      <c r="J665" s="7"/>
      <c r="K665" s="7"/>
      <c r="L665" s="8"/>
      <c r="M665" s="7"/>
      <c r="N665" s="7"/>
      <c r="O665" s="8"/>
      <c r="P665" s="6"/>
      <c r="Q665" s="5"/>
      <c r="R665" s="5"/>
      <c r="S665" s="5"/>
      <c r="T665" s="5"/>
      <c r="U665" s="5"/>
      <c r="V665" s="5"/>
      <c r="W665" s="5"/>
      <c r="X665" s="8"/>
      <c r="Y665" s="9"/>
      <c r="Z665" s="10"/>
      <c r="AA665" s="10"/>
      <c r="AB665" s="8"/>
      <c r="AC665" s="10"/>
    </row>
    <row r="666" spans="1:29" s="4" customFormat="1" x14ac:dyDescent="0.3">
      <c r="A666" s="3"/>
      <c r="B666" s="39"/>
      <c r="C666" s="5"/>
      <c r="D666" s="5"/>
      <c r="E666" s="5"/>
      <c r="F666" s="5"/>
      <c r="G666" s="29"/>
      <c r="H666"/>
      <c r="I666" s="7"/>
      <c r="J666" s="7"/>
      <c r="K666" s="7"/>
      <c r="L666" s="8"/>
      <c r="M666" s="7"/>
      <c r="N666" s="7"/>
      <c r="O666" s="8"/>
      <c r="P666" s="6"/>
      <c r="Q666" s="5"/>
      <c r="R666" s="5"/>
      <c r="S666" s="5"/>
      <c r="T666" s="5"/>
      <c r="U666" s="5"/>
      <c r="V666" s="5"/>
      <c r="W666" s="5"/>
      <c r="X666" s="8"/>
      <c r="Y666" s="9"/>
      <c r="Z666" s="10"/>
      <c r="AA666" s="10"/>
      <c r="AB666" s="8"/>
      <c r="AC666" s="10"/>
    </row>
    <row r="667" spans="1:29" s="4" customFormat="1" x14ac:dyDescent="0.3">
      <c r="A667" s="3"/>
      <c r="B667" s="39"/>
      <c r="C667" s="5"/>
      <c r="D667" s="5"/>
      <c r="E667" s="5"/>
      <c r="F667" s="5"/>
      <c r="G667" s="29"/>
      <c r="H667"/>
      <c r="I667" s="7"/>
      <c r="J667" s="7"/>
      <c r="K667" s="7"/>
      <c r="L667" s="8"/>
      <c r="M667" s="7"/>
      <c r="N667" s="7"/>
      <c r="O667" s="8"/>
      <c r="P667" s="6"/>
      <c r="Q667" s="5"/>
      <c r="R667" s="5"/>
      <c r="S667" s="5"/>
      <c r="T667" s="5"/>
      <c r="U667" s="5"/>
      <c r="V667" s="5"/>
      <c r="W667" s="5"/>
      <c r="X667" s="8"/>
      <c r="Y667" s="9"/>
      <c r="Z667" s="10"/>
      <c r="AA667" s="10"/>
      <c r="AB667" s="8"/>
      <c r="AC667" s="10"/>
    </row>
    <row r="668" spans="1:29" s="4" customFormat="1" x14ac:dyDescent="0.3">
      <c r="A668" s="3"/>
      <c r="B668" s="39"/>
      <c r="C668" s="5"/>
      <c r="D668" s="5"/>
      <c r="E668" s="5"/>
      <c r="F668" s="5"/>
      <c r="G668" s="29"/>
      <c r="H668"/>
      <c r="I668" s="7"/>
      <c r="J668" s="7"/>
      <c r="K668" s="7"/>
      <c r="L668" s="8"/>
      <c r="M668" s="7"/>
      <c r="N668" s="7"/>
      <c r="O668" s="8"/>
      <c r="P668" s="6"/>
      <c r="Q668" s="5"/>
      <c r="R668" s="5"/>
      <c r="S668" s="5"/>
      <c r="T668" s="5"/>
      <c r="U668" s="5"/>
      <c r="V668" s="5"/>
      <c r="W668" s="5"/>
      <c r="X668" s="8"/>
      <c r="Y668" s="9"/>
      <c r="Z668" s="10"/>
      <c r="AA668" s="10"/>
      <c r="AB668" s="8"/>
      <c r="AC668" s="10"/>
    </row>
    <row r="669" spans="1:29" s="4" customFormat="1" x14ac:dyDescent="0.3">
      <c r="A669" s="3"/>
      <c r="B669" s="39"/>
      <c r="C669" s="5"/>
      <c r="D669" s="5"/>
      <c r="E669" s="5"/>
      <c r="F669" s="5"/>
      <c r="G669" s="29"/>
      <c r="H669"/>
      <c r="I669" s="7"/>
      <c r="J669" s="7"/>
      <c r="K669" s="7"/>
      <c r="L669" s="8"/>
      <c r="M669" s="7"/>
      <c r="N669" s="7"/>
      <c r="O669" s="8"/>
      <c r="P669" s="6"/>
      <c r="Q669" s="5"/>
      <c r="R669" s="5"/>
      <c r="S669" s="5"/>
      <c r="T669" s="5"/>
      <c r="U669" s="5"/>
      <c r="V669" s="5"/>
      <c r="W669" s="5"/>
      <c r="X669" s="8"/>
      <c r="Y669" s="9"/>
      <c r="Z669" s="10"/>
      <c r="AA669" s="10"/>
      <c r="AB669" s="8"/>
      <c r="AC669" s="10"/>
    </row>
    <row r="670" spans="1:29" s="4" customFormat="1" x14ac:dyDescent="0.3">
      <c r="A670" s="3"/>
      <c r="B670" s="39"/>
      <c r="C670" s="5"/>
      <c r="D670" s="5"/>
      <c r="E670" s="5"/>
      <c r="F670" s="5"/>
      <c r="G670" s="29"/>
      <c r="H670"/>
      <c r="I670" s="7"/>
      <c r="J670" s="7"/>
      <c r="K670" s="7"/>
      <c r="L670" s="8"/>
      <c r="M670" s="7"/>
      <c r="N670" s="7"/>
      <c r="O670" s="8"/>
      <c r="P670" s="6"/>
      <c r="Q670" s="5"/>
      <c r="R670" s="5"/>
      <c r="S670" s="5"/>
      <c r="T670" s="5"/>
      <c r="U670" s="5"/>
      <c r="V670" s="5"/>
      <c r="W670" s="5"/>
      <c r="X670" s="8"/>
      <c r="Y670" s="9"/>
      <c r="Z670" s="10"/>
      <c r="AA670" s="10"/>
      <c r="AB670" s="8"/>
      <c r="AC670" s="10"/>
    </row>
    <row r="671" spans="1:29" s="4" customFormat="1" x14ac:dyDescent="0.3">
      <c r="A671" s="3"/>
      <c r="B671" s="39"/>
      <c r="C671" s="5"/>
      <c r="D671" s="5"/>
      <c r="E671" s="5"/>
      <c r="F671" s="5"/>
      <c r="G671" s="29"/>
      <c r="H671"/>
      <c r="I671" s="7"/>
      <c r="J671" s="7"/>
      <c r="K671" s="7"/>
      <c r="L671" s="8"/>
      <c r="M671" s="7"/>
      <c r="N671" s="7"/>
      <c r="O671" s="8"/>
      <c r="P671" s="6"/>
      <c r="Q671" s="5"/>
      <c r="R671" s="5"/>
      <c r="S671" s="5"/>
      <c r="T671" s="5"/>
      <c r="U671" s="5"/>
      <c r="V671" s="5"/>
      <c r="W671" s="5"/>
      <c r="X671" s="8"/>
      <c r="Y671" s="9"/>
      <c r="Z671" s="10"/>
      <c r="AA671" s="10"/>
      <c r="AB671" s="8"/>
      <c r="AC671" s="10"/>
    </row>
    <row r="672" spans="1:29" s="4" customFormat="1" x14ac:dyDescent="0.3">
      <c r="A672" s="3"/>
      <c r="B672" s="39"/>
      <c r="C672" s="5"/>
      <c r="D672" s="5"/>
      <c r="E672" s="5"/>
      <c r="F672" s="5"/>
      <c r="G672" s="29"/>
      <c r="H672"/>
      <c r="I672" s="7"/>
      <c r="J672" s="7"/>
      <c r="K672" s="7"/>
      <c r="L672" s="8"/>
      <c r="M672" s="7"/>
      <c r="N672" s="7"/>
      <c r="O672" s="8"/>
      <c r="P672" s="6"/>
      <c r="Q672" s="5"/>
      <c r="R672" s="5"/>
      <c r="S672" s="5"/>
      <c r="T672" s="5"/>
      <c r="U672" s="5"/>
      <c r="V672" s="5"/>
      <c r="W672" s="5"/>
      <c r="X672" s="8"/>
      <c r="Y672" s="9"/>
      <c r="Z672" s="10"/>
      <c r="AA672" s="10"/>
      <c r="AB672" s="8"/>
      <c r="AC672" s="10"/>
    </row>
    <row r="673" spans="1:29" s="4" customFormat="1" x14ac:dyDescent="0.3">
      <c r="A673" s="3"/>
      <c r="B673" s="39"/>
      <c r="C673" s="5"/>
      <c r="D673" s="5"/>
      <c r="E673" s="5"/>
      <c r="F673" s="5"/>
      <c r="G673" s="29"/>
      <c r="H673"/>
      <c r="I673" s="7"/>
      <c r="J673" s="7"/>
      <c r="K673" s="7"/>
      <c r="L673" s="8"/>
      <c r="M673" s="7"/>
      <c r="N673" s="7"/>
      <c r="O673" s="8"/>
      <c r="P673" s="6"/>
      <c r="Q673" s="5"/>
      <c r="R673" s="5"/>
      <c r="S673" s="5"/>
      <c r="T673" s="5"/>
      <c r="U673" s="5"/>
      <c r="V673" s="5"/>
      <c r="W673" s="5"/>
      <c r="X673" s="8"/>
      <c r="Y673" s="9"/>
      <c r="Z673" s="10"/>
      <c r="AA673" s="10"/>
      <c r="AB673" s="8"/>
      <c r="AC673" s="10"/>
    </row>
    <row r="674" spans="1:29" s="4" customFormat="1" x14ac:dyDescent="0.3">
      <c r="A674" s="3"/>
      <c r="B674" s="39"/>
      <c r="C674" s="5"/>
      <c r="D674" s="5"/>
      <c r="E674" s="5"/>
      <c r="F674" s="5"/>
      <c r="G674" s="29"/>
      <c r="H674"/>
      <c r="I674" s="7"/>
      <c r="J674" s="7"/>
      <c r="K674" s="7"/>
      <c r="L674" s="8"/>
      <c r="M674" s="7"/>
      <c r="N674" s="7"/>
      <c r="O674" s="8"/>
      <c r="P674" s="6"/>
      <c r="Q674" s="5"/>
      <c r="R674" s="5"/>
      <c r="S674" s="5"/>
      <c r="T674" s="5"/>
      <c r="U674" s="5"/>
      <c r="V674" s="5"/>
      <c r="W674" s="5"/>
      <c r="X674" s="8"/>
      <c r="Y674" s="9"/>
      <c r="Z674" s="10"/>
      <c r="AA674" s="10"/>
      <c r="AB674" s="8"/>
      <c r="AC674" s="10"/>
    </row>
    <row r="675" spans="1:29" s="4" customFormat="1" x14ac:dyDescent="0.3">
      <c r="A675" s="3"/>
      <c r="B675" s="39"/>
      <c r="C675" s="5"/>
      <c r="D675" s="5"/>
      <c r="E675" s="5"/>
      <c r="F675" s="5"/>
      <c r="G675" s="29"/>
      <c r="H675"/>
      <c r="I675" s="7"/>
      <c r="J675" s="7"/>
      <c r="K675" s="7"/>
      <c r="L675" s="8"/>
      <c r="M675" s="7"/>
      <c r="N675" s="7"/>
      <c r="O675" s="8"/>
      <c r="P675" s="6"/>
      <c r="Q675" s="5"/>
      <c r="R675" s="5"/>
      <c r="S675" s="5"/>
      <c r="T675" s="5"/>
      <c r="U675" s="5"/>
      <c r="V675" s="5"/>
      <c r="W675" s="5"/>
      <c r="X675" s="8"/>
      <c r="Y675" s="9"/>
      <c r="Z675" s="10"/>
      <c r="AA675" s="10"/>
      <c r="AB675" s="8"/>
      <c r="AC675" s="10"/>
    </row>
    <row r="676" spans="1:29" s="4" customFormat="1" x14ac:dyDescent="0.3">
      <c r="A676" s="3"/>
      <c r="B676" s="39"/>
      <c r="C676" s="5"/>
      <c r="D676" s="5"/>
      <c r="E676" s="5"/>
      <c r="F676" s="5"/>
      <c r="G676" s="29"/>
      <c r="H676"/>
      <c r="I676" s="7"/>
      <c r="J676" s="7"/>
      <c r="K676" s="7"/>
      <c r="L676" s="8"/>
      <c r="M676" s="7"/>
      <c r="N676" s="7"/>
      <c r="O676" s="8"/>
      <c r="P676" s="6"/>
      <c r="Q676" s="5"/>
      <c r="R676" s="5"/>
      <c r="S676" s="5"/>
      <c r="T676" s="5"/>
      <c r="U676" s="5"/>
      <c r="V676" s="5"/>
      <c r="W676" s="5"/>
      <c r="X676" s="8"/>
      <c r="Y676" s="9"/>
      <c r="Z676" s="10"/>
      <c r="AA676" s="10"/>
      <c r="AB676" s="8"/>
      <c r="AC676" s="10"/>
    </row>
    <row r="677" spans="1:29" s="4" customFormat="1" x14ac:dyDescent="0.3">
      <c r="A677" s="3"/>
      <c r="B677" s="39"/>
      <c r="C677" s="5"/>
      <c r="D677" s="5"/>
      <c r="E677" s="5"/>
      <c r="F677" s="5"/>
      <c r="G677" s="29"/>
      <c r="H677"/>
      <c r="I677" s="7"/>
      <c r="J677" s="7"/>
      <c r="K677" s="7"/>
      <c r="L677" s="8"/>
      <c r="M677" s="7"/>
      <c r="N677" s="7"/>
      <c r="O677" s="8"/>
      <c r="P677" s="6"/>
      <c r="Q677" s="5"/>
      <c r="R677" s="5"/>
      <c r="S677" s="5"/>
      <c r="T677" s="5"/>
      <c r="U677" s="5"/>
      <c r="V677" s="5"/>
      <c r="W677" s="5"/>
      <c r="X677" s="8"/>
      <c r="Y677" s="9"/>
      <c r="Z677" s="10"/>
      <c r="AA677" s="10"/>
      <c r="AB677" s="8"/>
      <c r="AC677" s="10"/>
    </row>
    <row r="678" spans="1:29" s="4" customFormat="1" x14ac:dyDescent="0.3">
      <c r="A678" s="3"/>
      <c r="B678" s="39"/>
      <c r="C678" s="5"/>
      <c r="D678" s="5"/>
      <c r="E678" s="5"/>
      <c r="F678" s="5"/>
      <c r="G678" s="29"/>
      <c r="H678"/>
      <c r="I678" s="7"/>
      <c r="J678" s="7"/>
      <c r="K678" s="7"/>
      <c r="L678" s="8"/>
      <c r="M678" s="7"/>
      <c r="N678" s="7"/>
      <c r="O678" s="8"/>
      <c r="P678" s="6"/>
      <c r="Q678" s="5"/>
      <c r="R678" s="5"/>
      <c r="S678" s="5"/>
      <c r="T678" s="5"/>
      <c r="U678" s="5"/>
      <c r="V678" s="5"/>
      <c r="W678" s="5"/>
      <c r="X678" s="8"/>
      <c r="Y678" s="9"/>
      <c r="Z678" s="10"/>
      <c r="AA678" s="10"/>
      <c r="AB678" s="8"/>
      <c r="AC678" s="10"/>
    </row>
    <row r="679" spans="1:29" s="4" customFormat="1" x14ac:dyDescent="0.3">
      <c r="A679" s="3"/>
      <c r="B679" s="39"/>
      <c r="C679" s="5"/>
      <c r="D679" s="5"/>
      <c r="E679" s="5"/>
      <c r="F679" s="5"/>
      <c r="G679" s="29"/>
      <c r="H679"/>
      <c r="I679" s="7"/>
      <c r="J679" s="7"/>
      <c r="K679" s="7"/>
      <c r="L679" s="8"/>
      <c r="M679" s="7"/>
      <c r="N679" s="7"/>
      <c r="O679" s="8"/>
      <c r="P679" s="6"/>
      <c r="Q679" s="5"/>
      <c r="R679" s="5"/>
      <c r="S679" s="5"/>
      <c r="T679" s="5"/>
      <c r="U679" s="5"/>
      <c r="V679" s="5"/>
      <c r="W679" s="5"/>
      <c r="X679" s="8"/>
      <c r="Y679" s="9"/>
      <c r="Z679" s="10"/>
      <c r="AA679" s="10"/>
      <c r="AB679" s="8"/>
      <c r="AC679" s="10"/>
    </row>
    <row r="680" spans="1:29" s="4" customFormat="1" x14ac:dyDescent="0.3">
      <c r="A680" s="3"/>
      <c r="B680" s="39"/>
      <c r="C680" s="5"/>
      <c r="D680" s="5"/>
      <c r="E680" s="5"/>
      <c r="F680" s="5"/>
      <c r="G680" s="29"/>
      <c r="H680"/>
      <c r="I680" s="7"/>
      <c r="J680" s="7"/>
      <c r="K680" s="7"/>
      <c r="L680" s="8"/>
      <c r="M680" s="7"/>
      <c r="N680" s="7"/>
      <c r="O680" s="8"/>
      <c r="P680" s="6"/>
      <c r="Q680" s="5"/>
      <c r="R680" s="5"/>
      <c r="S680" s="5"/>
      <c r="T680" s="5"/>
      <c r="U680" s="5"/>
      <c r="V680" s="5"/>
      <c r="W680" s="5"/>
      <c r="X680" s="8"/>
      <c r="Y680" s="9"/>
      <c r="Z680" s="10"/>
      <c r="AA680" s="10"/>
      <c r="AB680" s="8"/>
      <c r="AC680" s="10"/>
    </row>
    <row r="681" spans="1:29" s="4" customFormat="1" x14ac:dyDescent="0.3">
      <c r="A681" s="3"/>
      <c r="B681" s="39"/>
      <c r="C681" s="5"/>
      <c r="D681" s="5"/>
      <c r="E681" s="5"/>
      <c r="F681" s="5"/>
      <c r="G681" s="29"/>
      <c r="H681"/>
      <c r="I681" s="7"/>
      <c r="J681" s="7"/>
      <c r="K681" s="7"/>
      <c r="L681" s="8"/>
      <c r="M681" s="7"/>
      <c r="N681" s="7"/>
      <c r="O681" s="8"/>
      <c r="P681" s="6"/>
      <c r="Q681" s="5"/>
      <c r="R681" s="5"/>
      <c r="S681" s="5"/>
      <c r="T681" s="5"/>
      <c r="U681" s="5"/>
      <c r="V681" s="5"/>
      <c r="W681" s="5"/>
      <c r="X681" s="8"/>
      <c r="Y681" s="9"/>
      <c r="Z681" s="10"/>
      <c r="AA681" s="10"/>
      <c r="AB681" s="8"/>
      <c r="AC681" s="10"/>
    </row>
    <row r="682" spans="1:29" s="4" customFormat="1" x14ac:dyDescent="0.3">
      <c r="A682" s="3"/>
      <c r="B682" s="39"/>
      <c r="C682" s="5"/>
      <c r="D682" s="5"/>
      <c r="E682" s="5"/>
      <c r="F682" s="5"/>
      <c r="G682" s="29"/>
      <c r="H682"/>
      <c r="I682" s="7"/>
      <c r="J682" s="7"/>
      <c r="K682" s="7"/>
      <c r="L682" s="8"/>
      <c r="M682" s="7"/>
      <c r="N682" s="7"/>
      <c r="O682" s="8"/>
      <c r="P682" s="6"/>
      <c r="Q682" s="5"/>
      <c r="R682" s="5"/>
      <c r="S682" s="5"/>
      <c r="T682" s="5"/>
      <c r="U682" s="5"/>
      <c r="V682" s="5"/>
      <c r="W682" s="5"/>
      <c r="X682" s="8"/>
      <c r="Y682" s="9"/>
      <c r="Z682" s="10"/>
      <c r="AA682" s="10"/>
      <c r="AB682" s="8"/>
      <c r="AC682" s="10"/>
    </row>
    <row r="683" spans="1:29" s="4" customFormat="1" x14ac:dyDescent="0.3">
      <c r="A683" s="3"/>
      <c r="B683" s="39"/>
      <c r="C683" s="5"/>
      <c r="D683" s="5"/>
      <c r="E683" s="5"/>
      <c r="F683" s="5"/>
      <c r="G683" s="29"/>
      <c r="H683"/>
      <c r="I683" s="7"/>
      <c r="J683" s="7"/>
      <c r="K683" s="7"/>
      <c r="L683" s="8"/>
      <c r="M683" s="7"/>
      <c r="N683" s="7"/>
      <c r="O683" s="8"/>
      <c r="P683" s="6"/>
      <c r="Q683" s="5"/>
      <c r="R683" s="5"/>
      <c r="S683" s="5"/>
      <c r="T683" s="5"/>
      <c r="U683" s="5"/>
      <c r="V683" s="5"/>
      <c r="W683" s="5"/>
      <c r="X683" s="8"/>
      <c r="Y683" s="9"/>
      <c r="Z683" s="10"/>
      <c r="AA683" s="10"/>
      <c r="AB683" s="8"/>
      <c r="AC683" s="10"/>
    </row>
    <row r="684" spans="1:29" s="4" customFormat="1" x14ac:dyDescent="0.3">
      <c r="A684" s="3"/>
      <c r="B684" s="39"/>
      <c r="C684" s="5"/>
      <c r="D684" s="5"/>
      <c r="E684" s="5"/>
      <c r="F684" s="5"/>
      <c r="G684" s="29"/>
      <c r="H684"/>
      <c r="I684" s="7"/>
      <c r="J684" s="7"/>
      <c r="K684" s="7"/>
      <c r="L684" s="8"/>
      <c r="M684" s="7"/>
      <c r="N684" s="7"/>
      <c r="O684" s="8"/>
      <c r="P684" s="6"/>
      <c r="Q684" s="5"/>
      <c r="R684" s="5"/>
      <c r="S684" s="5"/>
      <c r="T684" s="5"/>
      <c r="U684" s="5"/>
      <c r="V684" s="5"/>
      <c r="W684" s="5"/>
      <c r="X684" s="8"/>
      <c r="Y684" s="9"/>
      <c r="Z684" s="10"/>
      <c r="AA684" s="10"/>
      <c r="AB684" s="8"/>
      <c r="AC684" s="10"/>
    </row>
    <row r="685" spans="1:29" s="4" customFormat="1" x14ac:dyDescent="0.3">
      <c r="A685" s="3"/>
      <c r="B685" s="39"/>
      <c r="C685" s="5"/>
      <c r="D685" s="5"/>
      <c r="E685" s="5"/>
      <c r="F685" s="5"/>
      <c r="G685" s="29"/>
      <c r="H685"/>
      <c r="I685" s="7"/>
      <c r="J685" s="7"/>
      <c r="K685" s="7"/>
      <c r="L685" s="8"/>
      <c r="M685" s="7"/>
      <c r="N685" s="7"/>
      <c r="O685" s="8"/>
      <c r="P685" s="6"/>
      <c r="Q685" s="5"/>
      <c r="R685" s="5"/>
      <c r="S685" s="5"/>
      <c r="T685" s="5"/>
      <c r="U685" s="5"/>
      <c r="V685" s="5"/>
      <c r="W685" s="5"/>
      <c r="X685" s="8"/>
      <c r="Y685" s="9"/>
      <c r="Z685" s="10"/>
      <c r="AA685" s="10"/>
      <c r="AB685" s="8"/>
      <c r="AC685" s="10"/>
    </row>
    <row r="686" spans="1:29" s="4" customFormat="1" x14ac:dyDescent="0.3">
      <c r="A686" s="3"/>
      <c r="B686" s="39"/>
      <c r="C686" s="5"/>
      <c r="D686" s="5"/>
      <c r="E686" s="5"/>
      <c r="F686" s="5"/>
      <c r="G686" s="29"/>
      <c r="H686"/>
      <c r="I686" s="7"/>
      <c r="J686" s="7"/>
      <c r="K686" s="7"/>
      <c r="L686" s="8"/>
      <c r="M686" s="7"/>
      <c r="N686" s="7"/>
      <c r="O686" s="8"/>
      <c r="P686" s="6"/>
      <c r="Q686" s="5"/>
      <c r="R686" s="5"/>
      <c r="S686" s="5"/>
      <c r="T686" s="5"/>
      <c r="U686" s="5"/>
      <c r="V686" s="5"/>
      <c r="W686" s="5"/>
      <c r="X686" s="8"/>
      <c r="Y686" s="9"/>
      <c r="Z686" s="10"/>
      <c r="AA686" s="10"/>
      <c r="AB686" s="8"/>
      <c r="AC686" s="10"/>
    </row>
    <row r="687" spans="1:29" s="4" customFormat="1" x14ac:dyDescent="0.3">
      <c r="A687" s="3"/>
      <c r="B687" s="39"/>
      <c r="C687" s="5"/>
      <c r="D687" s="5"/>
      <c r="E687" s="5"/>
      <c r="F687" s="5"/>
      <c r="G687" s="29"/>
      <c r="H687"/>
      <c r="I687" s="7"/>
      <c r="J687" s="7"/>
      <c r="K687" s="7"/>
      <c r="L687" s="8"/>
      <c r="M687" s="7"/>
      <c r="N687" s="7"/>
      <c r="O687" s="8"/>
      <c r="P687" s="6"/>
      <c r="Q687" s="5"/>
      <c r="R687" s="5"/>
      <c r="S687" s="5"/>
      <c r="T687" s="5"/>
      <c r="U687" s="5"/>
      <c r="V687" s="5"/>
      <c r="W687" s="5"/>
      <c r="X687" s="8"/>
      <c r="Y687" s="9"/>
      <c r="Z687" s="10"/>
      <c r="AA687" s="10"/>
      <c r="AB687" s="8"/>
      <c r="AC687" s="10"/>
    </row>
    <row r="688" spans="1:29" s="4" customFormat="1" x14ac:dyDescent="0.3">
      <c r="A688" s="3"/>
      <c r="B688" s="39"/>
      <c r="C688" s="5"/>
      <c r="D688" s="5"/>
      <c r="E688" s="5"/>
      <c r="F688" s="5"/>
      <c r="G688" s="29"/>
      <c r="H688"/>
      <c r="I688" s="7"/>
      <c r="J688" s="7"/>
      <c r="K688" s="7"/>
      <c r="L688" s="8"/>
      <c r="M688" s="7"/>
      <c r="N688" s="7"/>
      <c r="O688" s="8"/>
      <c r="P688" s="6"/>
      <c r="Q688" s="5"/>
      <c r="R688" s="5"/>
      <c r="S688" s="5"/>
      <c r="T688" s="5"/>
      <c r="U688" s="5"/>
      <c r="V688" s="5"/>
      <c r="W688" s="5"/>
      <c r="X688" s="8"/>
      <c r="Y688" s="9"/>
      <c r="Z688" s="10"/>
      <c r="AA688" s="10"/>
      <c r="AB688" s="8"/>
      <c r="AC688" s="10"/>
    </row>
    <row r="689" spans="1:29" s="4" customFormat="1" x14ac:dyDescent="0.3">
      <c r="A689" s="3"/>
      <c r="B689" s="39"/>
      <c r="C689" s="5"/>
      <c r="D689" s="5"/>
      <c r="E689" s="5"/>
      <c r="F689" s="5"/>
      <c r="G689" s="29"/>
      <c r="H689"/>
      <c r="I689" s="7"/>
      <c r="J689" s="7"/>
      <c r="K689" s="7"/>
      <c r="L689" s="8"/>
      <c r="M689" s="7"/>
      <c r="N689" s="7"/>
      <c r="O689" s="8"/>
      <c r="P689" s="6"/>
      <c r="Q689" s="5"/>
      <c r="R689" s="5"/>
      <c r="S689" s="5"/>
      <c r="T689" s="5"/>
      <c r="U689" s="5"/>
      <c r="V689" s="5"/>
      <c r="W689" s="5"/>
      <c r="X689" s="8"/>
      <c r="Y689" s="9"/>
      <c r="Z689" s="10"/>
      <c r="AA689" s="10"/>
      <c r="AB689" s="8"/>
      <c r="AC689" s="10"/>
    </row>
    <row r="690" spans="1:29" s="4" customFormat="1" x14ac:dyDescent="0.3">
      <c r="A690" s="3"/>
      <c r="B690" s="39"/>
      <c r="C690" s="5"/>
      <c r="D690" s="5"/>
      <c r="E690" s="5"/>
      <c r="F690" s="5"/>
      <c r="G690" s="29"/>
      <c r="H690"/>
      <c r="I690" s="7"/>
      <c r="J690" s="7"/>
      <c r="K690" s="7"/>
      <c r="L690" s="8"/>
      <c r="M690" s="7"/>
      <c r="N690" s="7"/>
      <c r="O690" s="8"/>
      <c r="P690" s="6"/>
      <c r="Q690" s="5"/>
      <c r="R690" s="5"/>
      <c r="S690" s="5"/>
      <c r="T690" s="5"/>
      <c r="U690" s="5"/>
      <c r="V690" s="5"/>
      <c r="W690" s="5"/>
      <c r="X690" s="8"/>
      <c r="Y690" s="9"/>
      <c r="Z690" s="10"/>
      <c r="AA690" s="10"/>
      <c r="AB690" s="8"/>
      <c r="AC690" s="10"/>
    </row>
    <row r="691" spans="1:29" s="4" customFormat="1" x14ac:dyDescent="0.3">
      <c r="A691" s="3"/>
      <c r="B691" s="39"/>
      <c r="C691" s="5"/>
      <c r="D691" s="5"/>
      <c r="E691" s="5"/>
      <c r="F691" s="5"/>
      <c r="G691" s="29"/>
      <c r="H691"/>
      <c r="I691" s="7"/>
      <c r="J691" s="7"/>
      <c r="K691" s="7"/>
      <c r="L691" s="8"/>
      <c r="M691" s="7"/>
      <c r="N691" s="7"/>
      <c r="O691" s="8"/>
      <c r="P691" s="6"/>
      <c r="Q691" s="5"/>
      <c r="R691" s="5"/>
      <c r="S691" s="5"/>
      <c r="T691" s="5"/>
      <c r="U691" s="5"/>
      <c r="V691" s="5"/>
      <c r="W691" s="5"/>
      <c r="X691" s="8"/>
      <c r="Y691" s="9"/>
      <c r="Z691" s="10"/>
      <c r="AA691" s="10"/>
      <c r="AB691" s="8"/>
      <c r="AC691" s="10"/>
    </row>
    <row r="692" spans="1:29" s="4" customFormat="1" x14ac:dyDescent="0.3">
      <c r="A692" s="3"/>
      <c r="B692" s="39"/>
      <c r="C692" s="5"/>
      <c r="D692" s="5"/>
      <c r="E692" s="5"/>
      <c r="F692" s="5"/>
      <c r="G692" s="29"/>
      <c r="H692"/>
      <c r="I692" s="7"/>
      <c r="J692" s="7"/>
      <c r="K692" s="7"/>
      <c r="L692" s="8"/>
      <c r="M692" s="7"/>
      <c r="N692" s="7"/>
      <c r="O692" s="8"/>
      <c r="P692" s="6"/>
      <c r="Q692" s="5"/>
      <c r="R692" s="5"/>
      <c r="S692" s="5"/>
      <c r="T692" s="5"/>
      <c r="U692" s="5"/>
      <c r="V692" s="5"/>
      <c r="W692" s="5"/>
      <c r="X692" s="8"/>
      <c r="Y692" s="9"/>
      <c r="Z692" s="10"/>
      <c r="AA692" s="10"/>
      <c r="AB692" s="8"/>
      <c r="AC692" s="10"/>
    </row>
    <row r="693" spans="1:29" s="4" customFormat="1" x14ac:dyDescent="0.3">
      <c r="A693" s="3"/>
      <c r="B693" s="39"/>
      <c r="C693" s="5"/>
      <c r="D693" s="5"/>
      <c r="E693" s="5"/>
      <c r="F693" s="5"/>
      <c r="G693" s="29"/>
      <c r="H693"/>
      <c r="I693" s="7"/>
      <c r="J693" s="7"/>
      <c r="K693" s="7"/>
      <c r="L693" s="8"/>
      <c r="M693" s="7"/>
      <c r="N693" s="7"/>
      <c r="O693" s="8"/>
      <c r="P693" s="6"/>
      <c r="Q693" s="5"/>
      <c r="R693" s="5"/>
      <c r="S693" s="5"/>
      <c r="T693" s="5"/>
      <c r="U693" s="5"/>
      <c r="V693" s="5"/>
      <c r="W693" s="5"/>
      <c r="X693" s="8"/>
      <c r="Y693" s="9"/>
      <c r="Z693" s="10"/>
      <c r="AA693" s="10"/>
      <c r="AB693" s="8"/>
      <c r="AC693" s="10"/>
    </row>
    <row r="694" spans="1:29" s="4" customFormat="1" x14ac:dyDescent="0.3">
      <c r="A694" s="3"/>
      <c r="B694" s="39"/>
      <c r="C694" s="5"/>
      <c r="D694" s="5"/>
      <c r="E694" s="5"/>
      <c r="F694" s="5"/>
      <c r="G694" s="29"/>
      <c r="H694"/>
      <c r="I694" s="7"/>
      <c r="J694" s="7"/>
      <c r="K694" s="7"/>
      <c r="L694" s="8"/>
      <c r="M694" s="7"/>
      <c r="N694" s="7"/>
      <c r="O694" s="8"/>
      <c r="P694" s="6"/>
      <c r="Q694" s="5"/>
      <c r="R694" s="5"/>
      <c r="S694" s="5"/>
      <c r="T694" s="5"/>
      <c r="U694" s="5"/>
      <c r="V694" s="5"/>
      <c r="W694" s="5"/>
      <c r="X694" s="8"/>
      <c r="Y694" s="9"/>
      <c r="Z694" s="10"/>
      <c r="AA694" s="10"/>
      <c r="AB694" s="8"/>
      <c r="AC694" s="10"/>
    </row>
    <row r="695" spans="1:29" s="4" customFormat="1" x14ac:dyDescent="0.3">
      <c r="A695" s="3"/>
      <c r="B695" s="39"/>
      <c r="C695" s="5"/>
      <c r="D695" s="5"/>
      <c r="E695" s="5"/>
      <c r="F695" s="5"/>
      <c r="G695" s="29"/>
      <c r="H695"/>
      <c r="I695" s="7"/>
      <c r="J695" s="7"/>
      <c r="K695" s="7"/>
      <c r="L695" s="8"/>
      <c r="M695" s="7"/>
      <c r="N695" s="7"/>
      <c r="O695" s="8"/>
      <c r="P695" s="6"/>
      <c r="Q695" s="5"/>
      <c r="R695" s="5"/>
      <c r="S695" s="5"/>
      <c r="T695" s="5"/>
      <c r="U695" s="5"/>
      <c r="V695" s="5"/>
      <c r="W695" s="5"/>
      <c r="X695" s="8"/>
      <c r="Y695" s="9"/>
      <c r="Z695" s="10"/>
      <c r="AA695" s="10"/>
      <c r="AB695" s="8"/>
      <c r="AC695" s="10"/>
    </row>
    <row r="696" spans="1:29" s="4" customFormat="1" x14ac:dyDescent="0.3">
      <c r="A696" s="3"/>
      <c r="B696" s="39"/>
      <c r="C696" s="5"/>
      <c r="D696" s="5"/>
      <c r="E696" s="5"/>
      <c r="F696" s="5"/>
      <c r="G696" s="29"/>
      <c r="H696"/>
      <c r="I696" s="7"/>
      <c r="J696" s="7"/>
      <c r="K696" s="7"/>
      <c r="L696" s="8"/>
      <c r="M696" s="7"/>
      <c r="N696" s="7"/>
      <c r="O696" s="8"/>
      <c r="P696" s="6"/>
      <c r="Q696" s="5"/>
      <c r="R696" s="5"/>
      <c r="S696" s="5"/>
      <c r="T696" s="5"/>
      <c r="U696" s="5"/>
      <c r="V696" s="5"/>
      <c r="W696" s="5"/>
      <c r="X696" s="8"/>
      <c r="Y696" s="9"/>
      <c r="Z696" s="10"/>
      <c r="AA696" s="10"/>
      <c r="AB696" s="8"/>
      <c r="AC696" s="10"/>
    </row>
    <row r="697" spans="1:29" s="4" customFormat="1" x14ac:dyDescent="0.3">
      <c r="A697" s="3"/>
      <c r="B697" s="39"/>
      <c r="C697" s="5"/>
      <c r="D697" s="5"/>
      <c r="E697" s="5"/>
      <c r="F697" s="5"/>
      <c r="G697" s="29"/>
      <c r="H697"/>
      <c r="I697" s="7"/>
      <c r="J697" s="7"/>
      <c r="K697" s="7"/>
      <c r="L697" s="8"/>
      <c r="M697" s="7"/>
      <c r="N697" s="7"/>
      <c r="O697" s="8"/>
      <c r="P697" s="6"/>
      <c r="Q697" s="5"/>
      <c r="R697" s="5"/>
      <c r="S697" s="5"/>
      <c r="T697" s="5"/>
      <c r="U697" s="5"/>
      <c r="V697" s="5"/>
      <c r="W697" s="5"/>
      <c r="X697" s="8"/>
      <c r="Y697" s="9"/>
      <c r="Z697" s="10"/>
      <c r="AA697" s="10"/>
      <c r="AB697" s="8"/>
      <c r="AC697" s="10"/>
    </row>
    <row r="698" spans="1:29" s="4" customFormat="1" x14ac:dyDescent="0.3">
      <c r="A698" s="3"/>
      <c r="B698" s="39"/>
      <c r="C698" s="5"/>
      <c r="D698" s="5"/>
      <c r="E698" s="5"/>
      <c r="F698" s="5"/>
      <c r="G698" s="29"/>
      <c r="H698"/>
      <c r="I698" s="7"/>
      <c r="J698" s="7"/>
      <c r="K698" s="7"/>
      <c r="L698" s="8"/>
      <c r="M698" s="7"/>
      <c r="N698" s="7"/>
      <c r="O698" s="8"/>
      <c r="P698" s="6"/>
      <c r="Q698" s="5"/>
      <c r="R698" s="5"/>
      <c r="S698" s="5"/>
      <c r="T698" s="5"/>
      <c r="U698" s="5"/>
      <c r="V698" s="5"/>
      <c r="W698" s="5"/>
      <c r="X698" s="8"/>
      <c r="Y698" s="9"/>
      <c r="Z698" s="10"/>
      <c r="AA698" s="10"/>
      <c r="AB698" s="8"/>
      <c r="AC698" s="10"/>
    </row>
    <row r="699" spans="1:29" s="4" customFormat="1" x14ac:dyDescent="0.3">
      <c r="A699" s="3"/>
      <c r="B699" s="39"/>
      <c r="C699" s="5"/>
      <c r="D699" s="5"/>
      <c r="E699" s="5"/>
      <c r="F699" s="5"/>
      <c r="G699" s="29"/>
      <c r="H699"/>
      <c r="I699" s="7"/>
      <c r="J699" s="7"/>
      <c r="K699" s="7"/>
      <c r="L699" s="8"/>
      <c r="M699" s="7"/>
      <c r="N699" s="7"/>
      <c r="O699" s="8"/>
      <c r="P699" s="6"/>
      <c r="Q699" s="5"/>
      <c r="R699" s="5"/>
      <c r="S699" s="5"/>
      <c r="T699" s="5"/>
      <c r="U699" s="5"/>
      <c r="V699" s="5"/>
      <c r="W699" s="5"/>
      <c r="X699" s="8"/>
      <c r="Y699" s="9"/>
      <c r="Z699" s="10"/>
      <c r="AA699" s="10"/>
      <c r="AB699" s="8"/>
      <c r="AC699" s="10"/>
    </row>
    <row r="700" spans="1:29" s="4" customFormat="1" x14ac:dyDescent="0.3">
      <c r="A700" s="3"/>
      <c r="B700" s="39"/>
      <c r="C700" s="5"/>
      <c r="D700" s="5"/>
      <c r="E700" s="5"/>
      <c r="F700" s="5"/>
      <c r="G700" s="29"/>
      <c r="H700"/>
      <c r="I700" s="7"/>
      <c r="J700" s="7"/>
      <c r="K700" s="7"/>
      <c r="L700" s="8"/>
      <c r="M700" s="7"/>
      <c r="N700" s="7"/>
      <c r="O700" s="8"/>
      <c r="P700" s="6"/>
      <c r="Q700" s="5"/>
      <c r="R700" s="5"/>
      <c r="S700" s="5"/>
      <c r="T700" s="5"/>
      <c r="U700" s="5"/>
      <c r="V700" s="5"/>
      <c r="W700" s="5"/>
      <c r="X700" s="8"/>
      <c r="Y700" s="9"/>
      <c r="Z700" s="10"/>
      <c r="AA700" s="10"/>
      <c r="AB700" s="8"/>
      <c r="AC700" s="10"/>
    </row>
    <row r="701" spans="1:29" s="4" customFormat="1" x14ac:dyDescent="0.3">
      <c r="A701" s="3"/>
      <c r="B701" s="39"/>
      <c r="C701" s="5"/>
      <c r="D701" s="5"/>
      <c r="E701" s="5"/>
      <c r="F701" s="5"/>
      <c r="G701" s="29"/>
      <c r="H701"/>
      <c r="I701" s="7"/>
      <c r="J701" s="7"/>
      <c r="K701" s="7"/>
      <c r="L701" s="8"/>
      <c r="M701" s="7"/>
      <c r="N701" s="7"/>
      <c r="O701" s="8"/>
      <c r="P701" s="6"/>
      <c r="Q701" s="5"/>
      <c r="R701" s="5"/>
      <c r="S701" s="5"/>
      <c r="T701" s="5"/>
      <c r="U701" s="5"/>
      <c r="V701" s="5"/>
      <c r="W701" s="5"/>
      <c r="X701" s="8"/>
      <c r="Y701" s="9"/>
      <c r="Z701" s="10"/>
      <c r="AA701" s="10"/>
      <c r="AB701" s="8"/>
      <c r="AC701" s="10"/>
    </row>
    <row r="702" spans="1:29" s="4" customFormat="1" x14ac:dyDescent="0.3">
      <c r="A702" s="3"/>
      <c r="B702" s="39"/>
      <c r="C702" s="5"/>
      <c r="D702" s="5"/>
      <c r="E702" s="5"/>
      <c r="F702" s="5"/>
      <c r="G702" s="29"/>
      <c r="H702"/>
      <c r="I702" s="7"/>
      <c r="J702" s="7"/>
      <c r="K702" s="7"/>
      <c r="L702" s="8"/>
      <c r="M702" s="7"/>
      <c r="N702" s="7"/>
      <c r="O702" s="8"/>
      <c r="P702" s="6"/>
      <c r="Q702" s="5"/>
      <c r="R702" s="5"/>
      <c r="S702" s="5"/>
      <c r="T702" s="5"/>
      <c r="U702" s="5"/>
      <c r="V702" s="5"/>
      <c r="W702" s="5"/>
      <c r="X702" s="8"/>
      <c r="Y702" s="9"/>
      <c r="Z702" s="10"/>
      <c r="AA702" s="10"/>
      <c r="AB702" s="8"/>
      <c r="AC702" s="10"/>
    </row>
    <row r="703" spans="1:29" s="4" customFormat="1" x14ac:dyDescent="0.3">
      <c r="A703" s="3"/>
      <c r="B703" s="39"/>
      <c r="C703" s="5"/>
      <c r="D703" s="5"/>
      <c r="E703" s="5"/>
      <c r="F703" s="5"/>
      <c r="G703" s="29"/>
      <c r="H703"/>
      <c r="I703" s="7"/>
      <c r="J703" s="7"/>
      <c r="K703" s="7"/>
      <c r="L703" s="8"/>
      <c r="M703" s="7"/>
      <c r="N703" s="7"/>
      <c r="O703" s="8"/>
      <c r="P703" s="6"/>
      <c r="Q703" s="5"/>
      <c r="R703" s="5"/>
      <c r="S703" s="5"/>
      <c r="T703" s="5"/>
      <c r="U703" s="5"/>
      <c r="V703" s="5"/>
      <c r="W703" s="5"/>
      <c r="X703" s="8"/>
      <c r="Y703" s="9"/>
      <c r="Z703" s="10"/>
      <c r="AA703" s="10"/>
      <c r="AB703" s="8"/>
      <c r="AC703" s="10"/>
    </row>
    <row r="704" spans="1:29" s="4" customFormat="1" x14ac:dyDescent="0.3">
      <c r="A704" s="3"/>
      <c r="B704" s="39"/>
      <c r="C704" s="5"/>
      <c r="D704" s="5"/>
      <c r="E704" s="5"/>
      <c r="F704" s="5"/>
      <c r="G704" s="29"/>
      <c r="H704"/>
      <c r="I704" s="7"/>
      <c r="J704" s="7"/>
      <c r="K704" s="7"/>
      <c r="L704" s="8"/>
      <c r="M704" s="7"/>
      <c r="N704" s="7"/>
      <c r="O704" s="8"/>
      <c r="P704" s="6"/>
      <c r="Q704" s="5"/>
      <c r="R704" s="5"/>
      <c r="S704" s="5"/>
      <c r="T704" s="5"/>
      <c r="U704" s="5"/>
      <c r="V704" s="5"/>
      <c r="W704" s="5"/>
      <c r="X704" s="8"/>
      <c r="Y704" s="9"/>
      <c r="Z704" s="10"/>
      <c r="AA704" s="10"/>
      <c r="AB704" s="8"/>
      <c r="AC704" s="10"/>
    </row>
    <row r="705" spans="1:29" s="4" customFormat="1" x14ac:dyDescent="0.3">
      <c r="A705" s="3"/>
      <c r="B705" s="39"/>
      <c r="C705" s="5"/>
      <c r="D705" s="5"/>
      <c r="E705" s="5"/>
      <c r="F705" s="5"/>
      <c r="G705" s="29"/>
      <c r="H705"/>
      <c r="I705" s="7"/>
      <c r="J705" s="7"/>
      <c r="K705" s="7"/>
      <c r="L705" s="8"/>
      <c r="M705" s="7"/>
      <c r="N705" s="7"/>
      <c r="O705" s="8"/>
      <c r="P705" s="6"/>
      <c r="Q705" s="5"/>
      <c r="R705" s="5"/>
      <c r="S705" s="5"/>
      <c r="T705" s="5"/>
      <c r="U705" s="5"/>
      <c r="V705" s="5"/>
      <c r="W705" s="5"/>
      <c r="X705" s="8"/>
      <c r="Y705" s="9"/>
      <c r="Z705" s="10"/>
      <c r="AA705" s="10"/>
      <c r="AB705" s="8"/>
      <c r="AC705" s="10"/>
    </row>
    <row r="706" spans="1:29" s="4" customFormat="1" x14ac:dyDescent="0.3">
      <c r="A706" s="3"/>
      <c r="B706" s="39"/>
      <c r="C706" s="5"/>
      <c r="D706" s="5"/>
      <c r="E706" s="5"/>
      <c r="F706" s="5"/>
      <c r="G706" s="29"/>
      <c r="H706"/>
      <c r="I706" s="7"/>
      <c r="J706" s="7"/>
      <c r="K706" s="7"/>
      <c r="L706" s="8"/>
      <c r="M706" s="7"/>
      <c r="N706" s="7"/>
      <c r="O706" s="8"/>
      <c r="P706" s="6"/>
      <c r="Q706" s="5"/>
      <c r="R706" s="5"/>
      <c r="S706" s="5"/>
      <c r="T706" s="5"/>
      <c r="U706" s="5"/>
      <c r="V706" s="5"/>
      <c r="W706" s="5"/>
      <c r="X706" s="8"/>
      <c r="Y706" s="9"/>
      <c r="Z706" s="10"/>
      <c r="AA706" s="10"/>
      <c r="AB706" s="8"/>
      <c r="AC706" s="10"/>
    </row>
    <row r="707" spans="1:29" s="4" customFormat="1" x14ac:dyDescent="0.3">
      <c r="A707" s="3"/>
      <c r="B707" s="39"/>
      <c r="C707" s="5"/>
      <c r="D707" s="5"/>
      <c r="E707" s="5"/>
      <c r="F707" s="5"/>
      <c r="G707" s="29"/>
      <c r="H707"/>
      <c r="I707" s="7"/>
      <c r="J707" s="7"/>
      <c r="K707" s="7"/>
      <c r="L707" s="8"/>
      <c r="M707" s="7"/>
      <c r="N707" s="7"/>
      <c r="O707" s="8"/>
      <c r="P707" s="6"/>
      <c r="Q707" s="5"/>
      <c r="R707" s="5"/>
      <c r="S707" s="5"/>
      <c r="T707" s="5"/>
      <c r="U707" s="5"/>
      <c r="V707" s="5"/>
      <c r="W707" s="5"/>
      <c r="X707" s="8"/>
      <c r="Y707" s="9"/>
      <c r="Z707" s="10"/>
      <c r="AA707" s="10"/>
      <c r="AB707" s="8"/>
      <c r="AC707" s="10"/>
    </row>
    <row r="708" spans="1:29" s="4" customFormat="1" x14ac:dyDescent="0.3">
      <c r="A708" s="3"/>
      <c r="B708" s="39"/>
      <c r="C708" s="5"/>
      <c r="D708" s="5"/>
      <c r="E708" s="5"/>
      <c r="F708" s="5"/>
      <c r="G708" s="29"/>
      <c r="H708"/>
      <c r="I708" s="7"/>
      <c r="J708" s="7"/>
      <c r="K708" s="7"/>
      <c r="L708" s="8"/>
      <c r="M708" s="7"/>
      <c r="N708" s="7"/>
      <c r="O708" s="8"/>
      <c r="P708" s="6"/>
      <c r="Q708" s="5"/>
      <c r="R708" s="5"/>
      <c r="S708" s="5"/>
      <c r="T708" s="5"/>
      <c r="U708" s="5"/>
      <c r="V708" s="5"/>
      <c r="W708" s="5"/>
      <c r="X708" s="8"/>
      <c r="Y708" s="9"/>
      <c r="Z708" s="10"/>
      <c r="AA708" s="10"/>
      <c r="AB708" s="8"/>
      <c r="AC708" s="10"/>
    </row>
    <row r="709" spans="1:29" s="4" customFormat="1" x14ac:dyDescent="0.3">
      <c r="A709" s="3"/>
      <c r="B709" s="39"/>
      <c r="C709" s="5"/>
      <c r="D709" s="5"/>
      <c r="E709" s="5"/>
      <c r="F709" s="5"/>
      <c r="G709" s="29"/>
      <c r="H709"/>
      <c r="I709" s="7"/>
      <c r="J709" s="7"/>
      <c r="K709" s="7"/>
      <c r="L709" s="8"/>
      <c r="M709" s="7"/>
      <c r="N709" s="7"/>
      <c r="O709" s="8"/>
      <c r="P709" s="6"/>
      <c r="Q709" s="5"/>
      <c r="R709" s="5"/>
      <c r="S709" s="5"/>
      <c r="T709" s="5"/>
      <c r="U709" s="5"/>
      <c r="V709" s="5"/>
      <c r="W709" s="5"/>
      <c r="X709" s="8"/>
      <c r="Y709" s="9"/>
      <c r="Z709" s="10"/>
      <c r="AA709" s="10"/>
      <c r="AB709" s="8"/>
      <c r="AC709" s="10"/>
    </row>
    <row r="710" spans="1:29" s="4" customFormat="1" x14ac:dyDescent="0.3">
      <c r="A710" s="3"/>
      <c r="B710" s="39"/>
      <c r="C710" s="5"/>
      <c r="D710" s="5"/>
      <c r="E710" s="5"/>
      <c r="F710" s="5"/>
      <c r="G710" s="29"/>
      <c r="H710"/>
      <c r="I710" s="7"/>
      <c r="J710" s="7"/>
      <c r="K710" s="7"/>
      <c r="L710" s="8"/>
      <c r="M710" s="7"/>
      <c r="N710" s="7"/>
      <c r="O710" s="8"/>
      <c r="P710" s="6"/>
      <c r="Q710" s="5"/>
      <c r="R710" s="5"/>
      <c r="S710" s="5"/>
      <c r="T710" s="5"/>
      <c r="U710" s="5"/>
      <c r="V710" s="5"/>
      <c r="W710" s="5"/>
      <c r="X710" s="8"/>
      <c r="Y710" s="9"/>
      <c r="Z710" s="10"/>
      <c r="AA710" s="10"/>
      <c r="AB710" s="8"/>
      <c r="AC710" s="10"/>
    </row>
    <row r="711" spans="1:29" s="4" customFormat="1" x14ac:dyDescent="0.3">
      <c r="A711" s="3"/>
      <c r="B711" s="39"/>
      <c r="C711" s="5"/>
      <c r="D711" s="5"/>
      <c r="E711" s="5"/>
      <c r="F711" s="5"/>
      <c r="G711" s="29"/>
      <c r="H711"/>
      <c r="I711" s="7"/>
      <c r="J711" s="7"/>
      <c r="K711" s="7"/>
      <c r="L711" s="8"/>
      <c r="M711" s="7"/>
      <c r="N711" s="7"/>
      <c r="O711" s="8"/>
      <c r="P711" s="6"/>
      <c r="Q711" s="5"/>
      <c r="R711" s="5"/>
      <c r="S711" s="5"/>
      <c r="T711" s="5"/>
      <c r="U711" s="5"/>
      <c r="V711" s="5"/>
      <c r="W711" s="5"/>
      <c r="X711" s="8"/>
      <c r="Y711" s="9"/>
      <c r="Z711" s="10"/>
      <c r="AA711" s="10"/>
      <c r="AB711" s="8"/>
      <c r="AC711" s="10"/>
    </row>
    <row r="712" spans="1:29" s="4" customFormat="1" x14ac:dyDescent="0.3">
      <c r="A712" s="3"/>
      <c r="B712" s="39"/>
      <c r="C712" s="5"/>
      <c r="D712" s="5"/>
      <c r="E712" s="5"/>
      <c r="F712" s="5"/>
      <c r="G712" s="29"/>
      <c r="H712"/>
      <c r="I712" s="7"/>
      <c r="J712" s="7"/>
      <c r="K712" s="7"/>
      <c r="L712" s="8"/>
      <c r="M712" s="7"/>
      <c r="N712" s="7"/>
      <c r="O712" s="8"/>
      <c r="P712" s="6"/>
      <c r="Q712" s="5"/>
      <c r="R712" s="5"/>
      <c r="S712" s="5"/>
      <c r="T712" s="5"/>
      <c r="U712" s="5"/>
      <c r="V712" s="5"/>
      <c r="W712" s="5"/>
      <c r="X712" s="8"/>
      <c r="Y712" s="9"/>
      <c r="Z712" s="10"/>
      <c r="AA712" s="10"/>
      <c r="AB712" s="8"/>
      <c r="AC712" s="10"/>
    </row>
    <row r="713" spans="1:29" s="4" customFormat="1" x14ac:dyDescent="0.3">
      <c r="A713" s="3"/>
      <c r="B713" s="39"/>
      <c r="C713" s="5"/>
      <c r="D713" s="5"/>
      <c r="E713" s="5"/>
      <c r="F713" s="5"/>
      <c r="G713" s="29"/>
      <c r="H713"/>
      <c r="I713" s="7"/>
      <c r="J713" s="7"/>
      <c r="K713" s="7"/>
      <c r="L713" s="8"/>
      <c r="M713" s="7"/>
      <c r="N713" s="7"/>
      <c r="O713" s="8"/>
      <c r="P713" s="6"/>
      <c r="Q713" s="5"/>
      <c r="R713" s="5"/>
      <c r="S713" s="5"/>
      <c r="T713" s="5"/>
      <c r="U713" s="5"/>
      <c r="V713" s="5"/>
      <c r="W713" s="5"/>
      <c r="X713" s="8"/>
      <c r="Y713" s="9"/>
      <c r="Z713" s="10"/>
      <c r="AA713" s="10"/>
      <c r="AB713" s="8"/>
      <c r="AC713" s="10"/>
    </row>
    <row r="714" spans="1:29" s="4" customFormat="1" x14ac:dyDescent="0.3">
      <c r="A714" s="3"/>
      <c r="B714" s="39"/>
      <c r="C714" s="5"/>
      <c r="D714" s="5"/>
      <c r="E714" s="5"/>
      <c r="F714" s="5"/>
      <c r="G714" s="29"/>
      <c r="H714"/>
      <c r="I714" s="7"/>
      <c r="J714" s="7"/>
      <c r="K714" s="7"/>
      <c r="L714" s="8"/>
      <c r="M714" s="7"/>
      <c r="N714" s="7"/>
      <c r="O714" s="8"/>
      <c r="P714" s="6"/>
      <c r="Q714" s="5"/>
      <c r="R714" s="5"/>
      <c r="S714" s="5"/>
      <c r="T714" s="5"/>
      <c r="U714" s="5"/>
      <c r="V714" s="5"/>
      <c r="W714" s="5"/>
      <c r="X714" s="8"/>
      <c r="Y714" s="9"/>
      <c r="Z714" s="10"/>
      <c r="AA714" s="10"/>
      <c r="AB714" s="8"/>
      <c r="AC714" s="10"/>
    </row>
    <row r="715" spans="1:29" s="4" customFormat="1" x14ac:dyDescent="0.3">
      <c r="A715" s="3"/>
      <c r="B715" s="39"/>
      <c r="C715" s="5"/>
      <c r="D715" s="5"/>
      <c r="E715" s="5"/>
      <c r="F715" s="5"/>
      <c r="G715" s="29"/>
      <c r="H715"/>
      <c r="I715" s="7"/>
      <c r="J715" s="7"/>
      <c r="K715" s="7"/>
      <c r="L715" s="8"/>
      <c r="M715" s="7"/>
      <c r="N715" s="7"/>
      <c r="O715" s="8"/>
      <c r="P715" s="6"/>
      <c r="Q715" s="5"/>
      <c r="R715" s="5"/>
      <c r="S715" s="5"/>
      <c r="T715" s="5"/>
      <c r="U715" s="5"/>
      <c r="V715" s="5"/>
      <c r="W715" s="5"/>
      <c r="X715" s="8"/>
      <c r="Y715" s="9"/>
      <c r="Z715" s="10"/>
      <c r="AA715" s="10"/>
      <c r="AB715" s="8"/>
      <c r="AC715" s="10"/>
    </row>
    <row r="716" spans="1:29" s="4" customFormat="1" x14ac:dyDescent="0.3">
      <c r="A716" s="3"/>
      <c r="B716" s="39"/>
      <c r="C716" s="5"/>
      <c r="D716" s="5"/>
      <c r="E716" s="5"/>
      <c r="F716" s="5"/>
      <c r="G716" s="29"/>
      <c r="H716"/>
      <c r="I716" s="7"/>
      <c r="J716" s="7"/>
      <c r="K716" s="7"/>
      <c r="L716" s="8"/>
      <c r="M716" s="7"/>
      <c r="N716" s="7"/>
      <c r="O716" s="8"/>
      <c r="P716" s="6"/>
      <c r="Q716" s="5"/>
      <c r="R716" s="5"/>
      <c r="S716" s="5"/>
      <c r="T716" s="5"/>
      <c r="U716" s="5"/>
      <c r="V716" s="5"/>
      <c r="W716" s="5"/>
      <c r="X716" s="8"/>
      <c r="Y716" s="9"/>
      <c r="Z716" s="10"/>
      <c r="AA716" s="10"/>
      <c r="AB716" s="8"/>
      <c r="AC716" s="10"/>
    </row>
    <row r="717" spans="1:29" s="4" customFormat="1" x14ac:dyDescent="0.3">
      <c r="A717" s="3"/>
      <c r="B717" s="39"/>
      <c r="C717" s="5"/>
      <c r="D717" s="5"/>
      <c r="E717" s="5"/>
      <c r="F717" s="5"/>
      <c r="G717" s="29"/>
      <c r="H717"/>
      <c r="I717" s="7"/>
      <c r="J717" s="7"/>
      <c r="K717" s="7"/>
      <c r="L717" s="8"/>
      <c r="M717" s="7"/>
      <c r="N717" s="7"/>
      <c r="O717" s="8"/>
      <c r="P717" s="6"/>
      <c r="Q717" s="5"/>
      <c r="R717" s="5"/>
      <c r="S717" s="5"/>
      <c r="T717" s="5"/>
      <c r="U717" s="5"/>
      <c r="V717" s="5"/>
      <c r="W717" s="5"/>
      <c r="X717" s="8"/>
      <c r="Y717" s="9"/>
      <c r="Z717" s="10"/>
      <c r="AA717" s="10"/>
      <c r="AB717" s="8"/>
      <c r="AC717" s="10"/>
    </row>
    <row r="718" spans="1:29" s="4" customFormat="1" x14ac:dyDescent="0.3">
      <c r="A718" s="3"/>
      <c r="B718" s="39"/>
      <c r="C718" s="5"/>
      <c r="D718" s="5"/>
      <c r="E718" s="5"/>
      <c r="F718" s="5"/>
      <c r="G718" s="29"/>
      <c r="H718"/>
      <c r="I718" s="7"/>
      <c r="J718" s="7"/>
      <c r="K718" s="7"/>
      <c r="L718" s="8"/>
      <c r="M718" s="7"/>
      <c r="N718" s="7"/>
      <c r="O718" s="8"/>
      <c r="P718" s="6"/>
      <c r="Q718" s="5"/>
      <c r="R718" s="5"/>
      <c r="S718" s="5"/>
      <c r="T718" s="5"/>
      <c r="U718" s="5"/>
      <c r="V718" s="5"/>
      <c r="W718" s="5"/>
      <c r="X718" s="8"/>
      <c r="Y718" s="9"/>
      <c r="Z718" s="10"/>
      <c r="AA718" s="10"/>
      <c r="AB718" s="8"/>
      <c r="AC718" s="10"/>
    </row>
    <row r="719" spans="1:29" s="4" customFormat="1" x14ac:dyDescent="0.3">
      <c r="A719" s="3"/>
      <c r="B719" s="39"/>
      <c r="C719" s="5"/>
      <c r="D719" s="5"/>
      <c r="E719" s="5"/>
      <c r="F719" s="5"/>
      <c r="G719" s="29"/>
      <c r="H719"/>
      <c r="I719" s="7"/>
      <c r="J719" s="7"/>
      <c r="K719" s="7"/>
      <c r="L719" s="8"/>
      <c r="M719" s="7"/>
      <c r="N719" s="7"/>
      <c r="O719" s="8"/>
      <c r="P719" s="6"/>
      <c r="Q719" s="5"/>
      <c r="R719" s="5"/>
      <c r="S719" s="5"/>
      <c r="T719" s="5"/>
      <c r="U719" s="5"/>
      <c r="V719" s="5"/>
      <c r="W719" s="5"/>
      <c r="X719" s="8"/>
      <c r="Y719" s="9"/>
      <c r="Z719" s="10"/>
      <c r="AA719" s="10"/>
      <c r="AB719" s="8"/>
      <c r="AC719" s="10"/>
    </row>
    <row r="720" spans="1:29" s="4" customFormat="1" x14ac:dyDescent="0.3">
      <c r="A720" s="3"/>
      <c r="B720" s="39"/>
      <c r="C720" s="5"/>
      <c r="D720" s="5"/>
      <c r="E720" s="5"/>
      <c r="F720" s="5"/>
      <c r="G720" s="29"/>
      <c r="H720"/>
      <c r="I720" s="7"/>
      <c r="J720" s="7"/>
      <c r="K720" s="7"/>
      <c r="L720" s="8"/>
      <c r="M720" s="7"/>
      <c r="N720" s="7"/>
      <c r="O720" s="8"/>
      <c r="P720" s="6"/>
      <c r="Q720" s="5"/>
      <c r="R720" s="5"/>
      <c r="S720" s="5"/>
      <c r="T720" s="5"/>
      <c r="U720" s="5"/>
      <c r="V720" s="5"/>
      <c r="W720" s="5"/>
      <c r="X720" s="8"/>
      <c r="Y720" s="9"/>
      <c r="Z720" s="10"/>
      <c r="AA720" s="10"/>
      <c r="AB720" s="8"/>
      <c r="AC720" s="10"/>
    </row>
    <row r="721" spans="1:29" s="4" customFormat="1" x14ac:dyDescent="0.3">
      <c r="A721" s="3"/>
      <c r="B721" s="39"/>
      <c r="C721" s="5"/>
      <c r="D721" s="5"/>
      <c r="E721" s="5"/>
      <c r="F721" s="5"/>
      <c r="G721" s="29"/>
      <c r="H721"/>
      <c r="I721" s="7"/>
      <c r="J721" s="7"/>
      <c r="K721" s="7"/>
      <c r="L721" s="8"/>
      <c r="M721" s="7"/>
      <c r="N721" s="7"/>
      <c r="O721" s="8"/>
      <c r="P721" s="6"/>
      <c r="Q721" s="5"/>
      <c r="R721" s="5"/>
      <c r="S721" s="5"/>
      <c r="T721" s="5"/>
      <c r="U721" s="5"/>
      <c r="V721" s="5"/>
      <c r="W721" s="5"/>
      <c r="X721" s="8"/>
      <c r="Y721" s="9"/>
      <c r="Z721" s="10"/>
      <c r="AA721" s="10"/>
      <c r="AB721" s="8"/>
      <c r="AC721" s="10"/>
    </row>
    <row r="722" spans="1:29" s="4" customFormat="1" x14ac:dyDescent="0.3">
      <c r="A722" s="3"/>
      <c r="B722" s="39"/>
      <c r="C722" s="5"/>
      <c r="D722" s="5"/>
      <c r="E722" s="5"/>
      <c r="F722" s="5"/>
      <c r="G722" s="29"/>
      <c r="H722"/>
      <c r="I722" s="7"/>
      <c r="J722" s="7"/>
      <c r="K722" s="7"/>
      <c r="L722" s="8"/>
      <c r="M722" s="7"/>
      <c r="N722" s="7"/>
      <c r="O722" s="8"/>
      <c r="P722" s="6"/>
      <c r="Q722" s="5"/>
      <c r="R722" s="5"/>
      <c r="S722" s="5"/>
      <c r="T722" s="5"/>
      <c r="U722" s="5"/>
      <c r="V722" s="5"/>
      <c r="W722" s="5"/>
      <c r="X722" s="8"/>
      <c r="Y722" s="9"/>
      <c r="Z722" s="10"/>
      <c r="AA722" s="10"/>
      <c r="AB722" s="8"/>
      <c r="AC722" s="10"/>
    </row>
    <row r="723" spans="1:29" s="4" customFormat="1" x14ac:dyDescent="0.3">
      <c r="A723" s="3"/>
      <c r="B723" s="39"/>
      <c r="C723" s="5"/>
      <c r="D723" s="5"/>
      <c r="E723" s="5"/>
      <c r="F723" s="5"/>
      <c r="G723" s="29"/>
      <c r="H723"/>
      <c r="I723" s="7"/>
      <c r="J723" s="7"/>
      <c r="K723" s="7"/>
      <c r="L723" s="8"/>
      <c r="M723" s="7"/>
      <c r="N723" s="7"/>
      <c r="O723" s="8"/>
      <c r="P723" s="6"/>
      <c r="Q723" s="5"/>
      <c r="R723" s="5"/>
      <c r="S723" s="5"/>
      <c r="T723" s="5"/>
      <c r="U723" s="5"/>
      <c r="V723" s="5"/>
      <c r="W723" s="5"/>
      <c r="X723" s="8"/>
      <c r="Y723" s="9"/>
      <c r="Z723" s="10"/>
      <c r="AA723" s="10"/>
      <c r="AB723" s="8"/>
      <c r="AC723" s="10"/>
    </row>
    <row r="724" spans="1:29" s="4" customFormat="1" x14ac:dyDescent="0.3">
      <c r="A724" s="3"/>
      <c r="B724" s="39"/>
      <c r="C724" s="5"/>
      <c r="D724" s="5"/>
      <c r="E724" s="5"/>
      <c r="F724" s="5"/>
      <c r="G724" s="29"/>
      <c r="H724"/>
      <c r="I724" s="7"/>
      <c r="J724" s="7"/>
      <c r="K724" s="7"/>
      <c r="L724" s="8"/>
      <c r="M724" s="7"/>
      <c r="N724" s="7"/>
      <c r="O724" s="8"/>
      <c r="P724" s="6"/>
      <c r="Q724" s="5"/>
      <c r="R724" s="5"/>
      <c r="S724" s="5"/>
      <c r="T724" s="5"/>
      <c r="U724" s="5"/>
      <c r="V724" s="5"/>
      <c r="W724" s="5"/>
      <c r="X724" s="8"/>
      <c r="Y724" s="9"/>
      <c r="Z724" s="10"/>
      <c r="AA724" s="10"/>
      <c r="AB724" s="8"/>
      <c r="AC724" s="10"/>
    </row>
    <row r="725" spans="1:29" s="4" customFormat="1" x14ac:dyDescent="0.3">
      <c r="A725" s="3"/>
      <c r="B725" s="39"/>
      <c r="C725" s="5"/>
      <c r="D725" s="5"/>
      <c r="E725" s="5"/>
      <c r="F725" s="5"/>
      <c r="G725" s="29"/>
      <c r="H725"/>
      <c r="I725" s="7"/>
      <c r="J725" s="7"/>
      <c r="K725" s="7"/>
      <c r="L725" s="8"/>
      <c r="M725" s="7"/>
      <c r="N725" s="7"/>
      <c r="O725" s="8"/>
      <c r="P725" s="6"/>
      <c r="Q725" s="5"/>
      <c r="R725" s="5"/>
      <c r="S725" s="5"/>
      <c r="T725" s="5"/>
      <c r="U725" s="5"/>
      <c r="V725" s="5"/>
      <c r="W725" s="5"/>
      <c r="X725" s="8"/>
      <c r="Y725" s="9"/>
      <c r="Z725" s="10"/>
      <c r="AA725" s="10"/>
      <c r="AB725" s="8"/>
      <c r="AC725" s="10"/>
    </row>
    <row r="726" spans="1:29" s="4" customFormat="1" x14ac:dyDescent="0.3">
      <c r="A726" s="3"/>
      <c r="B726" s="39"/>
      <c r="C726" s="5"/>
      <c r="D726" s="5"/>
      <c r="E726" s="5"/>
      <c r="F726" s="5"/>
      <c r="G726" s="29"/>
      <c r="H726"/>
      <c r="I726" s="7"/>
      <c r="J726" s="7"/>
      <c r="K726" s="7"/>
      <c r="L726" s="8"/>
      <c r="M726" s="7"/>
      <c r="N726" s="7"/>
      <c r="O726" s="8"/>
      <c r="P726" s="6"/>
      <c r="Q726" s="5"/>
      <c r="R726" s="5"/>
      <c r="S726" s="5"/>
      <c r="T726" s="5"/>
      <c r="U726" s="5"/>
      <c r="V726" s="5"/>
      <c r="W726" s="5"/>
      <c r="X726" s="8"/>
      <c r="Y726" s="9"/>
      <c r="Z726" s="10"/>
      <c r="AA726" s="10"/>
      <c r="AB726" s="8"/>
      <c r="AC726" s="10"/>
    </row>
    <row r="727" spans="1:29" s="4" customFormat="1" x14ac:dyDescent="0.3">
      <c r="A727" s="3"/>
      <c r="B727" s="39"/>
      <c r="C727" s="5"/>
      <c r="D727" s="5"/>
      <c r="E727" s="5"/>
      <c r="F727" s="5"/>
      <c r="G727" s="29"/>
      <c r="H727"/>
      <c r="I727" s="7"/>
      <c r="J727" s="7"/>
      <c r="K727" s="7"/>
      <c r="L727" s="8"/>
      <c r="M727" s="7"/>
      <c r="N727" s="7"/>
      <c r="O727" s="8"/>
      <c r="P727" s="6"/>
      <c r="Q727" s="5"/>
      <c r="R727" s="5"/>
      <c r="S727" s="5"/>
      <c r="T727" s="5"/>
      <c r="U727" s="5"/>
      <c r="V727" s="5"/>
      <c r="W727" s="5"/>
      <c r="X727" s="8"/>
      <c r="Y727" s="9"/>
      <c r="Z727" s="10"/>
      <c r="AA727" s="10"/>
      <c r="AB727" s="8"/>
      <c r="AC727" s="10"/>
    </row>
    <row r="728" spans="1:29" s="4" customFormat="1" x14ac:dyDescent="0.3">
      <c r="A728" s="3"/>
      <c r="B728" s="39"/>
      <c r="C728" s="5"/>
      <c r="D728" s="5"/>
      <c r="E728" s="5"/>
      <c r="F728" s="5"/>
      <c r="G728" s="29"/>
      <c r="H728"/>
      <c r="I728" s="7"/>
      <c r="J728" s="7"/>
      <c r="K728" s="7"/>
      <c r="L728" s="8"/>
      <c r="M728" s="7"/>
      <c r="N728" s="7"/>
      <c r="O728" s="8"/>
      <c r="P728" s="6"/>
      <c r="Q728" s="5"/>
      <c r="R728" s="5"/>
      <c r="S728" s="5"/>
      <c r="T728" s="5"/>
      <c r="U728" s="5"/>
      <c r="V728" s="5"/>
      <c r="W728" s="5"/>
      <c r="X728" s="8"/>
      <c r="Y728" s="9"/>
      <c r="Z728" s="10"/>
      <c r="AA728" s="10"/>
      <c r="AB728" s="8"/>
      <c r="AC728" s="10"/>
    </row>
    <row r="729" spans="1:29" s="4" customFormat="1" x14ac:dyDescent="0.3">
      <c r="A729" s="3"/>
      <c r="B729" s="39"/>
      <c r="C729" s="5"/>
      <c r="D729" s="5"/>
      <c r="E729" s="5"/>
      <c r="F729" s="5"/>
      <c r="G729" s="29"/>
      <c r="H729"/>
      <c r="I729" s="7"/>
      <c r="J729" s="7"/>
      <c r="K729" s="7"/>
      <c r="L729" s="8"/>
      <c r="M729" s="7"/>
      <c r="N729" s="7"/>
      <c r="O729" s="8"/>
      <c r="P729" s="6"/>
      <c r="Q729" s="5"/>
      <c r="R729" s="5"/>
      <c r="S729" s="5"/>
      <c r="T729" s="5"/>
      <c r="U729" s="5"/>
      <c r="V729" s="5"/>
      <c r="W729" s="5"/>
      <c r="X729" s="8"/>
      <c r="Y729" s="9"/>
      <c r="Z729" s="10"/>
      <c r="AA729" s="10"/>
      <c r="AB729" s="8"/>
      <c r="AC729" s="10"/>
    </row>
    <row r="730" spans="1:29" s="4" customFormat="1" x14ac:dyDescent="0.3">
      <c r="A730" s="3"/>
      <c r="B730" s="39"/>
      <c r="C730" s="5"/>
      <c r="D730" s="5"/>
      <c r="E730" s="5"/>
      <c r="F730" s="5"/>
      <c r="G730" s="29"/>
      <c r="H730"/>
      <c r="I730" s="7"/>
      <c r="J730" s="7"/>
      <c r="K730" s="7"/>
      <c r="L730" s="8"/>
      <c r="M730" s="7"/>
      <c r="N730" s="7"/>
      <c r="O730" s="8"/>
      <c r="P730" s="6"/>
      <c r="Q730" s="5"/>
      <c r="R730" s="5"/>
      <c r="S730" s="5"/>
      <c r="T730" s="5"/>
      <c r="U730" s="5"/>
      <c r="V730" s="5"/>
      <c r="W730" s="5"/>
      <c r="X730" s="8"/>
      <c r="Y730" s="9"/>
      <c r="Z730" s="10"/>
      <c r="AA730" s="10"/>
      <c r="AB730" s="8"/>
      <c r="AC730" s="10"/>
    </row>
    <row r="731" spans="1:29" s="4" customFormat="1" x14ac:dyDescent="0.3">
      <c r="A731" s="3"/>
      <c r="B731" s="39"/>
      <c r="C731" s="5"/>
      <c r="D731" s="5"/>
      <c r="E731" s="5"/>
      <c r="F731" s="5"/>
      <c r="G731" s="29"/>
      <c r="H731"/>
      <c r="I731" s="7"/>
      <c r="J731" s="7"/>
      <c r="K731" s="7"/>
      <c r="L731" s="8"/>
      <c r="M731" s="7"/>
      <c r="N731" s="7"/>
      <c r="O731" s="8"/>
      <c r="P731" s="6"/>
      <c r="Q731" s="5"/>
      <c r="R731" s="5"/>
      <c r="S731" s="5"/>
      <c r="T731" s="5"/>
      <c r="U731" s="5"/>
      <c r="V731" s="5"/>
      <c r="W731" s="5"/>
      <c r="X731" s="8"/>
      <c r="Y731" s="9"/>
      <c r="Z731" s="10"/>
      <c r="AA731" s="10"/>
      <c r="AB731" s="8"/>
      <c r="AC731" s="10"/>
    </row>
    <row r="732" spans="1:29" s="4" customFormat="1" x14ac:dyDescent="0.3">
      <c r="A732" s="3"/>
      <c r="B732" s="39"/>
      <c r="C732" s="5"/>
      <c r="D732" s="5"/>
      <c r="E732" s="5"/>
      <c r="F732" s="5"/>
      <c r="G732" s="29"/>
      <c r="H732"/>
      <c r="I732" s="7"/>
      <c r="J732" s="7"/>
      <c r="K732" s="7"/>
      <c r="L732" s="8"/>
      <c r="M732" s="7"/>
      <c r="N732" s="7"/>
      <c r="O732" s="8"/>
      <c r="P732" s="6"/>
      <c r="Q732" s="5"/>
      <c r="R732" s="5"/>
      <c r="S732" s="5"/>
      <c r="T732" s="5"/>
      <c r="U732" s="5"/>
      <c r="V732" s="5"/>
      <c r="W732" s="5"/>
      <c r="X732" s="8"/>
      <c r="Y732" s="9"/>
      <c r="Z732" s="10"/>
      <c r="AA732" s="10"/>
      <c r="AB732" s="8"/>
      <c r="AC732" s="10"/>
    </row>
    <row r="733" spans="1:29" s="4" customFormat="1" x14ac:dyDescent="0.3">
      <c r="A733" s="3"/>
      <c r="B733" s="39"/>
      <c r="C733" s="5"/>
      <c r="D733" s="5"/>
      <c r="E733" s="5"/>
      <c r="F733" s="5"/>
      <c r="G733" s="29"/>
      <c r="H733"/>
      <c r="I733" s="7"/>
      <c r="J733" s="7"/>
      <c r="K733" s="7"/>
      <c r="L733" s="8"/>
      <c r="M733" s="7"/>
      <c r="N733" s="7"/>
      <c r="O733" s="8"/>
      <c r="P733" s="6"/>
      <c r="Q733" s="5"/>
      <c r="R733" s="5"/>
      <c r="S733" s="5"/>
      <c r="T733" s="5"/>
      <c r="U733" s="5"/>
      <c r="V733" s="5"/>
      <c r="W733" s="5"/>
      <c r="X733" s="8"/>
      <c r="Y733" s="9"/>
      <c r="Z733" s="10"/>
      <c r="AA733" s="10"/>
      <c r="AB733" s="8"/>
      <c r="AC733" s="10"/>
    </row>
    <row r="734" spans="1:29" s="4" customFormat="1" x14ac:dyDescent="0.3">
      <c r="A734" s="3"/>
      <c r="B734" s="39"/>
      <c r="C734" s="5"/>
      <c r="D734" s="5"/>
      <c r="E734" s="5"/>
      <c r="F734" s="5"/>
      <c r="G734" s="29"/>
      <c r="H734"/>
      <c r="I734" s="7"/>
      <c r="J734" s="7"/>
      <c r="K734" s="7"/>
      <c r="L734" s="8"/>
      <c r="M734" s="7"/>
      <c r="N734" s="7"/>
      <c r="O734" s="8"/>
      <c r="P734" s="6"/>
      <c r="Q734" s="5"/>
      <c r="R734" s="5"/>
      <c r="S734" s="5"/>
      <c r="T734" s="5"/>
      <c r="U734" s="5"/>
      <c r="V734" s="5"/>
      <c r="W734" s="5"/>
      <c r="X734" s="8"/>
      <c r="Y734" s="9"/>
      <c r="Z734" s="10"/>
      <c r="AA734" s="10"/>
      <c r="AB734" s="8"/>
      <c r="AC734" s="10"/>
    </row>
    <row r="735" spans="1:29" s="4" customFormat="1" x14ac:dyDescent="0.3">
      <c r="A735" s="3"/>
      <c r="B735" s="39"/>
      <c r="C735" s="5"/>
      <c r="D735" s="5"/>
      <c r="E735" s="5"/>
      <c r="F735" s="5"/>
      <c r="G735" s="29"/>
      <c r="H735"/>
      <c r="I735" s="7"/>
      <c r="J735" s="7"/>
      <c r="K735" s="7"/>
      <c r="L735" s="8"/>
      <c r="M735" s="7"/>
      <c r="N735" s="7"/>
      <c r="O735" s="8"/>
      <c r="P735" s="6"/>
      <c r="Q735" s="5"/>
      <c r="R735" s="5"/>
      <c r="S735" s="5"/>
      <c r="T735" s="5"/>
      <c r="U735" s="5"/>
      <c r="V735" s="5"/>
      <c r="W735" s="5"/>
      <c r="X735" s="8"/>
      <c r="Y735" s="9"/>
      <c r="Z735" s="10"/>
      <c r="AA735" s="10"/>
      <c r="AB735" s="8"/>
      <c r="AC735" s="10"/>
    </row>
    <row r="736" spans="1:29" s="4" customFormat="1" x14ac:dyDescent="0.3">
      <c r="A736" s="3"/>
      <c r="B736" s="39"/>
      <c r="C736" s="5"/>
      <c r="D736" s="5"/>
      <c r="E736" s="5"/>
      <c r="F736" s="5"/>
      <c r="G736" s="29"/>
      <c r="H736"/>
      <c r="I736" s="7"/>
      <c r="J736" s="7"/>
      <c r="K736" s="7"/>
      <c r="L736" s="8"/>
      <c r="M736" s="7"/>
      <c r="N736" s="7"/>
      <c r="O736" s="8"/>
      <c r="P736" s="6"/>
      <c r="Q736" s="5"/>
      <c r="R736" s="5"/>
      <c r="S736" s="5"/>
      <c r="T736" s="5"/>
      <c r="U736" s="5"/>
      <c r="V736" s="5"/>
      <c r="W736" s="5"/>
      <c r="X736" s="8"/>
      <c r="Y736" s="9"/>
      <c r="Z736" s="10"/>
      <c r="AA736" s="10"/>
      <c r="AB736" s="8"/>
      <c r="AC736" s="10"/>
    </row>
    <row r="737" spans="1:29" s="4" customFormat="1" x14ac:dyDescent="0.3">
      <c r="A737" s="3"/>
      <c r="B737" s="39"/>
      <c r="C737" s="5"/>
      <c r="D737" s="5"/>
      <c r="E737" s="5"/>
      <c r="F737" s="5"/>
      <c r="G737" s="29"/>
      <c r="H737"/>
      <c r="I737" s="7"/>
      <c r="J737" s="7"/>
      <c r="K737" s="7"/>
      <c r="L737" s="8"/>
      <c r="M737" s="7"/>
      <c r="N737" s="7"/>
      <c r="O737" s="8"/>
      <c r="P737" s="6"/>
      <c r="Q737" s="5"/>
      <c r="R737" s="5"/>
      <c r="S737" s="5"/>
      <c r="T737" s="5"/>
      <c r="U737" s="5"/>
      <c r="V737" s="5"/>
      <c r="W737" s="5"/>
      <c r="X737" s="8"/>
      <c r="Y737" s="9"/>
      <c r="Z737" s="10"/>
      <c r="AA737" s="10"/>
      <c r="AB737" s="8"/>
      <c r="AC737" s="10"/>
    </row>
    <row r="738" spans="1:29" s="4" customFormat="1" x14ac:dyDescent="0.3">
      <c r="A738" s="3"/>
      <c r="B738" s="39"/>
      <c r="C738" s="5"/>
      <c r="D738" s="5"/>
      <c r="E738" s="5"/>
      <c r="F738" s="5"/>
      <c r="G738" s="29"/>
      <c r="H738"/>
      <c r="I738" s="7"/>
      <c r="J738" s="7"/>
      <c r="K738" s="7"/>
      <c r="L738" s="8"/>
      <c r="M738" s="7"/>
      <c r="N738" s="7"/>
      <c r="O738" s="8"/>
      <c r="P738" s="6"/>
      <c r="Q738" s="5"/>
      <c r="R738" s="5"/>
      <c r="S738" s="5"/>
      <c r="T738" s="5"/>
      <c r="U738" s="5"/>
      <c r="V738" s="5"/>
      <c r="W738" s="5"/>
      <c r="X738" s="8"/>
      <c r="Y738" s="9"/>
      <c r="Z738" s="10"/>
      <c r="AA738" s="10"/>
      <c r="AB738" s="8"/>
      <c r="AC738" s="10"/>
    </row>
    <row r="739" spans="1:29" s="4" customFormat="1" x14ac:dyDescent="0.3">
      <c r="A739" s="3"/>
      <c r="B739" s="39"/>
      <c r="C739" s="5"/>
      <c r="D739" s="5"/>
      <c r="E739" s="5"/>
      <c r="F739" s="5"/>
      <c r="G739" s="29"/>
      <c r="H739"/>
      <c r="I739" s="7"/>
      <c r="J739" s="7"/>
      <c r="K739" s="7"/>
      <c r="L739" s="8"/>
      <c r="M739" s="7"/>
      <c r="N739" s="7"/>
      <c r="O739" s="8"/>
      <c r="P739" s="6"/>
      <c r="Q739" s="5"/>
      <c r="R739" s="5"/>
      <c r="S739" s="5"/>
      <c r="T739" s="5"/>
      <c r="U739" s="5"/>
      <c r="V739" s="5"/>
      <c r="W739" s="5"/>
      <c r="X739" s="8"/>
      <c r="Y739" s="9"/>
      <c r="Z739" s="10"/>
      <c r="AA739" s="10"/>
      <c r="AB739" s="8"/>
      <c r="AC739" s="10"/>
    </row>
    <row r="740" spans="1:29" s="4" customFormat="1" x14ac:dyDescent="0.3">
      <c r="A740" s="3"/>
      <c r="B740" s="39"/>
      <c r="C740" s="5"/>
      <c r="D740" s="5"/>
      <c r="E740" s="5"/>
      <c r="F740" s="5"/>
      <c r="G740" s="29"/>
      <c r="H740"/>
      <c r="I740" s="7"/>
      <c r="J740" s="7"/>
      <c r="K740" s="7"/>
      <c r="L740" s="8"/>
      <c r="M740" s="7"/>
      <c r="N740" s="7"/>
      <c r="O740" s="8"/>
      <c r="P740" s="6"/>
      <c r="Q740" s="5"/>
      <c r="R740" s="5"/>
      <c r="S740" s="5"/>
      <c r="T740" s="5"/>
      <c r="U740" s="5"/>
      <c r="V740" s="5"/>
      <c r="W740" s="5"/>
      <c r="X740" s="8"/>
      <c r="Y740" s="9"/>
      <c r="Z740" s="10"/>
      <c r="AA740" s="10"/>
      <c r="AB740" s="8"/>
      <c r="AC740" s="10"/>
    </row>
    <row r="741" spans="1:29" s="4" customFormat="1" x14ac:dyDescent="0.3">
      <c r="A741" s="3"/>
      <c r="B741" s="39"/>
      <c r="C741" s="5"/>
      <c r="D741" s="5"/>
      <c r="E741" s="5"/>
      <c r="F741" s="5"/>
      <c r="G741" s="29"/>
      <c r="H741"/>
      <c r="I741" s="7"/>
      <c r="J741" s="7"/>
      <c r="K741" s="7"/>
      <c r="L741" s="8"/>
      <c r="M741" s="7"/>
      <c r="N741" s="7"/>
      <c r="O741" s="8"/>
      <c r="P741" s="6"/>
      <c r="Q741" s="5"/>
      <c r="R741" s="5"/>
      <c r="S741" s="5"/>
      <c r="T741" s="5"/>
      <c r="U741" s="5"/>
      <c r="V741" s="5"/>
      <c r="W741" s="5"/>
      <c r="X741" s="8"/>
      <c r="Y741" s="9"/>
      <c r="Z741" s="10"/>
      <c r="AA741" s="10"/>
      <c r="AB741" s="8"/>
      <c r="AC741" s="10"/>
    </row>
    <row r="742" spans="1:29" s="4" customFormat="1" x14ac:dyDescent="0.3">
      <c r="A742" s="3"/>
      <c r="B742" s="39"/>
      <c r="C742" s="5"/>
      <c r="D742" s="5"/>
      <c r="E742" s="5"/>
      <c r="F742" s="5"/>
      <c r="G742" s="29"/>
      <c r="H742"/>
      <c r="I742" s="7"/>
      <c r="J742" s="7"/>
      <c r="K742" s="7"/>
      <c r="L742" s="8"/>
      <c r="M742" s="7"/>
      <c r="N742" s="7"/>
      <c r="O742" s="8"/>
      <c r="P742" s="6"/>
      <c r="Q742" s="5"/>
      <c r="R742" s="5"/>
      <c r="S742" s="5"/>
      <c r="T742" s="5"/>
      <c r="U742" s="5"/>
      <c r="V742" s="5"/>
      <c r="W742" s="5"/>
      <c r="X742" s="8"/>
      <c r="Y742" s="9"/>
      <c r="Z742" s="10"/>
      <c r="AA742" s="10"/>
      <c r="AB742" s="8"/>
      <c r="AC742" s="10"/>
    </row>
    <row r="743" spans="1:29" s="4" customFormat="1" x14ac:dyDescent="0.3">
      <c r="A743" s="3"/>
      <c r="B743" s="39"/>
      <c r="C743" s="5"/>
      <c r="D743" s="5"/>
      <c r="E743" s="5"/>
      <c r="F743" s="5"/>
      <c r="G743" s="29"/>
      <c r="H743"/>
      <c r="I743" s="7"/>
      <c r="J743" s="7"/>
      <c r="K743" s="7"/>
      <c r="L743" s="8"/>
      <c r="M743" s="7"/>
      <c r="N743" s="7"/>
      <c r="O743" s="8"/>
      <c r="P743" s="6"/>
      <c r="Q743" s="5"/>
      <c r="R743" s="5"/>
      <c r="S743" s="5"/>
      <c r="T743" s="5"/>
      <c r="U743" s="5"/>
      <c r="V743" s="5"/>
      <c r="W743" s="5"/>
      <c r="X743" s="8"/>
      <c r="Y743" s="9"/>
      <c r="Z743" s="10"/>
      <c r="AA743" s="10"/>
      <c r="AB743" s="8"/>
      <c r="AC743" s="10"/>
    </row>
    <row r="744" spans="1:29" s="4" customFormat="1" x14ac:dyDescent="0.3">
      <c r="A744" s="3"/>
      <c r="B744" s="39"/>
      <c r="C744" s="5"/>
      <c r="D744" s="5"/>
      <c r="E744" s="5"/>
      <c r="F744" s="5"/>
      <c r="G744" s="29"/>
      <c r="H744"/>
      <c r="I744" s="7"/>
      <c r="J744" s="7"/>
      <c r="K744" s="7"/>
      <c r="L744" s="8"/>
      <c r="M744" s="7"/>
      <c r="N744" s="7"/>
      <c r="O744" s="8"/>
      <c r="P744" s="6"/>
      <c r="Q744" s="5"/>
      <c r="R744" s="5"/>
      <c r="S744" s="5"/>
      <c r="T744" s="5"/>
      <c r="U744" s="5"/>
      <c r="V744" s="5"/>
      <c r="W744" s="5"/>
      <c r="X744" s="8"/>
      <c r="Y744" s="9"/>
      <c r="Z744" s="10"/>
      <c r="AA744" s="10"/>
      <c r="AB744" s="8"/>
      <c r="AC744" s="10"/>
    </row>
    <row r="745" spans="1:29" s="4" customFormat="1" x14ac:dyDescent="0.3">
      <c r="A745" s="3"/>
      <c r="B745" s="39"/>
      <c r="C745" s="5"/>
      <c r="D745" s="5"/>
      <c r="E745" s="5"/>
      <c r="F745" s="5"/>
      <c r="G745" s="29"/>
      <c r="H745"/>
      <c r="I745" s="7"/>
      <c r="J745" s="7"/>
      <c r="K745" s="7"/>
      <c r="L745" s="8"/>
      <c r="M745" s="7"/>
      <c r="N745" s="7"/>
      <c r="O745" s="8"/>
      <c r="P745" s="6"/>
      <c r="Q745" s="5"/>
      <c r="R745" s="5"/>
      <c r="S745" s="5"/>
      <c r="T745" s="5"/>
      <c r="U745" s="5"/>
      <c r="V745" s="5"/>
      <c r="W745" s="5"/>
      <c r="X745" s="8"/>
      <c r="Y745" s="9"/>
      <c r="Z745" s="10"/>
      <c r="AA745" s="10"/>
      <c r="AB745" s="8"/>
      <c r="AC745" s="10"/>
    </row>
    <row r="746" spans="1:29" s="4" customFormat="1" x14ac:dyDescent="0.3">
      <c r="A746" s="3"/>
      <c r="B746" s="39"/>
      <c r="C746" s="5"/>
      <c r="D746" s="5"/>
      <c r="E746" s="5"/>
      <c r="F746" s="5"/>
      <c r="G746" s="29"/>
      <c r="H746"/>
      <c r="I746" s="7"/>
      <c r="J746" s="7"/>
      <c r="K746" s="7"/>
      <c r="L746" s="8"/>
      <c r="M746" s="7"/>
      <c r="N746" s="7"/>
      <c r="O746" s="8"/>
      <c r="P746" s="6"/>
      <c r="Q746" s="5"/>
      <c r="R746" s="5"/>
      <c r="S746" s="5"/>
      <c r="T746" s="5"/>
      <c r="U746" s="5"/>
      <c r="V746" s="5"/>
      <c r="W746" s="5"/>
      <c r="X746" s="8"/>
      <c r="Y746" s="9"/>
      <c r="Z746" s="10"/>
      <c r="AA746" s="10"/>
      <c r="AB746" s="8"/>
      <c r="AC746" s="10"/>
    </row>
    <row r="747" spans="1:29" s="4" customFormat="1" x14ac:dyDescent="0.3">
      <c r="A747" s="3"/>
      <c r="B747" s="39"/>
      <c r="C747" s="5"/>
      <c r="D747" s="5"/>
      <c r="E747" s="5"/>
      <c r="F747" s="5"/>
      <c r="G747" s="29"/>
      <c r="H747"/>
      <c r="I747" s="7"/>
      <c r="J747" s="7"/>
      <c r="K747" s="7"/>
      <c r="L747" s="8"/>
      <c r="M747" s="7"/>
      <c r="N747" s="7"/>
      <c r="O747" s="8"/>
      <c r="P747" s="6"/>
      <c r="Q747" s="5"/>
      <c r="R747" s="5"/>
      <c r="S747" s="5"/>
      <c r="T747" s="5"/>
      <c r="U747" s="5"/>
      <c r="V747" s="5"/>
      <c r="W747" s="5"/>
      <c r="X747" s="8"/>
      <c r="Y747" s="9"/>
      <c r="Z747" s="10"/>
      <c r="AA747" s="10"/>
      <c r="AB747" s="8"/>
      <c r="AC747" s="10"/>
    </row>
    <row r="748" spans="1:29" s="4" customFormat="1" x14ac:dyDescent="0.3">
      <c r="A748" s="3"/>
      <c r="B748" s="39"/>
      <c r="C748" s="5"/>
      <c r="D748" s="5"/>
      <c r="E748" s="5"/>
      <c r="F748" s="5"/>
      <c r="G748" s="29"/>
      <c r="H748"/>
      <c r="I748" s="7"/>
      <c r="J748" s="7"/>
      <c r="K748" s="7"/>
      <c r="L748" s="8"/>
      <c r="M748" s="7"/>
      <c r="N748" s="7"/>
      <c r="O748" s="8"/>
      <c r="P748" s="6"/>
      <c r="Q748" s="5"/>
      <c r="R748" s="5"/>
      <c r="S748" s="5"/>
      <c r="T748" s="5"/>
      <c r="U748" s="5"/>
      <c r="V748" s="5"/>
      <c r="W748" s="5"/>
      <c r="X748" s="8"/>
      <c r="Y748" s="9"/>
      <c r="Z748" s="10"/>
      <c r="AA748" s="10"/>
      <c r="AB748" s="8"/>
      <c r="AC748" s="10"/>
    </row>
    <row r="749" spans="1:29" s="4" customFormat="1" x14ac:dyDescent="0.3">
      <c r="A749" s="3"/>
      <c r="B749" s="39"/>
      <c r="C749" s="5"/>
      <c r="D749" s="5"/>
      <c r="E749" s="5"/>
      <c r="F749" s="5"/>
      <c r="G749" s="29"/>
      <c r="H749"/>
      <c r="I749" s="7"/>
      <c r="J749" s="7"/>
      <c r="K749" s="7"/>
      <c r="L749" s="8"/>
      <c r="M749" s="7"/>
      <c r="N749" s="7"/>
      <c r="O749" s="8"/>
      <c r="P749" s="6"/>
      <c r="Q749" s="5"/>
      <c r="R749" s="5"/>
      <c r="S749" s="5"/>
      <c r="T749" s="5"/>
      <c r="U749" s="5"/>
      <c r="V749" s="5"/>
      <c r="W749" s="5"/>
      <c r="X749" s="8"/>
      <c r="Y749" s="9"/>
      <c r="Z749" s="10"/>
      <c r="AA749" s="10"/>
      <c r="AB749" s="8"/>
      <c r="AC749" s="10"/>
    </row>
    <row r="750" spans="1:29" s="4" customFormat="1" x14ac:dyDescent="0.3">
      <c r="A750" s="3"/>
      <c r="B750" s="39"/>
      <c r="C750" s="5"/>
      <c r="D750" s="5"/>
      <c r="E750" s="5"/>
      <c r="F750" s="5"/>
      <c r="G750" s="29"/>
      <c r="H750"/>
      <c r="I750" s="7"/>
      <c r="J750" s="7"/>
      <c r="K750" s="7"/>
      <c r="L750" s="8"/>
      <c r="M750" s="7"/>
      <c r="N750" s="7"/>
      <c r="O750" s="8"/>
      <c r="P750" s="6"/>
      <c r="Q750" s="5"/>
      <c r="R750" s="5"/>
      <c r="S750" s="5"/>
      <c r="T750" s="5"/>
      <c r="U750" s="5"/>
      <c r="V750" s="5"/>
      <c r="W750" s="5"/>
      <c r="X750" s="8"/>
      <c r="Y750" s="9"/>
      <c r="Z750" s="10"/>
      <c r="AA750" s="10"/>
      <c r="AB750" s="8"/>
      <c r="AC750" s="10"/>
    </row>
    <row r="751" spans="1:29" s="4" customFormat="1" x14ac:dyDescent="0.3">
      <c r="A751" s="3"/>
      <c r="B751" s="39"/>
      <c r="C751" s="5"/>
      <c r="D751" s="5"/>
      <c r="E751" s="5"/>
      <c r="F751" s="5"/>
      <c r="G751" s="29"/>
      <c r="H751"/>
      <c r="I751" s="7"/>
      <c r="J751" s="7"/>
      <c r="K751" s="7"/>
      <c r="L751" s="8"/>
      <c r="M751" s="7"/>
      <c r="N751" s="7"/>
      <c r="O751" s="8"/>
      <c r="P751" s="6"/>
      <c r="Q751" s="5"/>
      <c r="R751" s="5"/>
      <c r="S751" s="5"/>
      <c r="T751" s="5"/>
      <c r="U751" s="5"/>
      <c r="V751" s="5"/>
      <c r="W751" s="5"/>
      <c r="X751" s="8"/>
      <c r="Y751" s="9"/>
      <c r="Z751" s="10"/>
      <c r="AA751" s="10"/>
      <c r="AB751" s="8"/>
      <c r="AC751" s="10"/>
    </row>
    <row r="752" spans="1:29" s="4" customFormat="1" x14ac:dyDescent="0.3">
      <c r="A752" s="3"/>
      <c r="B752" s="39"/>
      <c r="C752" s="5"/>
      <c r="D752" s="5"/>
      <c r="E752" s="5"/>
      <c r="F752" s="5"/>
      <c r="G752" s="29"/>
      <c r="H752"/>
      <c r="I752" s="7"/>
      <c r="J752" s="7"/>
      <c r="K752" s="7"/>
      <c r="L752" s="8"/>
      <c r="M752" s="7"/>
      <c r="N752" s="7"/>
      <c r="O752" s="8"/>
      <c r="P752" s="6"/>
      <c r="Q752" s="5"/>
      <c r="R752" s="5"/>
      <c r="S752" s="5"/>
      <c r="T752" s="5"/>
      <c r="U752" s="5"/>
      <c r="V752" s="5"/>
      <c r="W752" s="5"/>
      <c r="X752" s="8"/>
      <c r="Y752" s="9"/>
      <c r="Z752" s="10"/>
      <c r="AA752" s="10"/>
      <c r="AB752" s="8"/>
      <c r="AC752" s="10"/>
    </row>
    <row r="753" spans="1:29" s="4" customFormat="1" x14ac:dyDescent="0.3">
      <c r="A753" s="3"/>
      <c r="B753" s="39"/>
      <c r="C753" s="5"/>
      <c r="D753" s="5"/>
      <c r="E753" s="5"/>
      <c r="F753" s="5"/>
      <c r="G753" s="29"/>
      <c r="H753"/>
      <c r="I753" s="7"/>
      <c r="J753" s="7"/>
      <c r="K753" s="7"/>
      <c r="L753" s="8"/>
      <c r="M753" s="7"/>
      <c r="N753" s="7"/>
      <c r="O753" s="8"/>
      <c r="P753" s="6"/>
      <c r="Q753" s="5"/>
      <c r="R753" s="5"/>
      <c r="S753" s="5"/>
      <c r="T753" s="5"/>
      <c r="U753" s="5"/>
      <c r="V753" s="5"/>
      <c r="W753" s="5"/>
      <c r="X753" s="8"/>
      <c r="Y753" s="9"/>
      <c r="Z753" s="10"/>
      <c r="AA753" s="10"/>
      <c r="AB753" s="8"/>
      <c r="AC753" s="10"/>
    </row>
    <row r="754" spans="1:29" s="4" customFormat="1" x14ac:dyDescent="0.3">
      <c r="A754" s="3"/>
      <c r="B754" s="39"/>
      <c r="C754" s="5"/>
      <c r="D754" s="5"/>
      <c r="E754" s="5"/>
      <c r="F754" s="5"/>
      <c r="G754" s="29"/>
      <c r="H754"/>
      <c r="I754" s="7"/>
      <c r="J754" s="7"/>
      <c r="K754" s="7"/>
      <c r="L754" s="8"/>
      <c r="M754" s="7"/>
      <c r="N754" s="7"/>
      <c r="O754" s="8"/>
      <c r="P754" s="6"/>
      <c r="Q754" s="5"/>
      <c r="R754" s="5"/>
      <c r="S754" s="5"/>
      <c r="T754" s="5"/>
      <c r="U754" s="5"/>
      <c r="V754" s="5"/>
      <c r="W754" s="5"/>
      <c r="X754" s="8"/>
      <c r="Y754" s="9"/>
      <c r="Z754" s="10"/>
      <c r="AA754" s="10"/>
      <c r="AB754" s="8"/>
      <c r="AC754" s="10"/>
    </row>
    <row r="755" spans="1:29" s="4" customFormat="1" x14ac:dyDescent="0.3">
      <c r="A755" s="3"/>
      <c r="B755" s="39"/>
      <c r="C755" s="5"/>
      <c r="D755" s="5"/>
      <c r="E755" s="5"/>
      <c r="F755" s="5"/>
      <c r="G755" s="29"/>
      <c r="H755"/>
      <c r="I755" s="7"/>
      <c r="J755" s="7"/>
      <c r="K755" s="7"/>
      <c r="L755" s="8"/>
      <c r="M755" s="7"/>
      <c r="N755" s="7"/>
      <c r="O755" s="8"/>
      <c r="P755" s="6"/>
      <c r="Q755" s="5"/>
      <c r="R755" s="5"/>
      <c r="S755" s="5"/>
      <c r="T755" s="5"/>
      <c r="U755" s="5"/>
      <c r="V755" s="5"/>
      <c r="W755" s="5"/>
      <c r="X755" s="8"/>
      <c r="Y755" s="9"/>
      <c r="Z755" s="10"/>
      <c r="AA755" s="10"/>
      <c r="AB755" s="8"/>
      <c r="AC755" s="10"/>
    </row>
    <row r="756" spans="1:29" s="4" customFormat="1" x14ac:dyDescent="0.3">
      <c r="A756" s="3"/>
      <c r="B756" s="39"/>
      <c r="C756" s="5"/>
      <c r="D756" s="5"/>
      <c r="E756" s="5"/>
      <c r="F756" s="5"/>
      <c r="G756" s="29"/>
      <c r="H756"/>
      <c r="I756" s="7"/>
      <c r="J756" s="7"/>
      <c r="K756" s="7"/>
      <c r="L756" s="8"/>
      <c r="M756" s="7"/>
      <c r="N756" s="7"/>
      <c r="O756" s="8"/>
      <c r="P756" s="6"/>
      <c r="Q756" s="5"/>
      <c r="R756" s="5"/>
      <c r="S756" s="5"/>
      <c r="T756" s="5"/>
      <c r="U756" s="5"/>
      <c r="V756" s="5"/>
      <c r="W756" s="5"/>
      <c r="X756" s="8"/>
      <c r="Y756" s="9"/>
      <c r="Z756" s="10"/>
      <c r="AA756" s="10"/>
      <c r="AB756" s="8"/>
      <c r="AC756" s="10"/>
    </row>
    <row r="757" spans="1:29" s="4" customFormat="1" x14ac:dyDescent="0.3">
      <c r="A757" s="3"/>
      <c r="B757" s="39"/>
      <c r="C757" s="5"/>
      <c r="D757" s="5"/>
      <c r="E757" s="5"/>
      <c r="F757" s="5"/>
      <c r="G757" s="29"/>
      <c r="H757"/>
      <c r="I757" s="7"/>
      <c r="J757" s="7"/>
      <c r="K757" s="7"/>
      <c r="L757" s="8"/>
      <c r="M757" s="7"/>
      <c r="N757" s="7"/>
      <c r="O757" s="8"/>
      <c r="P757" s="6"/>
      <c r="Q757" s="5"/>
      <c r="R757" s="5"/>
      <c r="S757" s="5"/>
      <c r="T757" s="5"/>
      <c r="U757" s="5"/>
      <c r="V757" s="5"/>
      <c r="W757" s="5"/>
      <c r="X757" s="8"/>
      <c r="Y757" s="9"/>
      <c r="Z757" s="10"/>
      <c r="AA757" s="10"/>
      <c r="AB757" s="8"/>
      <c r="AC757" s="10"/>
    </row>
    <row r="758" spans="1:29" s="4" customFormat="1" x14ac:dyDescent="0.3">
      <c r="A758" s="3"/>
      <c r="B758" s="39"/>
      <c r="C758" s="5"/>
      <c r="D758" s="5"/>
      <c r="E758" s="5"/>
      <c r="F758" s="5"/>
      <c r="G758" s="29"/>
      <c r="H758"/>
      <c r="I758" s="7"/>
      <c r="J758" s="7"/>
      <c r="K758" s="7"/>
      <c r="L758" s="8"/>
      <c r="M758" s="7"/>
      <c r="N758" s="7"/>
      <c r="O758" s="8"/>
      <c r="P758" s="6"/>
      <c r="Q758" s="5"/>
      <c r="R758" s="5"/>
      <c r="S758" s="5"/>
      <c r="T758" s="5"/>
      <c r="U758" s="5"/>
      <c r="V758" s="5"/>
      <c r="W758" s="5"/>
      <c r="X758" s="8"/>
      <c r="Y758" s="9"/>
      <c r="Z758" s="10"/>
      <c r="AA758" s="10"/>
      <c r="AB758" s="8"/>
      <c r="AC758" s="10"/>
    </row>
    <row r="759" spans="1:29" s="4" customFormat="1" x14ac:dyDescent="0.3">
      <c r="A759" s="3"/>
      <c r="B759" s="39"/>
      <c r="C759" s="5"/>
      <c r="D759" s="5"/>
      <c r="E759" s="5"/>
      <c r="F759" s="5"/>
      <c r="G759" s="29"/>
      <c r="H759"/>
      <c r="I759" s="7"/>
      <c r="J759" s="7"/>
      <c r="K759" s="7"/>
      <c r="L759" s="8"/>
      <c r="M759" s="7"/>
      <c r="N759" s="7"/>
      <c r="O759" s="8"/>
      <c r="P759" s="6"/>
      <c r="Q759" s="5"/>
      <c r="R759" s="5"/>
      <c r="S759" s="5"/>
      <c r="T759" s="5"/>
      <c r="U759" s="5"/>
      <c r="V759" s="5"/>
      <c r="W759" s="5"/>
      <c r="X759" s="8"/>
      <c r="Y759" s="9"/>
      <c r="Z759" s="10"/>
      <c r="AA759" s="10"/>
      <c r="AB759" s="8"/>
      <c r="AC759" s="10"/>
    </row>
    <row r="760" spans="1:29" s="4" customFormat="1" x14ac:dyDescent="0.3">
      <c r="A760" s="3"/>
      <c r="B760" s="39"/>
      <c r="C760" s="5"/>
      <c r="D760" s="5"/>
      <c r="E760" s="5"/>
      <c r="F760" s="5"/>
      <c r="G760" s="29"/>
      <c r="H760"/>
      <c r="I760" s="7"/>
      <c r="J760" s="7"/>
      <c r="K760" s="7"/>
      <c r="L760" s="8"/>
      <c r="M760" s="7"/>
      <c r="N760" s="7"/>
      <c r="O760" s="8"/>
      <c r="P760" s="6"/>
      <c r="Q760" s="5"/>
      <c r="R760" s="5"/>
      <c r="S760" s="5"/>
      <c r="T760" s="5"/>
      <c r="U760" s="5"/>
      <c r="V760" s="5"/>
      <c r="W760" s="5"/>
      <c r="X760" s="8"/>
      <c r="Y760" s="9"/>
      <c r="Z760" s="10"/>
      <c r="AA760" s="10"/>
      <c r="AB760" s="8"/>
      <c r="AC760" s="10"/>
    </row>
    <row r="761" spans="1:29" s="4" customFormat="1" x14ac:dyDescent="0.3">
      <c r="A761" s="3"/>
      <c r="B761" s="39"/>
      <c r="C761" s="5"/>
      <c r="D761" s="5"/>
      <c r="E761" s="5"/>
      <c r="F761" s="5"/>
      <c r="G761" s="29"/>
      <c r="H761"/>
      <c r="I761" s="7"/>
      <c r="J761" s="7"/>
      <c r="K761" s="7"/>
      <c r="L761" s="8"/>
      <c r="M761" s="7"/>
      <c r="N761" s="7"/>
      <c r="O761" s="8"/>
      <c r="P761" s="6"/>
      <c r="Q761" s="5"/>
      <c r="R761" s="5"/>
      <c r="S761" s="5"/>
      <c r="T761" s="5"/>
      <c r="U761" s="5"/>
      <c r="V761" s="5"/>
      <c r="W761" s="5"/>
      <c r="X761" s="8"/>
      <c r="Y761" s="9"/>
      <c r="Z761" s="10"/>
      <c r="AA761" s="10"/>
      <c r="AB761" s="8"/>
      <c r="AC761" s="10"/>
    </row>
    <row r="762" spans="1:29" s="4" customFormat="1" x14ac:dyDescent="0.3">
      <c r="A762" s="3"/>
      <c r="B762" s="39"/>
      <c r="C762" s="5"/>
      <c r="D762" s="5"/>
      <c r="E762" s="5"/>
      <c r="F762" s="5"/>
      <c r="G762" s="29"/>
      <c r="H762"/>
      <c r="I762" s="7"/>
      <c r="J762" s="7"/>
      <c r="K762" s="7"/>
      <c r="L762" s="8"/>
      <c r="M762" s="7"/>
      <c r="N762" s="7"/>
      <c r="O762" s="8"/>
      <c r="P762" s="6"/>
      <c r="Q762" s="5"/>
      <c r="R762" s="5"/>
      <c r="S762" s="5"/>
      <c r="T762" s="5"/>
      <c r="U762" s="5"/>
      <c r="V762" s="5"/>
      <c r="W762" s="5"/>
      <c r="X762" s="8"/>
      <c r="Y762" s="9"/>
      <c r="Z762" s="10"/>
      <c r="AA762" s="10"/>
      <c r="AB762" s="8"/>
      <c r="AC762" s="10"/>
    </row>
    <row r="763" spans="1:29" s="4" customFormat="1" x14ac:dyDescent="0.3">
      <c r="A763" s="3"/>
      <c r="B763" s="39"/>
      <c r="C763" s="5"/>
      <c r="D763" s="5"/>
      <c r="E763" s="5"/>
      <c r="F763" s="5"/>
      <c r="G763" s="29"/>
      <c r="H763"/>
      <c r="I763" s="7"/>
      <c r="J763" s="7"/>
      <c r="K763" s="7"/>
      <c r="L763" s="8"/>
      <c r="M763" s="7"/>
      <c r="N763" s="7"/>
      <c r="O763" s="8"/>
      <c r="P763" s="6"/>
      <c r="Q763" s="5"/>
      <c r="R763" s="5"/>
      <c r="S763" s="5"/>
      <c r="T763" s="5"/>
      <c r="U763" s="5"/>
      <c r="V763" s="5"/>
      <c r="W763" s="5"/>
      <c r="X763" s="8"/>
      <c r="Y763" s="9"/>
      <c r="Z763" s="10"/>
      <c r="AA763" s="10"/>
      <c r="AB763" s="8"/>
      <c r="AC763" s="10"/>
    </row>
    <row r="764" spans="1:29" s="4" customFormat="1" x14ac:dyDescent="0.3">
      <c r="A764" s="3"/>
      <c r="B764" s="39"/>
      <c r="C764" s="5"/>
      <c r="D764" s="5"/>
      <c r="E764" s="5"/>
      <c r="F764" s="5"/>
      <c r="G764" s="29"/>
      <c r="H764"/>
      <c r="I764" s="7"/>
      <c r="J764" s="7"/>
      <c r="K764" s="7"/>
      <c r="L764" s="8"/>
      <c r="M764" s="7"/>
      <c r="N764" s="7"/>
      <c r="O764" s="8"/>
      <c r="P764" s="6"/>
      <c r="Q764" s="5"/>
      <c r="R764" s="5"/>
      <c r="S764" s="5"/>
      <c r="T764" s="5"/>
      <c r="U764" s="5"/>
      <c r="V764" s="5"/>
      <c r="W764" s="5"/>
      <c r="X764" s="8"/>
      <c r="Y764" s="9"/>
      <c r="Z764" s="10"/>
      <c r="AA764" s="10"/>
      <c r="AB764" s="8"/>
      <c r="AC764" s="10"/>
    </row>
    <row r="765" spans="1:29" s="4" customFormat="1" x14ac:dyDescent="0.3">
      <c r="A765" s="3"/>
      <c r="B765" s="39"/>
      <c r="C765" s="5"/>
      <c r="D765" s="5"/>
      <c r="E765" s="5"/>
      <c r="F765" s="5"/>
      <c r="G765" s="29"/>
      <c r="H765"/>
      <c r="I765" s="7"/>
      <c r="J765" s="7"/>
      <c r="K765" s="7"/>
      <c r="L765" s="8"/>
      <c r="M765" s="7"/>
      <c r="N765" s="7"/>
      <c r="O765" s="8"/>
      <c r="P765" s="6"/>
      <c r="Q765" s="5"/>
      <c r="R765" s="5"/>
      <c r="S765" s="5"/>
      <c r="T765" s="5"/>
      <c r="U765" s="5"/>
      <c r="V765" s="5"/>
      <c r="W765" s="5"/>
      <c r="X765" s="8"/>
      <c r="Y765" s="9"/>
      <c r="Z765" s="10"/>
      <c r="AA765" s="10"/>
      <c r="AB765" s="8"/>
      <c r="AC765" s="10"/>
    </row>
    <row r="766" spans="1:29" s="4" customFormat="1" x14ac:dyDescent="0.3">
      <c r="A766" s="3"/>
      <c r="B766" s="39"/>
      <c r="C766" s="5"/>
      <c r="D766" s="5"/>
      <c r="E766" s="5"/>
      <c r="F766" s="5"/>
      <c r="G766" s="29"/>
      <c r="H766"/>
      <c r="I766" s="7"/>
      <c r="J766" s="7"/>
      <c r="K766" s="7"/>
      <c r="L766" s="8"/>
      <c r="M766" s="7"/>
      <c r="N766" s="7"/>
      <c r="O766" s="8"/>
      <c r="P766" s="6"/>
      <c r="Q766" s="5"/>
      <c r="R766" s="5"/>
      <c r="S766" s="5"/>
      <c r="T766" s="5"/>
      <c r="U766" s="5"/>
      <c r="V766" s="5"/>
      <c r="W766" s="5"/>
      <c r="X766" s="8"/>
      <c r="Y766" s="9"/>
      <c r="Z766" s="10"/>
      <c r="AA766" s="10"/>
      <c r="AB766" s="8"/>
      <c r="AC766" s="10"/>
    </row>
    <row r="767" spans="1:29" s="4" customFormat="1" x14ac:dyDescent="0.3">
      <c r="A767" s="3"/>
      <c r="B767" s="39"/>
      <c r="C767" s="5"/>
      <c r="D767" s="5"/>
      <c r="E767" s="5"/>
      <c r="F767" s="5"/>
      <c r="G767" s="29"/>
      <c r="H767"/>
      <c r="I767" s="7"/>
      <c r="J767" s="7"/>
      <c r="K767" s="7"/>
      <c r="L767" s="8"/>
      <c r="M767" s="7"/>
      <c r="N767" s="7"/>
      <c r="O767" s="8"/>
      <c r="P767" s="6"/>
      <c r="Q767" s="5"/>
      <c r="R767" s="5"/>
      <c r="S767" s="5"/>
      <c r="T767" s="5"/>
      <c r="U767" s="5"/>
      <c r="V767" s="5"/>
      <c r="W767" s="5"/>
      <c r="X767" s="8"/>
      <c r="Y767" s="9"/>
      <c r="Z767" s="10"/>
      <c r="AA767" s="10"/>
      <c r="AB767" s="8"/>
      <c r="AC767" s="10"/>
    </row>
    <row r="768" spans="1:29" s="4" customFormat="1" x14ac:dyDescent="0.3">
      <c r="A768" s="3"/>
      <c r="B768" s="39"/>
      <c r="C768" s="5"/>
      <c r="D768" s="5"/>
      <c r="E768" s="5"/>
      <c r="F768" s="5"/>
      <c r="G768" s="29"/>
      <c r="H768"/>
      <c r="I768" s="7"/>
      <c r="J768" s="7"/>
      <c r="K768" s="7"/>
      <c r="L768" s="8"/>
      <c r="M768" s="7"/>
      <c r="N768" s="7"/>
      <c r="O768" s="8"/>
      <c r="P768" s="6"/>
      <c r="Q768" s="5"/>
      <c r="R768" s="5"/>
      <c r="S768" s="5"/>
      <c r="T768" s="5"/>
      <c r="U768" s="5"/>
      <c r="V768" s="5"/>
      <c r="W768" s="5"/>
      <c r="X768" s="8"/>
      <c r="Y768" s="9"/>
      <c r="Z768" s="10"/>
      <c r="AA768" s="10"/>
      <c r="AB768" s="8"/>
      <c r="AC768" s="10"/>
    </row>
    <row r="769" spans="1:29" s="4" customFormat="1" x14ac:dyDescent="0.3">
      <c r="A769" s="3"/>
      <c r="B769" s="39"/>
      <c r="C769" s="5"/>
      <c r="D769" s="5"/>
      <c r="E769" s="5"/>
      <c r="F769" s="5"/>
      <c r="G769" s="29"/>
      <c r="H769"/>
      <c r="I769" s="7"/>
      <c r="J769" s="7"/>
      <c r="K769" s="7"/>
      <c r="L769" s="8"/>
      <c r="M769" s="7"/>
      <c r="N769" s="7"/>
      <c r="O769" s="8"/>
      <c r="P769" s="6"/>
      <c r="Q769" s="5"/>
      <c r="R769" s="5"/>
      <c r="S769" s="5"/>
      <c r="T769" s="5"/>
      <c r="U769" s="5"/>
      <c r="V769" s="5"/>
      <c r="W769" s="5"/>
      <c r="X769" s="8"/>
      <c r="Y769" s="9"/>
      <c r="Z769" s="10"/>
      <c r="AA769" s="10"/>
      <c r="AB769" s="8"/>
      <c r="AC769" s="10"/>
    </row>
    <row r="770" spans="1:29" s="4" customFormat="1" x14ac:dyDescent="0.3">
      <c r="A770" s="3"/>
      <c r="B770" s="39"/>
      <c r="C770" s="5"/>
      <c r="D770" s="5"/>
      <c r="E770" s="5"/>
      <c r="F770" s="5"/>
      <c r="G770" s="29"/>
      <c r="H770"/>
      <c r="I770" s="7"/>
      <c r="J770" s="7"/>
      <c r="K770" s="7"/>
      <c r="L770" s="8"/>
      <c r="M770" s="7"/>
      <c r="N770" s="7"/>
      <c r="O770" s="8"/>
      <c r="P770" s="6"/>
      <c r="Q770" s="5"/>
      <c r="R770" s="5"/>
      <c r="S770" s="5"/>
      <c r="T770" s="5"/>
      <c r="U770" s="5"/>
      <c r="V770" s="5"/>
      <c r="W770" s="5"/>
      <c r="X770" s="8"/>
      <c r="Y770" s="9"/>
      <c r="Z770" s="10"/>
      <c r="AA770" s="10"/>
      <c r="AB770" s="8"/>
      <c r="AC770" s="10"/>
    </row>
    <row r="771" spans="1:29" s="4" customFormat="1" x14ac:dyDescent="0.3">
      <c r="A771" s="3"/>
      <c r="B771" s="39"/>
      <c r="C771" s="5"/>
      <c r="D771" s="5"/>
      <c r="E771" s="5"/>
      <c r="F771" s="5"/>
      <c r="G771" s="29"/>
      <c r="H771"/>
      <c r="I771" s="7"/>
      <c r="J771" s="7"/>
      <c r="K771" s="7"/>
      <c r="L771" s="8"/>
      <c r="M771" s="7"/>
      <c r="N771" s="7"/>
      <c r="O771" s="8"/>
      <c r="P771" s="6"/>
      <c r="Q771" s="5"/>
      <c r="R771" s="5"/>
      <c r="S771" s="5"/>
      <c r="T771" s="5"/>
      <c r="U771" s="5"/>
      <c r="V771" s="5"/>
      <c r="W771" s="5"/>
      <c r="X771" s="8"/>
      <c r="Y771" s="9"/>
      <c r="Z771" s="10"/>
      <c r="AA771" s="10"/>
      <c r="AB771" s="8"/>
      <c r="AC771" s="10"/>
    </row>
    <row r="772" spans="1:29" s="4" customFormat="1" x14ac:dyDescent="0.3">
      <c r="A772" s="3"/>
      <c r="B772" s="39"/>
      <c r="C772" s="5"/>
      <c r="D772" s="5"/>
      <c r="E772" s="5"/>
      <c r="F772" s="5"/>
      <c r="G772" s="29"/>
      <c r="H772"/>
      <c r="I772" s="7"/>
      <c r="J772" s="7"/>
      <c r="K772" s="7"/>
      <c r="L772" s="8"/>
      <c r="M772" s="7"/>
      <c r="N772" s="7"/>
      <c r="O772" s="8"/>
      <c r="P772" s="6"/>
      <c r="Q772" s="5"/>
      <c r="R772" s="5"/>
      <c r="S772" s="5"/>
      <c r="T772" s="5"/>
      <c r="U772" s="5"/>
      <c r="V772" s="5"/>
      <c r="W772" s="5"/>
      <c r="X772" s="8"/>
      <c r="Y772" s="9"/>
      <c r="Z772" s="10"/>
      <c r="AA772" s="10"/>
      <c r="AB772" s="8"/>
      <c r="AC772" s="10"/>
    </row>
    <row r="773" spans="1:29" s="4" customFormat="1" x14ac:dyDescent="0.3">
      <c r="A773" s="3"/>
      <c r="B773" s="39"/>
      <c r="C773" s="5"/>
      <c r="D773" s="5"/>
      <c r="E773" s="5"/>
      <c r="F773" s="5"/>
      <c r="G773" s="29"/>
      <c r="H773"/>
      <c r="I773" s="7"/>
      <c r="J773" s="7"/>
      <c r="K773" s="7"/>
      <c r="L773" s="8"/>
      <c r="M773" s="7"/>
      <c r="N773" s="7"/>
      <c r="O773" s="8"/>
      <c r="P773" s="6"/>
      <c r="Q773" s="5"/>
      <c r="R773" s="5"/>
      <c r="S773" s="5"/>
      <c r="T773" s="5"/>
      <c r="U773" s="5"/>
      <c r="V773" s="5"/>
      <c r="W773" s="5"/>
      <c r="X773" s="8"/>
      <c r="Y773" s="9"/>
      <c r="Z773" s="10"/>
      <c r="AA773" s="10"/>
      <c r="AB773" s="8"/>
      <c r="AC773" s="10"/>
    </row>
    <row r="774" spans="1:29" s="4" customFormat="1" x14ac:dyDescent="0.3">
      <c r="A774" s="3"/>
      <c r="B774" s="39"/>
      <c r="C774" s="5"/>
      <c r="D774" s="5"/>
      <c r="E774" s="5"/>
      <c r="F774" s="5"/>
      <c r="G774" s="29"/>
      <c r="H774"/>
      <c r="I774" s="7"/>
      <c r="J774" s="7"/>
      <c r="K774" s="7"/>
      <c r="L774" s="8"/>
      <c r="M774" s="7"/>
      <c r="N774" s="7"/>
      <c r="O774" s="8"/>
      <c r="P774" s="6"/>
      <c r="Q774" s="5"/>
      <c r="R774" s="5"/>
      <c r="S774" s="5"/>
      <c r="T774" s="5"/>
      <c r="U774" s="5"/>
      <c r="V774" s="5"/>
      <c r="W774" s="5"/>
      <c r="X774" s="8"/>
      <c r="Y774" s="9"/>
      <c r="Z774" s="10"/>
      <c r="AA774" s="10"/>
      <c r="AB774" s="8"/>
      <c r="AC774" s="10"/>
    </row>
    <row r="775" spans="1:29" s="4" customFormat="1" x14ac:dyDescent="0.3">
      <c r="A775" s="3"/>
      <c r="B775" s="39"/>
      <c r="C775" s="5"/>
      <c r="D775" s="5"/>
      <c r="E775" s="5"/>
      <c r="F775" s="5"/>
      <c r="G775" s="29"/>
      <c r="H775"/>
      <c r="I775" s="7"/>
      <c r="J775" s="7"/>
      <c r="K775" s="7"/>
      <c r="L775" s="8"/>
      <c r="M775" s="7"/>
      <c r="N775" s="7"/>
      <c r="O775" s="8"/>
      <c r="P775" s="6"/>
      <c r="Q775" s="5"/>
      <c r="R775" s="5"/>
      <c r="S775" s="5"/>
      <c r="T775" s="5"/>
      <c r="U775" s="5"/>
      <c r="V775" s="5"/>
      <c r="W775" s="5"/>
      <c r="X775" s="8"/>
      <c r="Y775" s="9"/>
      <c r="Z775" s="10"/>
      <c r="AA775" s="10"/>
      <c r="AB775" s="8"/>
      <c r="AC775" s="10"/>
    </row>
    <row r="776" spans="1:29" s="4" customFormat="1" x14ac:dyDescent="0.3">
      <c r="A776" s="3"/>
      <c r="B776" s="39"/>
      <c r="C776" s="5"/>
      <c r="D776" s="5"/>
      <c r="E776" s="5"/>
      <c r="F776" s="5"/>
      <c r="G776" s="29"/>
      <c r="H776"/>
      <c r="I776" s="7"/>
      <c r="J776" s="7"/>
      <c r="K776" s="7"/>
      <c r="L776" s="8"/>
      <c r="M776" s="7"/>
      <c r="N776" s="7"/>
      <c r="O776" s="8"/>
      <c r="P776" s="6"/>
      <c r="Q776" s="5"/>
      <c r="R776" s="5"/>
      <c r="S776" s="5"/>
      <c r="T776" s="5"/>
      <c r="U776" s="5"/>
      <c r="V776" s="5"/>
      <c r="W776" s="5"/>
      <c r="X776" s="8"/>
      <c r="Y776" s="9"/>
      <c r="Z776" s="10"/>
      <c r="AA776" s="10"/>
      <c r="AB776" s="8"/>
      <c r="AC776" s="10"/>
    </row>
    <row r="777" spans="1:29" s="4" customFormat="1" x14ac:dyDescent="0.3">
      <c r="A777" s="3"/>
      <c r="B777" s="39"/>
      <c r="C777" s="5"/>
      <c r="D777" s="5"/>
      <c r="E777" s="5"/>
      <c r="F777" s="5"/>
      <c r="G777" s="29"/>
      <c r="H777"/>
      <c r="I777" s="7"/>
      <c r="J777" s="7"/>
      <c r="K777" s="7"/>
      <c r="L777" s="8"/>
      <c r="M777" s="7"/>
      <c r="N777" s="7"/>
      <c r="O777" s="8"/>
      <c r="P777" s="6"/>
      <c r="Q777" s="5"/>
      <c r="R777" s="5"/>
      <c r="S777" s="5"/>
      <c r="T777" s="5"/>
      <c r="U777" s="5"/>
      <c r="V777" s="5"/>
      <c r="W777" s="5"/>
      <c r="X777" s="8"/>
      <c r="Y777" s="9"/>
      <c r="Z777" s="10"/>
      <c r="AA777" s="10"/>
      <c r="AB777" s="8"/>
      <c r="AC777" s="10"/>
    </row>
    <row r="778" spans="1:29" s="4" customFormat="1" x14ac:dyDescent="0.3">
      <c r="A778" s="3"/>
      <c r="B778" s="39"/>
      <c r="C778" s="5"/>
      <c r="D778" s="5"/>
      <c r="E778" s="5"/>
      <c r="F778" s="5"/>
      <c r="G778" s="29"/>
      <c r="H778"/>
      <c r="I778" s="7"/>
      <c r="J778" s="7"/>
      <c r="K778" s="7"/>
      <c r="L778" s="8"/>
      <c r="M778" s="7"/>
      <c r="N778" s="7"/>
      <c r="O778" s="8"/>
      <c r="P778" s="6"/>
      <c r="Q778" s="5"/>
      <c r="R778" s="5"/>
      <c r="S778" s="5"/>
      <c r="T778" s="5"/>
      <c r="U778" s="5"/>
      <c r="V778" s="5"/>
      <c r="W778" s="5"/>
      <c r="X778" s="8"/>
      <c r="Y778" s="9"/>
      <c r="Z778" s="10"/>
      <c r="AA778" s="10"/>
      <c r="AB778" s="8"/>
      <c r="AC778" s="10"/>
    </row>
    <row r="779" spans="1:29" s="4" customFormat="1" x14ac:dyDescent="0.3">
      <c r="A779" s="3"/>
      <c r="B779" s="39"/>
      <c r="C779" s="5"/>
      <c r="D779" s="5"/>
      <c r="E779" s="5"/>
      <c r="F779" s="5"/>
      <c r="G779" s="29"/>
      <c r="H779"/>
      <c r="I779" s="7"/>
      <c r="J779" s="7"/>
      <c r="K779" s="7"/>
      <c r="L779" s="8"/>
      <c r="M779" s="7"/>
      <c r="N779" s="7"/>
      <c r="O779" s="8"/>
      <c r="P779" s="6"/>
      <c r="Q779" s="5"/>
      <c r="R779" s="5"/>
      <c r="S779" s="5"/>
      <c r="T779" s="5"/>
      <c r="U779" s="5"/>
      <c r="V779" s="5"/>
      <c r="W779" s="5"/>
      <c r="X779" s="8"/>
      <c r="Y779" s="9"/>
      <c r="Z779" s="10"/>
      <c r="AA779" s="10"/>
      <c r="AB779" s="8"/>
      <c r="AC779" s="10"/>
    </row>
    <row r="780" spans="1:29" s="4" customFormat="1" x14ac:dyDescent="0.3">
      <c r="A780" s="3"/>
      <c r="B780" s="39"/>
      <c r="C780" s="5"/>
      <c r="D780" s="5"/>
      <c r="E780" s="5"/>
      <c r="F780" s="5"/>
      <c r="G780" s="29"/>
      <c r="H780"/>
      <c r="I780" s="7"/>
      <c r="J780" s="7"/>
      <c r="K780" s="7"/>
      <c r="L780" s="8"/>
      <c r="M780" s="7"/>
      <c r="N780" s="7"/>
      <c r="O780" s="8"/>
      <c r="P780" s="6"/>
      <c r="Q780" s="5"/>
      <c r="R780" s="5"/>
      <c r="S780" s="5"/>
      <c r="T780" s="5"/>
      <c r="U780" s="5"/>
      <c r="V780" s="5"/>
      <c r="W780" s="5"/>
      <c r="X780" s="8"/>
      <c r="Y780" s="9"/>
      <c r="Z780" s="10"/>
      <c r="AA780" s="10"/>
      <c r="AB780" s="8"/>
      <c r="AC780" s="10"/>
    </row>
    <row r="781" spans="1:29" s="4" customFormat="1" x14ac:dyDescent="0.3">
      <c r="A781" s="3"/>
      <c r="B781" s="39"/>
      <c r="C781" s="5"/>
      <c r="D781" s="5"/>
      <c r="E781" s="5"/>
      <c r="F781" s="5"/>
      <c r="G781" s="29"/>
      <c r="H781"/>
      <c r="I781" s="7"/>
      <c r="J781" s="7"/>
      <c r="K781" s="7"/>
      <c r="L781" s="8"/>
      <c r="M781" s="7"/>
      <c r="N781" s="7"/>
      <c r="O781" s="8"/>
      <c r="P781" s="6"/>
      <c r="Q781" s="5"/>
      <c r="R781" s="5"/>
      <c r="S781" s="5"/>
      <c r="T781" s="5"/>
      <c r="U781" s="5"/>
      <c r="V781" s="5"/>
      <c r="W781" s="5"/>
      <c r="X781" s="8"/>
      <c r="Y781" s="9"/>
      <c r="Z781" s="10"/>
      <c r="AA781" s="10"/>
      <c r="AB781" s="8"/>
      <c r="AC781" s="10"/>
    </row>
    <row r="782" spans="1:29" s="4" customFormat="1" x14ac:dyDescent="0.3">
      <c r="A782" s="3"/>
      <c r="B782" s="39"/>
      <c r="C782" s="5"/>
      <c r="D782" s="5"/>
      <c r="E782" s="5"/>
      <c r="F782" s="5"/>
      <c r="G782" s="29"/>
      <c r="H782"/>
      <c r="I782" s="7"/>
      <c r="J782" s="7"/>
      <c r="K782" s="7"/>
      <c r="L782" s="8"/>
      <c r="M782" s="7"/>
      <c r="N782" s="7"/>
      <c r="O782" s="8"/>
      <c r="P782" s="6"/>
      <c r="Q782" s="5"/>
      <c r="R782" s="5"/>
      <c r="S782" s="5"/>
      <c r="T782" s="5"/>
      <c r="U782" s="5"/>
      <c r="V782" s="5"/>
      <c r="W782" s="5"/>
      <c r="X782" s="8"/>
      <c r="Y782" s="9"/>
      <c r="Z782" s="10"/>
      <c r="AA782" s="10"/>
      <c r="AB782" s="8"/>
      <c r="AC782" s="10"/>
    </row>
    <row r="783" spans="1:29" s="4" customFormat="1" x14ac:dyDescent="0.3">
      <c r="A783" s="3"/>
      <c r="B783" s="39"/>
      <c r="C783" s="5"/>
      <c r="D783" s="5"/>
      <c r="E783" s="5"/>
      <c r="F783" s="5"/>
      <c r="G783" s="29"/>
      <c r="H783"/>
      <c r="I783" s="7"/>
      <c r="J783" s="7"/>
      <c r="K783" s="7"/>
      <c r="L783" s="8"/>
      <c r="M783" s="7"/>
      <c r="N783" s="7"/>
      <c r="O783" s="8"/>
      <c r="P783" s="6"/>
      <c r="Q783" s="5"/>
      <c r="R783" s="5"/>
      <c r="S783" s="5"/>
      <c r="T783" s="5"/>
      <c r="U783" s="5"/>
      <c r="V783" s="5"/>
      <c r="W783" s="5"/>
      <c r="X783" s="8"/>
      <c r="Y783" s="9"/>
      <c r="Z783" s="10"/>
      <c r="AA783" s="10"/>
      <c r="AB783" s="8"/>
      <c r="AC783" s="10"/>
    </row>
    <row r="784" spans="1:29" s="4" customFormat="1" x14ac:dyDescent="0.3">
      <c r="A784" s="3"/>
      <c r="B784" s="39"/>
      <c r="C784" s="5"/>
      <c r="D784" s="5"/>
      <c r="E784" s="5"/>
      <c r="F784" s="5"/>
      <c r="G784" s="29"/>
      <c r="H784"/>
      <c r="I784" s="7"/>
      <c r="J784" s="7"/>
      <c r="K784" s="7"/>
      <c r="L784" s="8"/>
      <c r="M784" s="7"/>
      <c r="N784" s="7"/>
      <c r="O784" s="8"/>
      <c r="P784" s="6"/>
      <c r="Q784" s="5"/>
      <c r="R784" s="5"/>
      <c r="S784" s="5"/>
      <c r="T784" s="5"/>
      <c r="U784" s="5"/>
      <c r="V784" s="5"/>
      <c r="W784" s="5"/>
      <c r="X784" s="8"/>
      <c r="Y784" s="9"/>
      <c r="Z784" s="10"/>
      <c r="AA784" s="10"/>
      <c r="AB784" s="8"/>
      <c r="AC784" s="10"/>
    </row>
    <row r="785" spans="1:29" s="4" customFormat="1" x14ac:dyDescent="0.3">
      <c r="A785" s="3"/>
      <c r="B785" s="39"/>
      <c r="C785" s="5"/>
      <c r="D785" s="5"/>
      <c r="E785" s="5"/>
      <c r="F785" s="5"/>
      <c r="G785" s="29"/>
      <c r="H785"/>
      <c r="I785" s="7"/>
      <c r="J785" s="7"/>
      <c r="K785" s="7"/>
      <c r="L785" s="8"/>
      <c r="M785" s="7"/>
      <c r="N785" s="7"/>
      <c r="O785" s="8"/>
      <c r="P785" s="6"/>
      <c r="Q785" s="5"/>
      <c r="R785" s="5"/>
      <c r="S785" s="5"/>
      <c r="T785" s="5"/>
      <c r="U785" s="5"/>
      <c r="V785" s="5"/>
      <c r="W785" s="5"/>
      <c r="X785" s="8"/>
      <c r="Y785" s="9"/>
      <c r="Z785" s="10"/>
      <c r="AA785" s="10"/>
      <c r="AB785" s="8"/>
      <c r="AC785" s="10"/>
    </row>
    <row r="786" spans="1:29" s="4" customFormat="1" x14ac:dyDescent="0.3">
      <c r="A786" s="3"/>
      <c r="B786" s="39"/>
      <c r="C786" s="5"/>
      <c r="D786" s="5"/>
      <c r="E786" s="5"/>
      <c r="F786" s="5"/>
      <c r="G786" s="29"/>
      <c r="H786"/>
      <c r="I786" s="7"/>
      <c r="J786" s="7"/>
      <c r="K786" s="7"/>
      <c r="L786" s="8"/>
      <c r="M786" s="7"/>
      <c r="N786" s="7"/>
      <c r="O786" s="8"/>
      <c r="P786" s="6"/>
      <c r="Q786" s="5"/>
      <c r="R786" s="5"/>
      <c r="S786" s="5"/>
      <c r="T786" s="5"/>
      <c r="U786" s="5"/>
      <c r="V786" s="5"/>
      <c r="W786" s="5"/>
      <c r="X786" s="8"/>
      <c r="Y786" s="9"/>
      <c r="Z786" s="10"/>
      <c r="AA786" s="10"/>
      <c r="AB786" s="8"/>
      <c r="AC786" s="10"/>
    </row>
    <row r="787" spans="1:29" s="4" customFormat="1" x14ac:dyDescent="0.3">
      <c r="A787" s="3"/>
      <c r="B787" s="39"/>
      <c r="C787" s="5"/>
      <c r="D787" s="5"/>
      <c r="E787" s="5"/>
      <c r="F787" s="5"/>
      <c r="G787" s="29"/>
      <c r="H787"/>
      <c r="I787" s="7"/>
      <c r="J787" s="7"/>
      <c r="K787" s="7"/>
      <c r="L787" s="8"/>
      <c r="M787" s="7"/>
      <c r="N787" s="7"/>
      <c r="O787" s="8"/>
      <c r="P787" s="6"/>
      <c r="Q787" s="5"/>
      <c r="R787" s="5"/>
      <c r="S787" s="5"/>
      <c r="T787" s="5"/>
      <c r="U787" s="5"/>
      <c r="V787" s="5"/>
      <c r="W787" s="5"/>
      <c r="X787" s="8"/>
      <c r="Y787" s="9"/>
      <c r="Z787" s="10"/>
      <c r="AA787" s="10"/>
      <c r="AB787" s="8"/>
      <c r="AC787" s="10"/>
    </row>
    <row r="788" spans="1:29" s="4" customFormat="1" x14ac:dyDescent="0.3">
      <c r="A788" s="3"/>
      <c r="B788" s="39"/>
      <c r="C788" s="5"/>
      <c r="D788" s="5"/>
      <c r="E788" s="5"/>
      <c r="F788" s="5"/>
      <c r="G788" s="29"/>
      <c r="H788"/>
      <c r="I788" s="7"/>
      <c r="J788" s="7"/>
      <c r="K788" s="7"/>
      <c r="L788" s="8"/>
      <c r="M788" s="7"/>
      <c r="N788" s="7"/>
      <c r="O788" s="8"/>
      <c r="P788" s="6"/>
      <c r="Q788" s="5"/>
      <c r="R788" s="5"/>
      <c r="S788" s="5"/>
      <c r="T788" s="5"/>
      <c r="U788" s="5"/>
      <c r="V788" s="5"/>
      <c r="W788" s="5"/>
      <c r="X788" s="8"/>
      <c r="Y788" s="9"/>
      <c r="Z788" s="10"/>
      <c r="AA788" s="10"/>
      <c r="AB788" s="8"/>
      <c r="AC788" s="10"/>
    </row>
    <row r="789" spans="1:29" s="4" customFormat="1" x14ac:dyDescent="0.3">
      <c r="A789" s="3"/>
      <c r="B789" s="39"/>
      <c r="C789" s="5"/>
      <c r="D789" s="5"/>
      <c r="E789" s="5"/>
      <c r="F789" s="5"/>
      <c r="G789" s="29"/>
      <c r="H789"/>
      <c r="I789" s="7"/>
      <c r="J789" s="7"/>
      <c r="K789" s="7"/>
      <c r="L789" s="8"/>
      <c r="M789" s="7"/>
      <c r="N789" s="7"/>
      <c r="O789" s="8"/>
      <c r="P789" s="6"/>
      <c r="Q789" s="5"/>
      <c r="R789" s="5"/>
      <c r="S789" s="5"/>
      <c r="T789" s="5"/>
      <c r="U789" s="5"/>
      <c r="V789" s="5"/>
      <c r="W789" s="5"/>
      <c r="X789" s="8"/>
      <c r="Y789" s="9"/>
      <c r="Z789" s="10"/>
      <c r="AA789" s="10"/>
      <c r="AB789" s="8"/>
      <c r="AC789" s="10"/>
    </row>
    <row r="790" spans="1:29" s="4" customFormat="1" x14ac:dyDescent="0.3">
      <c r="A790" s="3"/>
      <c r="B790" s="39"/>
      <c r="C790" s="5"/>
      <c r="D790" s="5"/>
      <c r="E790" s="5"/>
      <c r="F790" s="5"/>
      <c r="G790" s="29"/>
      <c r="H790"/>
      <c r="I790" s="7"/>
      <c r="J790" s="7"/>
      <c r="K790" s="7"/>
      <c r="L790" s="8"/>
      <c r="M790" s="7"/>
      <c r="N790" s="7"/>
      <c r="O790" s="8"/>
      <c r="P790" s="6"/>
      <c r="Q790" s="5"/>
      <c r="R790" s="5"/>
      <c r="S790" s="5"/>
      <c r="T790" s="5"/>
      <c r="U790" s="5"/>
      <c r="V790" s="5"/>
      <c r="W790" s="5"/>
      <c r="X790" s="8"/>
      <c r="Y790" s="9"/>
      <c r="Z790" s="10"/>
      <c r="AA790" s="10"/>
      <c r="AB790" s="8"/>
      <c r="AC790" s="10"/>
    </row>
    <row r="791" spans="1:29" s="4" customFormat="1" x14ac:dyDescent="0.3">
      <c r="A791" s="3"/>
      <c r="B791" s="39"/>
      <c r="C791" s="5"/>
      <c r="D791" s="5"/>
      <c r="E791" s="5"/>
      <c r="F791" s="5"/>
      <c r="G791" s="29"/>
      <c r="H791"/>
      <c r="I791" s="7"/>
      <c r="J791" s="7"/>
      <c r="K791" s="7"/>
      <c r="L791" s="8"/>
      <c r="M791" s="7"/>
      <c r="N791" s="7"/>
      <c r="O791" s="8"/>
      <c r="P791" s="6"/>
      <c r="Q791" s="5"/>
      <c r="R791" s="5"/>
      <c r="S791" s="5"/>
      <c r="T791" s="5"/>
      <c r="U791" s="5"/>
      <c r="V791" s="5"/>
      <c r="W791" s="5"/>
      <c r="X791" s="8"/>
      <c r="Y791" s="9"/>
      <c r="Z791" s="10"/>
      <c r="AA791" s="10"/>
      <c r="AB791" s="8"/>
      <c r="AC791" s="10"/>
    </row>
    <row r="792" spans="1:29" s="4" customFormat="1" x14ac:dyDescent="0.3">
      <c r="A792" s="3"/>
      <c r="B792" s="39"/>
      <c r="C792" s="5"/>
      <c r="D792" s="5"/>
      <c r="E792" s="5"/>
      <c r="F792" s="5"/>
      <c r="G792" s="29"/>
      <c r="H792"/>
      <c r="I792" s="7"/>
      <c r="J792" s="7"/>
      <c r="K792" s="7"/>
      <c r="L792" s="8"/>
      <c r="M792" s="7"/>
      <c r="N792" s="7"/>
      <c r="O792" s="8"/>
      <c r="P792" s="6"/>
      <c r="Q792" s="5"/>
      <c r="R792" s="5"/>
      <c r="S792" s="5"/>
      <c r="T792" s="5"/>
      <c r="U792" s="5"/>
      <c r="V792" s="5"/>
      <c r="W792" s="5"/>
      <c r="X792" s="8"/>
      <c r="Y792" s="9"/>
      <c r="Z792" s="10"/>
      <c r="AA792" s="10"/>
      <c r="AB792" s="8"/>
      <c r="AC792" s="10"/>
    </row>
    <row r="793" spans="1:29" s="4" customFormat="1" x14ac:dyDescent="0.3">
      <c r="A793" s="3"/>
      <c r="B793" s="39"/>
      <c r="C793" s="5"/>
      <c r="D793" s="5"/>
      <c r="E793" s="5"/>
      <c r="F793" s="5"/>
      <c r="G793" s="29"/>
      <c r="H793"/>
      <c r="I793" s="7"/>
      <c r="J793" s="7"/>
      <c r="K793" s="7"/>
      <c r="L793" s="8"/>
      <c r="M793" s="7"/>
      <c r="N793" s="7"/>
      <c r="O793" s="8"/>
      <c r="P793" s="6"/>
      <c r="Q793" s="5"/>
      <c r="R793" s="5"/>
      <c r="S793" s="5"/>
      <c r="T793" s="5"/>
      <c r="U793" s="5"/>
      <c r="V793" s="5"/>
      <c r="W793" s="5"/>
      <c r="X793" s="8"/>
      <c r="Y793" s="9"/>
      <c r="Z793" s="10"/>
      <c r="AA793" s="10"/>
      <c r="AB793" s="8"/>
      <c r="AC793" s="10"/>
    </row>
    <row r="794" spans="1:29" s="4" customFormat="1" x14ac:dyDescent="0.3">
      <c r="A794" s="3"/>
      <c r="B794" s="39"/>
      <c r="C794" s="5"/>
      <c r="D794" s="5"/>
      <c r="E794" s="5"/>
      <c r="F794" s="5"/>
      <c r="G794" s="29"/>
      <c r="H794"/>
      <c r="I794" s="7"/>
      <c r="J794" s="7"/>
      <c r="K794" s="7"/>
      <c r="L794" s="8"/>
      <c r="M794" s="7"/>
      <c r="N794" s="7"/>
      <c r="O794" s="8"/>
      <c r="P794" s="6"/>
      <c r="Q794" s="5"/>
      <c r="R794" s="5"/>
      <c r="S794" s="5"/>
      <c r="T794" s="5"/>
      <c r="U794" s="5"/>
      <c r="V794" s="5"/>
      <c r="W794" s="5"/>
      <c r="X794" s="8"/>
      <c r="Y794" s="9"/>
      <c r="Z794" s="10"/>
      <c r="AA794" s="10"/>
      <c r="AB794" s="8"/>
      <c r="AC794" s="10"/>
    </row>
    <row r="795" spans="1:29" s="4" customFormat="1" x14ac:dyDescent="0.3">
      <c r="A795" s="3"/>
      <c r="B795" s="39"/>
      <c r="C795" s="5"/>
      <c r="D795" s="5"/>
      <c r="E795" s="5"/>
      <c r="F795" s="5"/>
      <c r="G795" s="29"/>
      <c r="H795"/>
      <c r="I795" s="7"/>
      <c r="J795" s="7"/>
      <c r="K795" s="7"/>
      <c r="L795" s="8"/>
      <c r="M795" s="7"/>
      <c r="N795" s="7"/>
      <c r="O795" s="8"/>
      <c r="P795" s="6"/>
      <c r="Q795" s="5"/>
      <c r="R795" s="5"/>
      <c r="S795" s="5"/>
      <c r="T795" s="5"/>
      <c r="U795" s="5"/>
      <c r="V795" s="5"/>
      <c r="W795" s="5"/>
      <c r="X795" s="8"/>
      <c r="Y795" s="9"/>
      <c r="Z795" s="10"/>
      <c r="AA795" s="10"/>
      <c r="AB795" s="8"/>
      <c r="AC795" s="10"/>
    </row>
    <row r="796" spans="1:29" s="4" customFormat="1" x14ac:dyDescent="0.3">
      <c r="A796" s="3"/>
      <c r="B796" s="39"/>
      <c r="C796" s="5"/>
      <c r="D796" s="5"/>
      <c r="E796" s="5"/>
      <c r="F796" s="5"/>
      <c r="G796" s="29"/>
      <c r="H796"/>
      <c r="I796" s="7"/>
      <c r="J796" s="7"/>
      <c r="K796" s="7"/>
      <c r="L796" s="8"/>
      <c r="M796" s="7"/>
      <c r="N796" s="7"/>
      <c r="O796" s="8"/>
      <c r="P796" s="6"/>
      <c r="Q796" s="5"/>
      <c r="R796" s="5"/>
      <c r="S796" s="5"/>
      <c r="T796" s="5"/>
      <c r="U796" s="5"/>
      <c r="V796" s="5"/>
      <c r="W796" s="5"/>
      <c r="X796" s="8"/>
      <c r="Y796" s="9"/>
      <c r="Z796" s="10"/>
      <c r="AA796" s="10"/>
      <c r="AB796" s="8"/>
      <c r="AC796" s="10"/>
    </row>
    <row r="797" spans="1:29" s="4" customFormat="1" x14ac:dyDescent="0.3">
      <c r="A797" s="3"/>
      <c r="B797" s="39"/>
      <c r="C797" s="5"/>
      <c r="D797" s="5"/>
      <c r="E797" s="5"/>
      <c r="F797" s="5"/>
      <c r="G797" s="29"/>
      <c r="H797"/>
      <c r="I797" s="7"/>
      <c r="J797" s="7"/>
      <c r="K797" s="7"/>
      <c r="L797" s="8"/>
      <c r="M797" s="7"/>
      <c r="N797" s="7"/>
      <c r="O797" s="8"/>
      <c r="P797" s="6"/>
      <c r="Q797" s="5"/>
      <c r="R797" s="5"/>
      <c r="S797" s="5"/>
      <c r="T797" s="5"/>
      <c r="U797" s="5"/>
      <c r="V797" s="5"/>
      <c r="W797" s="5"/>
      <c r="X797" s="8"/>
      <c r="Y797" s="9"/>
      <c r="Z797" s="10"/>
      <c r="AA797" s="10"/>
      <c r="AB797" s="8"/>
      <c r="AC797" s="10"/>
    </row>
    <row r="798" spans="1:29" s="4" customFormat="1" x14ac:dyDescent="0.3">
      <c r="A798" s="3"/>
      <c r="B798" s="39"/>
      <c r="C798" s="5"/>
      <c r="D798" s="5"/>
      <c r="E798" s="5"/>
      <c r="F798" s="5"/>
      <c r="G798" s="29"/>
      <c r="H798"/>
      <c r="I798" s="7"/>
      <c r="J798" s="7"/>
      <c r="K798" s="7"/>
      <c r="L798" s="8"/>
      <c r="M798" s="7"/>
      <c r="N798" s="7"/>
      <c r="O798" s="8"/>
      <c r="P798" s="6"/>
      <c r="Q798" s="5"/>
      <c r="R798" s="5"/>
      <c r="S798" s="5"/>
      <c r="T798" s="5"/>
      <c r="U798" s="5"/>
      <c r="V798" s="5"/>
      <c r="W798" s="5"/>
      <c r="X798" s="8"/>
      <c r="Y798" s="9"/>
      <c r="Z798" s="10"/>
      <c r="AA798" s="10"/>
      <c r="AB798" s="8"/>
      <c r="AC798" s="10"/>
    </row>
    <row r="799" spans="1:29" s="4" customFormat="1" x14ac:dyDescent="0.3">
      <c r="A799" s="3"/>
      <c r="B799" s="39"/>
      <c r="C799" s="5"/>
      <c r="D799" s="5"/>
      <c r="E799" s="5"/>
      <c r="F799" s="5"/>
      <c r="G799" s="29"/>
      <c r="H799"/>
      <c r="I799" s="7"/>
      <c r="J799" s="7"/>
      <c r="K799" s="7"/>
      <c r="L799" s="8"/>
      <c r="M799" s="7"/>
      <c r="N799" s="7"/>
      <c r="O799" s="8"/>
      <c r="P799" s="6"/>
      <c r="Q799" s="5"/>
      <c r="R799" s="5"/>
      <c r="S799" s="5"/>
      <c r="T799" s="5"/>
      <c r="U799" s="5"/>
      <c r="V799" s="5"/>
      <c r="W799" s="5"/>
      <c r="X799" s="8"/>
      <c r="Y799" s="9"/>
      <c r="Z799" s="10"/>
      <c r="AA799" s="10"/>
      <c r="AB799" s="8"/>
      <c r="AC799" s="10"/>
    </row>
    <row r="800" spans="1:29" s="4" customFormat="1" x14ac:dyDescent="0.3">
      <c r="A800" s="3"/>
      <c r="B800" s="39"/>
      <c r="C800" s="5"/>
      <c r="D800" s="5"/>
      <c r="E800" s="5"/>
      <c r="F800" s="5"/>
      <c r="G800" s="29"/>
      <c r="H800"/>
      <c r="I800" s="7"/>
      <c r="J800" s="7"/>
      <c r="K800" s="7"/>
      <c r="L800" s="8"/>
      <c r="M800" s="7"/>
      <c r="N800" s="7"/>
      <c r="O800" s="8"/>
      <c r="P800" s="6"/>
      <c r="Q800" s="5"/>
      <c r="R800" s="5"/>
      <c r="S800" s="5"/>
      <c r="T800" s="5"/>
      <c r="U800" s="5"/>
      <c r="V800" s="5"/>
      <c r="W800" s="5"/>
      <c r="X800" s="8"/>
      <c r="Y800" s="9"/>
      <c r="Z800" s="10"/>
      <c r="AA800" s="10"/>
      <c r="AB800" s="8"/>
      <c r="AC800" s="10"/>
    </row>
    <row r="801" spans="1:29" s="4" customFormat="1" x14ac:dyDescent="0.3">
      <c r="A801" s="3"/>
      <c r="B801" s="39"/>
      <c r="C801" s="5"/>
      <c r="D801" s="5"/>
      <c r="E801" s="5"/>
      <c r="F801" s="5"/>
      <c r="G801" s="29"/>
      <c r="H801"/>
      <c r="I801" s="7"/>
      <c r="J801" s="7"/>
      <c r="K801" s="7"/>
      <c r="L801" s="8"/>
      <c r="M801" s="7"/>
      <c r="N801" s="7"/>
      <c r="O801" s="8"/>
      <c r="P801" s="6"/>
      <c r="Q801" s="5"/>
      <c r="R801" s="5"/>
      <c r="S801" s="5"/>
      <c r="T801" s="5"/>
      <c r="U801" s="5"/>
      <c r="V801" s="5"/>
      <c r="W801" s="5"/>
      <c r="X801" s="8"/>
      <c r="Y801" s="9"/>
      <c r="Z801" s="10"/>
      <c r="AA801" s="10"/>
      <c r="AB801" s="8"/>
      <c r="AC801" s="10"/>
    </row>
    <row r="802" spans="1:29" s="4" customFormat="1" x14ac:dyDescent="0.3">
      <c r="A802" s="3"/>
      <c r="B802" s="39"/>
      <c r="C802" s="5"/>
      <c r="D802" s="5"/>
      <c r="E802" s="5"/>
      <c r="F802" s="5"/>
      <c r="G802" s="29"/>
      <c r="H802"/>
      <c r="I802" s="7"/>
      <c r="J802" s="7"/>
      <c r="K802" s="7"/>
      <c r="L802" s="8"/>
      <c r="M802" s="7"/>
      <c r="N802" s="7"/>
      <c r="O802" s="8"/>
      <c r="P802" s="6"/>
      <c r="Q802" s="5"/>
      <c r="R802" s="5"/>
      <c r="S802" s="5"/>
      <c r="T802" s="5"/>
      <c r="U802" s="5"/>
      <c r="V802" s="5"/>
      <c r="W802" s="5"/>
      <c r="X802" s="8"/>
      <c r="Y802" s="9"/>
      <c r="Z802" s="10"/>
      <c r="AA802" s="10"/>
      <c r="AB802" s="8"/>
      <c r="AC802" s="10"/>
    </row>
    <row r="803" spans="1:29" s="4" customFormat="1" x14ac:dyDescent="0.3">
      <c r="A803" s="3"/>
      <c r="B803" s="39"/>
      <c r="C803" s="5"/>
      <c r="D803" s="5"/>
      <c r="E803" s="5"/>
      <c r="F803" s="5"/>
      <c r="G803" s="29"/>
      <c r="H803"/>
      <c r="I803" s="7"/>
      <c r="J803" s="7"/>
      <c r="K803" s="7"/>
      <c r="L803" s="8"/>
      <c r="M803" s="7"/>
      <c r="N803" s="7"/>
      <c r="O803" s="8"/>
      <c r="P803" s="6"/>
      <c r="Q803" s="5"/>
      <c r="R803" s="5"/>
      <c r="S803" s="5"/>
      <c r="T803" s="5"/>
      <c r="U803" s="5"/>
      <c r="V803" s="5"/>
      <c r="W803" s="5"/>
      <c r="X803" s="8"/>
      <c r="Y803" s="9"/>
      <c r="Z803" s="10"/>
      <c r="AA803" s="10"/>
      <c r="AB803" s="8"/>
      <c r="AC803" s="10"/>
    </row>
    <row r="804" spans="1:29" s="4" customFormat="1" x14ac:dyDescent="0.3">
      <c r="A804" s="3"/>
      <c r="B804" s="39"/>
      <c r="C804" s="5"/>
      <c r="D804" s="5"/>
      <c r="E804" s="5"/>
      <c r="F804" s="5"/>
      <c r="G804" s="29"/>
      <c r="H804"/>
      <c r="I804" s="7"/>
      <c r="J804" s="7"/>
      <c r="K804" s="7"/>
      <c r="L804" s="8"/>
      <c r="M804" s="7"/>
      <c r="N804" s="7"/>
      <c r="O804" s="8"/>
      <c r="P804" s="6"/>
      <c r="Q804" s="5"/>
      <c r="R804" s="5"/>
      <c r="S804" s="5"/>
      <c r="T804" s="5"/>
      <c r="U804" s="5"/>
      <c r="V804" s="5"/>
      <c r="W804" s="5"/>
      <c r="X804" s="8"/>
      <c r="Y804" s="9"/>
      <c r="Z804" s="10"/>
      <c r="AA804" s="10"/>
      <c r="AB804" s="8"/>
      <c r="AC804" s="10"/>
    </row>
    <row r="805" spans="1:29" s="4" customFormat="1" x14ac:dyDescent="0.3">
      <c r="A805" s="3"/>
      <c r="B805" s="39"/>
      <c r="C805" s="5"/>
      <c r="D805" s="5"/>
      <c r="E805" s="5"/>
      <c r="F805" s="5"/>
      <c r="G805" s="29"/>
      <c r="H805"/>
      <c r="I805" s="7"/>
      <c r="J805" s="7"/>
      <c r="K805" s="7"/>
      <c r="L805" s="8"/>
      <c r="M805" s="7"/>
      <c r="N805" s="7"/>
      <c r="O805" s="8"/>
      <c r="P805" s="6"/>
      <c r="Q805" s="5"/>
      <c r="R805" s="5"/>
      <c r="S805" s="5"/>
      <c r="T805" s="5"/>
      <c r="U805" s="5"/>
      <c r="V805" s="5"/>
      <c r="W805" s="5"/>
      <c r="X805" s="8"/>
      <c r="Y805" s="9"/>
      <c r="Z805" s="10"/>
      <c r="AA805" s="10"/>
      <c r="AB805" s="8"/>
      <c r="AC805" s="10"/>
    </row>
    <row r="806" spans="1:29" s="4" customFormat="1" x14ac:dyDescent="0.3">
      <c r="A806" s="3"/>
      <c r="B806" s="39"/>
      <c r="C806" s="5"/>
      <c r="D806" s="5"/>
      <c r="E806" s="5"/>
      <c r="F806" s="5"/>
      <c r="G806" s="29"/>
      <c r="H806"/>
      <c r="I806" s="7"/>
      <c r="J806" s="7"/>
      <c r="K806" s="7"/>
      <c r="L806" s="8"/>
      <c r="M806" s="7"/>
      <c r="N806" s="7"/>
      <c r="O806" s="8"/>
      <c r="P806" s="6"/>
      <c r="Q806" s="5"/>
      <c r="R806" s="5"/>
      <c r="S806" s="5"/>
      <c r="T806" s="5"/>
      <c r="U806" s="5"/>
      <c r="V806" s="5"/>
      <c r="W806" s="5"/>
      <c r="X806" s="8"/>
      <c r="Y806" s="9"/>
      <c r="Z806" s="10"/>
      <c r="AA806" s="10"/>
      <c r="AB806" s="8"/>
      <c r="AC806" s="10"/>
    </row>
    <row r="807" spans="1:29" s="4" customFormat="1" x14ac:dyDescent="0.3">
      <c r="A807" s="3"/>
      <c r="B807" s="39"/>
      <c r="C807" s="5"/>
      <c r="D807" s="5"/>
      <c r="E807" s="5"/>
      <c r="F807" s="5"/>
      <c r="G807" s="29"/>
      <c r="H807"/>
      <c r="I807" s="7"/>
      <c r="J807" s="7"/>
      <c r="K807" s="7"/>
      <c r="L807" s="8"/>
      <c r="M807" s="7"/>
      <c r="N807" s="7"/>
      <c r="O807" s="8"/>
      <c r="P807" s="6"/>
      <c r="Q807" s="5"/>
      <c r="R807" s="5"/>
      <c r="S807" s="5"/>
      <c r="T807" s="5"/>
      <c r="U807" s="5"/>
      <c r="V807" s="5"/>
      <c r="W807" s="5"/>
      <c r="X807" s="8"/>
      <c r="Y807" s="9"/>
      <c r="Z807" s="10"/>
      <c r="AA807" s="10"/>
      <c r="AB807" s="8"/>
      <c r="AC807" s="10"/>
    </row>
    <row r="808" spans="1:29" s="4" customFormat="1" x14ac:dyDescent="0.3">
      <c r="A808" s="3"/>
      <c r="B808" s="39"/>
      <c r="C808" s="5"/>
      <c r="D808" s="5"/>
      <c r="E808" s="5"/>
      <c r="F808" s="5"/>
      <c r="G808" s="29"/>
      <c r="H808"/>
      <c r="I808" s="7"/>
      <c r="J808" s="7"/>
      <c r="K808" s="7"/>
      <c r="L808" s="8"/>
      <c r="M808" s="7"/>
      <c r="N808" s="7"/>
      <c r="O808" s="8"/>
      <c r="P808" s="6"/>
      <c r="Q808" s="5"/>
      <c r="R808" s="5"/>
      <c r="S808" s="5"/>
      <c r="T808" s="5"/>
      <c r="U808" s="5"/>
      <c r="V808" s="5"/>
      <c r="W808" s="5"/>
      <c r="X808" s="8"/>
      <c r="Y808" s="9"/>
      <c r="Z808" s="10"/>
      <c r="AA808" s="10"/>
      <c r="AB808" s="8"/>
      <c r="AC808" s="10"/>
    </row>
    <row r="809" spans="1:29" s="4" customFormat="1" x14ac:dyDescent="0.3">
      <c r="A809" s="3"/>
      <c r="B809" s="39"/>
      <c r="C809" s="5"/>
      <c r="D809" s="5"/>
      <c r="E809" s="5"/>
      <c r="F809" s="5"/>
      <c r="G809" s="29"/>
      <c r="H809"/>
      <c r="I809" s="7"/>
      <c r="J809" s="7"/>
      <c r="K809" s="7"/>
      <c r="L809" s="8"/>
      <c r="M809" s="7"/>
      <c r="N809" s="7"/>
      <c r="O809" s="8"/>
      <c r="P809" s="6"/>
      <c r="Q809" s="5"/>
      <c r="R809" s="5"/>
      <c r="S809" s="5"/>
      <c r="T809" s="5"/>
      <c r="U809" s="5"/>
      <c r="V809" s="5"/>
      <c r="W809" s="5"/>
      <c r="X809" s="8"/>
      <c r="Y809" s="9"/>
      <c r="Z809" s="10"/>
      <c r="AA809" s="10"/>
      <c r="AB809" s="8"/>
      <c r="AC809" s="10"/>
    </row>
    <row r="810" spans="1:29" s="4" customFormat="1" x14ac:dyDescent="0.3">
      <c r="A810" s="3"/>
      <c r="B810" s="39"/>
      <c r="C810" s="5"/>
      <c r="D810" s="5"/>
      <c r="E810" s="5"/>
      <c r="F810" s="5"/>
      <c r="G810" s="29"/>
      <c r="H810"/>
      <c r="I810" s="7"/>
      <c r="J810" s="7"/>
      <c r="K810" s="7"/>
      <c r="L810" s="8"/>
      <c r="M810" s="7"/>
      <c r="N810" s="7"/>
      <c r="O810" s="8"/>
      <c r="P810" s="6"/>
      <c r="Q810" s="5"/>
      <c r="R810" s="5"/>
      <c r="S810" s="5"/>
      <c r="T810" s="5"/>
      <c r="U810" s="5"/>
      <c r="V810" s="5"/>
      <c r="W810" s="5"/>
      <c r="X810" s="8"/>
      <c r="Y810" s="9"/>
      <c r="Z810" s="10"/>
      <c r="AA810" s="10"/>
      <c r="AB810" s="8"/>
      <c r="AC810" s="10"/>
    </row>
    <row r="811" spans="1:29" s="4" customFormat="1" x14ac:dyDescent="0.3">
      <c r="A811" s="3"/>
      <c r="B811" s="39"/>
      <c r="C811" s="5"/>
      <c r="D811" s="5"/>
      <c r="E811" s="5"/>
      <c r="F811" s="5"/>
      <c r="G811" s="29"/>
      <c r="H811"/>
      <c r="I811" s="7"/>
      <c r="J811" s="7"/>
      <c r="K811" s="7"/>
      <c r="L811" s="8"/>
      <c r="M811" s="7"/>
      <c r="N811" s="7"/>
      <c r="O811" s="8"/>
      <c r="P811" s="6"/>
      <c r="Q811" s="5"/>
      <c r="R811" s="5"/>
      <c r="S811" s="5"/>
      <c r="T811" s="5"/>
      <c r="U811" s="5"/>
      <c r="V811" s="5"/>
      <c r="W811" s="5"/>
      <c r="X811" s="8"/>
      <c r="Y811" s="9"/>
      <c r="Z811" s="10"/>
      <c r="AA811" s="10"/>
      <c r="AB811" s="8"/>
      <c r="AC811" s="10"/>
    </row>
    <row r="812" spans="1:29" s="4" customFormat="1" x14ac:dyDescent="0.3">
      <c r="A812" s="3"/>
      <c r="B812" s="39"/>
      <c r="C812" s="5"/>
      <c r="D812" s="5"/>
      <c r="E812" s="5"/>
      <c r="F812" s="5"/>
      <c r="G812" s="29"/>
      <c r="H812"/>
      <c r="I812" s="7"/>
      <c r="J812" s="7"/>
      <c r="K812" s="7"/>
      <c r="L812" s="8"/>
      <c r="M812" s="7"/>
      <c r="N812" s="7"/>
      <c r="O812" s="8"/>
      <c r="P812" s="6"/>
      <c r="Q812" s="5"/>
      <c r="R812" s="5"/>
      <c r="S812" s="5"/>
      <c r="T812" s="5"/>
      <c r="U812" s="5"/>
      <c r="V812" s="5"/>
      <c r="W812" s="5"/>
      <c r="X812" s="8"/>
      <c r="Y812" s="9"/>
      <c r="Z812" s="10"/>
      <c r="AA812" s="10"/>
      <c r="AB812" s="8"/>
      <c r="AC812" s="10"/>
    </row>
    <row r="813" spans="1:29" s="4" customFormat="1" x14ac:dyDescent="0.3">
      <c r="A813" s="3"/>
      <c r="B813" s="39"/>
      <c r="C813" s="5"/>
      <c r="D813" s="5"/>
      <c r="E813" s="5"/>
      <c r="F813" s="5"/>
      <c r="G813" s="29"/>
      <c r="H813"/>
      <c r="I813" s="7"/>
      <c r="J813" s="7"/>
      <c r="K813" s="7"/>
      <c r="L813" s="8"/>
      <c r="M813" s="7"/>
      <c r="N813" s="7"/>
      <c r="O813" s="8"/>
      <c r="P813" s="6"/>
      <c r="Q813" s="5"/>
      <c r="R813" s="5"/>
      <c r="S813" s="5"/>
      <c r="T813" s="5"/>
      <c r="U813" s="5"/>
      <c r="V813" s="5"/>
      <c r="W813" s="5"/>
      <c r="X813" s="8"/>
      <c r="Y813" s="9"/>
      <c r="Z813" s="10"/>
      <c r="AA813" s="10"/>
      <c r="AB813" s="8"/>
      <c r="AC813" s="10"/>
    </row>
    <row r="814" spans="1:29" s="4" customFormat="1" x14ac:dyDescent="0.3">
      <c r="A814" s="3"/>
      <c r="B814" s="39"/>
      <c r="C814" s="5"/>
      <c r="D814" s="5"/>
      <c r="E814" s="5"/>
      <c r="F814" s="5"/>
      <c r="G814" s="29"/>
      <c r="H814"/>
      <c r="I814" s="7"/>
      <c r="J814" s="7"/>
      <c r="K814" s="7"/>
      <c r="L814" s="8"/>
      <c r="M814" s="7"/>
      <c r="N814" s="7"/>
      <c r="O814" s="8"/>
      <c r="P814" s="6"/>
      <c r="Q814" s="5"/>
      <c r="R814" s="5"/>
      <c r="S814" s="5"/>
      <c r="T814" s="5"/>
      <c r="U814" s="5"/>
      <c r="V814" s="5"/>
      <c r="W814" s="5"/>
      <c r="X814" s="8"/>
      <c r="Y814" s="9"/>
      <c r="Z814" s="10"/>
      <c r="AA814" s="10"/>
      <c r="AB814" s="8"/>
      <c r="AC814" s="10"/>
    </row>
    <row r="815" spans="1:29" s="4" customFormat="1" x14ac:dyDescent="0.3">
      <c r="A815" s="3"/>
      <c r="B815" s="39"/>
      <c r="C815" s="5"/>
      <c r="D815" s="5"/>
      <c r="E815" s="5"/>
      <c r="F815" s="5"/>
      <c r="G815" s="29"/>
      <c r="H815"/>
      <c r="I815" s="7"/>
      <c r="J815" s="7"/>
      <c r="K815" s="7"/>
      <c r="L815" s="8"/>
      <c r="M815" s="7"/>
      <c r="N815" s="7"/>
      <c r="O815" s="8"/>
      <c r="P815" s="6"/>
      <c r="Q815" s="5"/>
      <c r="R815" s="5"/>
      <c r="S815" s="5"/>
      <c r="T815" s="5"/>
      <c r="U815" s="5"/>
      <c r="V815" s="5"/>
      <c r="W815" s="5"/>
      <c r="X815" s="8"/>
      <c r="Y815" s="9"/>
      <c r="Z815" s="10"/>
      <c r="AA815" s="10"/>
      <c r="AB815" s="8"/>
      <c r="AC815" s="10"/>
    </row>
    <row r="816" spans="1:29" s="4" customFormat="1" x14ac:dyDescent="0.3">
      <c r="A816" s="3"/>
      <c r="B816" s="39"/>
      <c r="C816" s="5"/>
      <c r="D816" s="5"/>
      <c r="E816" s="5"/>
      <c r="F816" s="5"/>
      <c r="G816" s="29"/>
      <c r="H816"/>
      <c r="I816" s="7"/>
      <c r="J816" s="7"/>
      <c r="K816" s="7"/>
      <c r="L816" s="8"/>
      <c r="M816" s="7"/>
      <c r="N816" s="7"/>
      <c r="O816" s="8"/>
      <c r="P816" s="6"/>
      <c r="Q816" s="5"/>
      <c r="R816" s="5"/>
      <c r="S816" s="5"/>
      <c r="T816" s="5"/>
      <c r="U816" s="5"/>
      <c r="V816" s="5"/>
      <c r="W816" s="5"/>
      <c r="X816" s="8"/>
      <c r="Y816" s="9"/>
      <c r="Z816" s="10"/>
      <c r="AA816" s="10"/>
      <c r="AB816" s="8"/>
      <c r="AC816" s="10"/>
    </row>
    <row r="817" spans="1:29" s="4" customFormat="1" x14ac:dyDescent="0.3">
      <c r="A817" s="3"/>
      <c r="B817" s="39"/>
      <c r="C817" s="5"/>
      <c r="D817" s="5"/>
      <c r="E817" s="5"/>
      <c r="F817" s="5"/>
      <c r="G817" s="29"/>
      <c r="H817"/>
      <c r="I817" s="7"/>
      <c r="J817" s="7"/>
      <c r="K817" s="7"/>
      <c r="L817" s="8"/>
      <c r="M817" s="7"/>
      <c r="N817" s="7"/>
      <c r="O817" s="8"/>
      <c r="P817" s="6"/>
      <c r="Q817" s="5"/>
      <c r="R817" s="5"/>
      <c r="S817" s="5"/>
      <c r="T817" s="5"/>
      <c r="U817" s="5"/>
      <c r="V817" s="5"/>
      <c r="W817" s="5"/>
      <c r="X817" s="8"/>
      <c r="Y817" s="9"/>
      <c r="Z817" s="10"/>
      <c r="AA817" s="10"/>
      <c r="AB817" s="8"/>
      <c r="AC817" s="10"/>
    </row>
    <row r="818" spans="1:29" s="4" customFormat="1" x14ac:dyDescent="0.3">
      <c r="A818" s="3"/>
      <c r="B818" s="39"/>
      <c r="C818" s="5"/>
      <c r="D818" s="5"/>
      <c r="E818" s="5"/>
      <c r="F818" s="5"/>
      <c r="G818" s="29"/>
      <c r="H818"/>
      <c r="I818" s="7"/>
      <c r="J818" s="7"/>
      <c r="K818" s="7"/>
      <c r="L818" s="8"/>
      <c r="M818" s="7"/>
      <c r="N818" s="7"/>
      <c r="O818" s="8"/>
      <c r="P818" s="6"/>
      <c r="Q818" s="5"/>
      <c r="R818" s="5"/>
      <c r="S818" s="5"/>
      <c r="T818" s="5"/>
      <c r="U818" s="5"/>
      <c r="V818" s="5"/>
      <c r="W818" s="5"/>
      <c r="X818" s="8"/>
      <c r="Y818" s="9"/>
      <c r="Z818" s="10"/>
      <c r="AA818" s="10"/>
      <c r="AB818" s="8"/>
      <c r="AC818" s="10"/>
    </row>
    <row r="819" spans="1:29" s="4" customFormat="1" x14ac:dyDescent="0.3">
      <c r="A819" s="3"/>
      <c r="B819" s="39"/>
      <c r="C819" s="5"/>
      <c r="D819" s="5"/>
      <c r="E819" s="5"/>
      <c r="F819" s="5"/>
      <c r="G819" s="29"/>
      <c r="H819"/>
      <c r="I819" s="7"/>
      <c r="J819" s="7"/>
      <c r="K819" s="7"/>
      <c r="L819" s="8"/>
      <c r="M819" s="7"/>
      <c r="N819" s="7"/>
      <c r="O819" s="8"/>
      <c r="P819" s="6"/>
      <c r="Q819" s="5"/>
      <c r="R819" s="5"/>
      <c r="S819" s="5"/>
      <c r="T819" s="5"/>
      <c r="U819" s="5"/>
      <c r="V819" s="5"/>
      <c r="W819" s="5"/>
      <c r="X819" s="8"/>
      <c r="Y819" s="9"/>
      <c r="Z819" s="10"/>
      <c r="AA819" s="10"/>
      <c r="AB819" s="8"/>
      <c r="AC819" s="10"/>
    </row>
    <row r="820" spans="1:29" s="4" customFormat="1" x14ac:dyDescent="0.3">
      <c r="A820" s="3"/>
      <c r="B820" s="39"/>
      <c r="C820" s="5"/>
      <c r="D820" s="5"/>
      <c r="E820" s="5"/>
      <c r="F820" s="5"/>
      <c r="G820" s="29"/>
      <c r="H820"/>
      <c r="I820" s="7"/>
      <c r="J820" s="7"/>
      <c r="K820" s="7"/>
      <c r="L820" s="8"/>
      <c r="M820" s="7"/>
      <c r="N820" s="7"/>
      <c r="O820" s="8"/>
      <c r="P820" s="6"/>
      <c r="Q820" s="5"/>
      <c r="R820" s="5"/>
      <c r="S820" s="5"/>
      <c r="T820" s="5"/>
      <c r="U820" s="5"/>
      <c r="V820" s="5"/>
      <c r="W820" s="5"/>
      <c r="X820" s="8"/>
      <c r="Y820" s="9"/>
      <c r="Z820" s="10"/>
      <c r="AA820" s="10"/>
      <c r="AB820" s="8"/>
      <c r="AC820" s="10"/>
    </row>
    <row r="821" spans="1:29" s="4" customFormat="1" x14ac:dyDescent="0.3">
      <c r="A821" s="3"/>
      <c r="B821" s="39"/>
      <c r="C821" s="5"/>
      <c r="D821" s="5"/>
      <c r="E821" s="5"/>
      <c r="F821" s="5"/>
      <c r="G821" s="29"/>
      <c r="H821"/>
      <c r="I821" s="7"/>
      <c r="J821" s="7"/>
      <c r="K821" s="7"/>
      <c r="L821" s="8"/>
      <c r="M821" s="7"/>
      <c r="N821" s="7"/>
      <c r="O821" s="8"/>
      <c r="P821" s="6"/>
      <c r="Q821" s="5"/>
      <c r="R821" s="5"/>
      <c r="S821" s="5"/>
      <c r="T821" s="5"/>
      <c r="U821" s="5"/>
      <c r="V821" s="5"/>
      <c r="W821" s="5"/>
      <c r="X821" s="8"/>
      <c r="Y821" s="9"/>
      <c r="Z821" s="10"/>
      <c r="AA821" s="10"/>
      <c r="AB821" s="8"/>
      <c r="AC821" s="10"/>
    </row>
    <row r="822" spans="1:29" s="4" customFormat="1" x14ac:dyDescent="0.3">
      <c r="A822" s="3"/>
      <c r="B822" s="39"/>
      <c r="C822" s="5"/>
      <c r="D822" s="5"/>
      <c r="E822" s="5"/>
      <c r="F822" s="5"/>
      <c r="G822" s="29"/>
      <c r="H822"/>
      <c r="I822" s="7"/>
      <c r="J822" s="7"/>
      <c r="K822" s="7"/>
      <c r="L822" s="8"/>
      <c r="M822" s="7"/>
      <c r="N822" s="7"/>
      <c r="O822" s="8"/>
      <c r="P822" s="6"/>
      <c r="Q822" s="5"/>
      <c r="R822" s="5"/>
      <c r="S822" s="5"/>
      <c r="T822" s="5"/>
      <c r="U822" s="5"/>
      <c r="V822" s="5"/>
      <c r="W822" s="5"/>
      <c r="X822" s="8"/>
      <c r="Y822" s="9"/>
      <c r="Z822" s="10"/>
      <c r="AA822" s="10"/>
      <c r="AB822" s="8"/>
      <c r="AC822" s="10"/>
    </row>
    <row r="823" spans="1:29" s="4" customFormat="1" x14ac:dyDescent="0.3">
      <c r="A823" s="3"/>
      <c r="B823" s="39"/>
      <c r="C823" s="5"/>
      <c r="D823" s="5"/>
      <c r="E823" s="5"/>
      <c r="F823" s="5"/>
      <c r="G823" s="29"/>
      <c r="H823"/>
      <c r="I823" s="7"/>
      <c r="J823" s="7"/>
      <c r="K823" s="7"/>
      <c r="L823" s="8"/>
      <c r="M823" s="7"/>
      <c r="N823" s="7"/>
      <c r="O823" s="8"/>
      <c r="P823" s="6"/>
      <c r="Q823" s="5"/>
      <c r="R823" s="5"/>
      <c r="S823" s="5"/>
      <c r="T823" s="5"/>
      <c r="U823" s="5"/>
      <c r="V823" s="5"/>
      <c r="W823" s="5"/>
      <c r="X823" s="8"/>
      <c r="Y823" s="9"/>
      <c r="Z823" s="10"/>
      <c r="AA823" s="10"/>
      <c r="AB823" s="8"/>
      <c r="AC823" s="10"/>
    </row>
    <row r="824" spans="1:29" s="4" customFormat="1" x14ac:dyDescent="0.3">
      <c r="A824" s="3"/>
      <c r="B824" s="39"/>
      <c r="C824" s="5"/>
      <c r="D824" s="5"/>
      <c r="E824" s="5"/>
      <c r="F824" s="5"/>
      <c r="G824" s="29"/>
      <c r="H824"/>
      <c r="I824" s="7"/>
      <c r="J824" s="7"/>
      <c r="K824" s="7"/>
      <c r="L824" s="8"/>
      <c r="M824" s="7"/>
      <c r="N824" s="7"/>
      <c r="O824" s="8"/>
      <c r="P824" s="6"/>
      <c r="Q824" s="5"/>
      <c r="R824" s="5"/>
      <c r="S824" s="5"/>
      <c r="T824" s="5"/>
      <c r="U824" s="5"/>
      <c r="V824" s="5"/>
      <c r="W824" s="5"/>
      <c r="X824" s="8"/>
      <c r="Y824" s="9"/>
      <c r="Z824" s="10"/>
      <c r="AA824" s="10"/>
      <c r="AB824" s="8"/>
      <c r="AC824" s="10"/>
    </row>
    <row r="825" spans="1:29" s="4" customFormat="1" x14ac:dyDescent="0.3">
      <c r="A825" s="3"/>
      <c r="B825" s="39"/>
      <c r="C825" s="5"/>
      <c r="D825" s="5"/>
      <c r="E825" s="5"/>
      <c r="F825" s="5"/>
      <c r="G825" s="29"/>
      <c r="H825"/>
      <c r="I825" s="7"/>
      <c r="J825" s="7"/>
      <c r="K825" s="7"/>
      <c r="L825" s="8"/>
      <c r="M825" s="7"/>
      <c r="N825" s="7"/>
      <c r="O825" s="8"/>
      <c r="P825" s="6"/>
      <c r="Q825" s="5"/>
      <c r="R825" s="5"/>
      <c r="S825" s="5"/>
      <c r="T825" s="5"/>
      <c r="U825" s="5"/>
      <c r="V825" s="5"/>
      <c r="W825" s="5"/>
      <c r="X825" s="8"/>
      <c r="Y825" s="9"/>
      <c r="Z825" s="10"/>
      <c r="AA825" s="10"/>
      <c r="AB825" s="8"/>
      <c r="AC825" s="10"/>
    </row>
    <row r="826" spans="1:29" s="4" customFormat="1" x14ac:dyDescent="0.3">
      <c r="A826" s="3"/>
      <c r="B826" s="39"/>
      <c r="C826" s="5"/>
      <c r="D826" s="5"/>
      <c r="E826" s="5"/>
      <c r="F826" s="5"/>
      <c r="G826" s="29"/>
      <c r="H826"/>
      <c r="I826" s="7"/>
      <c r="J826" s="7"/>
      <c r="K826" s="7"/>
      <c r="L826" s="8"/>
      <c r="M826" s="7"/>
      <c r="N826" s="7"/>
      <c r="O826" s="8"/>
      <c r="P826" s="6"/>
      <c r="Q826" s="5"/>
      <c r="R826" s="5"/>
      <c r="S826" s="5"/>
      <c r="T826" s="5"/>
      <c r="U826" s="5"/>
      <c r="V826" s="5"/>
      <c r="W826" s="5"/>
      <c r="X826" s="8"/>
      <c r="Y826" s="9"/>
      <c r="Z826" s="10"/>
      <c r="AA826" s="10"/>
      <c r="AB826" s="8"/>
      <c r="AC826" s="10"/>
    </row>
    <row r="827" spans="1:29" s="4" customFormat="1" x14ac:dyDescent="0.3">
      <c r="A827" s="3"/>
      <c r="B827" s="39"/>
      <c r="C827" s="5"/>
      <c r="D827" s="5"/>
      <c r="E827" s="5"/>
      <c r="F827" s="5"/>
      <c r="G827" s="29"/>
      <c r="H827"/>
      <c r="I827" s="7"/>
      <c r="J827" s="7"/>
      <c r="K827" s="7"/>
      <c r="L827" s="8"/>
      <c r="M827" s="7"/>
      <c r="N827" s="7"/>
      <c r="O827" s="8"/>
      <c r="P827" s="6"/>
      <c r="Q827" s="5"/>
      <c r="R827" s="5"/>
      <c r="S827" s="5"/>
      <c r="T827" s="5"/>
      <c r="U827" s="5"/>
      <c r="V827" s="5"/>
      <c r="W827" s="5"/>
      <c r="X827" s="8"/>
      <c r="Y827" s="9"/>
      <c r="Z827" s="10"/>
      <c r="AA827" s="10"/>
      <c r="AB827" s="8"/>
      <c r="AC827" s="10"/>
    </row>
    <row r="828" spans="1:29" s="4" customFormat="1" x14ac:dyDescent="0.3">
      <c r="A828" s="3"/>
      <c r="B828" s="39"/>
      <c r="C828" s="5"/>
      <c r="D828" s="5"/>
      <c r="E828" s="5"/>
      <c r="F828" s="5"/>
      <c r="G828" s="29"/>
      <c r="H828"/>
      <c r="I828" s="7"/>
      <c r="J828" s="7"/>
      <c r="K828" s="7"/>
      <c r="L828" s="8"/>
      <c r="M828" s="7"/>
      <c r="N828" s="7"/>
      <c r="O828" s="8"/>
      <c r="P828" s="6"/>
      <c r="Q828" s="5"/>
      <c r="R828" s="5"/>
      <c r="S828" s="5"/>
      <c r="T828" s="5"/>
      <c r="U828" s="5"/>
      <c r="V828" s="5"/>
      <c r="W828" s="5"/>
      <c r="X828" s="8"/>
      <c r="Y828" s="9"/>
      <c r="Z828" s="10"/>
      <c r="AA828" s="10"/>
      <c r="AB828" s="8"/>
      <c r="AC828" s="10"/>
    </row>
    <row r="829" spans="1:29" s="4" customFormat="1" x14ac:dyDescent="0.3">
      <c r="A829" s="3"/>
      <c r="B829" s="39"/>
      <c r="C829" s="5"/>
      <c r="D829" s="5"/>
      <c r="E829" s="5"/>
      <c r="F829" s="5"/>
      <c r="G829" s="29"/>
      <c r="H829"/>
      <c r="I829" s="7"/>
      <c r="J829" s="7"/>
      <c r="K829" s="7"/>
      <c r="L829" s="8"/>
      <c r="M829" s="7"/>
      <c r="N829" s="7"/>
      <c r="O829" s="8"/>
      <c r="P829" s="6"/>
      <c r="Q829" s="5"/>
      <c r="R829" s="5"/>
      <c r="S829" s="5"/>
      <c r="T829" s="5"/>
      <c r="U829" s="5"/>
      <c r="V829" s="5"/>
      <c r="W829" s="5"/>
      <c r="X829" s="8"/>
      <c r="Y829" s="9"/>
      <c r="Z829" s="10"/>
      <c r="AA829" s="10"/>
      <c r="AB829" s="8"/>
      <c r="AC829" s="10"/>
    </row>
    <row r="830" spans="1:29" s="4" customFormat="1" x14ac:dyDescent="0.3">
      <c r="A830" s="3"/>
      <c r="B830" s="39"/>
      <c r="C830" s="5"/>
      <c r="D830" s="5"/>
      <c r="E830" s="5"/>
      <c r="F830" s="5"/>
      <c r="G830" s="29"/>
      <c r="H830"/>
      <c r="I830" s="7"/>
      <c r="J830" s="7"/>
      <c r="K830" s="7"/>
      <c r="L830" s="8"/>
      <c r="M830" s="7"/>
      <c r="N830" s="7"/>
      <c r="O830" s="8"/>
      <c r="P830" s="6"/>
      <c r="Q830" s="5"/>
      <c r="R830" s="5"/>
      <c r="S830" s="5"/>
      <c r="T830" s="5"/>
      <c r="U830" s="5"/>
      <c r="V830" s="5"/>
      <c r="W830" s="5"/>
      <c r="X830" s="8"/>
      <c r="Y830" s="9"/>
      <c r="Z830" s="10"/>
      <c r="AA830" s="10"/>
      <c r="AB830" s="8"/>
      <c r="AC830" s="10"/>
    </row>
    <row r="831" spans="1:29" s="4" customFormat="1" x14ac:dyDescent="0.3">
      <c r="A831" s="3"/>
      <c r="B831" s="39"/>
      <c r="C831" s="5"/>
      <c r="D831" s="5"/>
      <c r="E831" s="5"/>
      <c r="F831" s="5"/>
      <c r="G831" s="29"/>
      <c r="H831"/>
      <c r="I831" s="7"/>
      <c r="J831" s="7"/>
      <c r="K831" s="7"/>
      <c r="L831" s="8"/>
      <c r="M831" s="7"/>
      <c r="N831" s="7"/>
      <c r="O831" s="8"/>
      <c r="P831" s="6"/>
      <c r="Q831" s="5"/>
      <c r="R831" s="5"/>
      <c r="S831" s="5"/>
      <c r="T831" s="5"/>
      <c r="U831" s="5"/>
      <c r="V831" s="5"/>
      <c r="W831" s="5"/>
      <c r="X831" s="8"/>
      <c r="Y831" s="9"/>
      <c r="Z831" s="10"/>
      <c r="AA831" s="10"/>
      <c r="AB831" s="8"/>
      <c r="AC831" s="10"/>
    </row>
    <row r="832" spans="1:29" s="4" customFormat="1" x14ac:dyDescent="0.3">
      <c r="A832" s="3"/>
      <c r="B832" s="39"/>
      <c r="C832" s="5"/>
      <c r="D832" s="5"/>
      <c r="E832" s="5"/>
      <c r="F832" s="5"/>
      <c r="G832" s="29"/>
      <c r="H832"/>
      <c r="I832" s="7"/>
      <c r="J832" s="7"/>
      <c r="K832" s="7"/>
      <c r="L832" s="8"/>
      <c r="M832" s="7"/>
      <c r="N832" s="7"/>
      <c r="O832" s="8"/>
      <c r="P832" s="6"/>
      <c r="Q832" s="5"/>
      <c r="R832" s="5"/>
      <c r="S832" s="5"/>
      <c r="T832" s="5"/>
      <c r="U832" s="5"/>
      <c r="V832" s="5"/>
      <c r="W832" s="5"/>
      <c r="X832" s="8"/>
      <c r="Y832" s="9"/>
      <c r="Z832" s="10"/>
      <c r="AA832" s="10"/>
      <c r="AB832" s="8"/>
      <c r="AC832" s="10"/>
    </row>
    <row r="833" spans="1:29" s="4" customFormat="1" x14ac:dyDescent="0.3">
      <c r="A833" s="3"/>
      <c r="B833" s="39"/>
      <c r="C833" s="5"/>
      <c r="D833" s="5"/>
      <c r="E833" s="5"/>
      <c r="F833" s="5"/>
      <c r="G833" s="29"/>
      <c r="H833"/>
      <c r="I833" s="7"/>
      <c r="J833" s="7"/>
      <c r="K833" s="7"/>
      <c r="L833" s="8"/>
      <c r="M833" s="7"/>
      <c r="N833" s="7"/>
      <c r="O833" s="8"/>
      <c r="P833" s="6"/>
      <c r="Q833" s="5"/>
      <c r="R833" s="5"/>
      <c r="S833" s="5"/>
      <c r="T833" s="5"/>
      <c r="U833" s="5"/>
      <c r="V833" s="5"/>
      <c r="W833" s="5"/>
      <c r="X833" s="8"/>
      <c r="Y833" s="9"/>
      <c r="Z833" s="10"/>
      <c r="AA833" s="10"/>
      <c r="AB833" s="8"/>
      <c r="AC833" s="10"/>
    </row>
    <row r="834" spans="1:29" s="4" customFormat="1" x14ac:dyDescent="0.3">
      <c r="A834" s="3"/>
      <c r="B834" s="39"/>
      <c r="C834" s="5"/>
      <c r="D834" s="5"/>
      <c r="E834" s="5"/>
      <c r="F834" s="5"/>
      <c r="G834" s="29"/>
      <c r="H834"/>
      <c r="I834" s="7"/>
      <c r="J834" s="7"/>
      <c r="K834" s="7"/>
      <c r="L834" s="8"/>
      <c r="M834" s="7"/>
      <c r="N834" s="7"/>
      <c r="O834" s="8"/>
      <c r="P834" s="6"/>
      <c r="Q834" s="5"/>
      <c r="R834" s="5"/>
      <c r="S834" s="5"/>
      <c r="T834" s="5"/>
      <c r="U834" s="5"/>
      <c r="V834" s="5"/>
      <c r="W834" s="5"/>
      <c r="X834" s="8"/>
      <c r="Y834" s="9"/>
      <c r="Z834" s="10"/>
      <c r="AA834" s="10"/>
      <c r="AB834" s="8"/>
      <c r="AC834" s="10"/>
    </row>
    <row r="835" spans="1:29" s="4" customFormat="1" x14ac:dyDescent="0.3">
      <c r="A835" s="3"/>
      <c r="B835" s="39"/>
      <c r="C835" s="5"/>
      <c r="D835" s="5"/>
      <c r="E835" s="5"/>
      <c r="F835" s="5"/>
      <c r="G835" s="29"/>
      <c r="H835"/>
      <c r="I835" s="7"/>
      <c r="J835" s="7"/>
      <c r="K835" s="7"/>
      <c r="L835" s="8"/>
      <c r="M835" s="7"/>
      <c r="N835" s="7"/>
      <c r="O835" s="8"/>
      <c r="P835" s="6"/>
      <c r="Q835" s="5"/>
      <c r="R835" s="5"/>
      <c r="S835" s="5"/>
      <c r="T835" s="5"/>
      <c r="U835" s="5"/>
      <c r="V835" s="5"/>
      <c r="W835" s="5"/>
      <c r="X835" s="8"/>
      <c r="Y835" s="9"/>
      <c r="Z835" s="10"/>
      <c r="AA835" s="10"/>
      <c r="AB835" s="8"/>
      <c r="AC835" s="10"/>
    </row>
    <row r="836" spans="1:29" s="4" customFormat="1" x14ac:dyDescent="0.3">
      <c r="A836" s="3"/>
      <c r="B836" s="39"/>
      <c r="C836" s="5"/>
      <c r="D836" s="5"/>
      <c r="E836" s="5"/>
      <c r="F836" s="5"/>
      <c r="G836" s="29"/>
      <c r="H836"/>
      <c r="I836" s="7"/>
      <c r="J836" s="7"/>
      <c r="K836" s="7"/>
      <c r="L836" s="8"/>
      <c r="M836" s="7"/>
      <c r="N836" s="7"/>
      <c r="O836" s="8"/>
      <c r="P836" s="6"/>
      <c r="Q836" s="5"/>
      <c r="R836" s="5"/>
      <c r="S836" s="5"/>
      <c r="T836" s="5"/>
      <c r="U836" s="5"/>
      <c r="V836" s="5"/>
      <c r="W836" s="5"/>
      <c r="X836" s="8"/>
      <c r="Y836" s="9"/>
      <c r="Z836" s="10"/>
      <c r="AA836" s="10"/>
      <c r="AB836" s="8"/>
      <c r="AC836" s="10"/>
    </row>
    <row r="837" spans="1:29" s="4" customFormat="1" x14ac:dyDescent="0.3">
      <c r="A837" s="3"/>
      <c r="B837" s="39"/>
      <c r="C837" s="5"/>
      <c r="D837" s="5"/>
      <c r="E837" s="5"/>
      <c r="F837" s="5"/>
      <c r="G837" s="29"/>
      <c r="H837"/>
      <c r="I837" s="7"/>
      <c r="J837" s="7"/>
      <c r="K837" s="7"/>
      <c r="L837" s="8"/>
      <c r="M837" s="7"/>
      <c r="N837" s="7"/>
      <c r="O837" s="8"/>
      <c r="P837" s="6"/>
      <c r="Q837" s="5"/>
      <c r="R837" s="5"/>
      <c r="S837" s="5"/>
      <c r="T837" s="5"/>
      <c r="U837" s="5"/>
      <c r="V837" s="5"/>
      <c r="W837" s="5"/>
      <c r="X837" s="8"/>
      <c r="Y837" s="9"/>
      <c r="Z837" s="10"/>
      <c r="AA837" s="10"/>
      <c r="AB837" s="8"/>
      <c r="AC837" s="10"/>
    </row>
    <row r="838" spans="1:29" s="4" customFormat="1" x14ac:dyDescent="0.3">
      <c r="A838" s="3"/>
      <c r="B838" s="39"/>
      <c r="C838" s="5"/>
      <c r="D838" s="5"/>
      <c r="E838" s="5"/>
      <c r="F838" s="5"/>
      <c r="G838" s="29"/>
      <c r="H838"/>
      <c r="I838" s="7"/>
      <c r="J838" s="7"/>
      <c r="K838" s="7"/>
      <c r="L838" s="8"/>
      <c r="M838" s="7"/>
      <c r="N838" s="7"/>
      <c r="O838" s="8"/>
      <c r="P838" s="6"/>
      <c r="Q838" s="5"/>
      <c r="R838" s="5"/>
      <c r="S838" s="5"/>
      <c r="T838" s="5"/>
      <c r="U838" s="5"/>
      <c r="V838" s="5"/>
      <c r="W838" s="5"/>
      <c r="X838" s="8"/>
      <c r="Y838" s="9"/>
      <c r="Z838" s="10"/>
      <c r="AA838" s="10"/>
      <c r="AB838" s="8"/>
      <c r="AC838" s="10"/>
    </row>
    <row r="839" spans="1:29" s="4" customFormat="1" x14ac:dyDescent="0.3">
      <c r="A839" s="3"/>
      <c r="B839" s="39"/>
      <c r="C839" s="5"/>
      <c r="D839" s="5"/>
      <c r="E839" s="5"/>
      <c r="F839" s="5"/>
      <c r="G839" s="29"/>
      <c r="H839"/>
      <c r="I839" s="7"/>
      <c r="J839" s="7"/>
      <c r="K839" s="7"/>
      <c r="L839" s="8"/>
      <c r="M839" s="7"/>
      <c r="N839" s="7"/>
      <c r="O839" s="8"/>
      <c r="P839" s="6"/>
      <c r="Q839" s="5"/>
      <c r="R839" s="5"/>
      <c r="S839" s="5"/>
      <c r="T839" s="5"/>
      <c r="U839" s="5"/>
      <c r="V839" s="5"/>
      <c r="W839" s="5"/>
      <c r="X839" s="8"/>
      <c r="Y839" s="9"/>
      <c r="Z839" s="10"/>
      <c r="AA839" s="10"/>
      <c r="AB839" s="8"/>
      <c r="AC839" s="10"/>
    </row>
    <row r="840" spans="1:29" s="4" customFormat="1" x14ac:dyDescent="0.3">
      <c r="A840" s="3"/>
      <c r="B840" s="39"/>
      <c r="C840" s="5"/>
      <c r="D840" s="5"/>
      <c r="E840" s="5"/>
      <c r="F840" s="5"/>
      <c r="G840" s="29"/>
      <c r="H840"/>
      <c r="I840" s="7"/>
      <c r="J840" s="7"/>
      <c r="K840" s="7"/>
      <c r="L840" s="8"/>
      <c r="M840" s="7"/>
      <c r="N840" s="7"/>
      <c r="O840" s="8"/>
      <c r="P840" s="6"/>
      <c r="Q840" s="5"/>
      <c r="R840" s="5"/>
      <c r="S840" s="5"/>
      <c r="T840" s="5"/>
      <c r="U840" s="5"/>
      <c r="V840" s="5"/>
      <c r="W840" s="5"/>
      <c r="X840" s="8"/>
      <c r="Y840" s="9"/>
      <c r="Z840" s="10"/>
      <c r="AA840" s="10"/>
      <c r="AB840" s="8"/>
      <c r="AC840" s="10"/>
    </row>
    <row r="841" spans="1:29" s="4" customFormat="1" x14ac:dyDescent="0.3">
      <c r="A841" s="3"/>
      <c r="B841" s="39"/>
      <c r="C841" s="5"/>
      <c r="D841" s="5"/>
      <c r="E841" s="5"/>
      <c r="F841" s="5"/>
      <c r="G841" s="29"/>
      <c r="H841"/>
      <c r="I841" s="7"/>
      <c r="J841" s="7"/>
      <c r="K841" s="7"/>
      <c r="L841" s="8"/>
      <c r="M841" s="7"/>
      <c r="N841" s="7"/>
      <c r="O841" s="8"/>
      <c r="P841" s="6"/>
      <c r="Q841" s="5"/>
      <c r="R841" s="5"/>
      <c r="S841" s="5"/>
      <c r="T841" s="5"/>
      <c r="U841" s="5"/>
      <c r="V841" s="5"/>
      <c r="W841" s="5"/>
      <c r="X841" s="8"/>
      <c r="Y841" s="9"/>
      <c r="Z841" s="10"/>
      <c r="AA841" s="10"/>
      <c r="AB841" s="8"/>
      <c r="AC841" s="10"/>
    </row>
    <row r="842" spans="1:29" s="4" customFormat="1" x14ac:dyDescent="0.3">
      <c r="A842" s="3"/>
      <c r="B842" s="39"/>
      <c r="C842" s="5"/>
      <c r="D842" s="5"/>
      <c r="E842" s="5"/>
      <c r="F842" s="5"/>
      <c r="G842" s="29"/>
      <c r="H842"/>
      <c r="I842" s="7"/>
      <c r="J842" s="7"/>
      <c r="K842" s="7"/>
      <c r="L842" s="8"/>
      <c r="M842" s="7"/>
      <c r="N842" s="7"/>
      <c r="O842" s="8"/>
      <c r="P842" s="6"/>
      <c r="Q842" s="5"/>
      <c r="R842" s="5"/>
      <c r="S842" s="5"/>
      <c r="T842" s="5"/>
      <c r="U842" s="5"/>
      <c r="V842" s="5"/>
      <c r="W842" s="5"/>
      <c r="X842" s="8"/>
      <c r="Y842" s="9"/>
      <c r="Z842" s="10"/>
      <c r="AA842" s="10"/>
      <c r="AB842" s="8"/>
      <c r="AC842" s="10"/>
    </row>
    <row r="843" spans="1:29" s="4" customFormat="1" x14ac:dyDescent="0.3">
      <c r="A843" s="3"/>
      <c r="B843" s="39"/>
      <c r="C843" s="5"/>
      <c r="D843" s="5"/>
      <c r="E843" s="5"/>
      <c r="F843" s="5"/>
      <c r="G843" s="29"/>
      <c r="H843"/>
      <c r="I843" s="7"/>
      <c r="J843" s="7"/>
      <c r="K843" s="7"/>
      <c r="L843" s="8"/>
      <c r="M843" s="7"/>
      <c r="N843" s="7"/>
      <c r="O843" s="8"/>
      <c r="P843" s="6"/>
      <c r="Q843" s="5"/>
      <c r="R843" s="5"/>
      <c r="S843" s="5"/>
      <c r="T843" s="5"/>
      <c r="U843" s="5"/>
      <c r="V843" s="5"/>
      <c r="W843" s="5"/>
      <c r="X843" s="8"/>
      <c r="Y843" s="9"/>
      <c r="Z843" s="10"/>
      <c r="AA843" s="10"/>
      <c r="AB843" s="8"/>
      <c r="AC843" s="10"/>
    </row>
    <row r="844" spans="1:29" s="4" customFormat="1" x14ac:dyDescent="0.3">
      <c r="A844" s="3"/>
      <c r="B844" s="39"/>
      <c r="C844" s="5"/>
      <c r="D844" s="5"/>
      <c r="E844" s="5"/>
      <c r="F844" s="5"/>
      <c r="G844" s="29"/>
      <c r="H844"/>
      <c r="I844" s="7"/>
      <c r="J844" s="7"/>
      <c r="K844" s="7"/>
      <c r="L844" s="8"/>
      <c r="M844" s="7"/>
      <c r="N844" s="7"/>
      <c r="O844" s="8"/>
      <c r="P844" s="6"/>
      <c r="Q844" s="5"/>
      <c r="R844" s="5"/>
      <c r="S844" s="5"/>
      <c r="T844" s="5"/>
      <c r="U844" s="5"/>
      <c r="V844" s="5"/>
      <c r="W844" s="5"/>
      <c r="X844" s="8"/>
      <c r="Y844" s="9"/>
      <c r="Z844" s="10"/>
      <c r="AA844" s="10"/>
      <c r="AB844" s="8"/>
      <c r="AC844" s="10"/>
    </row>
    <row r="845" spans="1:29" s="4" customFormat="1" x14ac:dyDescent="0.3">
      <c r="A845" s="3"/>
      <c r="B845" s="39"/>
      <c r="C845" s="5"/>
      <c r="D845" s="5"/>
      <c r="E845" s="5"/>
      <c r="F845" s="5"/>
      <c r="G845" s="29"/>
      <c r="H845"/>
      <c r="I845" s="7"/>
      <c r="J845" s="7"/>
      <c r="K845" s="7"/>
      <c r="L845" s="8"/>
      <c r="M845" s="7"/>
      <c r="N845" s="7"/>
      <c r="O845" s="8"/>
      <c r="P845" s="6"/>
      <c r="Q845" s="5"/>
      <c r="R845" s="5"/>
      <c r="S845" s="5"/>
      <c r="T845" s="5"/>
      <c r="U845" s="5"/>
      <c r="V845" s="5"/>
      <c r="W845" s="5"/>
      <c r="X845" s="8"/>
      <c r="Y845" s="9"/>
      <c r="Z845" s="10"/>
      <c r="AA845" s="10"/>
      <c r="AB845" s="8"/>
      <c r="AC845" s="10"/>
    </row>
    <row r="846" spans="1:29" s="4" customFormat="1" x14ac:dyDescent="0.3">
      <c r="A846" s="3"/>
      <c r="B846" s="39"/>
      <c r="C846" s="5"/>
      <c r="D846" s="5"/>
      <c r="E846" s="5"/>
      <c r="F846" s="5"/>
      <c r="G846" s="29"/>
      <c r="H846"/>
      <c r="I846" s="7"/>
      <c r="J846" s="7"/>
      <c r="K846" s="7"/>
      <c r="L846" s="8"/>
      <c r="M846" s="7"/>
      <c r="N846" s="7"/>
      <c r="O846" s="8"/>
      <c r="P846" s="6"/>
      <c r="Q846" s="5"/>
      <c r="R846" s="5"/>
      <c r="S846" s="5"/>
      <c r="T846" s="5"/>
      <c r="U846" s="5"/>
      <c r="V846" s="5"/>
      <c r="W846" s="5"/>
      <c r="X846" s="8"/>
      <c r="Y846" s="9"/>
      <c r="Z846" s="10"/>
      <c r="AA846" s="10"/>
      <c r="AB846" s="8"/>
      <c r="AC846" s="10"/>
    </row>
    <row r="847" spans="1:29" s="4" customFormat="1" x14ac:dyDescent="0.3">
      <c r="A847" s="3"/>
      <c r="B847" s="39"/>
      <c r="C847" s="5"/>
      <c r="D847" s="5"/>
      <c r="E847" s="5"/>
      <c r="F847" s="5"/>
      <c r="G847" s="29"/>
      <c r="H847"/>
      <c r="I847" s="7"/>
      <c r="J847" s="7"/>
      <c r="K847" s="7"/>
      <c r="L847" s="8"/>
      <c r="M847" s="7"/>
      <c r="N847" s="7"/>
      <c r="O847" s="8"/>
      <c r="P847" s="6"/>
      <c r="Q847" s="5"/>
      <c r="R847" s="5"/>
      <c r="S847" s="5"/>
      <c r="T847" s="5"/>
      <c r="U847" s="5"/>
      <c r="V847" s="5"/>
      <c r="W847" s="5"/>
      <c r="X847" s="8"/>
      <c r="Y847" s="9"/>
      <c r="Z847" s="10"/>
      <c r="AA847" s="10"/>
      <c r="AB847" s="8"/>
      <c r="AC847" s="10"/>
    </row>
    <row r="848" spans="1:29" s="4" customFormat="1" x14ac:dyDescent="0.3">
      <c r="A848" s="3"/>
      <c r="B848" s="39"/>
      <c r="C848" s="5"/>
      <c r="D848" s="5"/>
      <c r="E848" s="5"/>
      <c r="F848" s="5"/>
      <c r="G848" s="29"/>
      <c r="H848"/>
      <c r="I848" s="7"/>
      <c r="J848" s="7"/>
      <c r="K848" s="7"/>
      <c r="L848" s="8"/>
      <c r="M848" s="7"/>
      <c r="N848" s="7"/>
      <c r="O848" s="8"/>
      <c r="P848" s="6"/>
      <c r="Q848" s="5"/>
      <c r="R848" s="5"/>
      <c r="S848" s="5"/>
      <c r="T848" s="5"/>
      <c r="U848" s="5"/>
      <c r="V848" s="5"/>
      <c r="W848" s="5"/>
      <c r="X848" s="8"/>
      <c r="Y848" s="9"/>
      <c r="Z848" s="10"/>
      <c r="AA848" s="10"/>
      <c r="AB848" s="8"/>
      <c r="AC848" s="10"/>
    </row>
    <row r="849" spans="1:29" s="4" customFormat="1" x14ac:dyDescent="0.3">
      <c r="A849" s="3"/>
      <c r="B849" s="39"/>
      <c r="C849" s="5"/>
      <c r="D849" s="5"/>
      <c r="E849" s="5"/>
      <c r="F849" s="5"/>
      <c r="G849" s="29"/>
      <c r="H849"/>
      <c r="I849" s="7"/>
      <c r="J849" s="7"/>
      <c r="K849" s="7"/>
      <c r="L849" s="8"/>
      <c r="M849" s="7"/>
      <c r="N849" s="7"/>
      <c r="O849" s="8"/>
      <c r="P849" s="6"/>
      <c r="Q849" s="5"/>
      <c r="R849" s="5"/>
      <c r="S849" s="5"/>
      <c r="T849" s="5"/>
      <c r="U849" s="5"/>
      <c r="V849" s="5"/>
      <c r="W849" s="5"/>
      <c r="X849" s="8"/>
      <c r="Y849" s="9"/>
      <c r="Z849" s="10"/>
      <c r="AA849" s="10"/>
      <c r="AB849" s="8"/>
      <c r="AC849" s="10"/>
    </row>
    <row r="850" spans="1:29" s="4" customFormat="1" x14ac:dyDescent="0.3">
      <c r="A850" s="3"/>
      <c r="B850" s="39"/>
      <c r="C850" s="5"/>
      <c r="D850" s="5"/>
      <c r="E850" s="5"/>
      <c r="F850" s="5"/>
      <c r="G850" s="29"/>
      <c r="H850"/>
      <c r="I850" s="7"/>
      <c r="J850" s="7"/>
      <c r="K850" s="7"/>
      <c r="L850" s="8"/>
      <c r="M850" s="7"/>
      <c r="N850" s="7"/>
      <c r="O850" s="8"/>
      <c r="P850" s="6"/>
      <c r="Q850" s="5"/>
      <c r="R850" s="5"/>
      <c r="S850" s="5"/>
      <c r="T850" s="5"/>
      <c r="U850" s="5"/>
      <c r="V850" s="5"/>
      <c r="W850" s="5"/>
      <c r="X850" s="8"/>
      <c r="Y850" s="9"/>
      <c r="Z850" s="10"/>
      <c r="AA850" s="10"/>
      <c r="AB850" s="8"/>
      <c r="AC850" s="10"/>
    </row>
    <row r="851" spans="1:29" s="4" customFormat="1" x14ac:dyDescent="0.3">
      <c r="A851" s="3"/>
      <c r="B851" s="39"/>
      <c r="C851" s="5"/>
      <c r="D851" s="5"/>
      <c r="E851" s="5"/>
      <c r="F851" s="5"/>
      <c r="G851" s="29"/>
      <c r="H851"/>
      <c r="I851" s="7"/>
      <c r="J851" s="7"/>
      <c r="K851" s="7"/>
      <c r="L851" s="8"/>
      <c r="M851" s="7"/>
      <c r="N851" s="7"/>
      <c r="O851" s="8"/>
      <c r="P851" s="6"/>
      <c r="Q851" s="5"/>
      <c r="R851" s="5"/>
      <c r="S851" s="5"/>
      <c r="T851" s="5"/>
      <c r="U851" s="5"/>
      <c r="V851" s="5"/>
      <c r="W851" s="5"/>
      <c r="X851" s="8"/>
      <c r="Y851" s="9"/>
      <c r="Z851" s="10"/>
      <c r="AA851" s="10"/>
      <c r="AB851" s="8"/>
      <c r="AC851" s="10"/>
    </row>
    <row r="852" spans="1:29" s="4" customFormat="1" x14ac:dyDescent="0.3">
      <c r="A852" s="3"/>
      <c r="B852" s="39"/>
      <c r="C852" s="5"/>
      <c r="D852" s="5"/>
      <c r="E852" s="5"/>
      <c r="F852" s="5"/>
      <c r="G852" s="29"/>
      <c r="H852"/>
      <c r="I852" s="7"/>
      <c r="J852" s="7"/>
      <c r="K852" s="7"/>
      <c r="L852" s="8"/>
      <c r="M852" s="7"/>
      <c r="N852" s="7"/>
      <c r="O852" s="8"/>
      <c r="P852" s="6"/>
      <c r="Q852" s="5"/>
      <c r="R852" s="5"/>
      <c r="S852" s="5"/>
      <c r="T852" s="5"/>
      <c r="U852" s="5"/>
      <c r="V852" s="5"/>
      <c r="W852" s="5"/>
      <c r="X852" s="8"/>
      <c r="Y852" s="9"/>
      <c r="Z852" s="10"/>
      <c r="AA852" s="10"/>
      <c r="AB852" s="8"/>
      <c r="AC852" s="10"/>
    </row>
    <row r="853" spans="1:29" s="4" customFormat="1" x14ac:dyDescent="0.3">
      <c r="A853" s="3"/>
      <c r="B853" s="39"/>
      <c r="C853" s="5"/>
      <c r="D853" s="5"/>
      <c r="E853" s="5"/>
      <c r="F853" s="5"/>
      <c r="G853" s="29"/>
      <c r="H853"/>
      <c r="I853" s="7"/>
      <c r="J853" s="7"/>
      <c r="K853" s="7"/>
      <c r="L853" s="8"/>
      <c r="M853" s="7"/>
      <c r="N853" s="7"/>
      <c r="O853" s="8"/>
      <c r="P853" s="6"/>
      <c r="Q853" s="5"/>
      <c r="R853" s="5"/>
      <c r="S853" s="5"/>
      <c r="T853" s="5"/>
      <c r="U853" s="5"/>
      <c r="V853" s="5"/>
      <c r="W853" s="5"/>
      <c r="X853" s="8"/>
      <c r="Y853" s="9"/>
      <c r="Z853" s="10"/>
      <c r="AA853" s="10"/>
      <c r="AB853" s="8"/>
      <c r="AC853" s="10"/>
    </row>
    <row r="854" spans="1:29" s="4" customFormat="1" x14ac:dyDescent="0.3">
      <c r="A854" s="3"/>
      <c r="B854" s="39"/>
      <c r="C854" s="5"/>
      <c r="D854" s="5"/>
      <c r="E854" s="5"/>
      <c r="F854" s="5"/>
      <c r="G854" s="29"/>
      <c r="H854"/>
      <c r="I854" s="7"/>
      <c r="J854" s="7"/>
      <c r="K854" s="7"/>
      <c r="L854" s="8"/>
      <c r="M854" s="7"/>
      <c r="N854" s="7"/>
      <c r="O854" s="8"/>
      <c r="P854" s="6"/>
      <c r="Q854" s="5"/>
      <c r="R854" s="5"/>
      <c r="S854" s="5"/>
      <c r="T854" s="5"/>
      <c r="U854" s="5"/>
      <c r="V854" s="5"/>
      <c r="W854" s="5"/>
      <c r="X854" s="8"/>
      <c r="Y854" s="9"/>
      <c r="Z854" s="10"/>
      <c r="AA854" s="10"/>
      <c r="AB854" s="8"/>
      <c r="AC854" s="10"/>
    </row>
    <row r="855" spans="1:29" s="4" customFormat="1" x14ac:dyDescent="0.3">
      <c r="A855" s="3"/>
      <c r="B855" s="39"/>
      <c r="C855" s="5"/>
      <c r="D855" s="5"/>
      <c r="E855" s="5"/>
      <c r="F855" s="5"/>
      <c r="G855" s="29"/>
      <c r="H855"/>
      <c r="I855" s="7"/>
      <c r="J855" s="7"/>
      <c r="K855" s="7"/>
      <c r="L855" s="8"/>
      <c r="M855" s="7"/>
      <c r="N855" s="7"/>
      <c r="O855" s="8"/>
      <c r="P855" s="6"/>
      <c r="Q855" s="5"/>
      <c r="R855" s="5"/>
      <c r="S855" s="5"/>
      <c r="T855" s="5"/>
      <c r="U855" s="5"/>
      <c r="V855" s="5"/>
      <c r="W855" s="5"/>
      <c r="X855" s="8"/>
      <c r="Y855" s="9"/>
      <c r="Z855" s="10"/>
      <c r="AA855" s="10"/>
      <c r="AB855" s="8"/>
      <c r="AC855" s="10"/>
    </row>
    <row r="856" spans="1:29" s="4" customFormat="1" x14ac:dyDescent="0.3">
      <c r="A856" s="3"/>
      <c r="B856" s="39"/>
      <c r="C856" s="5"/>
      <c r="D856" s="5"/>
      <c r="E856" s="5"/>
      <c r="F856" s="5"/>
      <c r="G856" s="29"/>
      <c r="H856"/>
      <c r="I856" s="7"/>
      <c r="J856" s="7"/>
      <c r="K856" s="7"/>
      <c r="L856" s="8"/>
      <c r="M856" s="7"/>
      <c r="N856" s="7"/>
      <c r="O856" s="8"/>
      <c r="P856" s="6"/>
      <c r="Q856" s="5"/>
      <c r="R856" s="5"/>
      <c r="S856" s="5"/>
      <c r="T856" s="5"/>
      <c r="U856" s="5"/>
      <c r="V856" s="5"/>
      <c r="W856" s="5"/>
      <c r="X856" s="8"/>
      <c r="Y856" s="9"/>
      <c r="Z856" s="10"/>
      <c r="AA856" s="10"/>
      <c r="AB856" s="8"/>
      <c r="AC856" s="10"/>
    </row>
    <row r="857" spans="1:29" s="4" customFormat="1" x14ac:dyDescent="0.3">
      <c r="A857" s="3"/>
      <c r="B857" s="39"/>
      <c r="C857" s="5"/>
      <c r="D857" s="5"/>
      <c r="E857" s="5"/>
      <c r="F857" s="5"/>
      <c r="G857" s="29"/>
      <c r="H857"/>
      <c r="I857" s="7"/>
      <c r="J857" s="7"/>
      <c r="K857" s="7"/>
      <c r="L857" s="8"/>
      <c r="M857" s="7"/>
      <c r="N857" s="7"/>
      <c r="O857" s="8"/>
      <c r="P857" s="6"/>
      <c r="Q857" s="5"/>
      <c r="R857" s="5"/>
      <c r="S857" s="5"/>
      <c r="T857" s="5"/>
      <c r="U857" s="5"/>
      <c r="V857" s="5"/>
      <c r="W857" s="5"/>
      <c r="X857" s="8"/>
      <c r="Y857" s="9"/>
      <c r="Z857" s="10"/>
      <c r="AA857" s="10"/>
      <c r="AB857" s="8"/>
      <c r="AC857" s="10"/>
    </row>
    <row r="858" spans="1:29" s="4" customFormat="1" x14ac:dyDescent="0.3">
      <c r="A858" s="3"/>
      <c r="B858" s="39"/>
      <c r="C858" s="5"/>
      <c r="D858" s="5"/>
      <c r="E858" s="5"/>
      <c r="F858" s="5"/>
      <c r="G858" s="29"/>
      <c r="H858"/>
      <c r="I858" s="7"/>
      <c r="J858" s="7"/>
      <c r="K858" s="7"/>
      <c r="L858" s="8"/>
      <c r="M858" s="7"/>
      <c r="N858" s="7"/>
      <c r="O858" s="8"/>
      <c r="P858" s="6"/>
      <c r="Q858" s="5"/>
      <c r="R858" s="5"/>
      <c r="S858" s="5"/>
      <c r="T858" s="5"/>
      <c r="U858" s="5"/>
      <c r="V858" s="5"/>
      <c r="W858" s="5"/>
      <c r="X858" s="8"/>
      <c r="Y858" s="9"/>
      <c r="Z858" s="10"/>
      <c r="AA858" s="10"/>
      <c r="AB858" s="8"/>
      <c r="AC858" s="10"/>
    </row>
    <row r="859" spans="1:29" s="4" customFormat="1" x14ac:dyDescent="0.3">
      <c r="A859" s="3"/>
      <c r="B859" s="39"/>
      <c r="C859" s="5"/>
      <c r="D859" s="5"/>
      <c r="E859" s="5"/>
      <c r="F859" s="5"/>
      <c r="G859" s="29"/>
      <c r="H859"/>
      <c r="I859" s="7"/>
      <c r="J859" s="7"/>
      <c r="K859" s="7"/>
      <c r="L859" s="8"/>
      <c r="M859" s="7"/>
      <c r="N859" s="7"/>
      <c r="O859" s="8"/>
      <c r="P859" s="6"/>
      <c r="Q859" s="5"/>
      <c r="R859" s="5"/>
      <c r="S859" s="5"/>
      <c r="T859" s="5"/>
      <c r="U859" s="5"/>
      <c r="V859" s="5"/>
      <c r="W859" s="5"/>
      <c r="X859" s="8"/>
      <c r="Y859" s="9"/>
      <c r="Z859" s="10"/>
      <c r="AA859" s="10"/>
      <c r="AB859" s="8"/>
      <c r="AC859" s="10"/>
    </row>
    <row r="860" spans="1:29" s="4" customFormat="1" x14ac:dyDescent="0.3">
      <c r="A860" s="3"/>
      <c r="B860" s="39"/>
      <c r="C860" s="5"/>
      <c r="D860" s="5"/>
      <c r="E860" s="5"/>
      <c r="F860" s="5"/>
      <c r="G860" s="29"/>
      <c r="H860"/>
      <c r="I860" s="7"/>
      <c r="J860" s="7"/>
      <c r="K860" s="7"/>
      <c r="L860" s="8"/>
      <c r="M860" s="7"/>
      <c r="N860" s="7"/>
      <c r="O860" s="8"/>
      <c r="P860" s="6"/>
      <c r="Q860" s="5"/>
      <c r="R860" s="5"/>
      <c r="S860" s="5"/>
      <c r="T860" s="5"/>
      <c r="U860" s="5"/>
      <c r="V860" s="5"/>
      <c r="W860" s="5"/>
      <c r="X860" s="8"/>
      <c r="Y860" s="9"/>
      <c r="Z860" s="10"/>
      <c r="AA860" s="10"/>
      <c r="AB860" s="8"/>
      <c r="AC860" s="10"/>
    </row>
    <row r="861" spans="1:29" s="4" customFormat="1" x14ac:dyDescent="0.3">
      <c r="A861" s="3"/>
      <c r="B861" s="39"/>
      <c r="C861" s="5"/>
      <c r="D861" s="5"/>
      <c r="E861" s="5"/>
      <c r="F861" s="5"/>
      <c r="G861" s="29"/>
      <c r="H861"/>
      <c r="I861" s="7"/>
      <c r="J861" s="7"/>
      <c r="K861" s="7"/>
      <c r="L861" s="8"/>
      <c r="M861" s="7"/>
      <c r="N861" s="7"/>
      <c r="O861" s="8"/>
      <c r="P861" s="6"/>
      <c r="Q861" s="5"/>
      <c r="R861" s="5"/>
      <c r="S861" s="5"/>
      <c r="T861" s="5"/>
      <c r="U861" s="5"/>
      <c r="V861" s="5"/>
      <c r="W861" s="5"/>
      <c r="X861" s="8"/>
      <c r="Y861" s="9"/>
      <c r="Z861" s="10"/>
      <c r="AA861" s="10"/>
      <c r="AB861" s="8"/>
      <c r="AC861" s="10"/>
    </row>
    <row r="862" spans="1:29" s="4" customFormat="1" x14ac:dyDescent="0.3">
      <c r="A862" s="3"/>
      <c r="B862" s="39"/>
      <c r="C862" s="5"/>
      <c r="D862" s="5"/>
      <c r="E862" s="5"/>
      <c r="F862" s="5"/>
      <c r="G862" s="29"/>
      <c r="H862"/>
      <c r="I862" s="7"/>
      <c r="J862" s="7"/>
      <c r="K862" s="7"/>
      <c r="L862" s="8"/>
      <c r="M862" s="7"/>
      <c r="N862" s="7"/>
      <c r="O862" s="8"/>
      <c r="P862" s="6"/>
      <c r="Q862" s="5"/>
      <c r="R862" s="5"/>
      <c r="S862" s="5"/>
      <c r="T862" s="5"/>
      <c r="U862" s="5"/>
      <c r="V862" s="5"/>
      <c r="W862" s="5"/>
      <c r="X862" s="8"/>
      <c r="Y862" s="9"/>
      <c r="Z862" s="10"/>
      <c r="AA862" s="10"/>
      <c r="AB862" s="8"/>
      <c r="AC862" s="10"/>
    </row>
    <row r="863" spans="1:29" s="4" customFormat="1" x14ac:dyDescent="0.3">
      <c r="A863" s="3"/>
      <c r="B863" s="39"/>
      <c r="C863" s="5"/>
      <c r="D863" s="5"/>
      <c r="E863" s="5"/>
      <c r="F863" s="5"/>
      <c r="G863" s="29"/>
      <c r="H863"/>
      <c r="I863" s="7"/>
      <c r="J863" s="7"/>
      <c r="K863" s="7"/>
      <c r="L863" s="8"/>
      <c r="M863" s="7"/>
      <c r="N863" s="7"/>
      <c r="O863" s="8"/>
      <c r="P863" s="6"/>
      <c r="Q863" s="5"/>
      <c r="R863" s="5"/>
      <c r="S863" s="5"/>
      <c r="T863" s="5"/>
      <c r="U863" s="5"/>
      <c r="V863" s="5"/>
      <c r="W863" s="5"/>
      <c r="X863" s="8"/>
      <c r="Y863" s="9"/>
      <c r="Z863" s="10"/>
      <c r="AA863" s="10"/>
      <c r="AB863" s="8"/>
      <c r="AC863" s="10"/>
    </row>
    <row r="864" spans="1:29" s="4" customFormat="1" x14ac:dyDescent="0.3">
      <c r="A864" s="3"/>
      <c r="B864" s="39"/>
      <c r="C864" s="5"/>
      <c r="D864" s="5"/>
      <c r="E864" s="5"/>
      <c r="F864" s="5"/>
      <c r="G864" s="29"/>
      <c r="H864"/>
      <c r="I864" s="7"/>
      <c r="J864" s="7"/>
      <c r="K864" s="7"/>
      <c r="L864" s="8"/>
      <c r="M864" s="7"/>
      <c r="N864" s="7"/>
      <c r="O864" s="8"/>
      <c r="P864" s="6"/>
      <c r="Q864" s="5"/>
      <c r="R864" s="5"/>
      <c r="S864" s="5"/>
      <c r="T864" s="5"/>
      <c r="U864" s="5"/>
      <c r="V864" s="5"/>
      <c r="W864" s="5"/>
      <c r="X864" s="8"/>
      <c r="Y864" s="9"/>
      <c r="Z864" s="10"/>
      <c r="AA864" s="10"/>
      <c r="AB864" s="8"/>
      <c r="AC864" s="10"/>
    </row>
    <row r="865" spans="1:29" s="4" customFormat="1" x14ac:dyDescent="0.3">
      <c r="A865" s="3"/>
      <c r="B865" s="39"/>
      <c r="C865" s="5"/>
      <c r="D865" s="5"/>
      <c r="E865" s="5"/>
      <c r="F865" s="5"/>
      <c r="G865" s="29"/>
      <c r="H865"/>
      <c r="I865" s="7"/>
      <c r="J865" s="7"/>
      <c r="K865" s="7"/>
      <c r="L865" s="8"/>
      <c r="M865" s="7"/>
      <c r="N865" s="7"/>
      <c r="O865" s="8"/>
      <c r="P865" s="6"/>
      <c r="Q865" s="5"/>
      <c r="R865" s="5"/>
      <c r="S865" s="5"/>
      <c r="T865" s="5"/>
      <c r="U865" s="5"/>
      <c r="V865" s="5"/>
      <c r="W865" s="5"/>
      <c r="X865" s="8"/>
      <c r="Y865" s="9"/>
      <c r="Z865" s="10"/>
      <c r="AA865" s="10"/>
      <c r="AB865" s="8"/>
      <c r="AC865" s="10"/>
    </row>
    <row r="866" spans="1:29" s="4" customFormat="1" x14ac:dyDescent="0.3">
      <c r="A866" s="3"/>
      <c r="B866" s="39"/>
      <c r="C866" s="5"/>
      <c r="D866" s="5"/>
      <c r="E866" s="5"/>
      <c r="F866" s="5"/>
      <c r="G866" s="29"/>
      <c r="H866"/>
      <c r="I866" s="7"/>
      <c r="J866" s="7"/>
      <c r="K866" s="7"/>
      <c r="L866" s="8"/>
      <c r="M866" s="7"/>
      <c r="N866" s="7"/>
      <c r="O866" s="8"/>
      <c r="P866" s="6"/>
      <c r="Q866" s="5"/>
      <c r="R866" s="5"/>
      <c r="S866" s="5"/>
      <c r="T866" s="5"/>
      <c r="U866" s="5"/>
      <c r="V866" s="5"/>
      <c r="W866" s="5"/>
      <c r="X866" s="8"/>
      <c r="Y866" s="9"/>
      <c r="Z866" s="10"/>
      <c r="AA866" s="10"/>
      <c r="AB866" s="8"/>
      <c r="AC866" s="10"/>
    </row>
    <row r="867" spans="1:29" s="4" customFormat="1" x14ac:dyDescent="0.3">
      <c r="A867" s="3"/>
      <c r="B867" s="39"/>
      <c r="C867" s="5"/>
      <c r="D867" s="5"/>
      <c r="E867" s="5"/>
      <c r="F867" s="5"/>
      <c r="G867" s="29"/>
      <c r="H867"/>
      <c r="I867" s="7"/>
      <c r="J867" s="7"/>
      <c r="K867" s="7"/>
      <c r="L867" s="8"/>
      <c r="M867" s="7"/>
      <c r="N867" s="7"/>
      <c r="O867" s="8"/>
      <c r="P867" s="6"/>
      <c r="Q867" s="5"/>
      <c r="R867" s="5"/>
      <c r="S867" s="5"/>
      <c r="T867" s="5"/>
      <c r="U867" s="5"/>
      <c r="V867" s="5"/>
      <c r="W867" s="5"/>
      <c r="X867" s="8"/>
      <c r="Y867" s="9"/>
      <c r="Z867" s="10"/>
      <c r="AA867" s="10"/>
      <c r="AB867" s="8"/>
      <c r="AC867" s="10"/>
    </row>
    <row r="868" spans="1:29" s="4" customFormat="1" x14ac:dyDescent="0.3">
      <c r="A868" s="3"/>
      <c r="B868" s="39"/>
      <c r="C868" s="5"/>
      <c r="D868" s="5"/>
      <c r="E868" s="5"/>
      <c r="F868" s="5"/>
      <c r="G868" s="29"/>
      <c r="H868"/>
      <c r="I868" s="7"/>
      <c r="J868" s="7"/>
      <c r="K868" s="7"/>
      <c r="L868" s="8"/>
      <c r="M868" s="7"/>
      <c r="N868" s="7"/>
      <c r="O868" s="8"/>
      <c r="P868" s="6"/>
      <c r="Q868" s="5"/>
      <c r="R868" s="5"/>
      <c r="S868" s="5"/>
      <c r="T868" s="5"/>
      <c r="U868" s="5"/>
      <c r="V868" s="5"/>
      <c r="W868" s="5"/>
      <c r="X868" s="8"/>
      <c r="Y868" s="9"/>
      <c r="Z868" s="10"/>
      <c r="AA868" s="10"/>
      <c r="AB868" s="8"/>
      <c r="AC868" s="10"/>
    </row>
    <row r="869" spans="1:29" s="4" customFormat="1" x14ac:dyDescent="0.3">
      <c r="A869" s="3"/>
      <c r="B869" s="39"/>
      <c r="C869" s="5"/>
      <c r="D869" s="5"/>
      <c r="E869" s="5"/>
      <c r="F869" s="5"/>
      <c r="G869" s="29"/>
      <c r="H869"/>
      <c r="I869" s="7"/>
      <c r="J869" s="7"/>
      <c r="K869" s="7"/>
      <c r="L869" s="8"/>
      <c r="M869" s="7"/>
      <c r="N869" s="7"/>
      <c r="O869" s="8"/>
      <c r="P869" s="6"/>
      <c r="Q869" s="5"/>
      <c r="R869" s="5"/>
      <c r="S869" s="5"/>
      <c r="T869" s="5"/>
      <c r="U869" s="5"/>
      <c r="V869" s="5"/>
      <c r="W869" s="5"/>
      <c r="X869" s="8"/>
      <c r="Y869" s="9"/>
      <c r="Z869" s="10"/>
      <c r="AA869" s="10"/>
      <c r="AB869" s="8"/>
      <c r="AC869" s="10"/>
    </row>
    <row r="870" spans="1:29" s="4" customFormat="1" x14ac:dyDescent="0.3">
      <c r="A870" s="3"/>
      <c r="B870" s="39"/>
      <c r="C870" s="5"/>
      <c r="D870" s="5"/>
      <c r="E870" s="5"/>
      <c r="F870" s="5"/>
      <c r="G870" s="29"/>
      <c r="H870"/>
      <c r="I870" s="7"/>
      <c r="J870" s="7"/>
      <c r="K870" s="7"/>
      <c r="L870" s="8"/>
      <c r="M870" s="7"/>
      <c r="N870" s="7"/>
      <c r="O870" s="8"/>
      <c r="P870" s="6"/>
      <c r="Q870" s="5"/>
      <c r="R870" s="5"/>
      <c r="S870" s="5"/>
      <c r="T870" s="5"/>
      <c r="U870" s="5"/>
      <c r="V870" s="5"/>
      <c r="W870" s="5"/>
      <c r="X870" s="8"/>
      <c r="Y870" s="9"/>
      <c r="Z870" s="10"/>
      <c r="AA870" s="10"/>
      <c r="AB870" s="8"/>
      <c r="AC870" s="10"/>
    </row>
    <row r="871" spans="1:29" s="4" customFormat="1" x14ac:dyDescent="0.3">
      <c r="A871" s="3"/>
      <c r="B871" s="39"/>
      <c r="C871" s="5"/>
      <c r="D871" s="5"/>
      <c r="E871" s="5"/>
      <c r="F871" s="5"/>
      <c r="G871" s="29"/>
      <c r="H871"/>
      <c r="I871" s="7"/>
      <c r="J871" s="7"/>
      <c r="K871" s="7"/>
      <c r="L871" s="8"/>
      <c r="M871" s="7"/>
      <c r="N871" s="7"/>
      <c r="O871" s="8"/>
      <c r="P871" s="6"/>
      <c r="Q871" s="5"/>
      <c r="R871" s="5"/>
      <c r="S871" s="5"/>
      <c r="T871" s="5"/>
      <c r="U871" s="5"/>
      <c r="V871" s="5"/>
      <c r="W871" s="5"/>
      <c r="X871" s="8"/>
      <c r="Y871" s="9"/>
      <c r="Z871" s="10"/>
      <c r="AA871" s="10"/>
      <c r="AB871" s="8"/>
      <c r="AC871" s="10"/>
    </row>
    <row r="872" spans="1:29" s="4" customFormat="1" x14ac:dyDescent="0.3">
      <c r="A872" s="3"/>
      <c r="B872" s="39"/>
      <c r="C872" s="5"/>
      <c r="D872" s="5"/>
      <c r="E872" s="5"/>
      <c r="F872" s="5"/>
      <c r="G872" s="29"/>
      <c r="H872"/>
      <c r="I872" s="7"/>
      <c r="J872" s="7"/>
      <c r="K872" s="7"/>
      <c r="L872" s="8"/>
      <c r="M872" s="7"/>
      <c r="N872" s="7"/>
      <c r="O872" s="8"/>
      <c r="P872" s="6"/>
      <c r="Q872" s="5"/>
      <c r="R872" s="5"/>
      <c r="S872" s="5"/>
      <c r="T872" s="5"/>
      <c r="U872" s="5"/>
      <c r="V872" s="5"/>
      <c r="W872" s="5"/>
      <c r="X872" s="8"/>
      <c r="Y872" s="9"/>
      <c r="Z872" s="10"/>
      <c r="AA872" s="10"/>
      <c r="AB872" s="8"/>
      <c r="AC872" s="10"/>
    </row>
    <row r="873" spans="1:29" s="4" customFormat="1" x14ac:dyDescent="0.3">
      <c r="A873" s="3"/>
      <c r="B873" s="39"/>
      <c r="C873" s="5"/>
      <c r="D873" s="5"/>
      <c r="E873" s="5"/>
      <c r="F873" s="5"/>
      <c r="G873" s="29"/>
      <c r="H873"/>
      <c r="I873" s="7"/>
      <c r="J873" s="7"/>
      <c r="K873" s="7"/>
      <c r="L873" s="8"/>
      <c r="M873" s="7"/>
      <c r="N873" s="7"/>
      <c r="O873" s="8"/>
      <c r="P873" s="6"/>
      <c r="Q873" s="5"/>
      <c r="R873" s="5"/>
      <c r="S873" s="5"/>
      <c r="T873" s="5"/>
      <c r="U873" s="5"/>
      <c r="V873" s="5"/>
      <c r="W873" s="5"/>
      <c r="X873" s="8"/>
      <c r="Y873" s="9"/>
      <c r="Z873" s="10"/>
      <c r="AA873" s="10"/>
      <c r="AB873" s="8"/>
      <c r="AC873" s="10"/>
    </row>
    <row r="874" spans="1:29" s="4" customFormat="1" x14ac:dyDescent="0.3">
      <c r="A874" s="3"/>
      <c r="B874" s="39"/>
      <c r="C874" s="5"/>
      <c r="D874" s="5"/>
      <c r="E874" s="5"/>
      <c r="F874" s="5"/>
      <c r="G874" s="29"/>
      <c r="H874"/>
      <c r="I874" s="7"/>
      <c r="J874" s="7"/>
      <c r="K874" s="7"/>
      <c r="L874" s="8"/>
      <c r="M874" s="7"/>
      <c r="N874" s="7"/>
      <c r="O874" s="8"/>
      <c r="P874" s="6"/>
      <c r="Q874" s="5"/>
      <c r="R874" s="5"/>
      <c r="S874" s="5"/>
      <c r="T874" s="5"/>
      <c r="U874" s="5"/>
      <c r="V874" s="5"/>
      <c r="W874" s="5"/>
      <c r="X874" s="8"/>
      <c r="Y874" s="9"/>
      <c r="Z874" s="10"/>
      <c r="AA874" s="10"/>
      <c r="AB874" s="8"/>
      <c r="AC874" s="10"/>
    </row>
    <row r="875" spans="1:29" s="4" customFormat="1" x14ac:dyDescent="0.3">
      <c r="A875" s="3"/>
      <c r="B875" s="39"/>
      <c r="C875" s="5"/>
      <c r="D875" s="5"/>
      <c r="E875" s="5"/>
      <c r="F875" s="5"/>
      <c r="G875" s="29"/>
      <c r="H875"/>
      <c r="I875" s="7"/>
      <c r="J875" s="7"/>
      <c r="K875" s="7"/>
      <c r="L875" s="8"/>
      <c r="M875" s="7"/>
      <c r="N875" s="7"/>
      <c r="O875" s="8"/>
      <c r="P875" s="6"/>
      <c r="Q875" s="5"/>
      <c r="R875" s="5"/>
      <c r="S875" s="5"/>
      <c r="T875" s="5"/>
      <c r="U875" s="5"/>
      <c r="V875" s="5"/>
      <c r="W875" s="5"/>
      <c r="X875" s="8"/>
      <c r="Y875" s="9"/>
      <c r="Z875" s="10"/>
      <c r="AA875" s="10"/>
      <c r="AB875" s="8"/>
      <c r="AC875" s="10"/>
    </row>
    <row r="876" spans="1:29" s="4" customFormat="1" x14ac:dyDescent="0.3">
      <c r="A876" s="3"/>
      <c r="B876" s="39"/>
      <c r="C876" s="5"/>
      <c r="D876" s="5"/>
      <c r="E876" s="5"/>
      <c r="F876" s="5"/>
      <c r="G876" s="29"/>
      <c r="H876"/>
      <c r="I876" s="7"/>
      <c r="J876" s="7"/>
      <c r="K876" s="7"/>
      <c r="L876" s="8"/>
      <c r="M876" s="7"/>
      <c r="N876" s="7"/>
      <c r="O876" s="8"/>
      <c r="P876" s="6"/>
      <c r="Q876" s="5"/>
      <c r="R876" s="5"/>
      <c r="S876" s="5"/>
      <c r="T876" s="5"/>
      <c r="U876" s="5"/>
      <c r="V876" s="5"/>
      <c r="W876" s="5"/>
      <c r="X876" s="8"/>
      <c r="Y876" s="9"/>
      <c r="Z876" s="10"/>
      <c r="AA876" s="10"/>
      <c r="AB876" s="8"/>
      <c r="AC876" s="10"/>
    </row>
    <row r="877" spans="1:29" s="4" customFormat="1" x14ac:dyDescent="0.3">
      <c r="A877" s="3"/>
      <c r="B877" s="39"/>
      <c r="C877" s="5"/>
      <c r="D877" s="5"/>
      <c r="E877" s="5"/>
      <c r="F877" s="5"/>
      <c r="G877" s="29"/>
      <c r="H877"/>
      <c r="I877" s="7"/>
      <c r="J877" s="7"/>
      <c r="K877" s="7"/>
      <c r="L877" s="8"/>
      <c r="M877" s="7"/>
      <c r="N877" s="7"/>
      <c r="O877" s="8"/>
      <c r="P877" s="6"/>
      <c r="Q877" s="5"/>
      <c r="R877" s="5"/>
      <c r="S877" s="5"/>
      <c r="T877" s="5"/>
      <c r="U877" s="5"/>
      <c r="V877" s="5"/>
      <c r="W877" s="5"/>
      <c r="X877" s="8"/>
      <c r="Y877" s="9"/>
      <c r="Z877" s="10"/>
      <c r="AA877" s="10"/>
      <c r="AB877" s="8"/>
      <c r="AC877" s="10"/>
    </row>
    <row r="878" spans="1:29" s="4" customFormat="1" x14ac:dyDescent="0.3">
      <c r="A878" s="3"/>
      <c r="B878" s="39"/>
      <c r="C878" s="5"/>
      <c r="D878" s="5"/>
      <c r="E878" s="5"/>
      <c r="F878" s="5"/>
      <c r="G878" s="29"/>
      <c r="H878"/>
      <c r="I878" s="7"/>
      <c r="J878" s="7"/>
      <c r="K878" s="7"/>
      <c r="L878" s="8"/>
      <c r="M878" s="7"/>
      <c r="N878" s="7"/>
      <c r="O878" s="8"/>
      <c r="P878" s="6"/>
      <c r="Q878" s="5"/>
      <c r="R878" s="5"/>
      <c r="S878" s="5"/>
      <c r="T878" s="5"/>
      <c r="U878" s="5"/>
      <c r="V878" s="5"/>
      <c r="W878" s="5"/>
      <c r="X878" s="8"/>
      <c r="Y878" s="9"/>
      <c r="Z878" s="10"/>
      <c r="AA878" s="10"/>
      <c r="AB878" s="8"/>
      <c r="AC878" s="10"/>
    </row>
    <row r="879" spans="1:29" s="4" customFormat="1" x14ac:dyDescent="0.3">
      <c r="A879" s="3"/>
      <c r="B879" s="39"/>
      <c r="C879" s="5"/>
      <c r="D879" s="5"/>
      <c r="E879" s="5"/>
      <c r="F879" s="5"/>
      <c r="G879" s="29"/>
      <c r="H879"/>
      <c r="I879" s="7"/>
      <c r="J879" s="7"/>
      <c r="K879" s="7"/>
      <c r="L879" s="8"/>
      <c r="M879" s="7"/>
      <c r="N879" s="7"/>
      <c r="O879" s="8"/>
      <c r="P879" s="6"/>
      <c r="Q879" s="5"/>
      <c r="R879" s="5"/>
      <c r="S879" s="5"/>
      <c r="T879" s="5"/>
      <c r="U879" s="5"/>
      <c r="V879" s="5"/>
      <c r="W879" s="5"/>
      <c r="X879" s="8"/>
      <c r="Y879" s="9"/>
      <c r="Z879" s="10"/>
      <c r="AA879" s="10"/>
      <c r="AB879" s="8"/>
      <c r="AC879" s="10"/>
    </row>
    <row r="880" spans="1:29" s="4" customFormat="1" x14ac:dyDescent="0.3">
      <c r="A880" s="3"/>
      <c r="B880" s="39"/>
      <c r="C880" s="5"/>
      <c r="D880" s="5"/>
      <c r="E880" s="5"/>
      <c r="F880" s="5"/>
      <c r="G880" s="29"/>
      <c r="H880"/>
      <c r="I880" s="7"/>
      <c r="J880" s="7"/>
      <c r="K880" s="7"/>
      <c r="L880" s="8"/>
      <c r="M880" s="7"/>
      <c r="N880" s="7"/>
      <c r="O880" s="8"/>
      <c r="P880" s="6"/>
      <c r="Q880" s="5"/>
      <c r="R880" s="5"/>
      <c r="S880" s="5"/>
      <c r="T880" s="5"/>
      <c r="U880" s="5"/>
      <c r="V880" s="5"/>
      <c r="W880" s="5"/>
      <c r="X880" s="8"/>
      <c r="Y880" s="9"/>
      <c r="Z880" s="10"/>
      <c r="AA880" s="10"/>
      <c r="AB880" s="8"/>
      <c r="AC880" s="10"/>
    </row>
    <row r="881" spans="1:29" s="4" customFormat="1" x14ac:dyDescent="0.3">
      <c r="A881" s="3"/>
      <c r="B881" s="39"/>
      <c r="C881" s="5"/>
      <c r="D881" s="5"/>
      <c r="E881" s="5"/>
      <c r="F881" s="5"/>
      <c r="G881" s="29"/>
      <c r="H881"/>
      <c r="I881" s="7"/>
      <c r="J881" s="7"/>
      <c r="K881" s="7"/>
      <c r="L881" s="8"/>
      <c r="M881" s="7"/>
      <c r="N881" s="7"/>
      <c r="O881" s="8"/>
      <c r="P881" s="6"/>
      <c r="Q881" s="5"/>
      <c r="R881" s="5"/>
      <c r="S881" s="5"/>
      <c r="T881" s="5"/>
      <c r="U881" s="5"/>
      <c r="V881" s="5"/>
      <c r="W881" s="5"/>
      <c r="X881" s="8"/>
      <c r="Y881" s="9"/>
      <c r="Z881" s="10"/>
      <c r="AA881" s="10"/>
      <c r="AB881" s="8"/>
      <c r="AC881" s="10"/>
    </row>
    <row r="882" spans="1:29" s="4" customFormat="1" x14ac:dyDescent="0.3">
      <c r="A882" s="3"/>
      <c r="B882" s="39"/>
      <c r="C882" s="5"/>
      <c r="D882" s="5"/>
      <c r="E882" s="5"/>
      <c r="F882" s="5"/>
      <c r="G882" s="29"/>
      <c r="H882"/>
      <c r="I882" s="7"/>
      <c r="J882" s="7"/>
      <c r="K882" s="7"/>
      <c r="L882" s="8"/>
      <c r="M882" s="7"/>
      <c r="N882" s="7"/>
      <c r="O882" s="8"/>
      <c r="P882" s="6"/>
      <c r="Q882" s="5"/>
      <c r="R882" s="5"/>
      <c r="S882" s="5"/>
      <c r="T882" s="5"/>
      <c r="U882" s="5"/>
      <c r="V882" s="5"/>
      <c r="W882" s="5"/>
      <c r="X882" s="8"/>
      <c r="Y882" s="9"/>
      <c r="Z882" s="10"/>
      <c r="AA882" s="10"/>
      <c r="AB882" s="8"/>
      <c r="AC882" s="10"/>
    </row>
    <row r="883" spans="1:29" s="4" customFormat="1" x14ac:dyDescent="0.3">
      <c r="A883" s="3"/>
      <c r="B883" s="39"/>
      <c r="C883" s="5"/>
      <c r="D883" s="5"/>
      <c r="E883" s="5"/>
      <c r="F883" s="5"/>
      <c r="G883" s="29"/>
      <c r="H883"/>
      <c r="I883" s="7"/>
      <c r="J883" s="7"/>
      <c r="K883" s="7"/>
      <c r="L883" s="8"/>
      <c r="M883" s="7"/>
      <c r="N883" s="7"/>
      <c r="O883" s="8"/>
      <c r="P883" s="6"/>
      <c r="Q883" s="5"/>
      <c r="R883" s="5"/>
      <c r="S883" s="5"/>
      <c r="T883" s="5"/>
      <c r="U883" s="5"/>
      <c r="V883" s="5"/>
      <c r="W883" s="5"/>
      <c r="X883" s="8"/>
      <c r="Y883" s="9"/>
      <c r="Z883" s="10"/>
      <c r="AA883" s="10"/>
      <c r="AB883" s="8"/>
      <c r="AC883" s="10"/>
    </row>
    <row r="884" spans="1:29" s="4" customFormat="1" x14ac:dyDescent="0.3">
      <c r="A884" s="3"/>
      <c r="B884" s="39"/>
      <c r="C884" s="5"/>
      <c r="D884" s="5"/>
      <c r="E884" s="5"/>
      <c r="F884" s="5"/>
      <c r="G884" s="29"/>
      <c r="H884"/>
      <c r="I884" s="7"/>
      <c r="J884" s="7"/>
      <c r="K884" s="7"/>
      <c r="L884" s="8"/>
      <c r="M884" s="7"/>
      <c r="N884" s="7"/>
      <c r="O884" s="8"/>
      <c r="P884" s="6"/>
      <c r="Q884" s="5"/>
      <c r="R884" s="5"/>
      <c r="S884" s="5"/>
      <c r="T884" s="5"/>
      <c r="U884" s="5"/>
      <c r="V884" s="5"/>
      <c r="W884" s="5"/>
      <c r="X884" s="8"/>
      <c r="Y884" s="9"/>
      <c r="Z884" s="10"/>
      <c r="AA884" s="10"/>
      <c r="AB884" s="8"/>
      <c r="AC884" s="10"/>
    </row>
    <row r="885" spans="1:29" s="4" customFormat="1" x14ac:dyDescent="0.3">
      <c r="A885" s="3"/>
      <c r="B885" s="39"/>
      <c r="C885" s="5"/>
      <c r="D885" s="5"/>
      <c r="E885" s="5"/>
      <c r="F885" s="5"/>
      <c r="G885" s="29"/>
      <c r="H885"/>
      <c r="I885" s="7"/>
      <c r="J885" s="7"/>
      <c r="K885" s="7"/>
      <c r="L885" s="8"/>
      <c r="M885" s="7"/>
      <c r="N885" s="7"/>
      <c r="O885" s="8"/>
      <c r="P885" s="6"/>
      <c r="Q885" s="5"/>
      <c r="R885" s="5"/>
      <c r="S885" s="5"/>
      <c r="T885" s="5"/>
      <c r="U885" s="5"/>
      <c r="V885" s="5"/>
      <c r="W885" s="5"/>
      <c r="X885" s="8"/>
      <c r="Y885" s="9"/>
      <c r="Z885" s="10"/>
      <c r="AA885" s="10"/>
      <c r="AB885" s="8"/>
      <c r="AC885" s="10"/>
    </row>
    <row r="886" spans="1:29" s="4" customFormat="1" x14ac:dyDescent="0.3">
      <c r="A886" s="3"/>
      <c r="B886" s="39"/>
      <c r="C886" s="5"/>
      <c r="D886" s="5"/>
      <c r="E886" s="5"/>
      <c r="F886" s="5"/>
      <c r="G886" s="29"/>
      <c r="H886"/>
      <c r="I886" s="7"/>
      <c r="J886" s="7"/>
      <c r="K886" s="7"/>
      <c r="L886" s="8"/>
      <c r="M886" s="7"/>
      <c r="N886" s="7"/>
      <c r="O886" s="8"/>
      <c r="P886" s="6"/>
      <c r="Q886" s="5"/>
      <c r="R886" s="5"/>
      <c r="S886" s="5"/>
      <c r="T886" s="5"/>
      <c r="U886" s="5"/>
      <c r="V886" s="5"/>
      <c r="W886" s="5"/>
      <c r="X886" s="8"/>
      <c r="Y886" s="9"/>
      <c r="Z886" s="10"/>
      <c r="AA886" s="10"/>
      <c r="AB886" s="8"/>
      <c r="AC886" s="10"/>
    </row>
    <row r="887" spans="1:29" s="4" customFormat="1" x14ac:dyDescent="0.3">
      <c r="A887" s="3"/>
      <c r="B887" s="39"/>
      <c r="C887" s="5"/>
      <c r="D887" s="5"/>
      <c r="E887" s="5"/>
      <c r="F887" s="5"/>
      <c r="G887" s="29"/>
      <c r="H887"/>
      <c r="I887" s="7"/>
      <c r="J887" s="7"/>
      <c r="K887" s="7"/>
      <c r="L887" s="8"/>
      <c r="M887" s="7"/>
      <c r="N887" s="7"/>
      <c r="O887" s="8"/>
      <c r="P887" s="6"/>
      <c r="Q887" s="5"/>
      <c r="R887" s="5"/>
      <c r="S887" s="5"/>
      <c r="T887" s="5"/>
      <c r="U887" s="5"/>
      <c r="V887" s="5"/>
      <c r="W887" s="5"/>
      <c r="X887" s="8"/>
      <c r="Y887" s="9"/>
      <c r="Z887" s="10"/>
      <c r="AA887" s="10"/>
      <c r="AB887" s="8"/>
      <c r="AC887" s="10"/>
    </row>
    <row r="888" spans="1:29" s="4" customFormat="1" x14ac:dyDescent="0.3">
      <c r="A888" s="3"/>
      <c r="B888" s="39"/>
      <c r="C888" s="5"/>
      <c r="D888" s="5"/>
      <c r="E888" s="5"/>
      <c r="F888" s="5"/>
      <c r="G888" s="29"/>
      <c r="H888"/>
      <c r="I888" s="7"/>
      <c r="J888" s="7"/>
      <c r="K888" s="7"/>
      <c r="L888" s="8"/>
      <c r="M888" s="7"/>
      <c r="N888" s="7"/>
      <c r="O888" s="8"/>
      <c r="P888" s="6"/>
      <c r="Q888" s="5"/>
      <c r="R888" s="5"/>
      <c r="S888" s="5"/>
      <c r="T888" s="5"/>
      <c r="U888" s="5"/>
      <c r="V888" s="5"/>
      <c r="W888" s="5"/>
      <c r="X888" s="8"/>
      <c r="Y888" s="9"/>
      <c r="Z888" s="10"/>
      <c r="AA888" s="10"/>
      <c r="AB888" s="8"/>
      <c r="AC888" s="10"/>
    </row>
    <row r="889" spans="1:29" s="4" customFormat="1" x14ac:dyDescent="0.3">
      <c r="A889" s="3"/>
      <c r="B889" s="39"/>
      <c r="C889" s="5"/>
      <c r="D889" s="5"/>
      <c r="E889" s="5"/>
      <c r="F889" s="5"/>
      <c r="G889" s="29"/>
      <c r="H889"/>
      <c r="I889" s="7"/>
      <c r="J889" s="7"/>
      <c r="K889" s="7"/>
      <c r="L889" s="8"/>
      <c r="M889" s="7"/>
      <c r="N889" s="7"/>
      <c r="O889" s="8"/>
      <c r="P889" s="6"/>
      <c r="Q889" s="5"/>
      <c r="R889" s="5"/>
      <c r="S889" s="5"/>
      <c r="T889" s="5"/>
      <c r="U889" s="5"/>
      <c r="V889" s="5"/>
      <c r="W889" s="5"/>
      <c r="X889" s="8"/>
      <c r="Y889" s="9"/>
      <c r="Z889" s="10"/>
      <c r="AA889" s="10"/>
      <c r="AB889" s="8"/>
      <c r="AC889" s="10"/>
    </row>
    <row r="890" spans="1:29" s="4" customFormat="1" x14ac:dyDescent="0.3">
      <c r="A890" s="3"/>
      <c r="B890" s="39"/>
      <c r="C890" s="5"/>
      <c r="D890" s="5"/>
      <c r="E890" s="5"/>
      <c r="F890" s="5"/>
      <c r="G890" s="29"/>
      <c r="H890"/>
      <c r="I890" s="7"/>
      <c r="J890" s="7"/>
      <c r="K890" s="7"/>
      <c r="L890" s="8"/>
      <c r="M890" s="7"/>
      <c r="N890" s="7"/>
      <c r="O890" s="8"/>
      <c r="P890" s="6"/>
      <c r="Q890" s="5"/>
      <c r="R890" s="5"/>
      <c r="S890" s="5"/>
      <c r="T890" s="5"/>
      <c r="U890" s="5"/>
      <c r="V890" s="5"/>
      <c r="W890" s="5"/>
      <c r="X890" s="8"/>
      <c r="Y890" s="9"/>
      <c r="Z890" s="10"/>
      <c r="AA890" s="10"/>
      <c r="AB890" s="8"/>
      <c r="AC890" s="10"/>
    </row>
    <row r="891" spans="1:29" s="4" customFormat="1" x14ac:dyDescent="0.3">
      <c r="A891" s="3"/>
      <c r="B891" s="39"/>
      <c r="C891" s="5"/>
      <c r="D891" s="5"/>
      <c r="E891" s="5"/>
      <c r="F891" s="5"/>
      <c r="G891" s="29"/>
      <c r="H891"/>
      <c r="I891" s="7"/>
      <c r="J891" s="7"/>
      <c r="K891" s="7"/>
      <c r="L891" s="8"/>
      <c r="M891" s="7"/>
      <c r="N891" s="7"/>
      <c r="O891" s="8"/>
      <c r="P891" s="6"/>
      <c r="Q891" s="5"/>
      <c r="R891" s="5"/>
      <c r="S891" s="5"/>
      <c r="T891" s="5"/>
      <c r="U891" s="5"/>
      <c r="V891" s="5"/>
      <c r="W891" s="5"/>
      <c r="X891" s="8"/>
      <c r="Y891" s="9"/>
      <c r="Z891" s="10"/>
      <c r="AA891" s="10"/>
      <c r="AB891" s="8"/>
      <c r="AC891" s="10"/>
    </row>
    <row r="892" spans="1:29" s="4" customFormat="1" x14ac:dyDescent="0.3">
      <c r="A892" s="3"/>
      <c r="B892" s="39"/>
      <c r="C892" s="5"/>
      <c r="D892" s="5"/>
      <c r="E892" s="5"/>
      <c r="F892" s="5"/>
      <c r="G892" s="29"/>
      <c r="H892"/>
      <c r="I892" s="7"/>
      <c r="J892" s="7"/>
      <c r="K892" s="7"/>
      <c r="L892" s="8"/>
      <c r="M892" s="7"/>
      <c r="N892" s="7"/>
      <c r="O892" s="8"/>
      <c r="P892" s="6"/>
      <c r="Q892" s="5"/>
      <c r="R892" s="5"/>
      <c r="S892" s="5"/>
      <c r="T892" s="5"/>
      <c r="U892" s="5"/>
      <c r="V892" s="5"/>
      <c r="W892" s="5"/>
      <c r="X892" s="8"/>
      <c r="Y892" s="9"/>
      <c r="Z892" s="10"/>
      <c r="AA892" s="10"/>
      <c r="AB892" s="8"/>
      <c r="AC892" s="10"/>
    </row>
    <row r="893" spans="1:29" s="4" customFormat="1" x14ac:dyDescent="0.3">
      <c r="A893" s="3"/>
      <c r="B893" s="39"/>
      <c r="C893" s="5"/>
      <c r="D893" s="5"/>
      <c r="E893" s="5"/>
      <c r="F893" s="5"/>
      <c r="G893" s="29"/>
      <c r="H893"/>
      <c r="I893" s="7"/>
      <c r="J893" s="7"/>
      <c r="K893" s="7"/>
      <c r="L893" s="8"/>
      <c r="M893" s="7"/>
      <c r="N893" s="7"/>
      <c r="O893" s="8"/>
      <c r="P893" s="6"/>
      <c r="Q893" s="5"/>
      <c r="R893" s="5"/>
      <c r="S893" s="5"/>
      <c r="T893" s="5"/>
      <c r="U893" s="5"/>
      <c r="V893" s="5"/>
      <c r="W893" s="5"/>
      <c r="X893" s="8"/>
      <c r="Y893" s="9"/>
      <c r="Z893" s="10"/>
      <c r="AA893" s="10"/>
      <c r="AB893" s="8"/>
      <c r="AC893" s="10"/>
    </row>
    <row r="894" spans="1:29" s="4" customFormat="1" x14ac:dyDescent="0.3">
      <c r="A894" s="3"/>
      <c r="B894" s="39"/>
      <c r="C894" s="5"/>
      <c r="D894" s="5"/>
      <c r="E894" s="5"/>
      <c r="F894" s="5"/>
      <c r="G894" s="29"/>
      <c r="H894"/>
      <c r="I894" s="7"/>
      <c r="J894" s="7"/>
      <c r="K894" s="7"/>
      <c r="L894" s="8"/>
      <c r="M894" s="7"/>
      <c r="N894" s="7"/>
      <c r="O894" s="8"/>
      <c r="P894" s="6"/>
      <c r="Q894" s="5"/>
      <c r="R894" s="5"/>
      <c r="S894" s="5"/>
      <c r="T894" s="5"/>
      <c r="U894" s="5"/>
      <c r="V894" s="5"/>
      <c r="W894" s="5"/>
      <c r="X894" s="8"/>
      <c r="Y894" s="9"/>
      <c r="Z894" s="10"/>
      <c r="AA894" s="10"/>
      <c r="AB894" s="8"/>
      <c r="AC894" s="10"/>
    </row>
    <row r="895" spans="1:29" s="4" customFormat="1" x14ac:dyDescent="0.3">
      <c r="A895" s="3"/>
      <c r="B895" s="39"/>
      <c r="C895" s="5"/>
      <c r="D895" s="5"/>
      <c r="E895" s="5"/>
      <c r="F895" s="5"/>
      <c r="G895" s="29"/>
      <c r="H895"/>
      <c r="I895" s="7"/>
      <c r="J895" s="7"/>
      <c r="K895" s="7"/>
      <c r="L895" s="8"/>
      <c r="M895" s="7"/>
      <c r="N895" s="7"/>
      <c r="O895" s="8"/>
      <c r="P895" s="6"/>
      <c r="Q895" s="5"/>
      <c r="R895" s="5"/>
      <c r="S895" s="5"/>
      <c r="T895" s="5"/>
      <c r="U895" s="5"/>
      <c r="V895" s="5"/>
      <c r="W895" s="5"/>
      <c r="X895" s="8"/>
      <c r="Y895" s="9"/>
      <c r="Z895" s="10"/>
      <c r="AA895" s="10"/>
      <c r="AB895" s="8"/>
      <c r="AC895" s="10"/>
    </row>
    <row r="896" spans="1:29" s="4" customFormat="1" x14ac:dyDescent="0.3">
      <c r="A896" s="3"/>
      <c r="B896" s="39"/>
      <c r="C896" s="5"/>
      <c r="D896" s="5"/>
      <c r="E896" s="5"/>
      <c r="F896" s="5"/>
      <c r="G896" s="29"/>
      <c r="H896"/>
      <c r="I896" s="7"/>
      <c r="J896" s="7"/>
      <c r="K896" s="7"/>
      <c r="L896" s="8"/>
      <c r="M896" s="7"/>
      <c r="N896" s="7"/>
      <c r="O896" s="8"/>
      <c r="P896" s="6"/>
      <c r="Q896" s="5"/>
      <c r="R896" s="5"/>
      <c r="S896" s="5"/>
      <c r="T896" s="5"/>
      <c r="U896" s="5"/>
      <c r="V896" s="5"/>
      <c r="W896" s="5"/>
      <c r="X896" s="8"/>
      <c r="Y896" s="9"/>
      <c r="Z896" s="10"/>
      <c r="AA896" s="10"/>
      <c r="AB896" s="8"/>
      <c r="AC896" s="10"/>
    </row>
    <row r="897" spans="1:29" s="4" customFormat="1" x14ac:dyDescent="0.3">
      <c r="A897" s="3"/>
      <c r="B897" s="39"/>
      <c r="C897" s="5"/>
      <c r="D897" s="5"/>
      <c r="E897" s="5"/>
      <c r="F897" s="5"/>
      <c r="G897" s="29"/>
      <c r="H897"/>
      <c r="I897" s="7"/>
      <c r="J897" s="7"/>
      <c r="K897" s="7"/>
      <c r="L897" s="8"/>
      <c r="M897" s="7"/>
      <c r="N897" s="7"/>
      <c r="O897" s="8"/>
      <c r="P897" s="6"/>
      <c r="Q897" s="5"/>
      <c r="R897" s="5"/>
      <c r="S897" s="5"/>
      <c r="T897" s="5"/>
      <c r="U897" s="5"/>
      <c r="V897" s="5"/>
      <c r="W897" s="5"/>
      <c r="X897" s="8"/>
      <c r="Y897" s="9"/>
      <c r="Z897" s="10"/>
      <c r="AA897" s="10"/>
      <c r="AB897" s="8"/>
      <c r="AC897" s="10"/>
    </row>
    <row r="898" spans="1:29" s="4" customFormat="1" x14ac:dyDescent="0.3">
      <c r="A898" s="3"/>
      <c r="B898" s="39"/>
      <c r="C898" s="5"/>
      <c r="D898" s="5"/>
      <c r="E898" s="5"/>
      <c r="F898" s="5"/>
      <c r="G898" s="29"/>
      <c r="H898"/>
      <c r="I898" s="7"/>
      <c r="J898" s="7"/>
      <c r="K898" s="7"/>
      <c r="L898" s="8"/>
      <c r="M898" s="7"/>
      <c r="N898" s="7"/>
      <c r="O898" s="8"/>
      <c r="P898" s="6"/>
      <c r="Q898" s="5"/>
      <c r="R898" s="5"/>
      <c r="S898" s="5"/>
      <c r="T898" s="5"/>
      <c r="U898" s="5"/>
      <c r="V898" s="5"/>
      <c r="W898" s="5"/>
      <c r="X898" s="8"/>
      <c r="Y898" s="9"/>
      <c r="Z898" s="10"/>
      <c r="AA898" s="10"/>
      <c r="AB898" s="8"/>
      <c r="AC898" s="10"/>
    </row>
    <row r="899" spans="1:29" s="4" customFormat="1" x14ac:dyDescent="0.3">
      <c r="A899" s="3"/>
      <c r="B899" s="39"/>
      <c r="C899" s="5"/>
      <c r="D899" s="5"/>
      <c r="E899" s="5"/>
      <c r="F899" s="5"/>
      <c r="G899" s="29"/>
      <c r="H899"/>
      <c r="I899" s="7"/>
      <c r="J899" s="7"/>
      <c r="K899" s="7"/>
      <c r="L899" s="8"/>
      <c r="M899" s="7"/>
      <c r="N899" s="7"/>
      <c r="O899" s="8"/>
      <c r="P899" s="6"/>
      <c r="Q899" s="5"/>
      <c r="R899" s="5"/>
      <c r="S899" s="5"/>
      <c r="T899" s="5"/>
      <c r="U899" s="5"/>
      <c r="V899" s="5"/>
      <c r="W899" s="5"/>
      <c r="X899" s="8"/>
      <c r="Y899" s="9"/>
      <c r="Z899" s="10"/>
      <c r="AA899" s="10"/>
      <c r="AB899" s="8"/>
      <c r="AC899" s="10"/>
    </row>
    <row r="900" spans="1:29" s="4" customFormat="1" x14ac:dyDescent="0.3">
      <c r="A900" s="3"/>
      <c r="B900" s="39"/>
      <c r="C900" s="5"/>
      <c r="D900" s="5"/>
      <c r="E900" s="5"/>
      <c r="F900" s="5"/>
      <c r="G900" s="29"/>
      <c r="H900"/>
      <c r="I900" s="7"/>
      <c r="J900" s="7"/>
      <c r="K900" s="7"/>
      <c r="L900" s="8"/>
      <c r="M900" s="7"/>
      <c r="N900" s="7"/>
      <c r="O900" s="8"/>
      <c r="P900" s="6"/>
      <c r="Q900" s="5"/>
      <c r="R900" s="5"/>
      <c r="S900" s="5"/>
      <c r="T900" s="5"/>
      <c r="U900" s="5"/>
      <c r="V900" s="5"/>
      <c r="W900" s="5"/>
      <c r="X900" s="8"/>
      <c r="Y900" s="9"/>
      <c r="Z900" s="10"/>
      <c r="AA900" s="10"/>
      <c r="AB900" s="8"/>
      <c r="AC900" s="10"/>
    </row>
    <row r="901" spans="1:29" s="4" customFormat="1" x14ac:dyDescent="0.3">
      <c r="A901" s="3"/>
      <c r="B901" s="39"/>
      <c r="C901" s="5"/>
      <c r="D901" s="5"/>
      <c r="E901" s="5"/>
      <c r="F901" s="5"/>
      <c r="G901" s="29"/>
      <c r="H901"/>
      <c r="I901" s="7"/>
      <c r="J901" s="7"/>
      <c r="K901" s="7"/>
      <c r="L901" s="8"/>
      <c r="M901" s="7"/>
      <c r="N901" s="7"/>
      <c r="O901" s="8"/>
      <c r="P901" s="6"/>
      <c r="Q901" s="5"/>
      <c r="R901" s="5"/>
      <c r="S901" s="5"/>
      <c r="T901" s="5"/>
      <c r="U901" s="5"/>
      <c r="V901" s="5"/>
      <c r="W901" s="5"/>
      <c r="X901" s="8"/>
      <c r="Y901" s="9"/>
      <c r="Z901" s="10"/>
      <c r="AA901" s="10"/>
      <c r="AB901" s="8"/>
      <c r="AC901" s="10"/>
    </row>
    <row r="902" spans="1:29" s="4" customFormat="1" x14ac:dyDescent="0.3">
      <c r="A902" s="3"/>
      <c r="B902" s="39"/>
      <c r="C902" s="5"/>
      <c r="D902" s="5"/>
      <c r="E902" s="5"/>
      <c r="F902" s="5"/>
      <c r="G902" s="29"/>
      <c r="H902"/>
      <c r="I902" s="7"/>
      <c r="J902" s="7"/>
      <c r="K902" s="7"/>
      <c r="L902" s="8"/>
      <c r="M902" s="7"/>
      <c r="N902" s="7"/>
      <c r="O902" s="8"/>
      <c r="P902" s="6"/>
      <c r="Q902" s="5"/>
      <c r="R902" s="5"/>
      <c r="S902" s="5"/>
      <c r="T902" s="5"/>
      <c r="U902" s="5"/>
      <c r="V902" s="5"/>
      <c r="W902" s="5"/>
      <c r="X902" s="8"/>
      <c r="Y902" s="9"/>
      <c r="Z902" s="10"/>
      <c r="AA902" s="10"/>
      <c r="AB902" s="8"/>
      <c r="AC902" s="10"/>
    </row>
    <row r="903" spans="1:29" s="4" customFormat="1" x14ac:dyDescent="0.3">
      <c r="A903" s="3"/>
      <c r="B903" s="39"/>
      <c r="C903" s="5"/>
      <c r="D903" s="5"/>
      <c r="E903" s="5"/>
      <c r="F903" s="5"/>
      <c r="G903" s="29"/>
      <c r="H903"/>
      <c r="I903" s="7"/>
      <c r="J903" s="7"/>
      <c r="K903" s="7"/>
      <c r="L903" s="8"/>
      <c r="M903" s="7"/>
      <c r="N903" s="7"/>
      <c r="O903" s="8"/>
      <c r="P903" s="6"/>
      <c r="Q903" s="5"/>
      <c r="R903" s="5"/>
      <c r="S903" s="5"/>
      <c r="T903" s="5"/>
      <c r="U903" s="5"/>
      <c r="V903" s="5"/>
      <c r="W903" s="5"/>
      <c r="X903" s="8"/>
      <c r="Y903" s="9"/>
      <c r="Z903" s="10"/>
      <c r="AA903" s="10"/>
      <c r="AB903" s="8"/>
      <c r="AC903" s="10"/>
    </row>
    <row r="904" spans="1:29" s="4" customFormat="1" x14ac:dyDescent="0.3">
      <c r="A904" s="3"/>
      <c r="B904" s="39"/>
      <c r="C904" s="5"/>
      <c r="D904" s="5"/>
      <c r="E904" s="5"/>
      <c r="F904" s="5"/>
      <c r="G904" s="29"/>
      <c r="H904"/>
      <c r="I904" s="7"/>
      <c r="J904" s="7"/>
      <c r="K904" s="7"/>
      <c r="L904" s="8"/>
      <c r="M904" s="7"/>
      <c r="N904" s="7"/>
      <c r="O904" s="8"/>
      <c r="P904" s="6"/>
      <c r="Q904" s="5"/>
      <c r="R904" s="5"/>
      <c r="S904" s="5"/>
      <c r="T904" s="5"/>
      <c r="U904" s="5"/>
      <c r="V904" s="5"/>
      <c r="W904" s="5"/>
      <c r="X904" s="8"/>
      <c r="Y904" s="9"/>
      <c r="Z904" s="10"/>
      <c r="AA904" s="10"/>
      <c r="AB904" s="8"/>
      <c r="AC904" s="10"/>
    </row>
    <row r="905" spans="1:29" s="4" customFormat="1" x14ac:dyDescent="0.3">
      <c r="A905" s="3"/>
      <c r="B905" s="39"/>
      <c r="C905" s="5"/>
      <c r="D905" s="5"/>
      <c r="E905" s="5"/>
      <c r="F905" s="5"/>
      <c r="G905" s="29"/>
      <c r="H905"/>
      <c r="I905" s="7"/>
      <c r="J905" s="7"/>
      <c r="K905" s="7"/>
      <c r="L905" s="8"/>
      <c r="M905" s="7"/>
      <c r="N905" s="7"/>
      <c r="O905" s="8"/>
      <c r="P905" s="6"/>
      <c r="Q905" s="5"/>
      <c r="R905" s="5"/>
      <c r="S905" s="5"/>
      <c r="T905" s="5"/>
      <c r="U905" s="5"/>
      <c r="V905" s="5"/>
      <c r="W905" s="5"/>
      <c r="X905" s="8"/>
      <c r="Y905" s="9"/>
      <c r="Z905" s="10"/>
      <c r="AA905" s="10"/>
      <c r="AB905" s="8"/>
      <c r="AC905" s="10"/>
    </row>
    <row r="906" spans="1:29" s="4" customFormat="1" x14ac:dyDescent="0.3">
      <c r="A906" s="3"/>
      <c r="B906" s="39"/>
      <c r="C906" s="5"/>
      <c r="D906" s="5"/>
      <c r="E906" s="5"/>
      <c r="F906" s="5"/>
      <c r="G906" s="29"/>
      <c r="H906"/>
      <c r="I906" s="7"/>
      <c r="J906" s="7"/>
      <c r="K906" s="7"/>
      <c r="L906" s="8"/>
      <c r="M906" s="7"/>
      <c r="N906" s="7"/>
      <c r="O906" s="8"/>
      <c r="P906" s="6"/>
      <c r="Q906" s="5"/>
      <c r="R906" s="5"/>
      <c r="S906" s="5"/>
      <c r="T906" s="5"/>
      <c r="U906" s="5"/>
      <c r="V906" s="5"/>
      <c r="W906" s="5"/>
      <c r="X906" s="8"/>
      <c r="Y906" s="9"/>
      <c r="Z906" s="10"/>
      <c r="AA906" s="10"/>
      <c r="AB906" s="8"/>
      <c r="AC906" s="10"/>
    </row>
    <row r="907" spans="1:29" s="4" customFormat="1" x14ac:dyDescent="0.3">
      <c r="A907" s="3"/>
      <c r="B907" s="39"/>
      <c r="C907" s="5"/>
      <c r="D907" s="5"/>
      <c r="E907" s="5"/>
      <c r="F907" s="5"/>
      <c r="G907" s="29"/>
      <c r="H907"/>
      <c r="I907" s="7"/>
      <c r="J907" s="7"/>
      <c r="K907" s="7"/>
      <c r="L907" s="8"/>
      <c r="M907" s="7"/>
      <c r="N907" s="7"/>
      <c r="O907" s="8"/>
      <c r="P907" s="6"/>
      <c r="Q907" s="5"/>
      <c r="R907" s="5"/>
      <c r="S907" s="5"/>
      <c r="T907" s="5"/>
      <c r="U907" s="5"/>
      <c r="V907" s="5"/>
      <c r="W907" s="5"/>
      <c r="X907" s="8"/>
      <c r="Y907" s="9"/>
      <c r="Z907" s="10"/>
      <c r="AA907" s="10"/>
      <c r="AB907" s="8"/>
      <c r="AC907" s="10"/>
    </row>
    <row r="908" spans="1:29" s="4" customFormat="1" x14ac:dyDescent="0.3">
      <c r="A908" s="3"/>
      <c r="B908" s="39"/>
      <c r="C908" s="5"/>
      <c r="D908" s="5"/>
      <c r="E908" s="5"/>
      <c r="F908" s="5"/>
      <c r="G908" s="29"/>
      <c r="H908"/>
      <c r="I908" s="7"/>
      <c r="J908" s="7"/>
      <c r="K908" s="7"/>
      <c r="L908" s="8"/>
      <c r="M908" s="7"/>
      <c r="N908" s="7"/>
      <c r="O908" s="8"/>
      <c r="P908" s="6"/>
      <c r="Q908" s="5"/>
      <c r="R908" s="5"/>
      <c r="S908" s="5"/>
      <c r="T908" s="5"/>
      <c r="U908" s="5"/>
      <c r="V908" s="5"/>
      <c r="W908" s="5"/>
      <c r="X908" s="8"/>
      <c r="Y908" s="9"/>
      <c r="Z908" s="10"/>
      <c r="AA908" s="10"/>
      <c r="AB908" s="8"/>
      <c r="AC908" s="10"/>
    </row>
    <row r="909" spans="1:29" s="4" customFormat="1" x14ac:dyDescent="0.3">
      <c r="A909" s="3"/>
      <c r="B909" s="39"/>
      <c r="C909" s="5"/>
      <c r="D909" s="5"/>
      <c r="E909" s="5"/>
      <c r="F909" s="5"/>
      <c r="G909" s="29"/>
      <c r="H909"/>
      <c r="I909" s="7"/>
      <c r="J909" s="7"/>
      <c r="K909" s="7"/>
      <c r="L909" s="8"/>
      <c r="M909" s="7"/>
      <c r="N909" s="7"/>
      <c r="O909" s="8"/>
      <c r="P909" s="6"/>
      <c r="Q909" s="5"/>
      <c r="R909" s="5"/>
      <c r="S909" s="5"/>
      <c r="T909" s="5"/>
      <c r="U909" s="5"/>
      <c r="V909" s="5"/>
      <c r="W909" s="5"/>
      <c r="X909" s="8"/>
      <c r="Y909" s="9"/>
      <c r="Z909" s="10"/>
      <c r="AA909" s="10"/>
      <c r="AB909" s="8"/>
      <c r="AC909" s="10"/>
    </row>
    <row r="910" spans="1:29" s="4" customFormat="1" x14ac:dyDescent="0.3">
      <c r="A910" s="3"/>
      <c r="B910" s="39"/>
      <c r="C910" s="5"/>
      <c r="D910" s="5"/>
      <c r="E910" s="5"/>
      <c r="F910" s="5"/>
      <c r="G910" s="29"/>
      <c r="H910"/>
      <c r="I910" s="7"/>
      <c r="J910" s="7"/>
      <c r="K910" s="7"/>
      <c r="L910" s="8"/>
      <c r="M910" s="7"/>
      <c r="N910" s="7"/>
      <c r="O910" s="8"/>
      <c r="P910" s="6"/>
      <c r="Q910" s="5"/>
      <c r="R910" s="5"/>
      <c r="S910" s="5"/>
      <c r="T910" s="5"/>
      <c r="U910" s="5"/>
      <c r="V910" s="5"/>
      <c r="W910" s="5"/>
      <c r="X910" s="8"/>
      <c r="Y910" s="9"/>
      <c r="Z910" s="10"/>
      <c r="AA910" s="10"/>
      <c r="AB910" s="8"/>
      <c r="AC910" s="10"/>
    </row>
    <row r="911" spans="1:29" s="4" customFormat="1" x14ac:dyDescent="0.3">
      <c r="A911" s="3"/>
      <c r="B911" s="39"/>
      <c r="C911" s="5"/>
      <c r="D911" s="5"/>
      <c r="E911" s="5"/>
      <c r="F911" s="5"/>
      <c r="G911" s="29"/>
      <c r="H911"/>
      <c r="I911" s="7"/>
      <c r="J911" s="7"/>
      <c r="K911" s="7"/>
      <c r="L911" s="8"/>
      <c r="M911" s="7"/>
      <c r="N911" s="7"/>
      <c r="O911" s="8"/>
      <c r="P911" s="6"/>
      <c r="Q911" s="5"/>
      <c r="R911" s="5"/>
      <c r="S911" s="5"/>
      <c r="T911" s="5"/>
      <c r="U911" s="5"/>
      <c r="V911" s="5"/>
      <c r="W911" s="5"/>
      <c r="X911" s="8"/>
      <c r="Y911" s="9"/>
      <c r="Z911" s="10"/>
      <c r="AA911" s="10"/>
      <c r="AB911" s="8"/>
      <c r="AC911" s="10"/>
    </row>
    <row r="912" spans="1:29" s="4" customFormat="1" x14ac:dyDescent="0.3">
      <c r="A912" s="3"/>
      <c r="B912" s="39"/>
      <c r="C912" s="5"/>
      <c r="D912" s="5"/>
      <c r="E912" s="5"/>
      <c r="F912" s="5"/>
      <c r="G912" s="29"/>
      <c r="H912"/>
      <c r="I912" s="7"/>
      <c r="J912" s="7"/>
      <c r="K912" s="7"/>
      <c r="L912" s="8"/>
      <c r="M912" s="7"/>
      <c r="N912" s="7"/>
      <c r="O912" s="8"/>
      <c r="P912" s="6"/>
      <c r="Q912" s="5"/>
      <c r="R912" s="5"/>
      <c r="S912" s="5"/>
      <c r="T912" s="5"/>
      <c r="U912" s="5"/>
      <c r="V912" s="5"/>
      <c r="W912" s="5"/>
      <c r="X912" s="8"/>
      <c r="Y912" s="9"/>
      <c r="Z912" s="10"/>
      <c r="AA912" s="10"/>
      <c r="AB912" s="8"/>
      <c r="AC912" s="10"/>
    </row>
    <row r="913" spans="1:29" s="4" customFormat="1" x14ac:dyDescent="0.3">
      <c r="A913" s="3"/>
      <c r="B913" s="39"/>
      <c r="C913" s="5"/>
      <c r="D913" s="5"/>
      <c r="E913" s="5"/>
      <c r="F913" s="5"/>
      <c r="G913" s="29"/>
      <c r="H913"/>
      <c r="I913" s="7"/>
      <c r="J913" s="7"/>
      <c r="K913" s="7"/>
      <c r="L913" s="8"/>
      <c r="M913" s="7"/>
      <c r="N913" s="7"/>
      <c r="O913" s="8"/>
      <c r="P913" s="6"/>
      <c r="Q913" s="5"/>
      <c r="R913" s="5"/>
      <c r="S913" s="5"/>
      <c r="T913" s="5"/>
      <c r="U913" s="5"/>
      <c r="V913" s="5"/>
      <c r="W913" s="5"/>
      <c r="X913" s="8"/>
      <c r="Y913" s="9"/>
      <c r="Z913" s="10"/>
      <c r="AA913" s="10"/>
      <c r="AB913" s="8"/>
      <c r="AC913" s="10"/>
    </row>
    <row r="914" spans="1:29" s="4" customFormat="1" x14ac:dyDescent="0.3">
      <c r="A914" s="3"/>
      <c r="B914" s="39"/>
      <c r="C914" s="5"/>
      <c r="D914" s="5"/>
      <c r="E914" s="5"/>
      <c r="F914" s="5"/>
      <c r="G914" s="29"/>
      <c r="H914"/>
      <c r="I914" s="7"/>
      <c r="J914" s="7"/>
      <c r="K914" s="7"/>
      <c r="L914" s="8"/>
      <c r="M914" s="7"/>
      <c r="N914" s="7"/>
      <c r="O914" s="8"/>
      <c r="P914" s="6"/>
      <c r="Q914" s="5"/>
      <c r="R914" s="5"/>
      <c r="S914" s="5"/>
      <c r="T914" s="5"/>
      <c r="U914" s="5"/>
      <c r="V914" s="5"/>
      <c r="W914" s="5"/>
      <c r="X914" s="8"/>
      <c r="Y914" s="9"/>
      <c r="Z914" s="10"/>
      <c r="AA914" s="10"/>
      <c r="AB914" s="8"/>
      <c r="AC914" s="10"/>
    </row>
    <row r="915" spans="1:29" s="4" customFormat="1" x14ac:dyDescent="0.3">
      <c r="A915" s="3"/>
      <c r="B915" s="39"/>
      <c r="C915" s="5"/>
      <c r="D915" s="5"/>
      <c r="E915" s="5"/>
      <c r="F915" s="5"/>
      <c r="G915" s="29"/>
      <c r="H915"/>
      <c r="I915" s="7"/>
      <c r="J915" s="7"/>
      <c r="K915" s="7"/>
      <c r="L915" s="8"/>
      <c r="M915" s="7"/>
      <c r="N915" s="7"/>
      <c r="O915" s="8"/>
      <c r="P915" s="6"/>
      <c r="Q915" s="5"/>
      <c r="R915" s="5"/>
      <c r="S915" s="5"/>
      <c r="T915" s="5"/>
      <c r="U915" s="5"/>
      <c r="V915" s="5"/>
      <c r="W915" s="5"/>
      <c r="X915" s="8"/>
      <c r="Y915" s="9"/>
      <c r="Z915" s="10"/>
      <c r="AA915" s="10"/>
      <c r="AB915" s="8"/>
      <c r="AC915" s="10"/>
    </row>
    <row r="916" spans="1:29" s="4" customFormat="1" x14ac:dyDescent="0.3">
      <c r="A916" s="3"/>
      <c r="B916" s="39"/>
      <c r="C916" s="5"/>
      <c r="D916" s="5"/>
      <c r="E916" s="5"/>
      <c r="F916" s="5"/>
      <c r="G916" s="29"/>
      <c r="H916"/>
      <c r="I916" s="7"/>
      <c r="J916" s="7"/>
      <c r="K916" s="7"/>
      <c r="L916" s="8"/>
      <c r="M916" s="7"/>
      <c r="N916" s="7"/>
      <c r="O916" s="8"/>
      <c r="P916" s="6"/>
      <c r="Q916" s="5"/>
      <c r="R916" s="5"/>
      <c r="S916" s="5"/>
      <c r="T916" s="5"/>
      <c r="U916" s="5"/>
      <c r="V916" s="5"/>
      <c r="W916" s="5"/>
      <c r="X916" s="8"/>
      <c r="Y916" s="9"/>
      <c r="Z916" s="10"/>
      <c r="AA916" s="10"/>
      <c r="AB916" s="8"/>
      <c r="AC916" s="10"/>
    </row>
    <row r="917" spans="1:29" s="4" customFormat="1" x14ac:dyDescent="0.3">
      <c r="A917" s="3"/>
      <c r="B917" s="39"/>
      <c r="C917" s="5"/>
      <c r="D917" s="5"/>
      <c r="E917" s="5"/>
      <c r="F917" s="5"/>
      <c r="G917" s="29"/>
      <c r="H917"/>
      <c r="I917" s="7"/>
      <c r="J917" s="7"/>
      <c r="K917" s="7"/>
      <c r="L917" s="8"/>
      <c r="M917" s="7"/>
      <c r="N917" s="7"/>
      <c r="O917" s="8"/>
      <c r="P917" s="6"/>
      <c r="Q917" s="5"/>
      <c r="R917" s="5"/>
      <c r="S917" s="5"/>
      <c r="T917" s="5"/>
      <c r="U917" s="5"/>
      <c r="V917" s="5"/>
      <c r="W917" s="5"/>
      <c r="X917" s="8"/>
      <c r="Y917" s="9"/>
      <c r="Z917" s="10"/>
      <c r="AA917" s="10"/>
      <c r="AB917" s="8"/>
      <c r="AC917" s="10"/>
    </row>
    <row r="918" spans="1:29" s="4" customFormat="1" x14ac:dyDescent="0.3">
      <c r="A918" s="3"/>
      <c r="B918" s="39"/>
      <c r="C918" s="5"/>
      <c r="D918" s="5"/>
      <c r="E918" s="5"/>
      <c r="F918" s="5"/>
      <c r="G918" s="29"/>
      <c r="H918"/>
      <c r="I918" s="7"/>
      <c r="J918" s="7"/>
      <c r="K918" s="7"/>
      <c r="L918" s="8"/>
      <c r="M918" s="7"/>
      <c r="N918" s="7"/>
      <c r="O918" s="8"/>
      <c r="P918" s="6"/>
      <c r="Q918" s="5"/>
      <c r="R918" s="5"/>
      <c r="S918" s="5"/>
      <c r="T918" s="5"/>
      <c r="U918" s="5"/>
      <c r="V918" s="5"/>
      <c r="W918" s="5"/>
      <c r="X918" s="8"/>
      <c r="Y918" s="9"/>
      <c r="Z918" s="10"/>
      <c r="AA918" s="10"/>
      <c r="AB918" s="8"/>
      <c r="AC918" s="10"/>
    </row>
    <row r="919" spans="1:29" s="4" customFormat="1" x14ac:dyDescent="0.3">
      <c r="A919" s="3"/>
      <c r="B919" s="39"/>
      <c r="C919" s="5"/>
      <c r="D919" s="5"/>
      <c r="E919" s="5"/>
      <c r="F919" s="5"/>
      <c r="G919" s="29"/>
      <c r="H919"/>
      <c r="I919" s="7"/>
      <c r="J919" s="7"/>
      <c r="K919" s="7"/>
      <c r="L919" s="8"/>
      <c r="M919" s="7"/>
      <c r="N919" s="7"/>
      <c r="O919" s="8"/>
      <c r="P919" s="6"/>
      <c r="Q919" s="5"/>
      <c r="R919" s="5"/>
      <c r="S919" s="5"/>
      <c r="T919" s="5"/>
      <c r="U919" s="5"/>
      <c r="V919" s="5"/>
      <c r="W919" s="5"/>
      <c r="X919" s="8"/>
      <c r="Y919" s="9"/>
      <c r="Z919" s="10"/>
      <c r="AA919" s="10"/>
      <c r="AB919" s="8"/>
      <c r="AC919" s="10"/>
    </row>
    <row r="920" spans="1:29" s="4" customFormat="1" x14ac:dyDescent="0.3">
      <c r="A920" s="3"/>
      <c r="B920" s="39"/>
      <c r="C920" s="5"/>
      <c r="D920" s="5"/>
      <c r="E920" s="5"/>
      <c r="F920" s="5"/>
      <c r="G920" s="29"/>
      <c r="H920"/>
      <c r="I920" s="7"/>
      <c r="J920" s="7"/>
      <c r="K920" s="7"/>
      <c r="L920" s="8"/>
      <c r="M920" s="7"/>
      <c r="N920" s="7"/>
      <c r="O920" s="8"/>
      <c r="P920" s="6"/>
      <c r="Q920" s="5"/>
      <c r="R920" s="5"/>
      <c r="S920" s="5"/>
      <c r="T920" s="5"/>
      <c r="U920" s="5"/>
      <c r="V920" s="5"/>
      <c r="W920" s="5"/>
      <c r="X920" s="8"/>
      <c r="Y920" s="9"/>
      <c r="Z920" s="10"/>
      <c r="AA920" s="10"/>
      <c r="AB920" s="8"/>
      <c r="AC920" s="10"/>
    </row>
    <row r="921" spans="1:29" s="4" customFormat="1" x14ac:dyDescent="0.3">
      <c r="A921" s="3"/>
      <c r="B921" s="39"/>
      <c r="C921" s="5"/>
      <c r="D921" s="5"/>
      <c r="E921" s="5"/>
      <c r="F921" s="5"/>
      <c r="G921" s="29"/>
      <c r="H921"/>
      <c r="I921" s="7"/>
      <c r="J921" s="7"/>
      <c r="K921" s="7"/>
      <c r="L921" s="8"/>
      <c r="M921" s="7"/>
      <c r="N921" s="7"/>
      <c r="O921" s="8"/>
      <c r="P921" s="6"/>
      <c r="Q921" s="5"/>
      <c r="R921" s="5"/>
      <c r="S921" s="5"/>
      <c r="T921" s="5"/>
      <c r="U921" s="5"/>
      <c r="V921" s="5"/>
      <c r="W921" s="5"/>
      <c r="X921" s="8"/>
      <c r="Y921" s="9"/>
      <c r="Z921" s="10"/>
      <c r="AA921" s="10"/>
      <c r="AB921" s="8"/>
      <c r="AC921" s="10"/>
    </row>
    <row r="922" spans="1:29" s="4" customFormat="1" x14ac:dyDescent="0.3">
      <c r="A922" s="3"/>
      <c r="B922" s="39"/>
      <c r="C922" s="5"/>
      <c r="D922" s="5"/>
      <c r="E922" s="5"/>
      <c r="F922" s="5"/>
      <c r="G922" s="29"/>
      <c r="H922"/>
      <c r="I922" s="7"/>
      <c r="J922" s="7"/>
      <c r="K922" s="7"/>
      <c r="L922" s="8"/>
      <c r="M922" s="7"/>
      <c r="N922" s="7"/>
      <c r="O922" s="8"/>
      <c r="P922" s="6"/>
      <c r="Q922" s="5"/>
      <c r="R922" s="5"/>
      <c r="S922" s="5"/>
      <c r="T922" s="5"/>
      <c r="U922" s="5"/>
      <c r="V922" s="5"/>
      <c r="W922" s="5"/>
      <c r="X922" s="8"/>
      <c r="Y922" s="9"/>
      <c r="Z922" s="10"/>
      <c r="AA922" s="10"/>
      <c r="AB922" s="8"/>
      <c r="AC922" s="10"/>
    </row>
    <row r="923" spans="1:29" s="4" customFormat="1" x14ac:dyDescent="0.3">
      <c r="A923" s="3"/>
      <c r="B923" s="39"/>
      <c r="C923" s="5"/>
      <c r="D923" s="5"/>
      <c r="E923" s="5"/>
      <c r="F923" s="5"/>
      <c r="G923" s="29"/>
      <c r="H923"/>
      <c r="I923" s="7"/>
      <c r="J923" s="7"/>
      <c r="K923" s="7"/>
      <c r="L923" s="8"/>
      <c r="M923" s="7"/>
      <c r="N923" s="7"/>
      <c r="O923" s="8"/>
      <c r="P923" s="6"/>
      <c r="Q923" s="5"/>
      <c r="R923" s="5"/>
      <c r="S923" s="5"/>
      <c r="T923" s="5"/>
      <c r="U923" s="5"/>
      <c r="V923" s="5"/>
      <c r="W923" s="5"/>
      <c r="X923" s="8"/>
      <c r="Y923" s="9"/>
      <c r="Z923" s="10"/>
      <c r="AA923" s="10"/>
      <c r="AB923" s="8"/>
      <c r="AC923" s="10"/>
    </row>
    <row r="924" spans="1:29" s="4" customFormat="1" x14ac:dyDescent="0.3">
      <c r="A924" s="3"/>
      <c r="B924" s="39"/>
      <c r="C924" s="5"/>
      <c r="D924" s="5"/>
      <c r="E924" s="5"/>
      <c r="F924" s="5"/>
      <c r="G924" s="29"/>
      <c r="H924"/>
      <c r="I924" s="7"/>
      <c r="J924" s="7"/>
      <c r="K924" s="7"/>
      <c r="L924" s="8"/>
      <c r="M924" s="7"/>
      <c r="N924" s="7"/>
      <c r="O924" s="8"/>
      <c r="P924" s="6"/>
      <c r="Q924" s="5"/>
      <c r="R924" s="5"/>
      <c r="S924" s="5"/>
      <c r="T924" s="5"/>
      <c r="U924" s="5"/>
      <c r="V924" s="5"/>
      <c r="W924" s="5"/>
      <c r="X924" s="8"/>
      <c r="Y924" s="9"/>
      <c r="Z924" s="10"/>
      <c r="AA924" s="10"/>
      <c r="AB924" s="8"/>
      <c r="AC924" s="10"/>
    </row>
    <row r="925" spans="1:29" s="4" customFormat="1" x14ac:dyDescent="0.3">
      <c r="A925" s="3"/>
      <c r="B925" s="39"/>
      <c r="C925" s="5"/>
      <c r="D925" s="5"/>
      <c r="E925" s="5"/>
      <c r="F925" s="5"/>
      <c r="G925" s="29"/>
      <c r="H925"/>
      <c r="I925" s="7"/>
      <c r="J925" s="7"/>
      <c r="K925" s="7"/>
      <c r="L925" s="8"/>
      <c r="M925" s="7"/>
      <c r="N925" s="7"/>
      <c r="O925" s="8"/>
      <c r="P925" s="6"/>
      <c r="Q925" s="5"/>
      <c r="R925" s="5"/>
      <c r="S925" s="5"/>
      <c r="T925" s="5"/>
      <c r="U925" s="5"/>
      <c r="V925" s="5"/>
      <c r="W925" s="5"/>
      <c r="X925" s="8"/>
      <c r="Y925" s="9"/>
      <c r="Z925" s="10"/>
      <c r="AA925" s="10"/>
      <c r="AB925" s="8"/>
      <c r="AC925" s="10"/>
    </row>
    <row r="926" spans="1:29" s="4" customFormat="1" x14ac:dyDescent="0.3">
      <c r="A926" s="3"/>
      <c r="B926" s="39"/>
      <c r="C926" s="5"/>
      <c r="D926" s="5"/>
      <c r="E926" s="5"/>
      <c r="F926" s="5"/>
      <c r="G926" s="29"/>
      <c r="H926"/>
      <c r="I926" s="7"/>
      <c r="J926" s="7"/>
      <c r="K926" s="7"/>
      <c r="L926" s="8"/>
      <c r="M926" s="7"/>
      <c r="N926" s="7"/>
      <c r="O926" s="8"/>
      <c r="P926" s="6"/>
      <c r="Q926" s="5"/>
      <c r="R926" s="5"/>
      <c r="S926" s="5"/>
      <c r="T926" s="5"/>
      <c r="U926" s="5"/>
      <c r="V926" s="5"/>
      <c r="W926" s="5"/>
      <c r="X926" s="8"/>
      <c r="Y926" s="9"/>
      <c r="Z926" s="10"/>
      <c r="AA926" s="10"/>
      <c r="AB926" s="8"/>
      <c r="AC926" s="10"/>
    </row>
    <row r="927" spans="1:29" s="4" customFormat="1" x14ac:dyDescent="0.3">
      <c r="A927" s="3"/>
      <c r="B927" s="39"/>
      <c r="C927" s="5"/>
      <c r="D927" s="5"/>
      <c r="E927" s="5"/>
      <c r="F927" s="5"/>
      <c r="G927" s="29"/>
      <c r="H927"/>
      <c r="I927" s="7"/>
      <c r="J927" s="7"/>
      <c r="K927" s="7"/>
      <c r="L927" s="8"/>
      <c r="M927" s="7"/>
      <c r="N927" s="7"/>
      <c r="O927" s="8"/>
      <c r="P927" s="6"/>
      <c r="Q927" s="5"/>
      <c r="R927" s="5"/>
      <c r="S927" s="5"/>
      <c r="T927" s="5"/>
      <c r="U927" s="5"/>
      <c r="V927" s="5"/>
      <c r="W927" s="5"/>
      <c r="X927" s="8"/>
      <c r="Y927" s="9"/>
      <c r="Z927" s="10"/>
      <c r="AA927" s="10"/>
      <c r="AB927" s="8"/>
      <c r="AC927" s="10"/>
    </row>
    <row r="928" spans="1:29" s="4" customFormat="1" x14ac:dyDescent="0.3">
      <c r="A928" s="3"/>
      <c r="B928" s="39"/>
      <c r="C928" s="5"/>
      <c r="D928" s="5"/>
      <c r="E928" s="5"/>
      <c r="F928" s="5"/>
      <c r="G928" s="29"/>
      <c r="H928"/>
      <c r="I928" s="7"/>
      <c r="J928" s="7"/>
      <c r="K928" s="7"/>
      <c r="L928" s="8"/>
      <c r="M928" s="7"/>
      <c r="N928" s="7"/>
      <c r="O928" s="8"/>
      <c r="P928" s="6"/>
      <c r="Q928" s="5"/>
      <c r="R928" s="5"/>
      <c r="S928" s="5"/>
      <c r="T928" s="5"/>
      <c r="U928" s="5"/>
      <c r="V928" s="5"/>
      <c r="W928" s="5"/>
      <c r="X928" s="8"/>
      <c r="Y928" s="9"/>
      <c r="Z928" s="10"/>
      <c r="AA928" s="10"/>
      <c r="AB928" s="8"/>
      <c r="AC928" s="10"/>
    </row>
    <row r="929" spans="1:29" s="4" customFormat="1" x14ac:dyDescent="0.3">
      <c r="A929" s="3"/>
      <c r="B929" s="39"/>
      <c r="C929" s="5"/>
      <c r="D929" s="5"/>
      <c r="E929" s="5"/>
      <c r="F929" s="5"/>
      <c r="G929" s="29"/>
      <c r="H929"/>
      <c r="I929" s="7"/>
      <c r="J929" s="7"/>
      <c r="K929" s="7"/>
      <c r="L929" s="8"/>
      <c r="M929" s="7"/>
      <c r="N929" s="7"/>
      <c r="O929" s="8"/>
      <c r="P929" s="6"/>
      <c r="Q929" s="5"/>
      <c r="R929" s="5"/>
      <c r="S929" s="5"/>
      <c r="T929" s="5"/>
      <c r="U929" s="5"/>
      <c r="V929" s="5"/>
      <c r="W929" s="5"/>
      <c r="X929" s="8"/>
      <c r="Y929" s="9"/>
      <c r="Z929" s="10"/>
      <c r="AA929" s="10"/>
      <c r="AB929" s="8"/>
      <c r="AC929" s="10"/>
    </row>
    <row r="930" spans="1:29" s="4" customFormat="1" x14ac:dyDescent="0.3">
      <c r="A930" s="3"/>
      <c r="B930" s="39"/>
      <c r="C930" s="5"/>
      <c r="D930" s="5"/>
      <c r="E930" s="5"/>
      <c r="F930" s="5"/>
      <c r="G930" s="29"/>
      <c r="H930"/>
      <c r="I930" s="7"/>
      <c r="J930" s="7"/>
      <c r="K930" s="7"/>
      <c r="L930" s="8"/>
      <c r="M930" s="7"/>
      <c r="N930" s="7"/>
      <c r="O930" s="8"/>
      <c r="P930" s="6"/>
      <c r="Q930" s="5"/>
      <c r="R930" s="5"/>
      <c r="S930" s="5"/>
      <c r="T930" s="5"/>
      <c r="U930" s="5"/>
      <c r="V930" s="5"/>
      <c r="W930" s="5"/>
      <c r="X930" s="8"/>
      <c r="Y930" s="9"/>
      <c r="Z930" s="10"/>
      <c r="AA930" s="10"/>
      <c r="AB930" s="8"/>
      <c r="AC930" s="10"/>
    </row>
    <row r="931" spans="1:29" s="4" customFormat="1" x14ac:dyDescent="0.3">
      <c r="A931" s="3"/>
      <c r="B931" s="39"/>
      <c r="C931" s="5"/>
      <c r="D931" s="5"/>
      <c r="E931" s="5"/>
      <c r="F931" s="5"/>
      <c r="G931" s="29"/>
      <c r="H931"/>
      <c r="I931" s="7"/>
      <c r="J931" s="7"/>
      <c r="K931" s="7"/>
      <c r="L931" s="8"/>
      <c r="M931" s="7"/>
      <c r="N931" s="7"/>
      <c r="O931" s="8"/>
      <c r="P931" s="6"/>
      <c r="Q931" s="5"/>
      <c r="R931" s="5"/>
      <c r="S931" s="5"/>
      <c r="T931" s="5"/>
      <c r="U931" s="5"/>
      <c r="V931" s="5"/>
      <c r="W931" s="5"/>
      <c r="X931" s="8"/>
      <c r="Y931" s="9"/>
      <c r="Z931" s="10"/>
      <c r="AA931" s="10"/>
      <c r="AB931" s="8"/>
      <c r="AC931" s="10"/>
    </row>
    <row r="932" spans="1:29" s="4" customFormat="1" x14ac:dyDescent="0.3">
      <c r="A932" s="3"/>
      <c r="B932" s="39"/>
      <c r="C932" s="5"/>
      <c r="D932" s="5"/>
      <c r="E932" s="5"/>
      <c r="F932" s="5"/>
      <c r="G932" s="29"/>
      <c r="H932"/>
      <c r="I932" s="7"/>
      <c r="J932" s="7"/>
      <c r="K932" s="7"/>
      <c r="L932" s="8"/>
      <c r="M932" s="7"/>
      <c r="N932" s="7"/>
      <c r="O932" s="8"/>
      <c r="P932" s="6"/>
      <c r="Q932" s="5"/>
      <c r="R932" s="5"/>
      <c r="S932" s="5"/>
      <c r="T932" s="5"/>
      <c r="U932" s="5"/>
      <c r="V932" s="5"/>
      <c r="W932" s="5"/>
      <c r="X932" s="8"/>
      <c r="Y932" s="9"/>
      <c r="Z932" s="10"/>
      <c r="AA932" s="10"/>
      <c r="AB932" s="8"/>
      <c r="AC932" s="10"/>
    </row>
    <row r="933" spans="1:29" s="4" customFormat="1" x14ac:dyDescent="0.3">
      <c r="A933" s="3"/>
      <c r="B933" s="39"/>
      <c r="C933" s="5"/>
      <c r="D933" s="5"/>
      <c r="E933" s="5"/>
      <c r="F933" s="5"/>
      <c r="G933" s="29"/>
      <c r="H933"/>
      <c r="I933" s="7"/>
      <c r="J933" s="7"/>
      <c r="K933" s="7"/>
      <c r="L933" s="8"/>
      <c r="M933" s="7"/>
      <c r="N933" s="7"/>
      <c r="O933" s="8"/>
      <c r="P933" s="6"/>
      <c r="Q933" s="5"/>
      <c r="R933" s="5"/>
      <c r="S933" s="5"/>
      <c r="T933" s="5"/>
      <c r="U933" s="5"/>
      <c r="V933" s="5"/>
      <c r="W933" s="5"/>
      <c r="X933" s="8"/>
      <c r="Y933" s="9"/>
      <c r="Z933" s="10"/>
      <c r="AA933" s="10"/>
      <c r="AB933" s="8"/>
      <c r="AC933" s="10"/>
    </row>
    <row r="934" spans="1:29" s="4" customFormat="1" x14ac:dyDescent="0.3">
      <c r="A934" s="3"/>
      <c r="B934" s="39"/>
      <c r="C934" s="5"/>
      <c r="D934" s="5"/>
      <c r="E934" s="5"/>
      <c r="F934" s="5"/>
      <c r="G934" s="29"/>
      <c r="H934"/>
      <c r="I934" s="7"/>
      <c r="J934" s="7"/>
      <c r="K934" s="7"/>
      <c r="L934" s="8"/>
      <c r="M934" s="7"/>
      <c r="N934" s="7"/>
      <c r="O934" s="8"/>
      <c r="P934" s="6"/>
      <c r="Q934" s="5"/>
      <c r="R934" s="5"/>
      <c r="S934" s="5"/>
      <c r="T934" s="5"/>
      <c r="U934" s="5"/>
      <c r="V934" s="5"/>
      <c r="W934" s="5"/>
      <c r="X934" s="8"/>
      <c r="Y934" s="9"/>
      <c r="Z934" s="10"/>
      <c r="AA934" s="10"/>
      <c r="AB934" s="8"/>
      <c r="AC934" s="10"/>
    </row>
    <row r="935" spans="1:29" s="4" customFormat="1" x14ac:dyDescent="0.3">
      <c r="A935" s="3"/>
      <c r="B935" s="39"/>
      <c r="C935" s="5"/>
      <c r="D935" s="5"/>
      <c r="E935" s="5"/>
      <c r="F935" s="5"/>
      <c r="G935" s="29"/>
      <c r="H935"/>
      <c r="I935" s="7"/>
      <c r="J935" s="7"/>
      <c r="K935" s="7"/>
      <c r="L935" s="8"/>
      <c r="M935" s="7"/>
      <c r="N935" s="7"/>
      <c r="O935" s="8"/>
      <c r="P935" s="6"/>
      <c r="Q935" s="5"/>
      <c r="R935" s="5"/>
      <c r="S935" s="5"/>
      <c r="T935" s="5"/>
      <c r="U935" s="5"/>
      <c r="V935" s="5"/>
      <c r="W935" s="5"/>
      <c r="X935" s="8"/>
      <c r="Y935" s="9"/>
      <c r="Z935" s="10"/>
      <c r="AA935" s="10"/>
      <c r="AB935" s="8"/>
      <c r="AC935" s="10"/>
    </row>
    <row r="936" spans="1:29" s="4" customFormat="1" x14ac:dyDescent="0.3">
      <c r="A936" s="3"/>
      <c r="B936" s="39"/>
      <c r="C936" s="5"/>
      <c r="D936" s="5"/>
      <c r="E936" s="5"/>
      <c r="F936" s="5"/>
      <c r="G936" s="29"/>
      <c r="H936"/>
      <c r="I936" s="7"/>
      <c r="J936" s="7"/>
      <c r="K936" s="7"/>
      <c r="L936" s="8"/>
      <c r="M936" s="7"/>
      <c r="N936" s="7"/>
      <c r="O936" s="8"/>
      <c r="P936" s="6"/>
      <c r="Q936" s="5"/>
      <c r="R936" s="5"/>
      <c r="S936" s="5"/>
      <c r="T936" s="5"/>
      <c r="U936" s="5"/>
      <c r="V936" s="5"/>
      <c r="W936" s="5"/>
      <c r="X936" s="8"/>
      <c r="Y936" s="9"/>
      <c r="Z936" s="10"/>
      <c r="AA936" s="10"/>
      <c r="AB936" s="8"/>
      <c r="AC936" s="10"/>
    </row>
    <row r="937" spans="1:29" s="4" customFormat="1" x14ac:dyDescent="0.3">
      <c r="A937" s="3"/>
      <c r="B937" s="39"/>
      <c r="C937" s="5"/>
      <c r="D937" s="5"/>
      <c r="E937" s="5"/>
      <c r="F937" s="5"/>
      <c r="G937" s="29"/>
      <c r="H937"/>
      <c r="I937" s="7"/>
      <c r="J937" s="7"/>
      <c r="K937" s="7"/>
      <c r="L937" s="8"/>
      <c r="M937" s="7"/>
      <c r="N937" s="7"/>
      <c r="O937" s="8"/>
      <c r="P937" s="6"/>
      <c r="Q937" s="5"/>
      <c r="R937" s="5"/>
      <c r="S937" s="5"/>
      <c r="T937" s="5"/>
      <c r="U937" s="5"/>
      <c r="V937" s="5"/>
      <c r="W937" s="5"/>
      <c r="X937" s="8"/>
      <c r="Y937" s="9"/>
      <c r="Z937" s="10"/>
      <c r="AA937" s="10"/>
      <c r="AB937" s="8"/>
      <c r="AC937" s="10"/>
    </row>
    <row r="938" spans="1:29" s="4" customFormat="1" x14ac:dyDescent="0.3">
      <c r="A938" s="3"/>
      <c r="B938" s="39"/>
      <c r="C938" s="5"/>
      <c r="D938" s="5"/>
      <c r="E938" s="5"/>
      <c r="F938" s="5"/>
      <c r="G938" s="29"/>
      <c r="H938"/>
      <c r="I938" s="7"/>
      <c r="J938" s="7"/>
      <c r="K938" s="7"/>
      <c r="L938" s="8"/>
      <c r="M938" s="7"/>
      <c r="N938" s="7"/>
      <c r="O938" s="8"/>
      <c r="P938" s="6"/>
      <c r="Q938" s="5"/>
      <c r="R938" s="5"/>
      <c r="S938" s="5"/>
      <c r="T938" s="5"/>
      <c r="U938" s="5"/>
      <c r="V938" s="5"/>
      <c r="W938" s="5"/>
      <c r="X938" s="8"/>
      <c r="Y938" s="9"/>
      <c r="Z938" s="10"/>
      <c r="AA938" s="10"/>
      <c r="AB938" s="8"/>
      <c r="AC938" s="10"/>
    </row>
    <row r="939" spans="1:29" s="4" customFormat="1" x14ac:dyDescent="0.3">
      <c r="A939" s="3"/>
      <c r="B939" s="39"/>
      <c r="C939" s="5"/>
      <c r="D939" s="5"/>
      <c r="E939" s="5"/>
      <c r="F939" s="5"/>
      <c r="G939" s="29"/>
      <c r="H939"/>
      <c r="I939" s="7"/>
      <c r="J939" s="7"/>
      <c r="K939" s="7"/>
      <c r="L939" s="8"/>
      <c r="M939" s="7"/>
      <c r="N939" s="7"/>
      <c r="O939" s="8"/>
      <c r="P939" s="6"/>
      <c r="Q939" s="5"/>
      <c r="R939" s="5"/>
      <c r="S939" s="5"/>
      <c r="T939" s="5"/>
      <c r="U939" s="5"/>
      <c r="V939" s="5"/>
      <c r="W939" s="5"/>
      <c r="X939" s="8"/>
      <c r="Y939" s="9"/>
      <c r="Z939" s="10"/>
      <c r="AA939" s="10"/>
      <c r="AB939" s="8"/>
      <c r="AC939" s="10"/>
    </row>
    <row r="940" spans="1:29" s="4" customFormat="1" x14ac:dyDescent="0.3">
      <c r="A940" s="3"/>
      <c r="B940" s="39"/>
      <c r="C940" s="5"/>
      <c r="D940" s="5"/>
      <c r="E940" s="5"/>
      <c r="F940" s="5"/>
      <c r="G940" s="29"/>
      <c r="H940"/>
      <c r="I940" s="7"/>
      <c r="J940" s="7"/>
      <c r="K940" s="7"/>
      <c r="L940" s="8"/>
      <c r="M940" s="7"/>
      <c r="N940" s="7"/>
      <c r="O940" s="8"/>
      <c r="P940" s="6"/>
      <c r="Q940" s="5"/>
      <c r="R940" s="5"/>
      <c r="S940" s="5"/>
      <c r="T940" s="5"/>
      <c r="U940" s="5"/>
      <c r="V940" s="5"/>
      <c r="W940" s="5"/>
      <c r="X940" s="8"/>
      <c r="Y940" s="9"/>
      <c r="Z940" s="10"/>
      <c r="AA940" s="10"/>
      <c r="AB940" s="8"/>
      <c r="AC940" s="10"/>
    </row>
    <row r="941" spans="1:29" s="4" customFormat="1" x14ac:dyDescent="0.3">
      <c r="A941" s="3"/>
      <c r="B941" s="39"/>
      <c r="C941" s="5"/>
      <c r="D941" s="5"/>
      <c r="E941" s="5"/>
      <c r="F941" s="5"/>
      <c r="G941" s="29"/>
      <c r="H941"/>
      <c r="I941" s="7"/>
      <c r="J941" s="7"/>
      <c r="K941" s="7"/>
      <c r="L941" s="8"/>
      <c r="M941" s="7"/>
      <c r="N941" s="7"/>
      <c r="O941" s="8"/>
      <c r="P941" s="6"/>
      <c r="Q941" s="5"/>
      <c r="R941" s="5"/>
      <c r="S941" s="5"/>
      <c r="T941" s="5"/>
      <c r="U941" s="5"/>
      <c r="V941" s="5"/>
      <c r="W941" s="5"/>
      <c r="X941" s="8"/>
      <c r="Y941" s="9"/>
      <c r="Z941" s="10"/>
      <c r="AA941" s="10"/>
      <c r="AB941" s="8"/>
      <c r="AC941" s="10"/>
    </row>
    <row r="942" spans="1:29" s="4" customFormat="1" x14ac:dyDescent="0.3">
      <c r="A942" s="3"/>
      <c r="B942" s="39"/>
      <c r="C942" s="5"/>
      <c r="D942" s="5"/>
      <c r="E942" s="5"/>
      <c r="F942" s="5"/>
      <c r="G942" s="29"/>
      <c r="H942"/>
      <c r="I942" s="7"/>
      <c r="J942" s="7"/>
      <c r="K942" s="7"/>
      <c r="L942" s="8"/>
      <c r="M942" s="7"/>
      <c r="N942" s="7"/>
      <c r="O942" s="8"/>
      <c r="P942" s="6"/>
      <c r="Q942" s="5"/>
      <c r="R942" s="5"/>
      <c r="S942" s="5"/>
      <c r="T942" s="5"/>
      <c r="U942" s="5"/>
      <c r="V942" s="5"/>
      <c r="W942" s="5"/>
      <c r="X942" s="8"/>
      <c r="Y942" s="9"/>
      <c r="Z942" s="10"/>
      <c r="AA942" s="10"/>
      <c r="AB942" s="8"/>
      <c r="AC942" s="10"/>
    </row>
    <row r="943" spans="1:29" s="4" customFormat="1" x14ac:dyDescent="0.3">
      <c r="A943" s="3"/>
      <c r="B943" s="39"/>
      <c r="C943" s="5"/>
      <c r="D943" s="5"/>
      <c r="E943" s="5"/>
      <c r="F943" s="5"/>
      <c r="G943" s="29"/>
      <c r="H943"/>
      <c r="I943" s="7"/>
      <c r="J943" s="7"/>
      <c r="K943" s="7"/>
      <c r="L943" s="8"/>
      <c r="M943" s="7"/>
      <c r="N943" s="7"/>
      <c r="O943" s="8"/>
      <c r="P943" s="6"/>
      <c r="Q943" s="5"/>
      <c r="R943" s="5"/>
      <c r="S943" s="5"/>
      <c r="T943" s="5"/>
      <c r="U943" s="5"/>
      <c r="V943" s="5"/>
      <c r="W943" s="5"/>
      <c r="X943" s="8"/>
      <c r="Y943" s="9"/>
      <c r="Z943" s="10"/>
      <c r="AA943" s="10"/>
      <c r="AB943" s="8"/>
      <c r="AC943" s="10"/>
    </row>
    <row r="944" spans="1:29" s="4" customFormat="1" x14ac:dyDescent="0.3">
      <c r="A944" s="3"/>
      <c r="B944" s="39"/>
      <c r="C944" s="5"/>
      <c r="D944" s="5"/>
      <c r="E944" s="5"/>
      <c r="F944" s="5"/>
      <c r="G944" s="29"/>
      <c r="H944"/>
      <c r="I944" s="7"/>
      <c r="J944" s="7"/>
      <c r="K944" s="7"/>
      <c r="L944" s="8"/>
      <c r="M944" s="7"/>
      <c r="N944" s="7"/>
      <c r="O944" s="8"/>
      <c r="P944" s="6"/>
      <c r="Q944" s="5"/>
      <c r="R944" s="5"/>
      <c r="S944" s="5"/>
      <c r="T944" s="5"/>
      <c r="U944" s="5"/>
      <c r="V944" s="5"/>
      <c r="W944" s="5"/>
      <c r="X944" s="8"/>
      <c r="Y944" s="9"/>
      <c r="Z944" s="10"/>
      <c r="AA944" s="10"/>
      <c r="AB944" s="8"/>
      <c r="AC944" s="10"/>
    </row>
    <row r="945" spans="1:29" s="4" customFormat="1" x14ac:dyDescent="0.3">
      <c r="A945" s="3"/>
      <c r="B945" s="39"/>
      <c r="C945" s="5"/>
      <c r="D945" s="5"/>
      <c r="E945" s="5"/>
      <c r="F945" s="5"/>
      <c r="G945" s="29"/>
      <c r="H945"/>
      <c r="I945" s="7"/>
      <c r="J945" s="7"/>
      <c r="K945" s="7"/>
      <c r="L945" s="8"/>
      <c r="M945" s="7"/>
      <c r="N945" s="7"/>
      <c r="O945" s="8"/>
      <c r="P945" s="6"/>
      <c r="Q945" s="5"/>
      <c r="R945" s="5"/>
      <c r="S945" s="5"/>
      <c r="T945" s="5"/>
      <c r="U945" s="5"/>
      <c r="V945" s="5"/>
      <c r="W945" s="5"/>
      <c r="X945" s="8"/>
      <c r="Y945" s="9"/>
      <c r="Z945" s="10"/>
      <c r="AA945" s="10"/>
      <c r="AB945" s="8"/>
      <c r="AC945" s="10"/>
    </row>
    <row r="946" spans="1:29" s="4" customFormat="1" x14ac:dyDescent="0.3">
      <c r="A946" s="3"/>
      <c r="B946" s="39"/>
      <c r="C946" s="5"/>
      <c r="D946" s="5"/>
      <c r="E946" s="5"/>
      <c r="F946" s="5"/>
      <c r="G946" s="29"/>
      <c r="H946"/>
      <c r="I946" s="7"/>
      <c r="J946" s="7"/>
      <c r="K946" s="7"/>
      <c r="L946" s="8"/>
      <c r="M946" s="7"/>
      <c r="N946" s="7"/>
      <c r="O946" s="8"/>
      <c r="P946" s="6"/>
      <c r="Q946" s="5"/>
      <c r="R946" s="5"/>
      <c r="S946" s="5"/>
      <c r="T946" s="5"/>
      <c r="U946" s="5"/>
      <c r="V946" s="5"/>
      <c r="W946" s="5"/>
      <c r="X946" s="8"/>
      <c r="Y946" s="9"/>
      <c r="Z946" s="10"/>
      <c r="AA946" s="10"/>
      <c r="AB946" s="8"/>
      <c r="AC946" s="10"/>
    </row>
    <row r="947" spans="1:29" s="4" customFormat="1" x14ac:dyDescent="0.3">
      <c r="A947" s="3"/>
      <c r="B947" s="39"/>
      <c r="C947" s="5"/>
      <c r="D947" s="5"/>
      <c r="E947" s="5"/>
      <c r="F947" s="5"/>
      <c r="G947" s="29"/>
      <c r="H947"/>
      <c r="I947" s="7"/>
      <c r="J947" s="7"/>
      <c r="K947" s="7"/>
      <c r="L947" s="8"/>
      <c r="M947" s="7"/>
      <c r="N947" s="7"/>
      <c r="O947" s="8"/>
      <c r="P947" s="6"/>
      <c r="Q947" s="5"/>
      <c r="R947" s="5"/>
      <c r="S947" s="5"/>
      <c r="T947" s="5"/>
      <c r="U947" s="5"/>
      <c r="V947" s="5"/>
      <c r="W947" s="5"/>
      <c r="X947" s="8"/>
      <c r="Y947" s="9"/>
      <c r="Z947" s="10"/>
      <c r="AA947" s="10"/>
      <c r="AB947" s="8"/>
      <c r="AC947" s="10"/>
    </row>
    <row r="948" spans="1:29" s="4" customFormat="1" x14ac:dyDescent="0.3">
      <c r="A948" s="3"/>
      <c r="B948" s="39"/>
      <c r="C948" s="5"/>
      <c r="D948" s="5"/>
      <c r="E948" s="5"/>
      <c r="F948" s="5"/>
      <c r="G948" s="29"/>
      <c r="H948"/>
      <c r="I948" s="7"/>
      <c r="J948" s="7"/>
      <c r="K948" s="7"/>
      <c r="L948" s="8"/>
      <c r="M948" s="7"/>
      <c r="N948" s="7"/>
      <c r="O948" s="8"/>
      <c r="P948" s="6"/>
      <c r="Q948" s="5"/>
      <c r="R948" s="5"/>
      <c r="S948" s="5"/>
      <c r="T948" s="5"/>
      <c r="U948" s="5"/>
      <c r="V948" s="5"/>
      <c r="W948" s="5"/>
      <c r="X948" s="8"/>
      <c r="Y948" s="9"/>
      <c r="Z948" s="10"/>
      <c r="AA948" s="10"/>
      <c r="AB948" s="8"/>
      <c r="AC948" s="10"/>
    </row>
    <row r="949" spans="1:29" s="4" customFormat="1" x14ac:dyDescent="0.3">
      <c r="A949" s="3"/>
      <c r="B949" s="39"/>
      <c r="C949" s="5"/>
      <c r="D949" s="5"/>
      <c r="E949" s="5"/>
      <c r="F949" s="5"/>
      <c r="G949" s="29"/>
      <c r="H949"/>
      <c r="I949" s="7"/>
      <c r="J949" s="7"/>
      <c r="K949" s="7"/>
      <c r="L949" s="8"/>
      <c r="M949" s="7"/>
      <c r="N949" s="7"/>
      <c r="O949" s="8"/>
      <c r="P949" s="6"/>
      <c r="Q949" s="5"/>
      <c r="R949" s="5"/>
      <c r="S949" s="5"/>
      <c r="T949" s="5"/>
      <c r="U949" s="5"/>
      <c r="V949" s="5"/>
      <c r="W949" s="5"/>
      <c r="X949" s="8"/>
      <c r="Y949" s="9"/>
      <c r="Z949" s="10"/>
      <c r="AA949" s="10"/>
      <c r="AB949" s="8"/>
      <c r="AC949" s="10"/>
    </row>
    <row r="950" spans="1:29" s="4" customFormat="1" x14ac:dyDescent="0.3">
      <c r="A950" s="3"/>
      <c r="B950" s="39"/>
      <c r="C950" s="5"/>
      <c r="D950" s="5"/>
      <c r="E950" s="5"/>
      <c r="F950" s="5"/>
      <c r="G950" s="29"/>
      <c r="H950"/>
      <c r="I950" s="7"/>
      <c r="J950" s="7"/>
      <c r="K950" s="7"/>
      <c r="L950" s="8"/>
      <c r="M950" s="7"/>
      <c r="N950" s="7"/>
      <c r="O950" s="8"/>
      <c r="P950" s="6"/>
      <c r="Q950" s="5"/>
      <c r="R950" s="5"/>
      <c r="S950" s="5"/>
      <c r="T950" s="5"/>
      <c r="U950" s="5"/>
      <c r="V950" s="5"/>
      <c r="W950" s="5"/>
      <c r="X950" s="8"/>
      <c r="Y950" s="9"/>
      <c r="Z950" s="10"/>
      <c r="AA950" s="10"/>
      <c r="AB950" s="8"/>
      <c r="AC950" s="10"/>
    </row>
    <row r="951" spans="1:29" s="4" customFormat="1" x14ac:dyDescent="0.3">
      <c r="A951" s="3"/>
      <c r="B951" s="39"/>
      <c r="C951" s="5"/>
      <c r="D951" s="5"/>
      <c r="E951" s="5"/>
      <c r="F951" s="5"/>
      <c r="G951" s="29"/>
      <c r="H951"/>
      <c r="I951" s="7"/>
      <c r="J951" s="7"/>
      <c r="K951" s="7"/>
      <c r="L951" s="8"/>
      <c r="M951" s="7"/>
      <c r="N951" s="7"/>
      <c r="O951" s="8"/>
      <c r="P951" s="6"/>
      <c r="Q951" s="5"/>
      <c r="R951" s="5"/>
      <c r="S951" s="5"/>
      <c r="T951" s="5"/>
      <c r="U951" s="5"/>
      <c r="V951" s="5"/>
      <c r="W951" s="5"/>
      <c r="X951" s="8"/>
      <c r="Y951" s="9"/>
      <c r="Z951" s="10"/>
      <c r="AA951" s="10"/>
      <c r="AB951" s="8"/>
      <c r="AC951" s="10"/>
    </row>
    <row r="952" spans="1:29" s="4" customFormat="1" x14ac:dyDescent="0.3">
      <c r="A952" s="3"/>
      <c r="B952" s="39"/>
      <c r="C952" s="5"/>
      <c r="D952" s="5"/>
      <c r="E952" s="5"/>
      <c r="F952" s="5"/>
      <c r="G952" s="29"/>
      <c r="H952"/>
      <c r="I952" s="7"/>
      <c r="J952" s="7"/>
      <c r="K952" s="7"/>
      <c r="L952" s="8"/>
      <c r="M952" s="7"/>
      <c r="N952" s="7"/>
      <c r="O952" s="8"/>
      <c r="P952" s="6"/>
      <c r="Q952" s="5"/>
      <c r="R952" s="5"/>
      <c r="S952" s="5"/>
      <c r="T952" s="5"/>
      <c r="U952" s="5"/>
      <c r="V952" s="5"/>
      <c r="W952" s="5"/>
      <c r="X952" s="8"/>
      <c r="Y952" s="9"/>
      <c r="Z952" s="10"/>
      <c r="AA952" s="10"/>
      <c r="AB952" s="8"/>
      <c r="AC952" s="10"/>
    </row>
    <row r="953" spans="1:29" s="4" customFormat="1" x14ac:dyDescent="0.3">
      <c r="A953" s="3"/>
      <c r="B953" s="39"/>
      <c r="C953" s="5"/>
      <c r="D953" s="5"/>
      <c r="E953" s="5"/>
      <c r="F953" s="5"/>
      <c r="G953" s="29"/>
      <c r="H953"/>
      <c r="I953" s="7"/>
      <c r="J953" s="7"/>
      <c r="K953" s="7"/>
      <c r="L953" s="8"/>
      <c r="M953" s="7"/>
      <c r="N953" s="7"/>
      <c r="O953" s="8"/>
      <c r="P953" s="6"/>
      <c r="Q953" s="5"/>
      <c r="R953" s="5"/>
      <c r="S953" s="5"/>
      <c r="T953" s="5"/>
      <c r="U953" s="5"/>
      <c r="V953" s="5"/>
      <c r="W953" s="5"/>
      <c r="X953" s="8"/>
      <c r="Y953" s="9"/>
      <c r="Z953" s="10"/>
      <c r="AA953" s="10"/>
      <c r="AB953" s="8"/>
      <c r="AC953" s="10"/>
    </row>
    <row r="954" spans="1:29" s="4" customFormat="1" x14ac:dyDescent="0.3">
      <c r="A954" s="3"/>
      <c r="B954" s="39"/>
      <c r="C954" s="5"/>
      <c r="D954" s="5"/>
      <c r="E954" s="5"/>
      <c r="F954" s="5"/>
      <c r="G954" s="29"/>
      <c r="H954"/>
      <c r="I954" s="7"/>
      <c r="J954" s="7"/>
      <c r="K954" s="7"/>
      <c r="L954" s="8"/>
      <c r="M954" s="7"/>
      <c r="N954" s="7"/>
      <c r="O954" s="8"/>
      <c r="P954" s="6"/>
      <c r="Q954" s="5"/>
      <c r="R954" s="5"/>
      <c r="S954" s="5"/>
      <c r="T954" s="5"/>
      <c r="U954" s="5"/>
      <c r="V954" s="5"/>
      <c r="W954" s="5"/>
      <c r="X954" s="8"/>
      <c r="Y954" s="9"/>
      <c r="Z954" s="10"/>
      <c r="AA954" s="10"/>
      <c r="AB954" s="8"/>
      <c r="AC954" s="10"/>
    </row>
    <row r="955" spans="1:29" s="4" customFormat="1" x14ac:dyDescent="0.3">
      <c r="A955" s="3"/>
      <c r="B955" s="39"/>
      <c r="C955" s="5"/>
      <c r="D955" s="5"/>
      <c r="E955" s="5"/>
      <c r="F955" s="5"/>
      <c r="G955" s="29"/>
      <c r="H955"/>
      <c r="I955" s="7"/>
      <c r="J955" s="7"/>
      <c r="K955" s="7"/>
      <c r="L955" s="8"/>
      <c r="M955" s="7"/>
      <c r="N955" s="7"/>
      <c r="O955" s="8"/>
      <c r="P955" s="6"/>
      <c r="Q955" s="5"/>
      <c r="R955" s="5"/>
      <c r="S955" s="5"/>
      <c r="T955" s="5"/>
      <c r="U955" s="5"/>
      <c r="V955" s="5"/>
      <c r="W955" s="5"/>
      <c r="X955" s="8"/>
      <c r="Y955" s="9"/>
      <c r="Z955" s="10"/>
      <c r="AA955" s="10"/>
      <c r="AB955" s="8"/>
      <c r="AC955" s="10"/>
    </row>
    <row r="956" spans="1:29" s="4" customFormat="1" x14ac:dyDescent="0.3">
      <c r="A956" s="3"/>
      <c r="B956" s="39"/>
      <c r="C956" s="5"/>
      <c r="D956" s="5"/>
      <c r="E956" s="5"/>
      <c r="F956" s="5"/>
      <c r="G956" s="29"/>
      <c r="H956"/>
      <c r="I956" s="7"/>
      <c r="J956" s="7"/>
      <c r="K956" s="7"/>
      <c r="L956" s="8"/>
      <c r="M956" s="7"/>
      <c r="N956" s="7"/>
      <c r="O956" s="8"/>
      <c r="P956" s="6"/>
      <c r="Q956" s="5"/>
      <c r="R956" s="5"/>
      <c r="S956" s="5"/>
      <c r="T956" s="5"/>
      <c r="U956" s="5"/>
      <c r="V956" s="5"/>
      <c r="W956" s="5"/>
      <c r="X956" s="8"/>
      <c r="Y956" s="9"/>
      <c r="Z956" s="10"/>
      <c r="AA956" s="10"/>
      <c r="AB956" s="8"/>
      <c r="AC956" s="10"/>
    </row>
    <row r="957" spans="1:29" s="4" customFormat="1" x14ac:dyDescent="0.3">
      <c r="A957" s="3"/>
      <c r="B957" s="39"/>
      <c r="C957" s="5"/>
      <c r="D957" s="5"/>
      <c r="E957" s="5"/>
      <c r="F957" s="5"/>
      <c r="G957" s="29"/>
      <c r="H957"/>
      <c r="I957" s="7"/>
      <c r="J957" s="7"/>
      <c r="K957" s="7"/>
      <c r="L957" s="8"/>
      <c r="M957" s="7"/>
      <c r="N957" s="7"/>
      <c r="O957" s="8"/>
      <c r="P957" s="6"/>
      <c r="Q957" s="5"/>
      <c r="R957" s="5"/>
      <c r="S957" s="5"/>
      <c r="T957" s="5"/>
      <c r="U957" s="5"/>
      <c r="V957" s="5"/>
      <c r="W957" s="5"/>
      <c r="X957" s="8"/>
      <c r="Y957" s="9"/>
      <c r="Z957" s="10"/>
      <c r="AA957" s="10"/>
      <c r="AB957" s="8"/>
      <c r="AC957" s="10"/>
    </row>
    <row r="958" spans="1:29" s="4" customFormat="1" x14ac:dyDescent="0.3">
      <c r="A958" s="3"/>
      <c r="B958" s="39"/>
      <c r="C958" s="5"/>
      <c r="D958" s="5"/>
      <c r="E958" s="5"/>
      <c r="F958" s="5"/>
      <c r="G958" s="29"/>
      <c r="H958"/>
      <c r="I958" s="7"/>
      <c r="J958" s="7"/>
      <c r="K958" s="7"/>
      <c r="L958" s="8"/>
      <c r="M958" s="7"/>
      <c r="N958" s="7"/>
      <c r="O958" s="8"/>
      <c r="P958" s="6"/>
      <c r="Q958" s="5"/>
      <c r="R958" s="5"/>
      <c r="S958" s="5"/>
      <c r="T958" s="5"/>
      <c r="U958" s="5"/>
      <c r="V958" s="5"/>
      <c r="W958" s="5"/>
      <c r="X958" s="8"/>
      <c r="Y958" s="9"/>
      <c r="Z958" s="10"/>
      <c r="AA958" s="10"/>
      <c r="AB958" s="8"/>
      <c r="AC958" s="10"/>
    </row>
    <row r="959" spans="1:29" s="4" customFormat="1" x14ac:dyDescent="0.3">
      <c r="A959" s="3"/>
      <c r="B959" s="39"/>
      <c r="C959" s="5"/>
      <c r="D959" s="5"/>
      <c r="E959" s="5"/>
      <c r="F959" s="5"/>
      <c r="G959" s="29"/>
      <c r="H959"/>
      <c r="I959" s="7"/>
      <c r="J959" s="7"/>
      <c r="K959" s="7"/>
      <c r="L959" s="8"/>
      <c r="M959" s="7"/>
      <c r="N959" s="7"/>
      <c r="O959" s="8"/>
      <c r="P959" s="6"/>
      <c r="Q959" s="5"/>
      <c r="R959" s="5"/>
      <c r="S959" s="5"/>
      <c r="T959" s="5"/>
      <c r="U959" s="5"/>
      <c r="V959" s="5"/>
      <c r="W959" s="5"/>
      <c r="X959" s="8"/>
      <c r="Y959" s="9"/>
      <c r="Z959" s="10"/>
      <c r="AA959" s="10"/>
      <c r="AB959" s="8"/>
      <c r="AC959" s="10"/>
    </row>
    <row r="960" spans="1:29" s="4" customFormat="1" x14ac:dyDescent="0.3">
      <c r="A960" s="3"/>
      <c r="B960" s="39"/>
      <c r="C960" s="5"/>
      <c r="D960" s="5"/>
      <c r="E960" s="5"/>
      <c r="F960" s="5"/>
      <c r="G960" s="29"/>
      <c r="H960"/>
      <c r="I960" s="7"/>
      <c r="J960" s="7"/>
      <c r="K960" s="7"/>
      <c r="L960" s="8"/>
      <c r="M960" s="7"/>
      <c r="N960" s="7"/>
      <c r="O960" s="8"/>
      <c r="P960" s="6"/>
      <c r="Q960" s="5"/>
      <c r="R960" s="5"/>
      <c r="S960" s="5"/>
      <c r="T960" s="5"/>
      <c r="U960" s="5"/>
      <c r="V960" s="5"/>
      <c r="W960" s="5"/>
      <c r="X960" s="8"/>
      <c r="Y960" s="9"/>
      <c r="Z960" s="10"/>
      <c r="AA960" s="10"/>
      <c r="AB960" s="8"/>
      <c r="AC960" s="10"/>
    </row>
    <row r="961" spans="1:29" s="4" customFormat="1" x14ac:dyDescent="0.3">
      <c r="A961" s="3"/>
      <c r="B961" s="39"/>
      <c r="C961" s="5"/>
      <c r="D961" s="5"/>
      <c r="E961" s="5"/>
      <c r="F961" s="5"/>
      <c r="G961" s="29"/>
      <c r="H961"/>
      <c r="I961" s="7"/>
      <c r="J961" s="7"/>
      <c r="K961" s="7"/>
      <c r="L961" s="8"/>
      <c r="M961" s="7"/>
      <c r="N961" s="7"/>
      <c r="O961" s="8"/>
      <c r="P961" s="6"/>
      <c r="Q961" s="5"/>
      <c r="R961" s="5"/>
      <c r="S961" s="5"/>
      <c r="T961" s="5"/>
      <c r="U961" s="5"/>
      <c r="V961" s="5"/>
      <c r="W961" s="5"/>
      <c r="X961" s="8"/>
      <c r="Y961" s="9"/>
      <c r="Z961" s="10"/>
      <c r="AA961" s="10"/>
      <c r="AB961" s="8"/>
      <c r="AC961" s="10"/>
    </row>
    <row r="962" spans="1:29" s="4" customFormat="1" x14ac:dyDescent="0.3">
      <c r="A962" s="3"/>
      <c r="B962" s="39"/>
      <c r="C962" s="5"/>
      <c r="D962" s="5"/>
      <c r="E962" s="5"/>
      <c r="F962" s="5"/>
      <c r="G962" s="29"/>
      <c r="H962"/>
      <c r="I962" s="7"/>
      <c r="J962" s="7"/>
      <c r="K962" s="7"/>
      <c r="L962" s="8"/>
      <c r="M962" s="7"/>
      <c r="N962" s="7"/>
      <c r="O962" s="8"/>
      <c r="P962" s="6"/>
      <c r="Q962" s="5"/>
      <c r="R962" s="5"/>
      <c r="S962" s="5"/>
      <c r="T962" s="5"/>
      <c r="U962" s="5"/>
      <c r="V962" s="5"/>
      <c r="W962" s="5"/>
      <c r="X962" s="8"/>
      <c r="Y962" s="9"/>
      <c r="Z962" s="10"/>
      <c r="AA962" s="10"/>
      <c r="AB962" s="8"/>
      <c r="AC962" s="10"/>
    </row>
    <row r="963" spans="1:29" s="4" customFormat="1" x14ac:dyDescent="0.3">
      <c r="A963" s="3"/>
      <c r="B963" s="39"/>
      <c r="C963" s="5"/>
      <c r="D963" s="5"/>
      <c r="E963" s="5"/>
      <c r="F963" s="5"/>
      <c r="G963" s="29"/>
      <c r="H963"/>
      <c r="I963" s="7"/>
      <c r="J963" s="7"/>
      <c r="K963" s="7"/>
      <c r="L963" s="8"/>
      <c r="M963" s="7"/>
      <c r="N963" s="7"/>
      <c r="O963" s="8"/>
      <c r="P963" s="6"/>
      <c r="Q963" s="5"/>
      <c r="R963" s="5"/>
      <c r="S963" s="5"/>
      <c r="T963" s="5"/>
      <c r="U963" s="5"/>
      <c r="V963" s="5"/>
      <c r="W963" s="5"/>
      <c r="X963" s="8"/>
      <c r="Y963" s="9"/>
      <c r="Z963" s="10"/>
      <c r="AA963" s="10"/>
      <c r="AB963" s="8"/>
      <c r="AC963" s="10"/>
    </row>
    <row r="964" spans="1:29" s="4" customFormat="1" x14ac:dyDescent="0.3">
      <c r="A964" s="3"/>
      <c r="B964" s="39"/>
      <c r="C964" s="5"/>
      <c r="D964" s="5"/>
      <c r="E964" s="5"/>
      <c r="F964" s="5"/>
      <c r="G964" s="29"/>
      <c r="H964"/>
      <c r="I964" s="7"/>
      <c r="J964" s="7"/>
      <c r="K964" s="7"/>
      <c r="L964" s="8"/>
      <c r="M964" s="7"/>
      <c r="N964" s="7"/>
      <c r="O964" s="8"/>
      <c r="P964" s="6"/>
      <c r="Q964" s="5"/>
      <c r="R964" s="5"/>
      <c r="S964" s="5"/>
      <c r="T964" s="5"/>
      <c r="U964" s="5"/>
      <c r="V964" s="5"/>
      <c r="W964" s="5"/>
      <c r="X964" s="8"/>
      <c r="Y964" s="9"/>
      <c r="Z964" s="10"/>
      <c r="AA964" s="10"/>
      <c r="AB964" s="8"/>
      <c r="AC964" s="10"/>
    </row>
    <row r="965" spans="1:29" s="4" customFormat="1" x14ac:dyDescent="0.3">
      <c r="A965" s="3"/>
      <c r="B965" s="39"/>
      <c r="C965" s="5"/>
      <c r="D965" s="5"/>
      <c r="E965" s="5"/>
      <c r="F965" s="5"/>
      <c r="G965" s="29"/>
      <c r="H965"/>
      <c r="I965" s="7"/>
      <c r="J965" s="7"/>
      <c r="K965" s="7"/>
      <c r="L965" s="8"/>
      <c r="M965" s="7"/>
      <c r="N965" s="7"/>
      <c r="O965" s="8"/>
      <c r="P965" s="6"/>
      <c r="Q965" s="5"/>
      <c r="R965" s="5"/>
      <c r="S965" s="5"/>
      <c r="T965" s="5"/>
      <c r="U965" s="5"/>
      <c r="V965" s="5"/>
      <c r="W965" s="5"/>
      <c r="X965" s="8"/>
      <c r="Y965" s="9"/>
      <c r="Z965" s="10"/>
      <c r="AA965" s="10"/>
      <c r="AB965" s="8"/>
      <c r="AC965" s="10"/>
    </row>
    <row r="966" spans="1:29" s="4" customFormat="1" x14ac:dyDescent="0.3">
      <c r="A966" s="3"/>
      <c r="B966" s="39"/>
      <c r="C966" s="5"/>
      <c r="D966" s="5"/>
      <c r="E966" s="5"/>
      <c r="F966" s="5"/>
      <c r="G966" s="29"/>
      <c r="H966"/>
      <c r="I966" s="7"/>
      <c r="J966" s="7"/>
      <c r="K966" s="7"/>
      <c r="L966" s="8"/>
      <c r="M966" s="7"/>
      <c r="N966" s="7"/>
      <c r="O966" s="8"/>
      <c r="P966" s="6"/>
      <c r="Q966" s="5"/>
      <c r="R966" s="5"/>
      <c r="S966" s="5"/>
      <c r="T966" s="5"/>
      <c r="U966" s="5"/>
      <c r="V966" s="5"/>
      <c r="W966" s="5"/>
      <c r="X966" s="8"/>
      <c r="Y966" s="9"/>
      <c r="Z966" s="10"/>
      <c r="AA966" s="10"/>
      <c r="AB966" s="8"/>
      <c r="AC966" s="10"/>
    </row>
    <row r="967" spans="1:29" s="4" customFormat="1" x14ac:dyDescent="0.3">
      <c r="A967" s="3"/>
      <c r="B967" s="39"/>
      <c r="C967" s="5"/>
      <c r="D967" s="5"/>
      <c r="E967" s="5"/>
      <c r="F967" s="5"/>
      <c r="G967" s="29"/>
      <c r="H967"/>
      <c r="I967" s="7"/>
      <c r="J967" s="7"/>
      <c r="K967" s="7"/>
      <c r="L967" s="8"/>
      <c r="M967" s="7"/>
      <c r="N967" s="7"/>
      <c r="O967" s="8"/>
      <c r="P967" s="6"/>
      <c r="Q967" s="5"/>
      <c r="R967" s="5"/>
      <c r="S967" s="5"/>
      <c r="T967" s="5"/>
      <c r="U967" s="5"/>
      <c r="V967" s="5"/>
      <c r="W967" s="5"/>
      <c r="X967" s="8"/>
      <c r="Y967" s="9"/>
      <c r="Z967" s="10"/>
      <c r="AA967" s="10"/>
      <c r="AB967" s="8"/>
      <c r="AC967" s="10"/>
    </row>
    <row r="968" spans="1:29" s="4" customFormat="1" x14ac:dyDescent="0.3">
      <c r="A968" s="3"/>
      <c r="B968" s="39"/>
      <c r="C968" s="5"/>
      <c r="D968" s="5"/>
      <c r="E968" s="5"/>
      <c r="F968" s="5"/>
      <c r="G968" s="29"/>
      <c r="H968"/>
      <c r="I968" s="7"/>
      <c r="J968" s="7"/>
      <c r="K968" s="7"/>
      <c r="L968" s="8"/>
      <c r="M968" s="7"/>
      <c r="N968" s="7"/>
      <c r="O968" s="8"/>
      <c r="P968" s="6"/>
      <c r="Q968" s="5"/>
      <c r="R968" s="5"/>
      <c r="S968" s="5"/>
      <c r="T968" s="5"/>
      <c r="U968" s="5"/>
      <c r="V968" s="5"/>
      <c r="W968" s="5"/>
      <c r="X968" s="8"/>
      <c r="Y968" s="9"/>
      <c r="Z968" s="10"/>
      <c r="AA968" s="10"/>
      <c r="AB968" s="8"/>
      <c r="AC968" s="10"/>
    </row>
    <row r="969" spans="1:29" s="4" customFormat="1" x14ac:dyDescent="0.3">
      <c r="A969" s="3"/>
      <c r="B969" s="39"/>
      <c r="C969" s="5"/>
      <c r="D969" s="5"/>
      <c r="E969" s="5"/>
      <c r="F969" s="5"/>
      <c r="G969" s="29"/>
      <c r="H969"/>
      <c r="I969" s="7"/>
      <c r="J969" s="7"/>
      <c r="K969" s="7"/>
      <c r="L969" s="8"/>
      <c r="M969" s="7"/>
      <c r="N969" s="7"/>
      <c r="O969" s="8"/>
      <c r="P969" s="6"/>
      <c r="Q969" s="5"/>
      <c r="R969" s="5"/>
      <c r="S969" s="5"/>
      <c r="T969" s="5"/>
      <c r="U969" s="5"/>
      <c r="V969" s="5"/>
      <c r="W969" s="5"/>
      <c r="X969" s="8"/>
      <c r="Y969" s="9"/>
      <c r="Z969" s="10"/>
      <c r="AA969" s="10"/>
      <c r="AB969" s="8"/>
      <c r="AC969" s="10"/>
    </row>
    <row r="970" spans="1:29" s="4" customFormat="1" x14ac:dyDescent="0.3">
      <c r="A970" s="3"/>
      <c r="B970" s="39"/>
      <c r="C970" s="5"/>
      <c r="D970" s="5"/>
      <c r="E970" s="5"/>
      <c r="F970" s="5"/>
      <c r="G970" s="29"/>
      <c r="H970"/>
      <c r="I970" s="7"/>
      <c r="J970" s="7"/>
      <c r="K970" s="7"/>
      <c r="L970" s="8"/>
      <c r="M970" s="7"/>
      <c r="N970" s="7"/>
      <c r="O970" s="8"/>
      <c r="P970" s="6"/>
      <c r="Q970" s="5"/>
      <c r="R970" s="5"/>
      <c r="S970" s="5"/>
      <c r="T970" s="5"/>
      <c r="U970" s="5"/>
      <c r="V970" s="5"/>
      <c r="W970" s="5"/>
      <c r="X970" s="8"/>
      <c r="Y970" s="9"/>
      <c r="Z970" s="10"/>
      <c r="AA970" s="10"/>
      <c r="AB970" s="8"/>
      <c r="AC970" s="10"/>
    </row>
    <row r="971" spans="1:29" s="4" customFormat="1" x14ac:dyDescent="0.3">
      <c r="A971" s="3"/>
      <c r="B971" s="39"/>
      <c r="C971" s="5"/>
      <c r="D971" s="5"/>
      <c r="E971" s="5"/>
      <c r="F971" s="5"/>
      <c r="G971" s="29"/>
      <c r="H971"/>
      <c r="I971" s="7"/>
      <c r="J971" s="7"/>
      <c r="K971" s="7"/>
      <c r="L971" s="8"/>
      <c r="M971" s="7"/>
      <c r="N971" s="7"/>
      <c r="O971" s="8"/>
      <c r="P971" s="6"/>
      <c r="Q971" s="5"/>
      <c r="R971" s="5"/>
      <c r="S971" s="5"/>
      <c r="T971" s="5"/>
      <c r="U971" s="5"/>
      <c r="V971" s="5"/>
      <c r="W971" s="5"/>
      <c r="X971" s="8"/>
      <c r="Y971" s="9"/>
      <c r="Z971" s="10"/>
      <c r="AA971" s="10"/>
      <c r="AB971" s="8"/>
      <c r="AC971" s="10"/>
    </row>
    <row r="972" spans="1:29" s="4" customFormat="1" x14ac:dyDescent="0.3">
      <c r="A972" s="3"/>
      <c r="B972" s="39"/>
      <c r="C972" s="5"/>
      <c r="D972" s="5"/>
      <c r="E972" s="5"/>
      <c r="F972" s="5"/>
      <c r="G972" s="29"/>
      <c r="H972"/>
      <c r="I972" s="7"/>
      <c r="J972" s="7"/>
      <c r="K972" s="7"/>
      <c r="L972" s="8"/>
      <c r="M972" s="7"/>
      <c r="N972" s="7"/>
      <c r="O972" s="8"/>
      <c r="P972" s="6"/>
      <c r="Q972" s="5"/>
      <c r="R972" s="5"/>
      <c r="S972" s="5"/>
      <c r="T972" s="5"/>
      <c r="U972" s="5"/>
      <c r="V972" s="5"/>
      <c r="W972" s="5"/>
      <c r="X972" s="8"/>
      <c r="Y972" s="9"/>
      <c r="Z972" s="10"/>
      <c r="AA972" s="10"/>
      <c r="AB972" s="8"/>
      <c r="AC972" s="10"/>
    </row>
    <row r="973" spans="1:29" s="4" customFormat="1" x14ac:dyDescent="0.3">
      <c r="A973" s="3"/>
      <c r="B973" s="39"/>
      <c r="C973" s="5"/>
      <c r="D973" s="5"/>
      <c r="E973" s="5"/>
      <c r="F973" s="5"/>
      <c r="G973" s="29"/>
      <c r="H973"/>
      <c r="I973" s="7"/>
      <c r="J973" s="7"/>
      <c r="K973" s="7"/>
      <c r="L973" s="8"/>
      <c r="M973" s="7"/>
      <c r="N973" s="7"/>
      <c r="O973" s="8"/>
      <c r="P973" s="6"/>
      <c r="Q973" s="5"/>
      <c r="R973" s="5"/>
      <c r="S973" s="5"/>
      <c r="T973" s="5"/>
      <c r="U973" s="5"/>
      <c r="V973" s="5"/>
      <c r="W973" s="5"/>
      <c r="X973" s="8"/>
      <c r="Y973" s="9"/>
      <c r="Z973" s="10"/>
      <c r="AA973" s="10"/>
      <c r="AB973" s="8"/>
      <c r="AC973" s="10"/>
    </row>
    <row r="974" spans="1:29" s="4" customFormat="1" x14ac:dyDescent="0.3">
      <c r="A974" s="3"/>
      <c r="B974" s="39"/>
      <c r="C974" s="5"/>
      <c r="D974" s="5"/>
      <c r="E974" s="5"/>
      <c r="F974" s="5"/>
      <c r="G974" s="29"/>
      <c r="H974"/>
      <c r="I974" s="7"/>
      <c r="J974" s="7"/>
      <c r="K974" s="7"/>
      <c r="L974" s="8"/>
      <c r="M974" s="7"/>
      <c r="N974" s="7"/>
      <c r="O974" s="8"/>
      <c r="P974" s="6"/>
      <c r="Q974" s="5"/>
      <c r="R974" s="5"/>
      <c r="S974" s="5"/>
      <c r="T974" s="5"/>
      <c r="U974" s="5"/>
      <c r="V974" s="5"/>
      <c r="W974" s="5"/>
      <c r="X974" s="8"/>
      <c r="Y974" s="9"/>
      <c r="Z974" s="10"/>
      <c r="AA974" s="10"/>
      <c r="AB974" s="8"/>
      <c r="AC974" s="10"/>
    </row>
    <row r="975" spans="1:29" s="4" customFormat="1" x14ac:dyDescent="0.3">
      <c r="A975" s="3"/>
      <c r="B975" s="39"/>
      <c r="C975" s="5"/>
      <c r="D975" s="5"/>
      <c r="E975" s="5"/>
      <c r="F975" s="5"/>
      <c r="G975" s="29"/>
      <c r="H975"/>
      <c r="I975" s="7"/>
      <c r="J975" s="7"/>
      <c r="K975" s="7"/>
      <c r="L975" s="8"/>
      <c r="M975" s="7"/>
      <c r="N975" s="7"/>
      <c r="O975" s="8"/>
      <c r="P975" s="6"/>
      <c r="Q975" s="5"/>
      <c r="R975" s="5"/>
      <c r="S975" s="5"/>
      <c r="T975" s="5"/>
      <c r="U975" s="5"/>
      <c r="V975" s="5"/>
      <c r="W975" s="5"/>
      <c r="X975" s="8"/>
      <c r="Y975" s="9"/>
      <c r="Z975" s="10"/>
      <c r="AA975" s="10"/>
      <c r="AB975" s="8"/>
      <c r="AC975" s="10"/>
    </row>
    <row r="976" spans="1:29" s="4" customFormat="1" x14ac:dyDescent="0.3">
      <c r="A976" s="3"/>
      <c r="B976" s="39"/>
      <c r="C976" s="5"/>
      <c r="D976" s="5"/>
      <c r="E976" s="5"/>
      <c r="F976" s="5"/>
      <c r="G976" s="29"/>
      <c r="H976"/>
      <c r="I976" s="7"/>
      <c r="J976" s="7"/>
      <c r="K976" s="7"/>
      <c r="L976" s="8"/>
      <c r="M976" s="7"/>
      <c r="N976" s="7"/>
      <c r="O976" s="8"/>
      <c r="P976" s="6"/>
      <c r="Q976" s="5"/>
      <c r="R976" s="5"/>
      <c r="S976" s="5"/>
      <c r="T976" s="5"/>
      <c r="U976" s="5"/>
      <c r="V976" s="5"/>
      <c r="W976" s="5"/>
      <c r="X976" s="8"/>
      <c r="Y976" s="9"/>
      <c r="Z976" s="10"/>
      <c r="AA976" s="10"/>
      <c r="AB976" s="8"/>
      <c r="AC976" s="10"/>
    </row>
    <row r="977" spans="1:29" s="4" customFormat="1" x14ac:dyDescent="0.3">
      <c r="A977" s="3"/>
      <c r="B977" s="39"/>
      <c r="C977" s="5"/>
      <c r="D977" s="5"/>
      <c r="E977" s="5"/>
      <c r="F977" s="5"/>
      <c r="G977" s="29"/>
      <c r="H977"/>
      <c r="I977" s="7"/>
      <c r="J977" s="7"/>
      <c r="K977" s="7"/>
      <c r="L977" s="8"/>
      <c r="M977" s="7"/>
      <c r="N977" s="7"/>
      <c r="O977" s="8"/>
      <c r="P977" s="6"/>
      <c r="Q977" s="5"/>
      <c r="R977" s="5"/>
      <c r="S977" s="5"/>
      <c r="T977" s="5"/>
      <c r="U977" s="5"/>
      <c r="V977" s="5"/>
      <c r="W977" s="5"/>
      <c r="X977" s="8"/>
      <c r="Y977" s="9"/>
      <c r="Z977" s="10"/>
      <c r="AA977" s="10"/>
      <c r="AB977" s="8"/>
      <c r="AC977" s="10"/>
    </row>
    <row r="978" spans="1:29" s="4" customFormat="1" x14ac:dyDescent="0.3">
      <c r="A978" s="3"/>
      <c r="B978" s="39"/>
      <c r="C978" s="5"/>
      <c r="D978" s="5"/>
      <c r="E978" s="5"/>
      <c r="F978" s="5"/>
      <c r="G978" s="29"/>
      <c r="H978"/>
      <c r="I978" s="7"/>
      <c r="J978" s="7"/>
      <c r="K978" s="7"/>
      <c r="L978" s="8"/>
      <c r="M978" s="7"/>
      <c r="N978" s="7"/>
      <c r="O978" s="8"/>
      <c r="P978" s="6"/>
      <c r="Q978" s="5"/>
      <c r="R978" s="5"/>
      <c r="S978" s="5"/>
      <c r="T978" s="5"/>
      <c r="U978" s="5"/>
      <c r="V978" s="5"/>
      <c r="W978" s="5"/>
      <c r="X978" s="8"/>
      <c r="Y978" s="9"/>
      <c r="Z978" s="10"/>
      <c r="AA978" s="10"/>
      <c r="AB978" s="8"/>
      <c r="AC978" s="10"/>
    </row>
    <row r="979" spans="1:29" s="4" customFormat="1" x14ac:dyDescent="0.3">
      <c r="A979" s="3"/>
      <c r="B979" s="39"/>
      <c r="C979" s="5"/>
      <c r="D979" s="5"/>
      <c r="E979" s="5"/>
      <c r="F979" s="5"/>
      <c r="G979" s="29"/>
      <c r="H979"/>
      <c r="I979" s="7"/>
      <c r="J979" s="7"/>
      <c r="K979" s="7"/>
      <c r="L979" s="8"/>
      <c r="M979" s="7"/>
      <c r="N979" s="7"/>
      <c r="O979" s="8"/>
      <c r="P979" s="6"/>
      <c r="Q979" s="5"/>
      <c r="R979" s="5"/>
      <c r="S979" s="5"/>
      <c r="T979" s="5"/>
      <c r="U979" s="5"/>
      <c r="V979" s="5"/>
      <c r="W979" s="5"/>
      <c r="X979" s="8"/>
      <c r="Y979" s="9"/>
      <c r="Z979" s="10"/>
      <c r="AA979" s="10"/>
      <c r="AB979" s="8"/>
      <c r="AC979" s="10"/>
    </row>
    <row r="980" spans="1:29" s="4" customFormat="1" x14ac:dyDescent="0.3">
      <c r="A980" s="3"/>
      <c r="B980" s="39"/>
      <c r="C980" s="5"/>
      <c r="D980" s="5"/>
      <c r="E980" s="5"/>
      <c r="F980" s="5"/>
      <c r="G980" s="29"/>
      <c r="H980"/>
      <c r="I980" s="7"/>
      <c r="J980" s="7"/>
      <c r="K980" s="7"/>
      <c r="L980" s="8"/>
      <c r="M980" s="7"/>
      <c r="N980" s="7"/>
      <c r="O980" s="8"/>
      <c r="P980" s="6"/>
      <c r="Q980" s="5"/>
      <c r="R980" s="5"/>
      <c r="S980" s="5"/>
      <c r="T980" s="5"/>
      <c r="U980" s="5"/>
      <c r="V980" s="5"/>
      <c r="W980" s="5"/>
      <c r="X980" s="8"/>
      <c r="Y980" s="9"/>
      <c r="Z980" s="10"/>
      <c r="AA980" s="10"/>
      <c r="AB980" s="8"/>
      <c r="AC980" s="10"/>
    </row>
    <row r="981" spans="1:29" s="4" customFormat="1" x14ac:dyDescent="0.3">
      <c r="A981" s="3"/>
      <c r="B981" s="39"/>
      <c r="C981" s="5"/>
      <c r="D981" s="5"/>
      <c r="E981" s="5"/>
      <c r="F981" s="5"/>
      <c r="G981" s="29"/>
      <c r="H981"/>
      <c r="I981" s="7"/>
      <c r="J981" s="7"/>
      <c r="K981" s="7"/>
      <c r="L981" s="8"/>
      <c r="M981" s="7"/>
      <c r="N981" s="7"/>
      <c r="O981" s="8"/>
      <c r="P981" s="6"/>
      <c r="Q981" s="5"/>
      <c r="R981" s="5"/>
      <c r="S981" s="5"/>
      <c r="T981" s="5"/>
      <c r="U981" s="5"/>
      <c r="V981" s="5"/>
      <c r="W981" s="5"/>
      <c r="X981" s="8"/>
      <c r="Y981" s="9"/>
      <c r="Z981" s="10"/>
      <c r="AA981" s="10"/>
      <c r="AB981" s="8"/>
      <c r="AC981" s="10"/>
    </row>
    <row r="982" spans="1:29" s="4" customFormat="1" x14ac:dyDescent="0.3">
      <c r="A982" s="3"/>
      <c r="B982" s="39"/>
      <c r="C982" s="5"/>
      <c r="D982" s="5"/>
      <c r="E982" s="5"/>
      <c r="F982" s="5"/>
      <c r="G982" s="29"/>
      <c r="H982"/>
      <c r="I982" s="7"/>
      <c r="J982" s="7"/>
      <c r="K982" s="7"/>
      <c r="L982" s="8"/>
      <c r="M982" s="7"/>
      <c r="N982" s="7"/>
      <c r="O982" s="8"/>
      <c r="P982" s="6"/>
      <c r="Q982" s="5"/>
      <c r="R982" s="5"/>
      <c r="S982" s="5"/>
      <c r="T982" s="5"/>
      <c r="U982" s="5"/>
      <c r="V982" s="5"/>
      <c r="W982" s="5"/>
      <c r="X982" s="8"/>
      <c r="Y982" s="9"/>
      <c r="Z982" s="10"/>
      <c r="AA982" s="10"/>
      <c r="AB982" s="8"/>
      <c r="AC982" s="10"/>
    </row>
    <row r="983" spans="1:29" s="4" customFormat="1" x14ac:dyDescent="0.3">
      <c r="A983" s="3"/>
      <c r="B983" s="39"/>
      <c r="C983" s="5"/>
      <c r="D983" s="5"/>
      <c r="E983" s="5"/>
      <c r="F983" s="5"/>
      <c r="G983" s="29"/>
      <c r="H983"/>
      <c r="I983" s="7"/>
      <c r="J983" s="7"/>
      <c r="K983" s="7"/>
      <c r="L983" s="8"/>
      <c r="M983" s="7"/>
      <c r="N983" s="7"/>
      <c r="O983" s="8"/>
      <c r="P983" s="6"/>
      <c r="Q983" s="5"/>
      <c r="R983" s="5"/>
      <c r="S983" s="5"/>
      <c r="T983" s="5"/>
      <c r="U983" s="5"/>
      <c r="V983" s="5"/>
      <c r="W983" s="5"/>
      <c r="X983" s="8"/>
      <c r="Y983" s="9"/>
      <c r="Z983" s="10"/>
      <c r="AA983" s="10"/>
      <c r="AB983" s="8"/>
      <c r="AC983" s="10"/>
    </row>
    <row r="984" spans="1:29" s="4" customFormat="1" x14ac:dyDescent="0.3">
      <c r="A984" s="3"/>
      <c r="B984" s="39"/>
      <c r="C984" s="5"/>
      <c r="D984" s="5"/>
      <c r="E984" s="5"/>
      <c r="F984" s="5"/>
      <c r="G984" s="29"/>
      <c r="H984"/>
      <c r="I984" s="7"/>
      <c r="J984" s="7"/>
      <c r="K984" s="7"/>
      <c r="L984" s="8"/>
      <c r="M984" s="7"/>
      <c r="N984" s="7"/>
      <c r="O984" s="8"/>
      <c r="P984" s="6"/>
      <c r="Q984" s="5"/>
      <c r="R984" s="5"/>
      <c r="S984" s="5"/>
      <c r="T984" s="5"/>
      <c r="U984" s="5"/>
      <c r="V984" s="5"/>
      <c r="W984" s="5"/>
      <c r="X984" s="8"/>
      <c r="Y984" s="9"/>
      <c r="Z984" s="10"/>
      <c r="AA984" s="10"/>
      <c r="AB984" s="8"/>
      <c r="AC984" s="10"/>
    </row>
    <row r="985" spans="1:29" s="4" customFormat="1" x14ac:dyDescent="0.3">
      <c r="A985" s="3"/>
      <c r="B985" s="39"/>
      <c r="C985" s="5"/>
      <c r="D985" s="5"/>
      <c r="E985" s="5"/>
      <c r="F985" s="5"/>
      <c r="G985" s="29"/>
      <c r="H985"/>
      <c r="I985" s="7"/>
      <c r="J985" s="7"/>
      <c r="K985" s="7"/>
      <c r="L985" s="8"/>
      <c r="M985" s="7"/>
      <c r="N985" s="7"/>
      <c r="O985" s="8"/>
      <c r="P985" s="6"/>
      <c r="Q985" s="5"/>
      <c r="R985" s="5"/>
      <c r="S985" s="5"/>
      <c r="T985" s="5"/>
      <c r="U985" s="5"/>
      <c r="V985" s="5"/>
      <c r="W985" s="5"/>
      <c r="X985" s="8"/>
      <c r="Y985" s="9"/>
      <c r="Z985" s="10"/>
      <c r="AA985" s="10"/>
      <c r="AB985" s="8"/>
      <c r="AC985" s="10"/>
    </row>
    <row r="986" spans="1:29" s="4" customFormat="1" x14ac:dyDescent="0.3">
      <c r="A986" s="3"/>
      <c r="B986" s="39"/>
      <c r="C986" s="5"/>
      <c r="D986" s="5"/>
      <c r="E986" s="5"/>
      <c r="F986" s="5"/>
      <c r="G986" s="29"/>
      <c r="H986"/>
      <c r="I986" s="7"/>
      <c r="J986" s="7"/>
      <c r="K986" s="7"/>
      <c r="L986" s="8"/>
      <c r="M986" s="7"/>
      <c r="N986" s="7"/>
      <c r="O986" s="8"/>
      <c r="P986" s="6"/>
      <c r="Q986" s="5"/>
      <c r="R986" s="5"/>
      <c r="S986" s="5"/>
      <c r="T986" s="5"/>
      <c r="U986" s="5"/>
      <c r="V986" s="5"/>
      <c r="W986" s="5"/>
      <c r="X986" s="8"/>
      <c r="Y986" s="9"/>
      <c r="Z986" s="10"/>
      <c r="AA986" s="10"/>
      <c r="AB986" s="8"/>
      <c r="AC986" s="10"/>
    </row>
    <row r="987" spans="1:29" s="4" customFormat="1" x14ac:dyDescent="0.3">
      <c r="A987" s="3"/>
      <c r="B987" s="39"/>
      <c r="C987" s="5"/>
      <c r="D987" s="5"/>
      <c r="E987" s="5"/>
      <c r="F987" s="5"/>
      <c r="G987" s="29"/>
      <c r="H987"/>
      <c r="I987" s="7"/>
      <c r="J987" s="7"/>
      <c r="K987" s="7"/>
      <c r="L987" s="8"/>
      <c r="M987" s="7"/>
      <c r="N987" s="7"/>
      <c r="O987" s="8"/>
      <c r="P987" s="6"/>
      <c r="Q987" s="5"/>
      <c r="R987" s="5"/>
      <c r="S987" s="5"/>
      <c r="T987" s="5"/>
      <c r="U987" s="5"/>
      <c r="V987" s="5"/>
      <c r="W987" s="5"/>
      <c r="X987" s="8"/>
      <c r="Y987" s="9"/>
      <c r="Z987" s="10"/>
      <c r="AA987" s="10"/>
      <c r="AB987" s="8"/>
      <c r="AC987" s="10"/>
    </row>
    <row r="988" spans="1:29" s="4" customFormat="1" x14ac:dyDescent="0.3">
      <c r="A988" s="3"/>
      <c r="B988" s="39"/>
      <c r="C988" s="5"/>
      <c r="D988" s="5"/>
      <c r="E988" s="5"/>
      <c r="F988" s="5"/>
      <c r="G988" s="29"/>
      <c r="H988"/>
      <c r="I988" s="7"/>
      <c r="J988" s="7"/>
      <c r="K988" s="7"/>
      <c r="L988" s="8"/>
      <c r="M988" s="7"/>
      <c r="N988" s="7"/>
      <c r="O988" s="8"/>
      <c r="P988" s="6"/>
      <c r="Q988" s="5"/>
      <c r="R988" s="5"/>
      <c r="S988" s="5"/>
      <c r="T988" s="5"/>
      <c r="U988" s="5"/>
      <c r="V988" s="5"/>
      <c r="W988" s="5"/>
      <c r="X988" s="8"/>
      <c r="Y988" s="9"/>
      <c r="Z988" s="10"/>
      <c r="AA988" s="10"/>
      <c r="AB988" s="8"/>
      <c r="AC988" s="10"/>
    </row>
    <row r="989" spans="1:29" s="4" customFormat="1" x14ac:dyDescent="0.3">
      <c r="A989" s="3"/>
      <c r="B989" s="39"/>
      <c r="C989" s="5"/>
      <c r="D989" s="5"/>
      <c r="E989" s="5"/>
      <c r="F989" s="5"/>
      <c r="G989" s="29"/>
      <c r="H989"/>
      <c r="I989" s="7"/>
      <c r="J989" s="7"/>
      <c r="K989" s="7"/>
      <c r="L989" s="8"/>
      <c r="M989" s="7"/>
      <c r="N989" s="7"/>
      <c r="O989" s="8"/>
      <c r="P989" s="6"/>
      <c r="Q989" s="5"/>
      <c r="R989" s="5"/>
      <c r="S989" s="5"/>
      <c r="T989" s="5"/>
      <c r="U989" s="5"/>
      <c r="V989" s="5"/>
      <c r="W989" s="5"/>
      <c r="X989" s="8"/>
      <c r="Y989" s="9"/>
      <c r="Z989" s="10"/>
      <c r="AA989" s="10"/>
      <c r="AB989" s="8"/>
      <c r="AC989" s="10"/>
    </row>
    <row r="990" spans="1:29" s="4" customFormat="1" x14ac:dyDescent="0.3">
      <c r="A990" s="3"/>
      <c r="B990" s="39"/>
      <c r="C990" s="5"/>
      <c r="D990" s="5"/>
      <c r="E990" s="5"/>
      <c r="F990" s="5"/>
      <c r="G990" s="29"/>
      <c r="H990"/>
      <c r="I990" s="7"/>
      <c r="J990" s="7"/>
      <c r="K990" s="7"/>
      <c r="L990" s="8"/>
      <c r="M990" s="7"/>
      <c r="N990" s="7"/>
      <c r="O990" s="8"/>
      <c r="P990" s="6"/>
      <c r="Q990" s="5"/>
      <c r="R990" s="5"/>
      <c r="S990" s="5"/>
      <c r="T990" s="5"/>
      <c r="U990" s="5"/>
      <c r="V990" s="5"/>
      <c r="W990" s="5"/>
      <c r="X990" s="8"/>
      <c r="Y990" s="9"/>
      <c r="Z990" s="10"/>
      <c r="AA990" s="10"/>
      <c r="AB990" s="8"/>
      <c r="AC990" s="10"/>
    </row>
    <row r="991" spans="1:29" s="4" customFormat="1" x14ac:dyDescent="0.3">
      <c r="A991" s="3"/>
      <c r="B991" s="39"/>
      <c r="C991" s="5"/>
      <c r="D991" s="5"/>
      <c r="E991" s="5"/>
      <c r="F991" s="5"/>
      <c r="G991" s="29"/>
      <c r="H991"/>
      <c r="I991" s="7"/>
      <c r="J991" s="7"/>
      <c r="K991" s="7"/>
      <c r="L991" s="8"/>
      <c r="M991" s="7"/>
      <c r="N991" s="7"/>
      <c r="O991" s="8"/>
      <c r="P991" s="6"/>
      <c r="Q991" s="5"/>
      <c r="R991" s="5"/>
      <c r="S991" s="5"/>
      <c r="T991" s="5"/>
      <c r="U991" s="5"/>
      <c r="V991" s="5"/>
      <c r="W991" s="5"/>
      <c r="X991" s="8"/>
      <c r="Y991" s="9"/>
      <c r="Z991" s="10"/>
      <c r="AA991" s="10"/>
      <c r="AB991" s="8"/>
      <c r="AC991" s="10"/>
    </row>
    <row r="992" spans="1:29" s="4" customFormat="1" x14ac:dyDescent="0.3">
      <c r="A992" s="3"/>
      <c r="B992" s="39"/>
      <c r="C992" s="5"/>
      <c r="D992" s="5"/>
      <c r="E992" s="5"/>
      <c r="F992" s="5"/>
      <c r="G992" s="29"/>
      <c r="H992"/>
      <c r="I992" s="7"/>
      <c r="J992" s="7"/>
      <c r="K992" s="7"/>
      <c r="L992" s="8"/>
      <c r="M992" s="7"/>
      <c r="N992" s="7"/>
      <c r="O992" s="8"/>
      <c r="P992" s="6"/>
      <c r="Q992" s="5"/>
      <c r="R992" s="5"/>
      <c r="S992" s="5"/>
      <c r="T992" s="5"/>
      <c r="U992" s="5"/>
      <c r="V992" s="5"/>
      <c r="W992" s="5"/>
      <c r="X992" s="8"/>
      <c r="Y992" s="9"/>
      <c r="Z992" s="10"/>
      <c r="AA992" s="10"/>
      <c r="AB992" s="8"/>
      <c r="AC992" s="10"/>
    </row>
    <row r="993" spans="1:29" s="4" customFormat="1" x14ac:dyDescent="0.3">
      <c r="A993" s="3"/>
      <c r="B993" s="39"/>
      <c r="C993" s="5"/>
      <c r="D993" s="5"/>
      <c r="E993" s="5"/>
      <c r="F993" s="5"/>
      <c r="G993" s="29"/>
      <c r="H993"/>
      <c r="I993" s="7"/>
      <c r="J993" s="7"/>
      <c r="K993" s="7"/>
      <c r="L993" s="8"/>
      <c r="M993" s="7"/>
      <c r="N993" s="7"/>
      <c r="O993" s="8"/>
      <c r="P993" s="6"/>
      <c r="Q993" s="5"/>
      <c r="R993" s="5"/>
      <c r="S993" s="5"/>
      <c r="T993" s="5"/>
      <c r="U993" s="5"/>
      <c r="V993" s="5"/>
      <c r="W993" s="5"/>
      <c r="X993" s="8"/>
      <c r="Y993" s="9"/>
      <c r="Z993" s="10"/>
      <c r="AA993" s="10"/>
      <c r="AB993" s="8"/>
      <c r="AC993" s="10"/>
    </row>
    <row r="994" spans="1:29" s="4" customFormat="1" x14ac:dyDescent="0.3">
      <c r="A994" s="3"/>
      <c r="B994" s="39"/>
      <c r="C994" s="5"/>
      <c r="D994" s="5"/>
      <c r="E994" s="5"/>
      <c r="F994" s="5"/>
      <c r="G994" s="29"/>
      <c r="H994"/>
      <c r="I994" s="7"/>
      <c r="J994" s="7"/>
      <c r="K994" s="7"/>
      <c r="L994" s="8"/>
      <c r="M994" s="7"/>
      <c r="N994" s="7"/>
      <c r="O994" s="8"/>
      <c r="P994" s="6"/>
      <c r="Q994" s="5"/>
      <c r="R994" s="5"/>
      <c r="S994" s="5"/>
      <c r="T994" s="5"/>
      <c r="U994" s="5"/>
      <c r="V994" s="5"/>
      <c r="W994" s="5"/>
      <c r="X994" s="8"/>
      <c r="Y994" s="9"/>
      <c r="Z994" s="10"/>
      <c r="AA994" s="10"/>
      <c r="AB994" s="8"/>
      <c r="AC994" s="10"/>
    </row>
    <row r="995" spans="1:29" s="4" customFormat="1" x14ac:dyDescent="0.3">
      <c r="A995" s="3"/>
      <c r="B995" s="39"/>
      <c r="C995" s="5"/>
      <c r="D995" s="5"/>
      <c r="E995" s="5"/>
      <c r="F995" s="5"/>
      <c r="G995" s="29"/>
      <c r="H995"/>
      <c r="I995" s="7"/>
      <c r="J995" s="7"/>
      <c r="K995" s="7"/>
      <c r="L995" s="8"/>
      <c r="M995" s="7"/>
      <c r="N995" s="7"/>
      <c r="O995" s="8"/>
      <c r="P995" s="6"/>
      <c r="Q995" s="5"/>
      <c r="R995" s="5"/>
      <c r="S995" s="5"/>
      <c r="T995" s="5"/>
      <c r="U995" s="5"/>
      <c r="V995" s="5"/>
      <c r="W995" s="5"/>
      <c r="X995" s="8"/>
      <c r="Y995" s="9"/>
      <c r="Z995" s="10"/>
      <c r="AA995" s="10"/>
      <c r="AB995" s="8"/>
      <c r="AC995" s="10"/>
    </row>
    <row r="996" spans="1:29" s="4" customFormat="1" x14ac:dyDescent="0.3">
      <c r="A996" s="3"/>
      <c r="B996" s="39"/>
      <c r="C996" s="5"/>
      <c r="D996" s="5"/>
      <c r="E996" s="5"/>
      <c r="F996" s="5"/>
      <c r="G996" s="29"/>
      <c r="H996"/>
      <c r="I996" s="7"/>
      <c r="J996" s="7"/>
      <c r="K996" s="7"/>
      <c r="L996" s="8"/>
      <c r="M996" s="7"/>
      <c r="N996" s="7"/>
      <c r="O996" s="8"/>
      <c r="P996" s="6"/>
      <c r="Q996" s="5"/>
      <c r="R996" s="5"/>
      <c r="S996" s="5"/>
      <c r="T996" s="5"/>
      <c r="U996" s="5"/>
      <c r="V996" s="5"/>
      <c r="W996" s="5"/>
      <c r="X996" s="8"/>
      <c r="Y996" s="9"/>
      <c r="Z996" s="10"/>
      <c r="AA996" s="10"/>
      <c r="AB996" s="8"/>
      <c r="AC996" s="10"/>
    </row>
    <row r="997" spans="1:29" s="4" customFormat="1" x14ac:dyDescent="0.3">
      <c r="A997" s="3"/>
      <c r="B997" s="39"/>
      <c r="C997" s="5"/>
      <c r="D997" s="5"/>
      <c r="E997" s="5"/>
      <c r="F997" s="5"/>
      <c r="G997" s="29"/>
      <c r="H997"/>
      <c r="I997" s="7"/>
      <c r="J997" s="7"/>
      <c r="K997" s="7"/>
      <c r="L997" s="8"/>
      <c r="M997" s="7"/>
      <c r="N997" s="7"/>
      <c r="O997" s="8"/>
      <c r="P997" s="6"/>
      <c r="Q997" s="5"/>
      <c r="R997" s="5"/>
      <c r="S997" s="5"/>
      <c r="T997" s="5"/>
      <c r="U997" s="5"/>
      <c r="V997" s="5"/>
      <c r="W997" s="5"/>
      <c r="X997" s="8"/>
      <c r="Y997" s="9"/>
      <c r="Z997" s="10"/>
      <c r="AA997" s="10"/>
      <c r="AB997" s="8"/>
      <c r="AC997" s="10"/>
    </row>
    <row r="998" spans="1:29" s="4" customFormat="1" x14ac:dyDescent="0.3">
      <c r="A998" s="3"/>
      <c r="B998" s="39"/>
      <c r="C998" s="5"/>
      <c r="D998" s="5"/>
      <c r="E998" s="5"/>
      <c r="F998" s="5"/>
      <c r="G998" s="29"/>
      <c r="H998"/>
      <c r="I998" s="7"/>
      <c r="J998" s="7"/>
      <c r="K998" s="7"/>
      <c r="L998" s="8"/>
      <c r="M998" s="7"/>
      <c r="N998" s="7"/>
      <c r="O998" s="8"/>
      <c r="P998" s="6"/>
      <c r="Q998" s="5"/>
      <c r="R998" s="5"/>
      <c r="S998" s="5"/>
      <c r="T998" s="5"/>
      <c r="U998" s="5"/>
      <c r="V998" s="5"/>
      <c r="W998" s="5"/>
      <c r="X998" s="8"/>
      <c r="Y998" s="9"/>
      <c r="Z998" s="10"/>
      <c r="AA998" s="10"/>
      <c r="AB998" s="8"/>
      <c r="AC998" s="10"/>
    </row>
    <row r="999" spans="1:29" s="4" customFormat="1" x14ac:dyDescent="0.3">
      <c r="A999" s="3"/>
      <c r="B999" s="39"/>
      <c r="C999" s="5"/>
      <c r="D999" s="5"/>
      <c r="E999" s="5"/>
      <c r="F999" s="5"/>
      <c r="G999" s="29"/>
      <c r="H999"/>
      <c r="I999" s="7"/>
      <c r="J999" s="7"/>
      <c r="K999" s="7"/>
      <c r="L999" s="8"/>
      <c r="M999" s="7"/>
      <c r="N999" s="7"/>
      <c r="O999" s="8"/>
      <c r="P999" s="6"/>
      <c r="Q999" s="5"/>
      <c r="R999" s="5"/>
      <c r="S999" s="5"/>
      <c r="T999" s="5"/>
      <c r="U999" s="5"/>
      <c r="V999" s="5"/>
      <c r="W999" s="5"/>
      <c r="X999" s="8"/>
      <c r="Y999" s="9"/>
      <c r="Z999" s="10"/>
      <c r="AA999" s="10"/>
      <c r="AB999" s="8"/>
      <c r="AC999" s="10"/>
    </row>
    <row r="1000" spans="1:29" s="4" customFormat="1" x14ac:dyDescent="0.3">
      <c r="A1000" s="3"/>
      <c r="B1000" s="39"/>
      <c r="C1000" s="5"/>
      <c r="D1000" s="5"/>
      <c r="E1000" s="5"/>
      <c r="F1000" s="5"/>
      <c r="G1000" s="29"/>
      <c r="H1000"/>
      <c r="I1000" s="7"/>
      <c r="J1000" s="7"/>
      <c r="K1000" s="7"/>
      <c r="L1000" s="8"/>
      <c r="M1000" s="7"/>
      <c r="N1000" s="7"/>
      <c r="O1000" s="8"/>
      <c r="P1000" s="6"/>
      <c r="Q1000" s="5"/>
      <c r="R1000" s="5"/>
      <c r="S1000" s="5"/>
      <c r="T1000" s="5"/>
      <c r="U1000" s="5"/>
      <c r="V1000" s="5"/>
      <c r="W1000" s="5"/>
      <c r="X1000" s="8"/>
      <c r="Y1000" s="9"/>
      <c r="Z1000" s="10"/>
      <c r="AA1000" s="10"/>
      <c r="AB1000" s="8"/>
      <c r="AC1000" s="10"/>
    </row>
    <row r="1001" spans="1:29" s="4" customFormat="1" x14ac:dyDescent="0.3">
      <c r="A1001" s="3"/>
      <c r="B1001" s="39"/>
      <c r="C1001" s="5"/>
      <c r="D1001" s="5"/>
      <c r="E1001" s="5"/>
      <c r="F1001" s="5"/>
      <c r="G1001" s="29"/>
      <c r="H1001"/>
      <c r="I1001" s="7"/>
      <c r="J1001" s="7"/>
      <c r="K1001" s="7"/>
      <c r="L1001" s="8"/>
      <c r="M1001" s="7"/>
      <c r="N1001" s="7"/>
      <c r="O1001" s="8"/>
      <c r="P1001" s="6"/>
      <c r="Q1001" s="5"/>
      <c r="R1001" s="5"/>
      <c r="S1001" s="5"/>
      <c r="T1001" s="5"/>
      <c r="U1001" s="5"/>
      <c r="V1001" s="5"/>
      <c r="W1001" s="5"/>
      <c r="X1001" s="8"/>
      <c r="Y1001" s="9"/>
      <c r="Z1001" s="10"/>
      <c r="AA1001" s="10"/>
      <c r="AB1001" s="8"/>
      <c r="AC1001" s="10"/>
    </row>
    <row r="1002" spans="1:29" s="4" customFormat="1" x14ac:dyDescent="0.3">
      <c r="A1002" s="3"/>
      <c r="B1002" s="39"/>
      <c r="C1002" s="5"/>
      <c r="D1002" s="5"/>
      <c r="E1002" s="5"/>
      <c r="F1002" s="5"/>
      <c r="G1002" s="29"/>
      <c r="H1002"/>
      <c r="I1002" s="7"/>
      <c r="J1002" s="7"/>
      <c r="K1002" s="7"/>
      <c r="L1002" s="8"/>
      <c r="M1002" s="7"/>
      <c r="N1002" s="7"/>
      <c r="O1002" s="8"/>
      <c r="P1002" s="6"/>
      <c r="Q1002" s="5"/>
      <c r="R1002" s="5"/>
      <c r="S1002" s="5"/>
      <c r="T1002" s="5"/>
      <c r="U1002" s="5"/>
      <c r="V1002" s="5"/>
      <c r="W1002" s="5"/>
      <c r="X1002" s="8"/>
      <c r="Y1002" s="9"/>
      <c r="Z1002" s="10"/>
      <c r="AA1002" s="10"/>
      <c r="AB1002" s="8"/>
      <c r="AC1002" s="10"/>
    </row>
    <row r="1003" spans="1:29" s="4" customFormat="1" x14ac:dyDescent="0.3">
      <c r="A1003" s="3"/>
      <c r="B1003" s="39"/>
      <c r="C1003" s="5"/>
      <c r="D1003" s="5"/>
      <c r="E1003" s="5"/>
      <c r="F1003" s="5"/>
      <c r="G1003" s="29"/>
      <c r="H1003"/>
      <c r="I1003" s="7"/>
      <c r="J1003" s="7"/>
      <c r="K1003" s="7"/>
      <c r="L1003" s="8"/>
      <c r="M1003" s="7"/>
      <c r="N1003" s="7"/>
      <c r="O1003" s="8"/>
      <c r="P1003" s="6"/>
      <c r="Q1003" s="5"/>
      <c r="R1003" s="5"/>
      <c r="S1003" s="5"/>
      <c r="T1003" s="5"/>
      <c r="U1003" s="5"/>
      <c r="V1003" s="5"/>
      <c r="W1003" s="5"/>
      <c r="X1003" s="8"/>
      <c r="Y1003" s="9"/>
      <c r="Z1003" s="10"/>
      <c r="AA1003" s="10"/>
      <c r="AB1003" s="8"/>
      <c r="AC1003" s="10"/>
    </row>
    <row r="1004" spans="1:29" s="4" customFormat="1" x14ac:dyDescent="0.3">
      <c r="A1004" s="3"/>
      <c r="B1004" s="39"/>
      <c r="C1004" s="5"/>
      <c r="D1004" s="5"/>
      <c r="E1004" s="5"/>
      <c r="F1004" s="5"/>
      <c r="G1004" s="29"/>
      <c r="H1004"/>
      <c r="I1004" s="7"/>
      <c r="J1004" s="7"/>
      <c r="K1004" s="7"/>
      <c r="L1004" s="8"/>
      <c r="M1004" s="7"/>
      <c r="N1004" s="7"/>
      <c r="O1004" s="8"/>
      <c r="P1004" s="6"/>
      <c r="Q1004" s="5"/>
      <c r="R1004" s="5"/>
      <c r="S1004" s="5"/>
      <c r="T1004" s="5"/>
      <c r="U1004" s="5"/>
      <c r="V1004" s="5"/>
      <c r="W1004" s="5"/>
      <c r="X1004" s="8"/>
      <c r="Y1004" s="9"/>
      <c r="Z1004" s="10"/>
      <c r="AA1004" s="10"/>
      <c r="AB1004" s="8"/>
      <c r="AC1004" s="10"/>
    </row>
    <row r="1005" spans="1:29" s="4" customFormat="1" x14ac:dyDescent="0.3">
      <c r="A1005" s="3"/>
      <c r="B1005" s="39"/>
      <c r="C1005" s="5"/>
      <c r="D1005" s="5"/>
      <c r="E1005" s="5"/>
      <c r="F1005" s="5"/>
      <c r="G1005" s="29"/>
      <c r="H1005"/>
      <c r="I1005" s="7"/>
      <c r="J1005" s="7"/>
      <c r="K1005" s="7"/>
      <c r="L1005" s="8"/>
      <c r="M1005" s="7"/>
      <c r="N1005" s="7"/>
      <c r="O1005" s="8"/>
      <c r="P1005" s="6"/>
      <c r="Q1005" s="5"/>
      <c r="R1005" s="5"/>
      <c r="S1005" s="5"/>
      <c r="T1005" s="5"/>
      <c r="U1005" s="5"/>
      <c r="V1005" s="5"/>
      <c r="W1005" s="5"/>
      <c r="X1005" s="8"/>
      <c r="Y1005" s="9"/>
      <c r="Z1005" s="10"/>
      <c r="AA1005" s="10"/>
      <c r="AB1005" s="8"/>
      <c r="AC1005" s="10"/>
    </row>
    <row r="1006" spans="1:29" s="4" customFormat="1" x14ac:dyDescent="0.3">
      <c r="A1006" s="3"/>
      <c r="B1006" s="39"/>
      <c r="C1006" s="5"/>
      <c r="D1006" s="5"/>
      <c r="E1006" s="5"/>
      <c r="F1006" s="5"/>
      <c r="G1006" s="29"/>
      <c r="H1006"/>
      <c r="I1006" s="7"/>
      <c r="J1006" s="7"/>
      <c r="K1006" s="7"/>
      <c r="L1006" s="8"/>
      <c r="M1006" s="7"/>
      <c r="N1006" s="7"/>
      <c r="O1006" s="8"/>
      <c r="P1006" s="6"/>
      <c r="Q1006" s="5"/>
      <c r="R1006" s="5"/>
      <c r="S1006" s="5"/>
      <c r="T1006" s="5"/>
      <c r="U1006" s="5"/>
      <c r="V1006" s="5"/>
      <c r="W1006" s="5"/>
      <c r="X1006" s="8"/>
      <c r="Y1006" s="9"/>
      <c r="Z1006" s="10"/>
      <c r="AA1006" s="10"/>
      <c r="AB1006" s="8"/>
      <c r="AC1006" s="10"/>
    </row>
    <row r="1007" spans="1:29" s="4" customFormat="1" x14ac:dyDescent="0.3">
      <c r="A1007" s="3"/>
      <c r="B1007" s="39"/>
      <c r="C1007" s="5"/>
      <c r="D1007" s="5"/>
      <c r="E1007" s="5"/>
      <c r="F1007" s="5"/>
      <c r="G1007" s="29"/>
      <c r="H1007"/>
      <c r="I1007" s="7"/>
      <c r="J1007" s="7"/>
      <c r="K1007" s="7"/>
      <c r="L1007" s="8"/>
      <c r="M1007" s="7"/>
      <c r="N1007" s="7"/>
      <c r="O1007" s="8"/>
      <c r="P1007" s="6"/>
      <c r="Q1007" s="5"/>
      <c r="R1007" s="5"/>
      <c r="S1007" s="5"/>
      <c r="T1007" s="5"/>
      <c r="U1007" s="5"/>
      <c r="V1007" s="5"/>
      <c r="W1007" s="5"/>
      <c r="X1007" s="8"/>
      <c r="Y1007" s="9"/>
      <c r="Z1007" s="10"/>
      <c r="AA1007" s="10"/>
      <c r="AB1007" s="8"/>
      <c r="AC1007" s="10"/>
    </row>
    <row r="1008" spans="1:29" s="4" customFormat="1" x14ac:dyDescent="0.3">
      <c r="A1008" s="3"/>
      <c r="B1008" s="39"/>
      <c r="C1008" s="5"/>
      <c r="D1008" s="5"/>
      <c r="E1008" s="5"/>
      <c r="F1008" s="5"/>
      <c r="G1008" s="29"/>
      <c r="H1008"/>
      <c r="I1008" s="7"/>
      <c r="J1008" s="7"/>
      <c r="K1008" s="7"/>
      <c r="L1008" s="8"/>
      <c r="M1008" s="7"/>
      <c r="N1008" s="7"/>
      <c r="O1008" s="8"/>
      <c r="P1008" s="6"/>
      <c r="Q1008" s="5"/>
      <c r="R1008" s="5"/>
      <c r="S1008" s="5"/>
      <c r="T1008" s="5"/>
      <c r="U1008" s="5"/>
      <c r="V1008" s="5"/>
      <c r="W1008" s="5"/>
      <c r="X1008" s="8"/>
      <c r="Y1008" s="9"/>
      <c r="Z1008" s="10"/>
      <c r="AA1008" s="10"/>
      <c r="AB1008" s="8"/>
      <c r="AC1008" s="10"/>
    </row>
    <row r="1009" spans="1:29" s="4" customFormat="1" x14ac:dyDescent="0.3">
      <c r="A1009" s="3"/>
      <c r="B1009" s="39"/>
      <c r="C1009" s="5"/>
      <c r="D1009" s="5"/>
      <c r="E1009" s="5"/>
      <c r="F1009" s="5"/>
      <c r="G1009" s="29"/>
      <c r="H1009"/>
      <c r="I1009" s="7"/>
      <c r="J1009" s="7"/>
      <c r="K1009" s="7"/>
      <c r="L1009" s="8"/>
      <c r="M1009" s="7"/>
      <c r="N1009" s="7"/>
      <c r="O1009" s="8"/>
      <c r="P1009" s="6"/>
      <c r="Q1009" s="5"/>
      <c r="R1009" s="5"/>
      <c r="S1009" s="5"/>
      <c r="T1009" s="5"/>
      <c r="U1009" s="5"/>
      <c r="V1009" s="5"/>
      <c r="W1009" s="5"/>
      <c r="X1009" s="8"/>
      <c r="Y1009" s="9"/>
      <c r="Z1009" s="10"/>
      <c r="AA1009" s="10"/>
      <c r="AB1009" s="8"/>
      <c r="AC1009" s="10"/>
    </row>
    <row r="1010" spans="1:29" s="4" customFormat="1" x14ac:dyDescent="0.3">
      <c r="A1010" s="3"/>
      <c r="B1010" s="39"/>
      <c r="C1010" s="5"/>
      <c r="D1010" s="5"/>
      <c r="E1010" s="5"/>
      <c r="F1010" s="5"/>
      <c r="G1010" s="29"/>
      <c r="H1010"/>
      <c r="I1010" s="7"/>
      <c r="J1010" s="7"/>
      <c r="K1010" s="7"/>
      <c r="L1010" s="8"/>
      <c r="M1010" s="7"/>
      <c r="N1010" s="7"/>
      <c r="O1010" s="8"/>
      <c r="P1010" s="6"/>
      <c r="Q1010" s="5"/>
      <c r="R1010" s="5"/>
      <c r="S1010" s="5"/>
      <c r="T1010" s="5"/>
      <c r="U1010" s="5"/>
      <c r="V1010" s="5"/>
      <c r="W1010" s="5"/>
      <c r="X1010" s="8"/>
      <c r="Y1010" s="9"/>
      <c r="Z1010" s="10"/>
      <c r="AA1010" s="10"/>
      <c r="AB1010" s="8"/>
      <c r="AC1010" s="10"/>
    </row>
    <row r="1011" spans="1:29" s="4" customFormat="1" x14ac:dyDescent="0.3">
      <c r="A1011" s="3"/>
      <c r="B1011" s="39"/>
      <c r="C1011" s="5"/>
      <c r="D1011" s="5"/>
      <c r="E1011" s="5"/>
      <c r="F1011" s="5"/>
      <c r="G1011" s="29"/>
      <c r="H1011"/>
      <c r="I1011" s="7"/>
      <c r="J1011" s="7"/>
      <c r="K1011" s="7"/>
      <c r="L1011" s="8"/>
      <c r="M1011" s="7"/>
      <c r="N1011" s="7"/>
      <c r="O1011" s="8"/>
      <c r="P1011" s="6"/>
      <c r="Q1011" s="5"/>
      <c r="R1011" s="5"/>
      <c r="S1011" s="5"/>
      <c r="T1011" s="5"/>
      <c r="U1011" s="5"/>
      <c r="V1011" s="5"/>
      <c r="W1011" s="5"/>
      <c r="X1011" s="8"/>
      <c r="Y1011" s="9"/>
      <c r="Z1011" s="10"/>
      <c r="AA1011" s="10"/>
      <c r="AB1011" s="8"/>
      <c r="AC1011" s="10"/>
    </row>
    <row r="1012" spans="1:29" s="4" customFormat="1" x14ac:dyDescent="0.3">
      <c r="A1012" s="3"/>
      <c r="B1012" s="39"/>
      <c r="C1012" s="5"/>
      <c r="D1012" s="5"/>
      <c r="E1012" s="5"/>
      <c r="F1012" s="5"/>
      <c r="G1012" s="29"/>
      <c r="H1012"/>
      <c r="I1012" s="7"/>
      <c r="J1012" s="7"/>
      <c r="K1012" s="7"/>
      <c r="L1012" s="8"/>
      <c r="M1012" s="7"/>
      <c r="N1012" s="7"/>
      <c r="O1012" s="8"/>
      <c r="P1012" s="6"/>
      <c r="Q1012" s="5"/>
      <c r="R1012" s="5"/>
      <c r="S1012" s="5"/>
      <c r="T1012" s="5"/>
      <c r="U1012" s="5"/>
      <c r="V1012" s="5"/>
      <c r="W1012" s="5"/>
      <c r="X1012" s="8"/>
      <c r="Y1012" s="9"/>
      <c r="Z1012" s="10"/>
      <c r="AA1012" s="10"/>
      <c r="AB1012" s="8"/>
      <c r="AC1012" s="10"/>
    </row>
    <row r="1013" spans="1:29" s="4" customFormat="1" x14ac:dyDescent="0.3">
      <c r="A1013" s="3"/>
      <c r="B1013" s="39"/>
      <c r="C1013" s="5"/>
      <c r="D1013" s="5"/>
      <c r="E1013" s="5"/>
      <c r="F1013" s="5"/>
      <c r="G1013" s="29"/>
      <c r="H1013"/>
      <c r="I1013" s="7"/>
      <c r="J1013" s="7"/>
      <c r="K1013" s="7"/>
      <c r="L1013" s="8"/>
      <c r="M1013" s="7"/>
      <c r="N1013" s="7"/>
      <c r="O1013" s="8"/>
      <c r="P1013" s="6"/>
      <c r="Q1013" s="5"/>
      <c r="R1013" s="5"/>
      <c r="S1013" s="5"/>
      <c r="T1013" s="5"/>
      <c r="U1013" s="5"/>
      <c r="V1013" s="5"/>
      <c r="W1013" s="5"/>
      <c r="X1013" s="8"/>
      <c r="Y1013" s="9"/>
      <c r="Z1013" s="10"/>
      <c r="AA1013" s="10"/>
      <c r="AB1013" s="8"/>
      <c r="AC1013" s="10"/>
    </row>
    <row r="1014" spans="1:29" s="4" customFormat="1" x14ac:dyDescent="0.3">
      <c r="A1014" s="3"/>
      <c r="B1014" s="39"/>
      <c r="C1014" s="5"/>
      <c r="D1014" s="5"/>
      <c r="E1014" s="5"/>
      <c r="F1014" s="5"/>
      <c r="G1014" s="29"/>
      <c r="H1014"/>
      <c r="I1014" s="7"/>
      <c r="J1014" s="7"/>
      <c r="K1014" s="7"/>
      <c r="L1014" s="8"/>
      <c r="M1014" s="7"/>
      <c r="N1014" s="7"/>
      <c r="O1014" s="8"/>
      <c r="P1014" s="6"/>
      <c r="Q1014" s="5"/>
      <c r="R1014" s="5"/>
      <c r="S1014" s="5"/>
      <c r="T1014" s="5"/>
      <c r="U1014" s="5"/>
      <c r="V1014" s="5"/>
      <c r="W1014" s="5"/>
      <c r="X1014" s="8"/>
      <c r="Y1014" s="9"/>
      <c r="Z1014" s="10"/>
      <c r="AA1014" s="10"/>
      <c r="AB1014" s="8"/>
      <c r="AC1014" s="10"/>
    </row>
    <row r="1015" spans="1:29" s="4" customFormat="1" x14ac:dyDescent="0.3">
      <c r="A1015" s="3"/>
      <c r="B1015" s="39"/>
      <c r="C1015" s="5"/>
      <c r="D1015" s="5"/>
      <c r="E1015" s="5"/>
      <c r="F1015" s="5"/>
      <c r="G1015" s="29"/>
      <c r="H1015"/>
      <c r="I1015" s="7"/>
      <c r="J1015" s="7"/>
      <c r="K1015" s="7"/>
      <c r="L1015" s="8"/>
      <c r="M1015" s="7"/>
      <c r="N1015" s="7"/>
      <c r="O1015" s="8"/>
      <c r="P1015" s="6"/>
      <c r="Q1015" s="5"/>
      <c r="R1015" s="5"/>
      <c r="S1015" s="5"/>
      <c r="T1015" s="5"/>
      <c r="U1015" s="5"/>
      <c r="V1015" s="5"/>
      <c r="W1015" s="5"/>
      <c r="X1015" s="8"/>
      <c r="Y1015" s="9"/>
      <c r="Z1015" s="10"/>
      <c r="AA1015" s="10"/>
      <c r="AB1015" s="8"/>
      <c r="AC1015" s="10"/>
    </row>
    <row r="1016" spans="1:29" s="4" customFormat="1" x14ac:dyDescent="0.3">
      <c r="A1016" s="3"/>
      <c r="B1016" s="39"/>
      <c r="C1016" s="5"/>
      <c r="D1016" s="5"/>
      <c r="E1016" s="5"/>
      <c r="F1016" s="5"/>
      <c r="G1016" s="29"/>
      <c r="H1016"/>
      <c r="I1016" s="7"/>
      <c r="J1016" s="7"/>
      <c r="K1016" s="7"/>
      <c r="L1016" s="8"/>
      <c r="M1016" s="7"/>
      <c r="N1016" s="7"/>
      <c r="O1016" s="8"/>
      <c r="P1016" s="6"/>
      <c r="Q1016" s="5"/>
      <c r="R1016" s="5"/>
      <c r="S1016" s="5"/>
      <c r="T1016" s="5"/>
      <c r="U1016" s="5"/>
      <c r="V1016" s="5"/>
      <c r="W1016" s="5"/>
      <c r="X1016" s="8"/>
      <c r="Y1016" s="9"/>
      <c r="Z1016" s="10"/>
      <c r="AA1016" s="10"/>
      <c r="AB1016" s="8"/>
      <c r="AC1016" s="10"/>
    </row>
    <row r="1017" spans="1:29" s="4" customFormat="1" x14ac:dyDescent="0.3">
      <c r="A1017" s="3"/>
      <c r="B1017" s="39"/>
      <c r="C1017" s="5"/>
      <c r="D1017" s="5"/>
      <c r="E1017" s="5"/>
      <c r="F1017" s="5"/>
      <c r="G1017" s="29"/>
      <c r="H1017"/>
      <c r="I1017" s="7"/>
      <c r="J1017" s="7"/>
      <c r="K1017" s="7"/>
      <c r="L1017" s="8"/>
      <c r="M1017" s="7"/>
      <c r="N1017" s="7"/>
      <c r="O1017" s="8"/>
      <c r="P1017" s="6"/>
      <c r="Q1017" s="5"/>
      <c r="R1017" s="5"/>
      <c r="S1017" s="5"/>
      <c r="T1017" s="5"/>
      <c r="U1017" s="5"/>
      <c r="V1017" s="5"/>
      <c r="W1017" s="5"/>
      <c r="X1017" s="8"/>
      <c r="Y1017" s="9"/>
      <c r="Z1017" s="10"/>
      <c r="AA1017" s="10"/>
      <c r="AB1017" s="8"/>
      <c r="AC1017" s="10"/>
    </row>
    <row r="1018" spans="1:29" s="4" customFormat="1" x14ac:dyDescent="0.3">
      <c r="A1018" s="3"/>
      <c r="B1018" s="39"/>
      <c r="C1018" s="5"/>
      <c r="D1018" s="5"/>
      <c r="E1018" s="5"/>
      <c r="F1018" s="5"/>
      <c r="G1018" s="29"/>
      <c r="H1018"/>
      <c r="I1018" s="7"/>
      <c r="J1018" s="7"/>
      <c r="K1018" s="7"/>
      <c r="L1018" s="8"/>
      <c r="M1018" s="7"/>
      <c r="N1018" s="7"/>
      <c r="O1018" s="8"/>
      <c r="P1018" s="6"/>
      <c r="Q1018" s="5"/>
      <c r="R1018" s="5"/>
      <c r="S1018" s="5"/>
      <c r="T1018" s="5"/>
      <c r="U1018" s="5"/>
      <c r="V1018" s="5"/>
      <c r="W1018" s="5"/>
      <c r="X1018" s="8"/>
      <c r="Y1018" s="9"/>
      <c r="Z1018" s="10"/>
      <c r="AA1018" s="10"/>
      <c r="AB1018" s="8"/>
      <c r="AC1018" s="10"/>
    </row>
    <row r="1019" spans="1:29" s="4" customFormat="1" x14ac:dyDescent="0.3">
      <c r="A1019" s="3"/>
      <c r="B1019" s="39"/>
      <c r="C1019" s="5"/>
      <c r="D1019" s="5"/>
      <c r="E1019" s="5"/>
      <c r="F1019" s="5"/>
      <c r="G1019" s="29"/>
      <c r="H1019"/>
      <c r="I1019" s="7"/>
      <c r="J1019" s="7"/>
      <c r="K1019" s="7"/>
      <c r="L1019" s="8"/>
      <c r="M1019" s="7"/>
      <c r="N1019" s="7"/>
      <c r="O1019" s="8"/>
      <c r="P1019" s="6"/>
      <c r="Q1019" s="5"/>
      <c r="R1019" s="5"/>
      <c r="S1019" s="5"/>
      <c r="T1019" s="5"/>
      <c r="U1019" s="5"/>
      <c r="V1019" s="5"/>
      <c r="W1019" s="5"/>
      <c r="X1019" s="8"/>
      <c r="Y1019" s="9"/>
      <c r="Z1019" s="10"/>
      <c r="AA1019" s="10"/>
      <c r="AB1019" s="8"/>
      <c r="AC1019" s="10"/>
    </row>
    <row r="1020" spans="1:29" s="4" customFormat="1" x14ac:dyDescent="0.3">
      <c r="A1020" s="3"/>
      <c r="B1020" s="39"/>
      <c r="C1020" s="5"/>
      <c r="D1020" s="5"/>
      <c r="E1020" s="5"/>
      <c r="F1020" s="5"/>
      <c r="G1020" s="29"/>
      <c r="H1020"/>
      <c r="I1020" s="7"/>
      <c r="J1020" s="7"/>
      <c r="K1020" s="7"/>
      <c r="L1020" s="8"/>
      <c r="M1020" s="7"/>
      <c r="N1020" s="7"/>
      <c r="O1020" s="8"/>
      <c r="P1020" s="6"/>
      <c r="Q1020" s="5"/>
      <c r="R1020" s="5"/>
      <c r="S1020" s="5"/>
      <c r="T1020" s="5"/>
      <c r="U1020" s="5"/>
      <c r="V1020" s="5"/>
      <c r="W1020" s="5"/>
      <c r="X1020" s="8"/>
      <c r="Y1020" s="9"/>
      <c r="Z1020" s="10"/>
      <c r="AA1020" s="10"/>
      <c r="AB1020" s="8"/>
      <c r="AC1020" s="10"/>
    </row>
    <row r="1021" spans="1:29" s="4" customFormat="1" x14ac:dyDescent="0.3">
      <c r="A1021" s="3"/>
      <c r="B1021" s="39"/>
      <c r="C1021" s="5"/>
      <c r="D1021" s="5"/>
      <c r="E1021" s="5"/>
      <c r="F1021" s="5"/>
      <c r="G1021" s="29"/>
      <c r="H1021"/>
      <c r="I1021" s="7"/>
      <c r="J1021" s="7"/>
      <c r="K1021" s="7"/>
      <c r="L1021" s="8"/>
      <c r="M1021" s="7"/>
      <c r="N1021" s="7"/>
      <c r="O1021" s="8"/>
      <c r="P1021" s="6"/>
      <c r="Q1021" s="5"/>
      <c r="R1021" s="5"/>
      <c r="S1021" s="5"/>
      <c r="T1021" s="5"/>
      <c r="U1021" s="5"/>
      <c r="V1021" s="5"/>
      <c r="W1021" s="5"/>
      <c r="X1021" s="8"/>
      <c r="Y1021" s="9"/>
      <c r="Z1021" s="10"/>
      <c r="AA1021" s="10"/>
      <c r="AB1021" s="8"/>
      <c r="AC1021" s="10"/>
    </row>
    <row r="1022" spans="1:29" s="4" customFormat="1" x14ac:dyDescent="0.3">
      <c r="A1022" s="3"/>
      <c r="B1022" s="39"/>
      <c r="C1022" s="5"/>
      <c r="D1022" s="5"/>
      <c r="E1022" s="5"/>
      <c r="F1022" s="5"/>
      <c r="G1022" s="29"/>
      <c r="H1022"/>
      <c r="I1022" s="7"/>
      <c r="J1022" s="7"/>
      <c r="K1022" s="7"/>
      <c r="L1022" s="8"/>
      <c r="M1022" s="7"/>
      <c r="N1022" s="7"/>
      <c r="O1022" s="8"/>
      <c r="P1022" s="6"/>
      <c r="Q1022" s="5"/>
      <c r="R1022" s="5"/>
      <c r="S1022" s="5"/>
      <c r="T1022" s="5"/>
      <c r="U1022" s="5"/>
      <c r="V1022" s="5"/>
      <c r="W1022" s="5"/>
      <c r="X1022" s="8"/>
      <c r="Y1022" s="9"/>
      <c r="Z1022" s="10"/>
      <c r="AA1022" s="10"/>
      <c r="AB1022" s="8"/>
      <c r="AC1022" s="10"/>
    </row>
    <row r="1023" spans="1:29" s="4" customFormat="1" x14ac:dyDescent="0.3">
      <c r="A1023" s="3"/>
      <c r="B1023" s="39"/>
      <c r="C1023" s="5"/>
      <c r="D1023" s="5"/>
      <c r="E1023" s="5"/>
      <c r="F1023" s="5"/>
      <c r="G1023" s="29"/>
      <c r="H1023"/>
      <c r="I1023" s="7"/>
      <c r="J1023" s="7"/>
      <c r="K1023" s="7"/>
      <c r="L1023" s="8"/>
      <c r="M1023" s="7"/>
      <c r="N1023" s="7"/>
      <c r="O1023" s="8"/>
      <c r="P1023" s="6"/>
      <c r="Q1023" s="5"/>
      <c r="R1023" s="5"/>
      <c r="S1023" s="5"/>
      <c r="T1023" s="5"/>
      <c r="U1023" s="5"/>
      <c r="V1023" s="5"/>
      <c r="W1023" s="5"/>
      <c r="X1023" s="8"/>
      <c r="Y1023" s="9"/>
      <c r="Z1023" s="10"/>
      <c r="AA1023" s="10"/>
      <c r="AB1023" s="8"/>
      <c r="AC1023" s="10"/>
    </row>
    <row r="1024" spans="1:29" s="4" customFormat="1" x14ac:dyDescent="0.3">
      <c r="A1024" s="3"/>
      <c r="B1024" s="39"/>
      <c r="C1024" s="5"/>
      <c r="D1024" s="5"/>
      <c r="E1024" s="5"/>
      <c r="F1024" s="5"/>
      <c r="G1024" s="29"/>
      <c r="H1024"/>
      <c r="I1024" s="7"/>
      <c r="J1024" s="7"/>
      <c r="K1024" s="7"/>
      <c r="L1024" s="8"/>
      <c r="M1024" s="7"/>
      <c r="N1024" s="7"/>
      <c r="O1024" s="8"/>
      <c r="P1024" s="6"/>
      <c r="Q1024" s="5"/>
      <c r="R1024" s="5"/>
      <c r="S1024" s="5"/>
      <c r="T1024" s="5"/>
      <c r="U1024" s="5"/>
      <c r="V1024" s="5"/>
      <c r="W1024" s="5"/>
      <c r="X1024" s="8"/>
      <c r="Y1024" s="9"/>
      <c r="Z1024" s="10"/>
      <c r="AA1024" s="10"/>
      <c r="AB1024" s="8"/>
      <c r="AC1024" s="10"/>
    </row>
    <row r="1025" spans="1:29" s="4" customFormat="1" x14ac:dyDescent="0.3">
      <c r="A1025" s="3"/>
      <c r="B1025" s="39"/>
      <c r="C1025" s="5"/>
      <c r="D1025" s="5"/>
      <c r="E1025" s="5"/>
      <c r="F1025" s="5"/>
      <c r="G1025" s="29"/>
      <c r="H1025"/>
      <c r="I1025" s="7"/>
      <c r="J1025" s="7"/>
      <c r="K1025" s="7"/>
      <c r="L1025" s="8"/>
      <c r="M1025" s="7"/>
      <c r="N1025" s="7"/>
      <c r="O1025" s="8"/>
      <c r="P1025" s="6"/>
      <c r="Q1025" s="5"/>
      <c r="R1025" s="5"/>
      <c r="S1025" s="5"/>
      <c r="T1025" s="5"/>
      <c r="U1025" s="5"/>
      <c r="V1025" s="5"/>
      <c r="W1025" s="5"/>
      <c r="X1025" s="8"/>
      <c r="Y1025" s="9"/>
      <c r="Z1025" s="10"/>
      <c r="AA1025" s="10"/>
      <c r="AB1025" s="8"/>
      <c r="AC1025" s="10"/>
    </row>
    <row r="1026" spans="1:29" s="4" customFormat="1" x14ac:dyDescent="0.3">
      <c r="A1026" s="3"/>
      <c r="B1026" s="39"/>
      <c r="C1026" s="5"/>
      <c r="D1026" s="5"/>
      <c r="E1026" s="5"/>
      <c r="F1026" s="5"/>
      <c r="G1026" s="29"/>
      <c r="H1026"/>
      <c r="I1026" s="7"/>
      <c r="J1026" s="7"/>
      <c r="K1026" s="7"/>
      <c r="L1026" s="8"/>
      <c r="M1026" s="7"/>
      <c r="N1026" s="7"/>
      <c r="O1026" s="8"/>
      <c r="P1026" s="6"/>
      <c r="Q1026" s="5"/>
      <c r="R1026" s="5"/>
      <c r="S1026" s="5"/>
      <c r="T1026" s="5"/>
      <c r="U1026" s="5"/>
      <c r="V1026" s="5"/>
      <c r="W1026" s="5"/>
      <c r="X1026" s="8"/>
      <c r="Y1026" s="9"/>
      <c r="Z1026" s="10"/>
      <c r="AA1026" s="10"/>
      <c r="AB1026" s="8"/>
      <c r="AC1026" s="10"/>
    </row>
    <row r="1027" spans="1:29" s="4" customFormat="1" x14ac:dyDescent="0.3">
      <c r="A1027" s="3"/>
      <c r="B1027" s="39"/>
      <c r="C1027" s="5"/>
      <c r="D1027" s="5"/>
      <c r="E1027" s="5"/>
      <c r="F1027" s="5"/>
      <c r="G1027" s="29"/>
      <c r="H1027"/>
      <c r="I1027" s="7"/>
      <c r="J1027" s="7"/>
      <c r="K1027" s="7"/>
      <c r="L1027" s="8"/>
      <c r="M1027" s="7"/>
      <c r="N1027" s="7"/>
      <c r="O1027" s="8"/>
      <c r="P1027" s="6"/>
      <c r="Q1027" s="5"/>
      <c r="R1027" s="5"/>
      <c r="S1027" s="5"/>
      <c r="T1027" s="5"/>
      <c r="U1027" s="5"/>
      <c r="V1027" s="5"/>
      <c r="W1027" s="5"/>
      <c r="X1027" s="8"/>
      <c r="Y1027" s="9"/>
      <c r="Z1027" s="10"/>
      <c r="AA1027" s="10"/>
      <c r="AB1027" s="8"/>
      <c r="AC1027" s="10"/>
    </row>
    <row r="1028" spans="1:29" s="4" customFormat="1" x14ac:dyDescent="0.3">
      <c r="A1028" s="3"/>
      <c r="B1028" s="39"/>
      <c r="C1028" s="5"/>
      <c r="D1028" s="5"/>
      <c r="E1028" s="5"/>
      <c r="F1028" s="5"/>
      <c r="G1028" s="29"/>
      <c r="H1028"/>
      <c r="I1028" s="7"/>
      <c r="J1028" s="7"/>
      <c r="K1028" s="7"/>
      <c r="L1028" s="8"/>
      <c r="M1028" s="7"/>
      <c r="N1028" s="7"/>
      <c r="O1028" s="8"/>
      <c r="P1028" s="6"/>
      <c r="Q1028" s="5"/>
      <c r="R1028" s="5"/>
      <c r="S1028" s="5"/>
      <c r="T1028" s="5"/>
      <c r="U1028" s="5"/>
      <c r="V1028" s="5"/>
      <c r="W1028" s="5"/>
      <c r="X1028" s="8"/>
      <c r="Y1028" s="9"/>
      <c r="Z1028" s="10"/>
      <c r="AA1028" s="10"/>
      <c r="AB1028" s="8"/>
      <c r="AC1028" s="10"/>
    </row>
    <row r="1029" spans="1:29" s="4" customFormat="1" x14ac:dyDescent="0.3">
      <c r="A1029" s="3"/>
      <c r="B1029" s="39"/>
      <c r="C1029" s="5"/>
      <c r="D1029" s="5"/>
      <c r="E1029" s="5"/>
      <c r="F1029" s="5"/>
      <c r="G1029" s="29"/>
      <c r="H1029"/>
      <c r="I1029" s="7"/>
      <c r="J1029" s="7"/>
      <c r="K1029" s="7"/>
      <c r="L1029" s="8"/>
      <c r="M1029" s="7"/>
      <c r="N1029" s="7"/>
      <c r="O1029" s="8"/>
      <c r="P1029" s="6"/>
      <c r="Q1029" s="5"/>
      <c r="R1029" s="5"/>
      <c r="S1029" s="5"/>
      <c r="T1029" s="5"/>
      <c r="U1029" s="5"/>
      <c r="V1029" s="5"/>
      <c r="W1029" s="5"/>
      <c r="X1029" s="8"/>
      <c r="Y1029" s="9"/>
      <c r="Z1029" s="10"/>
      <c r="AA1029" s="10"/>
      <c r="AB1029" s="8"/>
      <c r="AC1029" s="10"/>
    </row>
    <row r="1030" spans="1:29" s="4" customFormat="1" x14ac:dyDescent="0.3">
      <c r="A1030" s="3"/>
      <c r="B1030" s="39"/>
      <c r="C1030" s="5"/>
      <c r="D1030" s="5"/>
      <c r="E1030" s="5"/>
      <c r="F1030" s="5"/>
      <c r="G1030" s="29"/>
      <c r="H1030"/>
      <c r="I1030" s="7"/>
      <c r="J1030" s="7"/>
      <c r="K1030" s="7"/>
      <c r="L1030" s="8"/>
      <c r="M1030" s="7"/>
      <c r="N1030" s="7"/>
      <c r="O1030" s="8"/>
      <c r="P1030" s="6"/>
      <c r="Q1030" s="5"/>
      <c r="R1030" s="5"/>
      <c r="S1030" s="5"/>
      <c r="T1030" s="5"/>
      <c r="U1030" s="5"/>
      <c r="V1030" s="5"/>
      <c r="W1030" s="5"/>
      <c r="X1030" s="8"/>
      <c r="Y1030" s="9"/>
      <c r="Z1030" s="10"/>
      <c r="AA1030" s="10"/>
      <c r="AB1030" s="8"/>
      <c r="AC1030" s="10"/>
    </row>
    <row r="1031" spans="1:29" s="4" customFormat="1" x14ac:dyDescent="0.3">
      <c r="A1031" s="3"/>
      <c r="B1031" s="39"/>
      <c r="C1031" s="5"/>
      <c r="D1031" s="5"/>
      <c r="E1031" s="5"/>
      <c r="F1031" s="5"/>
      <c r="G1031" s="29"/>
      <c r="H1031"/>
      <c r="I1031" s="7"/>
      <c r="J1031" s="7"/>
      <c r="K1031" s="7"/>
      <c r="L1031" s="8"/>
      <c r="M1031" s="7"/>
      <c r="N1031" s="7"/>
      <c r="O1031" s="8"/>
      <c r="P1031" s="6"/>
      <c r="Q1031" s="5"/>
      <c r="R1031" s="5"/>
      <c r="S1031" s="5"/>
      <c r="T1031" s="5"/>
      <c r="U1031" s="5"/>
      <c r="V1031" s="5"/>
      <c r="W1031" s="5"/>
      <c r="X1031" s="8"/>
      <c r="Y1031" s="9"/>
      <c r="Z1031" s="10"/>
      <c r="AA1031" s="10"/>
      <c r="AB1031" s="8"/>
      <c r="AC1031" s="10"/>
    </row>
    <row r="1032" spans="1:29" s="4" customFormat="1" x14ac:dyDescent="0.3">
      <c r="A1032" s="3"/>
      <c r="B1032" s="39"/>
      <c r="C1032" s="5"/>
      <c r="D1032" s="5"/>
      <c r="E1032" s="5"/>
      <c r="F1032" s="5"/>
      <c r="G1032" s="29"/>
      <c r="H1032"/>
      <c r="I1032" s="7"/>
      <c r="J1032" s="7"/>
      <c r="K1032" s="7"/>
      <c r="L1032" s="8"/>
      <c r="M1032" s="7"/>
      <c r="N1032" s="7"/>
      <c r="O1032" s="8"/>
      <c r="P1032" s="6"/>
      <c r="Q1032" s="5"/>
      <c r="R1032" s="5"/>
      <c r="S1032" s="5"/>
      <c r="T1032" s="5"/>
      <c r="U1032" s="5"/>
      <c r="V1032" s="5"/>
      <c r="W1032" s="5"/>
      <c r="X1032" s="8"/>
      <c r="Y1032" s="9"/>
      <c r="Z1032" s="10"/>
      <c r="AA1032" s="10"/>
      <c r="AB1032" s="8"/>
      <c r="AC1032" s="10"/>
    </row>
    <row r="1033" spans="1:29" s="4" customFormat="1" x14ac:dyDescent="0.3">
      <c r="A1033" s="3"/>
      <c r="B1033" s="39"/>
      <c r="C1033" s="5"/>
      <c r="D1033" s="5"/>
      <c r="E1033" s="5"/>
      <c r="F1033" s="5"/>
      <c r="G1033" s="29"/>
      <c r="H1033"/>
      <c r="I1033" s="7"/>
      <c r="J1033" s="7"/>
      <c r="K1033" s="7"/>
      <c r="L1033" s="8"/>
      <c r="M1033" s="7"/>
      <c r="N1033" s="7"/>
      <c r="O1033" s="8"/>
      <c r="P1033" s="6"/>
      <c r="Q1033" s="5"/>
      <c r="R1033" s="5"/>
      <c r="S1033" s="5"/>
      <c r="T1033" s="5"/>
      <c r="U1033" s="5"/>
      <c r="V1033" s="5"/>
      <c r="W1033" s="5"/>
      <c r="X1033" s="8"/>
      <c r="Y1033" s="9"/>
      <c r="Z1033" s="10"/>
      <c r="AA1033" s="10"/>
      <c r="AB1033" s="8"/>
      <c r="AC1033" s="10"/>
    </row>
    <row r="1034" spans="1:29" s="4" customFormat="1" x14ac:dyDescent="0.3">
      <c r="A1034" s="3"/>
      <c r="B1034" s="39"/>
      <c r="C1034" s="5"/>
      <c r="D1034" s="5"/>
      <c r="E1034" s="5"/>
      <c r="F1034" s="5"/>
      <c r="G1034" s="29"/>
      <c r="H1034"/>
      <c r="I1034" s="7"/>
      <c r="J1034" s="7"/>
      <c r="K1034" s="7"/>
      <c r="L1034" s="8"/>
      <c r="M1034" s="7"/>
      <c r="N1034" s="7"/>
      <c r="O1034" s="8"/>
      <c r="P1034" s="6"/>
      <c r="Q1034" s="5"/>
      <c r="R1034" s="5"/>
      <c r="S1034" s="5"/>
      <c r="T1034" s="5"/>
      <c r="U1034" s="5"/>
      <c r="V1034" s="5"/>
      <c r="W1034" s="5"/>
      <c r="X1034" s="8"/>
      <c r="Y1034" s="9"/>
      <c r="Z1034" s="10"/>
      <c r="AA1034" s="10"/>
      <c r="AB1034" s="8"/>
      <c r="AC1034" s="10"/>
    </row>
    <row r="1035" spans="1:29" s="4" customFormat="1" x14ac:dyDescent="0.3">
      <c r="A1035" s="3"/>
      <c r="B1035" s="39"/>
      <c r="C1035" s="5"/>
      <c r="D1035" s="5"/>
      <c r="E1035" s="5"/>
      <c r="F1035" s="5"/>
      <c r="G1035" s="29"/>
      <c r="H1035"/>
      <c r="I1035" s="7"/>
      <c r="J1035" s="7"/>
      <c r="K1035" s="7"/>
      <c r="L1035" s="8"/>
      <c r="M1035" s="7"/>
      <c r="N1035" s="7"/>
      <c r="O1035" s="8"/>
      <c r="P1035" s="6"/>
      <c r="Q1035" s="5"/>
      <c r="R1035" s="5"/>
      <c r="S1035" s="5"/>
      <c r="T1035" s="5"/>
      <c r="U1035" s="5"/>
      <c r="V1035" s="5"/>
      <c r="W1035" s="5"/>
      <c r="X1035" s="8"/>
      <c r="Y1035" s="9"/>
      <c r="Z1035" s="10"/>
      <c r="AA1035" s="10"/>
      <c r="AB1035" s="8"/>
      <c r="AC1035" s="10"/>
    </row>
    <row r="1036" spans="1:29" s="4" customFormat="1" x14ac:dyDescent="0.3">
      <c r="A1036" s="3"/>
      <c r="B1036" s="39"/>
      <c r="C1036" s="5"/>
      <c r="D1036" s="5"/>
      <c r="E1036" s="5"/>
      <c r="F1036" s="5"/>
      <c r="G1036" s="29"/>
      <c r="H1036"/>
      <c r="I1036" s="7"/>
      <c r="J1036" s="7"/>
      <c r="K1036" s="7"/>
      <c r="L1036" s="8"/>
      <c r="M1036" s="7"/>
      <c r="N1036" s="7"/>
      <c r="O1036" s="8"/>
      <c r="P1036" s="6"/>
      <c r="Q1036" s="5"/>
      <c r="R1036" s="5"/>
      <c r="S1036" s="5"/>
      <c r="T1036" s="5"/>
      <c r="U1036" s="5"/>
      <c r="V1036" s="5"/>
      <c r="W1036" s="5"/>
      <c r="X1036" s="8"/>
      <c r="Y1036" s="9"/>
      <c r="Z1036" s="10"/>
      <c r="AA1036" s="10"/>
      <c r="AB1036" s="8"/>
      <c r="AC1036" s="10"/>
    </row>
    <row r="1037" spans="1:29" s="4" customFormat="1" x14ac:dyDescent="0.3">
      <c r="A1037" s="3"/>
      <c r="B1037" s="39"/>
      <c r="C1037" s="5"/>
      <c r="D1037" s="5"/>
      <c r="E1037" s="5"/>
      <c r="F1037" s="5"/>
      <c r="G1037" s="29"/>
      <c r="H1037"/>
      <c r="I1037" s="7"/>
      <c r="J1037" s="7"/>
      <c r="K1037" s="7"/>
      <c r="L1037" s="8"/>
      <c r="M1037" s="7"/>
      <c r="N1037" s="7"/>
      <c r="O1037" s="8"/>
      <c r="P1037" s="6"/>
      <c r="Q1037" s="5"/>
      <c r="R1037" s="5"/>
      <c r="S1037" s="5"/>
      <c r="T1037" s="5"/>
      <c r="U1037" s="5"/>
      <c r="V1037" s="5"/>
      <c r="W1037" s="5"/>
      <c r="X1037" s="8"/>
      <c r="Y1037" s="9"/>
      <c r="Z1037" s="10"/>
      <c r="AA1037" s="10"/>
      <c r="AB1037" s="8"/>
      <c r="AC1037" s="10"/>
    </row>
    <row r="1038" spans="1:29" s="4" customFormat="1" x14ac:dyDescent="0.3">
      <c r="A1038" s="3"/>
      <c r="B1038" s="39"/>
      <c r="C1038" s="5"/>
      <c r="D1038" s="5"/>
      <c r="E1038" s="5"/>
      <c r="F1038" s="5"/>
      <c r="G1038" s="29"/>
      <c r="H1038"/>
      <c r="I1038" s="7"/>
      <c r="J1038" s="7"/>
      <c r="K1038" s="7"/>
      <c r="L1038" s="8"/>
      <c r="M1038" s="7"/>
      <c r="N1038" s="7"/>
      <c r="O1038" s="8"/>
      <c r="P1038" s="6"/>
      <c r="Q1038" s="5"/>
      <c r="R1038" s="5"/>
      <c r="S1038" s="5"/>
      <c r="T1038" s="5"/>
      <c r="U1038" s="5"/>
      <c r="V1038" s="5"/>
      <c r="W1038" s="5"/>
      <c r="X1038" s="8"/>
      <c r="Y1038" s="9"/>
      <c r="Z1038" s="10"/>
      <c r="AA1038" s="10"/>
      <c r="AB1038" s="8"/>
      <c r="AC1038" s="10"/>
    </row>
    <row r="1039" spans="1:29" s="4" customFormat="1" x14ac:dyDescent="0.3">
      <c r="A1039" s="3"/>
      <c r="B1039" s="39"/>
      <c r="C1039" s="5"/>
      <c r="D1039" s="5"/>
      <c r="E1039" s="5"/>
      <c r="F1039" s="5"/>
      <c r="G1039" s="29"/>
      <c r="H1039"/>
      <c r="I1039" s="7"/>
      <c r="J1039" s="7"/>
      <c r="K1039" s="7"/>
      <c r="L1039" s="8"/>
      <c r="M1039" s="7"/>
      <c r="N1039" s="7"/>
      <c r="O1039" s="8"/>
      <c r="P1039" s="6"/>
      <c r="Q1039" s="5"/>
      <c r="R1039" s="5"/>
      <c r="S1039" s="5"/>
      <c r="T1039" s="5"/>
      <c r="U1039" s="5"/>
      <c r="V1039" s="5"/>
      <c r="W1039" s="5"/>
      <c r="X1039" s="8"/>
      <c r="Y1039" s="9"/>
      <c r="Z1039" s="10"/>
      <c r="AA1039" s="10"/>
      <c r="AB1039" s="8"/>
      <c r="AC1039" s="10"/>
    </row>
    <row r="1040" spans="1:29" s="4" customFormat="1" x14ac:dyDescent="0.3">
      <c r="A1040" s="3"/>
      <c r="B1040" s="39"/>
      <c r="C1040" s="5"/>
      <c r="D1040" s="5"/>
      <c r="E1040" s="5"/>
      <c r="F1040" s="5"/>
      <c r="G1040" s="29"/>
      <c r="H1040"/>
      <c r="I1040" s="7"/>
      <c r="J1040" s="7"/>
      <c r="K1040" s="7"/>
      <c r="L1040" s="8"/>
      <c r="M1040" s="7"/>
      <c r="N1040" s="7"/>
      <c r="O1040" s="8"/>
      <c r="P1040" s="6"/>
      <c r="Q1040" s="5"/>
      <c r="R1040" s="5"/>
      <c r="S1040" s="5"/>
      <c r="T1040" s="5"/>
      <c r="U1040" s="5"/>
      <c r="V1040" s="5"/>
      <c r="W1040" s="5"/>
      <c r="X1040" s="8"/>
      <c r="Y1040" s="9"/>
      <c r="Z1040" s="10"/>
      <c r="AA1040" s="10"/>
      <c r="AB1040" s="8"/>
      <c r="AC1040" s="10"/>
    </row>
    <row r="1041" spans="1:29" s="4" customFormat="1" x14ac:dyDescent="0.3">
      <c r="A1041" s="3"/>
      <c r="B1041" s="39"/>
      <c r="C1041" s="5"/>
      <c r="D1041" s="5"/>
      <c r="E1041" s="5"/>
      <c r="F1041" s="5"/>
      <c r="G1041" s="29"/>
      <c r="H1041"/>
      <c r="I1041" s="7"/>
      <c r="J1041" s="7"/>
      <c r="K1041" s="7"/>
      <c r="L1041" s="8"/>
      <c r="M1041" s="7"/>
      <c r="N1041" s="7"/>
      <c r="O1041" s="8"/>
      <c r="P1041" s="6"/>
      <c r="Q1041" s="5"/>
      <c r="R1041" s="5"/>
      <c r="S1041" s="5"/>
      <c r="T1041" s="5"/>
      <c r="U1041" s="5"/>
      <c r="V1041" s="5"/>
      <c r="W1041" s="5"/>
      <c r="X1041" s="8"/>
      <c r="Y1041" s="9"/>
      <c r="Z1041" s="10"/>
      <c r="AA1041" s="10"/>
      <c r="AB1041" s="8"/>
      <c r="AC1041" s="10"/>
    </row>
    <row r="1042" spans="1:29" s="4" customFormat="1" x14ac:dyDescent="0.3">
      <c r="A1042" s="3"/>
      <c r="B1042" s="39"/>
      <c r="C1042" s="5"/>
      <c r="D1042" s="5"/>
      <c r="E1042" s="5"/>
      <c r="F1042" s="5"/>
      <c r="G1042" s="29"/>
      <c r="H1042"/>
      <c r="I1042" s="7"/>
      <c r="J1042" s="7"/>
      <c r="K1042" s="7"/>
      <c r="L1042" s="8"/>
      <c r="M1042" s="7"/>
      <c r="N1042" s="7"/>
      <c r="O1042" s="8"/>
      <c r="P1042" s="6"/>
      <c r="Q1042" s="5"/>
      <c r="R1042" s="5"/>
      <c r="S1042" s="5"/>
      <c r="T1042" s="5"/>
      <c r="U1042" s="5"/>
      <c r="V1042" s="5"/>
      <c r="W1042" s="5"/>
      <c r="X1042" s="8"/>
      <c r="Y1042" s="9"/>
      <c r="Z1042" s="10"/>
      <c r="AA1042" s="10"/>
      <c r="AB1042" s="8"/>
      <c r="AC1042" s="10"/>
    </row>
    <row r="1043" spans="1:29" s="4" customFormat="1" x14ac:dyDescent="0.3">
      <c r="A1043" s="3"/>
      <c r="B1043" s="39"/>
      <c r="C1043" s="5"/>
      <c r="D1043" s="5"/>
      <c r="E1043" s="5"/>
      <c r="F1043" s="5"/>
      <c r="G1043" s="29"/>
      <c r="H1043"/>
      <c r="I1043" s="7"/>
      <c r="J1043" s="7"/>
      <c r="K1043" s="7"/>
      <c r="L1043" s="8"/>
      <c r="M1043" s="7"/>
      <c r="N1043" s="7"/>
      <c r="O1043" s="8"/>
      <c r="P1043" s="6"/>
      <c r="Q1043" s="5"/>
      <c r="R1043" s="5"/>
      <c r="S1043" s="5"/>
      <c r="T1043" s="5"/>
      <c r="U1043" s="5"/>
      <c r="V1043" s="5"/>
      <c r="W1043" s="5"/>
      <c r="X1043" s="8"/>
      <c r="Y1043" s="9"/>
      <c r="Z1043" s="10"/>
      <c r="AA1043" s="10"/>
      <c r="AB1043" s="8"/>
      <c r="AC1043" s="10"/>
    </row>
    <row r="1044" spans="1:29" s="4" customFormat="1" x14ac:dyDescent="0.3">
      <c r="A1044" s="3"/>
      <c r="B1044" s="39"/>
      <c r="C1044" s="5"/>
      <c r="D1044" s="5"/>
      <c r="E1044" s="5"/>
      <c r="F1044" s="5"/>
      <c r="G1044" s="29"/>
      <c r="H1044"/>
      <c r="I1044" s="7"/>
      <c r="J1044" s="7"/>
      <c r="K1044" s="7"/>
      <c r="L1044" s="8"/>
      <c r="M1044" s="7"/>
      <c r="N1044" s="7"/>
      <c r="O1044" s="8"/>
      <c r="P1044" s="6"/>
      <c r="Q1044" s="5"/>
      <c r="R1044" s="5"/>
      <c r="S1044" s="5"/>
      <c r="T1044" s="5"/>
      <c r="U1044" s="5"/>
      <c r="V1044" s="5"/>
      <c r="W1044" s="5"/>
      <c r="X1044" s="8"/>
      <c r="Y1044" s="9"/>
      <c r="Z1044" s="10"/>
      <c r="AA1044" s="10"/>
      <c r="AB1044" s="8"/>
      <c r="AC1044" s="10"/>
    </row>
    <row r="1045" spans="1:29" s="4" customFormat="1" x14ac:dyDescent="0.3">
      <c r="A1045" s="3"/>
      <c r="B1045" s="39"/>
      <c r="C1045" s="5"/>
      <c r="D1045" s="5"/>
      <c r="E1045" s="5"/>
      <c r="F1045" s="5"/>
      <c r="G1045" s="29"/>
      <c r="H1045"/>
      <c r="I1045" s="7"/>
      <c r="J1045" s="7"/>
      <c r="K1045" s="7"/>
      <c r="L1045" s="8"/>
      <c r="M1045" s="7"/>
      <c r="N1045" s="7"/>
      <c r="O1045" s="8"/>
      <c r="P1045" s="6"/>
      <c r="Q1045" s="5"/>
      <c r="R1045" s="5"/>
      <c r="S1045" s="5"/>
      <c r="T1045" s="5"/>
      <c r="U1045" s="5"/>
      <c r="V1045" s="5"/>
      <c r="W1045" s="5"/>
      <c r="X1045" s="8"/>
      <c r="Y1045" s="9"/>
      <c r="Z1045" s="10"/>
      <c r="AA1045" s="10"/>
      <c r="AB1045" s="8"/>
      <c r="AC1045" s="10"/>
    </row>
    <row r="1046" spans="1:29" s="4" customFormat="1" x14ac:dyDescent="0.3">
      <c r="A1046" s="3"/>
      <c r="B1046" s="39"/>
      <c r="C1046" s="5"/>
      <c r="D1046" s="5"/>
      <c r="E1046" s="5"/>
      <c r="F1046" s="5"/>
      <c r="G1046" s="29"/>
      <c r="H1046"/>
      <c r="I1046" s="7"/>
      <c r="J1046" s="7"/>
      <c r="K1046" s="7"/>
      <c r="L1046" s="8"/>
      <c r="M1046" s="7"/>
      <c r="N1046" s="7"/>
      <c r="O1046" s="8"/>
      <c r="P1046" s="6"/>
      <c r="Q1046" s="5"/>
      <c r="R1046" s="5"/>
      <c r="S1046" s="5"/>
      <c r="T1046" s="5"/>
      <c r="U1046" s="5"/>
      <c r="V1046" s="5"/>
      <c r="W1046" s="5"/>
      <c r="X1046" s="8"/>
      <c r="Y1046" s="9"/>
      <c r="Z1046" s="10"/>
      <c r="AA1046" s="10"/>
      <c r="AB1046" s="8"/>
      <c r="AC1046" s="10"/>
    </row>
    <row r="1047" spans="1:29" s="4" customFormat="1" x14ac:dyDescent="0.3">
      <c r="A1047" s="3"/>
      <c r="B1047" s="39"/>
      <c r="C1047" s="5"/>
      <c r="D1047" s="5"/>
      <c r="E1047" s="5"/>
      <c r="F1047" s="5"/>
      <c r="G1047" s="29"/>
      <c r="H1047"/>
      <c r="I1047" s="7"/>
      <c r="J1047" s="7"/>
      <c r="K1047" s="7"/>
      <c r="L1047" s="8"/>
      <c r="M1047" s="7"/>
      <c r="N1047" s="7"/>
      <c r="O1047" s="8"/>
      <c r="P1047" s="6"/>
      <c r="Q1047" s="5"/>
      <c r="R1047" s="5"/>
      <c r="S1047" s="5"/>
      <c r="T1047" s="5"/>
      <c r="U1047" s="5"/>
      <c r="V1047" s="5"/>
      <c r="W1047" s="5"/>
      <c r="X1047" s="8"/>
      <c r="Y1047" s="9"/>
      <c r="Z1047" s="10"/>
      <c r="AA1047" s="10"/>
      <c r="AB1047" s="8"/>
      <c r="AC1047" s="10"/>
    </row>
    <row r="1048" spans="1:29" s="4" customFormat="1" x14ac:dyDescent="0.3">
      <c r="A1048" s="3"/>
      <c r="B1048" s="39"/>
      <c r="C1048" s="5"/>
      <c r="D1048" s="5"/>
      <c r="E1048" s="5"/>
      <c r="F1048" s="5"/>
      <c r="G1048" s="29"/>
      <c r="H1048"/>
      <c r="I1048" s="7"/>
      <c r="J1048" s="7"/>
      <c r="K1048" s="7"/>
      <c r="L1048" s="8"/>
      <c r="M1048" s="7"/>
      <c r="N1048" s="7"/>
      <c r="O1048" s="8"/>
      <c r="P1048" s="6"/>
      <c r="Q1048" s="5"/>
      <c r="R1048" s="5"/>
      <c r="S1048" s="5"/>
      <c r="T1048" s="5"/>
      <c r="U1048" s="5"/>
      <c r="V1048" s="5"/>
      <c r="W1048" s="5"/>
      <c r="X1048" s="8"/>
      <c r="Y1048" s="9"/>
      <c r="Z1048" s="10"/>
      <c r="AA1048" s="10"/>
      <c r="AB1048" s="8"/>
      <c r="AC1048" s="10"/>
    </row>
    <row r="1049" spans="1:29" s="4" customFormat="1" x14ac:dyDescent="0.3">
      <c r="A1049" s="3"/>
      <c r="B1049" s="39"/>
      <c r="C1049" s="5"/>
      <c r="D1049" s="5"/>
      <c r="E1049" s="5"/>
      <c r="F1049" s="5"/>
      <c r="G1049" s="29"/>
      <c r="H1049"/>
      <c r="I1049" s="7"/>
      <c r="J1049" s="7"/>
      <c r="K1049" s="7"/>
      <c r="L1049" s="8"/>
      <c r="M1049" s="7"/>
      <c r="N1049" s="7"/>
      <c r="O1049" s="8"/>
      <c r="P1049" s="6"/>
      <c r="Q1049" s="5"/>
      <c r="R1049" s="5"/>
      <c r="S1049" s="5"/>
      <c r="T1049" s="5"/>
      <c r="U1049" s="5"/>
      <c r="V1049" s="5"/>
      <c r="W1049" s="5"/>
      <c r="X1049" s="8"/>
      <c r="Y1049" s="9"/>
      <c r="Z1049" s="10"/>
      <c r="AA1049" s="10"/>
      <c r="AB1049" s="8"/>
      <c r="AC1049" s="10"/>
    </row>
    <row r="1050" spans="1:29" s="4" customFormat="1" x14ac:dyDescent="0.3">
      <c r="A1050" s="3"/>
      <c r="B1050" s="39"/>
      <c r="C1050" s="5"/>
      <c r="D1050" s="5"/>
      <c r="E1050" s="5"/>
      <c r="F1050" s="5"/>
      <c r="G1050" s="29"/>
      <c r="H1050"/>
      <c r="I1050" s="7"/>
      <c r="J1050" s="7"/>
      <c r="K1050" s="7"/>
      <c r="L1050" s="8"/>
      <c r="M1050" s="7"/>
      <c r="N1050" s="7"/>
      <c r="O1050" s="8"/>
      <c r="P1050" s="6"/>
      <c r="Q1050" s="5"/>
      <c r="R1050" s="5"/>
      <c r="S1050" s="5"/>
      <c r="T1050" s="5"/>
      <c r="U1050" s="5"/>
      <c r="V1050" s="5"/>
      <c r="W1050" s="5"/>
      <c r="X1050" s="8"/>
      <c r="Y1050" s="9"/>
      <c r="Z1050" s="10"/>
      <c r="AA1050" s="10"/>
      <c r="AB1050" s="8"/>
      <c r="AC1050" s="10"/>
    </row>
    <row r="1051" spans="1:29" s="4" customFormat="1" x14ac:dyDescent="0.3">
      <c r="A1051" s="3"/>
      <c r="B1051" s="39"/>
      <c r="C1051" s="5"/>
      <c r="D1051" s="5"/>
      <c r="E1051" s="5"/>
      <c r="F1051" s="5"/>
      <c r="G1051" s="29"/>
      <c r="H1051"/>
      <c r="I1051" s="7"/>
      <c r="J1051" s="7"/>
      <c r="K1051" s="7"/>
      <c r="L1051" s="8"/>
      <c r="M1051" s="7"/>
      <c r="N1051" s="7"/>
      <c r="O1051" s="8"/>
      <c r="P1051" s="6"/>
      <c r="Q1051" s="5"/>
      <c r="R1051" s="5"/>
      <c r="S1051" s="5"/>
      <c r="T1051" s="5"/>
      <c r="U1051" s="5"/>
      <c r="V1051" s="5"/>
      <c r="W1051" s="5"/>
      <c r="X1051" s="8"/>
      <c r="Y1051" s="9"/>
      <c r="Z1051" s="10"/>
      <c r="AA1051" s="10"/>
      <c r="AB1051" s="8"/>
      <c r="AC1051" s="10"/>
    </row>
    <row r="1052" spans="1:29" s="4" customFormat="1" x14ac:dyDescent="0.3">
      <c r="A1052" s="3"/>
      <c r="B1052" s="39"/>
      <c r="C1052" s="5"/>
      <c r="D1052" s="5"/>
      <c r="E1052" s="5"/>
      <c r="F1052" s="5"/>
      <c r="G1052" s="29"/>
      <c r="H1052"/>
      <c r="I1052" s="7"/>
      <c r="J1052" s="7"/>
      <c r="K1052" s="7"/>
      <c r="L1052" s="8"/>
      <c r="M1052" s="7"/>
      <c r="N1052" s="7"/>
      <c r="O1052" s="8"/>
      <c r="P1052" s="6"/>
      <c r="Q1052" s="5"/>
      <c r="R1052" s="5"/>
      <c r="S1052" s="5"/>
      <c r="T1052" s="5"/>
      <c r="U1052" s="5"/>
      <c r="V1052" s="5"/>
      <c r="W1052" s="5"/>
      <c r="X1052" s="8"/>
      <c r="Y1052" s="9"/>
      <c r="Z1052" s="10"/>
      <c r="AA1052" s="10"/>
      <c r="AB1052" s="8"/>
      <c r="AC1052" s="10"/>
    </row>
    <row r="1053" spans="1:29" s="4" customFormat="1" x14ac:dyDescent="0.3">
      <c r="A1053" s="3"/>
      <c r="B1053" s="39"/>
      <c r="C1053" s="5"/>
      <c r="D1053" s="5"/>
      <c r="E1053" s="5"/>
      <c r="F1053" s="5"/>
      <c r="G1053" s="29"/>
      <c r="H1053"/>
      <c r="I1053" s="7"/>
      <c r="J1053" s="7"/>
      <c r="K1053" s="7"/>
      <c r="L1053" s="8"/>
      <c r="M1053" s="7"/>
      <c r="N1053" s="7"/>
      <c r="O1053" s="8"/>
      <c r="P1053" s="6"/>
      <c r="Q1053" s="5"/>
      <c r="R1053" s="5"/>
      <c r="S1053" s="5"/>
      <c r="T1053" s="5"/>
      <c r="U1053" s="5"/>
      <c r="V1053" s="5"/>
      <c r="W1053" s="5"/>
      <c r="X1053" s="8"/>
      <c r="Y1053" s="9"/>
      <c r="Z1053" s="10"/>
      <c r="AA1053" s="10"/>
      <c r="AB1053" s="8"/>
      <c r="AC1053" s="10"/>
    </row>
    <row r="1054" spans="1:29" s="4" customFormat="1" x14ac:dyDescent="0.3">
      <c r="A1054" s="3"/>
      <c r="B1054" s="39"/>
      <c r="C1054" s="5"/>
      <c r="D1054" s="5"/>
      <c r="E1054" s="5"/>
      <c r="F1054" s="5"/>
      <c r="G1054" s="29"/>
      <c r="H1054"/>
      <c r="I1054" s="7"/>
      <c r="J1054" s="7"/>
      <c r="K1054" s="7"/>
      <c r="L1054" s="8"/>
      <c r="M1054" s="7"/>
      <c r="N1054" s="7"/>
      <c r="O1054" s="8"/>
      <c r="P1054" s="6"/>
      <c r="Q1054" s="5"/>
      <c r="R1054" s="5"/>
      <c r="S1054" s="5"/>
      <c r="T1054" s="5"/>
      <c r="U1054" s="5"/>
      <c r="V1054" s="5"/>
      <c r="W1054" s="5"/>
      <c r="X1054" s="8"/>
      <c r="Y1054" s="9"/>
      <c r="Z1054" s="10"/>
      <c r="AA1054" s="10"/>
      <c r="AB1054" s="8"/>
      <c r="AC1054" s="10"/>
    </row>
    <row r="1055" spans="1:29" s="4" customFormat="1" x14ac:dyDescent="0.3">
      <c r="A1055" s="3"/>
      <c r="B1055" s="39"/>
      <c r="C1055" s="5"/>
      <c r="D1055" s="5"/>
      <c r="E1055" s="5"/>
      <c r="F1055" s="5"/>
      <c r="G1055" s="29"/>
      <c r="H1055"/>
      <c r="I1055" s="7"/>
      <c r="J1055" s="7"/>
      <c r="K1055" s="7"/>
      <c r="L1055" s="8"/>
      <c r="M1055" s="7"/>
      <c r="N1055" s="7"/>
      <c r="O1055" s="8"/>
      <c r="P1055" s="6"/>
      <c r="Q1055" s="5"/>
      <c r="R1055" s="5"/>
      <c r="S1055" s="5"/>
      <c r="T1055" s="5"/>
      <c r="U1055" s="5"/>
      <c r="V1055" s="5"/>
      <c r="W1055" s="5"/>
      <c r="X1055" s="8"/>
      <c r="Y1055" s="9"/>
      <c r="Z1055" s="10"/>
      <c r="AA1055" s="10"/>
      <c r="AB1055" s="8"/>
      <c r="AC1055" s="10"/>
    </row>
    <row r="1056" spans="1:29" s="4" customFormat="1" x14ac:dyDescent="0.3">
      <c r="A1056" s="3"/>
      <c r="B1056" s="39"/>
      <c r="C1056" s="5"/>
      <c r="D1056" s="5"/>
      <c r="E1056" s="5"/>
      <c r="F1056" s="5"/>
      <c r="G1056" s="29"/>
      <c r="H1056"/>
      <c r="I1056" s="7"/>
      <c r="J1056" s="7"/>
      <c r="K1056" s="7"/>
      <c r="L1056" s="8"/>
      <c r="M1056" s="7"/>
      <c r="N1056" s="7"/>
      <c r="O1056" s="8"/>
      <c r="P1056" s="6"/>
      <c r="Q1056" s="5"/>
      <c r="R1056" s="5"/>
      <c r="S1056" s="5"/>
      <c r="T1056" s="5"/>
      <c r="U1056" s="5"/>
      <c r="V1056" s="5"/>
      <c r="W1056" s="5"/>
      <c r="X1056" s="8"/>
      <c r="Y1056" s="9"/>
      <c r="Z1056" s="10"/>
      <c r="AA1056" s="10"/>
      <c r="AB1056" s="8"/>
      <c r="AC1056" s="10"/>
    </row>
    <row r="1057" spans="1:29" s="4" customFormat="1" x14ac:dyDescent="0.3">
      <c r="A1057" s="3"/>
      <c r="B1057" s="39"/>
      <c r="C1057" s="5"/>
      <c r="D1057" s="5"/>
      <c r="E1057" s="5"/>
      <c r="F1057" s="5"/>
      <c r="G1057" s="29"/>
      <c r="H1057"/>
      <c r="I1057" s="7"/>
      <c r="J1057" s="7"/>
      <c r="K1057" s="7"/>
      <c r="L1057" s="8"/>
      <c r="M1057" s="7"/>
      <c r="N1057" s="7"/>
      <c r="O1057" s="8"/>
      <c r="P1057" s="6"/>
      <c r="Q1057" s="5"/>
      <c r="R1057" s="5"/>
      <c r="S1057" s="5"/>
      <c r="T1057" s="5"/>
      <c r="U1057" s="5"/>
      <c r="V1057" s="5"/>
      <c r="W1057" s="5"/>
      <c r="X1057" s="8"/>
      <c r="Y1057" s="9"/>
      <c r="Z1057" s="10"/>
      <c r="AA1057" s="10"/>
      <c r="AB1057" s="8"/>
      <c r="AC1057" s="10"/>
    </row>
    <row r="1058" spans="1:29" s="4" customFormat="1" x14ac:dyDescent="0.3">
      <c r="A1058" s="3"/>
      <c r="B1058" s="39"/>
      <c r="C1058" s="5"/>
      <c r="D1058" s="5"/>
      <c r="E1058" s="5"/>
      <c r="F1058" s="5"/>
      <c r="G1058" s="29"/>
      <c r="H1058"/>
      <c r="I1058" s="7"/>
      <c r="J1058" s="7"/>
      <c r="K1058" s="7"/>
      <c r="L1058" s="8"/>
      <c r="M1058" s="7"/>
      <c r="N1058" s="7"/>
      <c r="O1058" s="8"/>
      <c r="P1058" s="6"/>
      <c r="Q1058" s="5"/>
      <c r="R1058" s="5"/>
      <c r="S1058" s="5"/>
      <c r="T1058" s="5"/>
      <c r="U1058" s="5"/>
      <c r="V1058" s="5"/>
      <c r="W1058" s="5"/>
      <c r="X1058" s="8"/>
      <c r="Y1058" s="9"/>
      <c r="Z1058" s="10"/>
      <c r="AA1058" s="10"/>
      <c r="AB1058" s="8"/>
      <c r="AC1058" s="10"/>
    </row>
    <row r="1059" spans="1:29" s="4" customFormat="1" x14ac:dyDescent="0.3">
      <c r="A1059" s="3"/>
      <c r="B1059" s="39"/>
      <c r="C1059" s="5"/>
      <c r="D1059" s="5"/>
      <c r="E1059" s="5"/>
      <c r="F1059" s="5"/>
      <c r="G1059" s="29"/>
      <c r="H1059"/>
      <c r="I1059" s="7"/>
      <c r="J1059" s="7"/>
      <c r="K1059" s="7"/>
      <c r="L1059" s="8"/>
      <c r="M1059" s="7"/>
      <c r="N1059" s="7"/>
      <c r="O1059" s="8"/>
      <c r="P1059" s="6"/>
      <c r="Q1059" s="5"/>
      <c r="R1059" s="5"/>
      <c r="S1059" s="5"/>
      <c r="T1059" s="5"/>
      <c r="U1059" s="5"/>
      <c r="V1059" s="5"/>
      <c r="W1059" s="5"/>
      <c r="X1059" s="8"/>
      <c r="Y1059" s="9"/>
      <c r="Z1059" s="10"/>
      <c r="AA1059" s="10"/>
      <c r="AB1059" s="8"/>
      <c r="AC1059" s="10"/>
    </row>
    <row r="1060" spans="1:29" s="4" customFormat="1" x14ac:dyDescent="0.3">
      <c r="A1060" s="3"/>
      <c r="B1060" s="39"/>
      <c r="C1060" s="5"/>
      <c r="D1060" s="5"/>
      <c r="E1060" s="5"/>
      <c r="F1060" s="5"/>
      <c r="G1060" s="29"/>
      <c r="H1060"/>
      <c r="I1060" s="7"/>
      <c r="J1060" s="7"/>
      <c r="K1060" s="7"/>
      <c r="L1060" s="8"/>
      <c r="M1060" s="7"/>
      <c r="N1060" s="7"/>
      <c r="O1060" s="8"/>
      <c r="P1060" s="6"/>
      <c r="Q1060" s="5"/>
      <c r="R1060" s="5"/>
      <c r="S1060" s="5"/>
      <c r="T1060" s="5"/>
      <c r="U1060" s="5"/>
      <c r="V1060" s="5"/>
      <c r="W1060" s="5"/>
      <c r="X1060" s="8"/>
      <c r="Y1060" s="9"/>
      <c r="Z1060" s="10"/>
      <c r="AA1060" s="10"/>
      <c r="AB1060" s="8"/>
      <c r="AC1060" s="10"/>
    </row>
    <row r="1061" spans="1:29" s="4" customFormat="1" x14ac:dyDescent="0.3">
      <c r="A1061" s="3"/>
      <c r="B1061" s="39"/>
      <c r="C1061" s="5"/>
      <c r="D1061" s="5"/>
      <c r="E1061" s="5"/>
      <c r="F1061" s="5"/>
      <c r="G1061" s="29"/>
      <c r="H1061"/>
      <c r="I1061" s="7"/>
      <c r="J1061" s="7"/>
      <c r="K1061" s="7"/>
      <c r="L1061" s="8"/>
      <c r="M1061" s="7"/>
      <c r="N1061" s="7"/>
      <c r="O1061" s="8"/>
      <c r="P1061" s="6"/>
      <c r="Q1061" s="5"/>
      <c r="R1061" s="5"/>
      <c r="S1061" s="5"/>
      <c r="T1061" s="5"/>
      <c r="U1061" s="5"/>
      <c r="V1061" s="5"/>
      <c r="W1061" s="5"/>
      <c r="X1061" s="8"/>
      <c r="Y1061" s="9"/>
      <c r="Z1061" s="10"/>
      <c r="AA1061" s="10"/>
      <c r="AB1061" s="8"/>
      <c r="AC1061" s="10"/>
    </row>
    <row r="1062" spans="1:29" s="4" customFormat="1" x14ac:dyDescent="0.3">
      <c r="A1062" s="3"/>
      <c r="B1062" s="39"/>
      <c r="C1062" s="5"/>
      <c r="D1062" s="5"/>
      <c r="E1062" s="5"/>
      <c r="F1062" s="5"/>
      <c r="G1062" s="29"/>
      <c r="H1062"/>
      <c r="I1062" s="7"/>
      <c r="J1062" s="7"/>
      <c r="K1062" s="7"/>
      <c r="L1062" s="8"/>
      <c r="M1062" s="7"/>
      <c r="N1062" s="7"/>
      <c r="O1062" s="8"/>
      <c r="P1062" s="6"/>
      <c r="Q1062" s="5"/>
      <c r="R1062" s="5"/>
      <c r="S1062" s="5"/>
      <c r="T1062" s="5"/>
      <c r="U1062" s="5"/>
      <c r="V1062" s="5"/>
      <c r="W1062" s="5"/>
      <c r="X1062" s="8"/>
      <c r="Y1062" s="9"/>
      <c r="Z1062" s="10"/>
      <c r="AA1062" s="10"/>
      <c r="AB1062" s="8"/>
      <c r="AC1062" s="10"/>
    </row>
    <row r="1063" spans="1:29" s="4" customFormat="1" x14ac:dyDescent="0.3">
      <c r="A1063" s="3"/>
      <c r="B1063" s="39"/>
      <c r="C1063" s="5"/>
      <c r="D1063" s="5"/>
      <c r="E1063" s="5"/>
      <c r="F1063" s="5"/>
      <c r="G1063" s="29"/>
      <c r="H1063"/>
      <c r="I1063" s="7"/>
      <c r="J1063" s="7"/>
      <c r="K1063" s="7"/>
      <c r="L1063" s="8"/>
      <c r="M1063" s="7"/>
      <c r="N1063" s="7"/>
      <c r="O1063" s="8"/>
      <c r="P1063" s="6"/>
      <c r="Q1063" s="5"/>
      <c r="R1063" s="5"/>
      <c r="S1063" s="5"/>
      <c r="T1063" s="5"/>
      <c r="U1063" s="5"/>
      <c r="V1063" s="5"/>
      <c r="W1063" s="5"/>
      <c r="X1063" s="8"/>
      <c r="Y1063" s="9"/>
      <c r="Z1063" s="10"/>
      <c r="AA1063" s="10"/>
      <c r="AB1063" s="8"/>
      <c r="AC1063" s="10"/>
    </row>
    <row r="1064" spans="1:29" s="4" customFormat="1" x14ac:dyDescent="0.3">
      <c r="A1064" s="3"/>
      <c r="B1064" s="39"/>
      <c r="C1064" s="5"/>
      <c r="D1064" s="5"/>
      <c r="E1064" s="5"/>
      <c r="F1064" s="5"/>
      <c r="G1064" s="29"/>
      <c r="H1064"/>
      <c r="I1064" s="7"/>
      <c r="J1064" s="7"/>
      <c r="K1064" s="7"/>
      <c r="L1064" s="8"/>
      <c r="M1064" s="7"/>
      <c r="N1064" s="7"/>
      <c r="O1064" s="8"/>
      <c r="P1064" s="6"/>
      <c r="Q1064" s="5"/>
      <c r="R1064" s="5"/>
      <c r="S1064" s="5"/>
      <c r="T1064" s="5"/>
      <c r="U1064" s="5"/>
      <c r="V1064" s="5"/>
      <c r="W1064" s="5"/>
      <c r="X1064" s="8"/>
      <c r="Y1064" s="9"/>
      <c r="Z1064" s="10"/>
      <c r="AA1064" s="10"/>
      <c r="AB1064" s="8"/>
      <c r="AC1064" s="10"/>
    </row>
    <row r="1065" spans="1:29" s="4" customFormat="1" x14ac:dyDescent="0.3">
      <c r="A1065" s="3"/>
      <c r="B1065" s="39"/>
      <c r="C1065" s="5"/>
      <c r="D1065" s="5"/>
      <c r="E1065" s="5"/>
      <c r="F1065" s="5"/>
      <c r="G1065" s="29"/>
      <c r="H1065"/>
      <c r="I1065" s="7"/>
      <c r="J1065" s="7"/>
      <c r="K1065" s="7"/>
      <c r="L1065" s="8"/>
      <c r="M1065" s="7"/>
      <c r="N1065" s="7"/>
      <c r="O1065" s="8"/>
      <c r="P1065" s="6"/>
      <c r="Q1065" s="5"/>
      <c r="R1065" s="5"/>
      <c r="S1065" s="5"/>
      <c r="T1065" s="5"/>
      <c r="U1065" s="5"/>
      <c r="V1065" s="5"/>
      <c r="W1065" s="5"/>
      <c r="X1065" s="8"/>
      <c r="Y1065" s="9"/>
      <c r="Z1065" s="10"/>
      <c r="AA1065" s="10"/>
      <c r="AB1065" s="8"/>
      <c r="AC1065" s="10"/>
    </row>
    <row r="1066" spans="1:29" s="4" customFormat="1" x14ac:dyDescent="0.3">
      <c r="A1066" s="3"/>
      <c r="B1066" s="39"/>
      <c r="C1066" s="5"/>
      <c r="D1066" s="5"/>
      <c r="E1066" s="5"/>
      <c r="F1066" s="5"/>
      <c r="G1066" s="29"/>
      <c r="H1066"/>
      <c r="I1066" s="7"/>
      <c r="J1066" s="7"/>
      <c r="K1066" s="7"/>
      <c r="L1066" s="8"/>
      <c r="M1066" s="7"/>
      <c r="N1066" s="7"/>
      <c r="O1066" s="8"/>
      <c r="P1066" s="6"/>
      <c r="Q1066" s="5"/>
      <c r="R1066" s="5"/>
      <c r="S1066" s="5"/>
      <c r="T1066" s="5"/>
      <c r="U1066" s="5"/>
      <c r="V1066" s="5"/>
      <c r="W1066" s="5"/>
      <c r="X1066" s="8"/>
      <c r="Y1066" s="9"/>
      <c r="Z1066" s="10"/>
      <c r="AA1066" s="10"/>
      <c r="AB1066" s="8"/>
      <c r="AC1066" s="10"/>
    </row>
    <row r="1067" spans="1:29" s="4" customFormat="1" x14ac:dyDescent="0.3">
      <c r="A1067" s="3"/>
      <c r="B1067" s="39"/>
      <c r="C1067" s="5"/>
      <c r="D1067" s="5"/>
      <c r="E1067" s="5"/>
      <c r="F1067" s="5"/>
      <c r="G1067" s="29"/>
      <c r="H1067"/>
      <c r="I1067" s="7"/>
      <c r="J1067" s="7"/>
      <c r="K1067" s="7"/>
      <c r="L1067" s="8"/>
      <c r="M1067" s="7"/>
      <c r="N1067" s="7"/>
      <c r="O1067" s="8"/>
      <c r="P1067" s="6"/>
      <c r="Q1067" s="5"/>
      <c r="R1067" s="5"/>
      <c r="S1067" s="5"/>
      <c r="T1067" s="5"/>
      <c r="U1067" s="5"/>
      <c r="V1067" s="5"/>
      <c r="W1067" s="5"/>
      <c r="X1067" s="8"/>
      <c r="Y1067" s="9"/>
      <c r="Z1067" s="10"/>
      <c r="AA1067" s="10"/>
      <c r="AB1067" s="8"/>
      <c r="AC1067" s="10"/>
    </row>
    <row r="1068" spans="1:29" s="4" customFormat="1" x14ac:dyDescent="0.3">
      <c r="A1068" s="3"/>
      <c r="B1068" s="39"/>
      <c r="C1068" s="5"/>
      <c r="D1068" s="5"/>
      <c r="E1068" s="5"/>
      <c r="F1068" s="5"/>
      <c r="G1068" s="29"/>
      <c r="H1068"/>
      <c r="I1068" s="7"/>
      <c r="J1068" s="7"/>
      <c r="K1068" s="7"/>
      <c r="L1068" s="8"/>
      <c r="M1068" s="7"/>
      <c r="N1068" s="7"/>
      <c r="O1068" s="8"/>
      <c r="P1068" s="6"/>
      <c r="Q1068" s="5"/>
      <c r="R1068" s="5"/>
      <c r="S1068" s="5"/>
      <c r="T1068" s="5"/>
      <c r="U1068" s="5"/>
      <c r="V1068" s="5"/>
      <c r="W1068" s="5"/>
      <c r="X1068" s="8"/>
      <c r="Y1068" s="9"/>
      <c r="Z1068" s="10"/>
      <c r="AA1068" s="10"/>
      <c r="AB1068" s="8"/>
      <c r="AC1068" s="10"/>
    </row>
    <row r="1069" spans="1:29" s="4" customFormat="1" x14ac:dyDescent="0.3">
      <c r="A1069" s="3"/>
      <c r="B1069" s="39"/>
      <c r="C1069" s="5"/>
      <c r="D1069" s="5"/>
      <c r="E1069" s="5"/>
      <c r="F1069" s="5"/>
      <c r="G1069" s="29"/>
      <c r="H1069"/>
      <c r="I1069" s="7"/>
      <c r="J1069" s="7"/>
      <c r="K1069" s="7"/>
      <c r="L1069" s="8"/>
      <c r="M1069" s="7"/>
      <c r="N1069" s="7"/>
      <c r="O1069" s="8"/>
      <c r="P1069" s="6"/>
      <c r="Q1069" s="5"/>
      <c r="R1069" s="5"/>
      <c r="S1069" s="5"/>
      <c r="T1069" s="5"/>
      <c r="U1069" s="5"/>
      <c r="V1069" s="5"/>
      <c r="W1069" s="5"/>
      <c r="X1069" s="8"/>
      <c r="Y1069" s="9"/>
      <c r="Z1069" s="10"/>
      <c r="AA1069" s="10"/>
      <c r="AB1069" s="8"/>
      <c r="AC1069" s="10"/>
    </row>
    <row r="1070" spans="1:29" s="4" customFormat="1" x14ac:dyDescent="0.3">
      <c r="A1070" s="3"/>
      <c r="B1070" s="39"/>
      <c r="C1070" s="5"/>
      <c r="D1070" s="5"/>
      <c r="E1070" s="5"/>
      <c r="F1070" s="5"/>
      <c r="G1070" s="29"/>
      <c r="H1070"/>
      <c r="I1070" s="7"/>
      <c r="J1070" s="7"/>
      <c r="K1070" s="7"/>
      <c r="L1070" s="8"/>
      <c r="M1070" s="7"/>
      <c r="N1070" s="7"/>
      <c r="O1070" s="8"/>
      <c r="P1070" s="6"/>
      <c r="Q1070" s="5"/>
      <c r="R1070" s="5"/>
      <c r="S1070" s="5"/>
      <c r="T1070" s="5"/>
      <c r="U1070" s="5"/>
      <c r="V1070" s="5"/>
      <c r="W1070" s="5"/>
      <c r="X1070" s="8"/>
      <c r="Y1070" s="9"/>
      <c r="Z1070" s="10"/>
      <c r="AA1070" s="10"/>
      <c r="AB1070" s="8"/>
      <c r="AC1070" s="10"/>
    </row>
    <row r="1071" spans="1:29" s="4" customFormat="1" x14ac:dyDescent="0.3">
      <c r="A1071" s="3"/>
      <c r="B1071" s="39"/>
      <c r="C1071" s="5"/>
      <c r="D1071" s="5"/>
      <c r="E1071" s="5"/>
      <c r="F1071" s="5"/>
      <c r="G1071" s="29"/>
      <c r="H1071"/>
      <c r="I1071" s="7"/>
      <c r="J1071" s="7"/>
      <c r="K1071" s="7"/>
      <c r="L1071" s="8"/>
      <c r="M1071" s="7"/>
      <c r="N1071" s="7"/>
      <c r="O1071" s="8"/>
      <c r="P1071" s="6"/>
      <c r="Q1071" s="5"/>
      <c r="R1071" s="5"/>
      <c r="S1071" s="5"/>
      <c r="T1071" s="5"/>
      <c r="U1071" s="5"/>
      <c r="V1071" s="5"/>
      <c r="W1071" s="5"/>
      <c r="X1071" s="8"/>
      <c r="Y1071" s="9"/>
      <c r="Z1071" s="10"/>
      <c r="AA1071" s="10"/>
      <c r="AB1071" s="8"/>
      <c r="AC1071" s="10"/>
    </row>
    <row r="1072" spans="1:29" s="4" customFormat="1" x14ac:dyDescent="0.3">
      <c r="A1072" s="3"/>
      <c r="B1072" s="39"/>
      <c r="C1072" s="5"/>
      <c r="D1072" s="5"/>
      <c r="E1072" s="5"/>
      <c r="F1072" s="5"/>
      <c r="G1072" s="29"/>
      <c r="H1072"/>
      <c r="I1072" s="7"/>
      <c r="J1072" s="7"/>
      <c r="K1072" s="7"/>
      <c r="L1072" s="8"/>
      <c r="M1072" s="7"/>
      <c r="N1072" s="7"/>
      <c r="O1072" s="8"/>
      <c r="P1072" s="6"/>
      <c r="Q1072" s="5"/>
      <c r="R1072" s="5"/>
      <c r="S1072" s="5"/>
      <c r="T1072" s="5"/>
      <c r="U1072" s="5"/>
      <c r="V1072" s="5"/>
      <c r="W1072" s="5"/>
      <c r="X1072" s="8"/>
      <c r="Y1072" s="9"/>
      <c r="Z1072" s="10"/>
      <c r="AA1072" s="10"/>
      <c r="AB1072" s="8"/>
      <c r="AC1072" s="10"/>
    </row>
    <row r="1073" spans="1:29" s="4" customFormat="1" x14ac:dyDescent="0.3">
      <c r="A1073" s="3"/>
      <c r="B1073" s="39"/>
      <c r="C1073" s="5"/>
      <c r="D1073" s="5"/>
      <c r="E1073" s="5"/>
      <c r="F1073" s="5"/>
      <c r="G1073" s="29"/>
      <c r="H1073"/>
      <c r="I1073" s="7"/>
      <c r="J1073" s="7"/>
      <c r="K1073" s="7"/>
      <c r="L1073" s="8"/>
      <c r="M1073" s="7"/>
      <c r="N1073" s="7"/>
      <c r="O1073" s="8"/>
      <c r="P1073" s="6"/>
      <c r="Q1073" s="5"/>
      <c r="R1073" s="5"/>
      <c r="S1073" s="5"/>
      <c r="T1073" s="5"/>
      <c r="U1073" s="5"/>
      <c r="V1073" s="5"/>
      <c r="W1073" s="5"/>
      <c r="X1073" s="8"/>
      <c r="Y1073" s="9"/>
      <c r="Z1073" s="10"/>
      <c r="AA1073" s="10"/>
      <c r="AB1073" s="8"/>
      <c r="AC1073" s="10"/>
    </row>
    <row r="1074" spans="1:29" s="4" customFormat="1" x14ac:dyDescent="0.3">
      <c r="A1074" s="3"/>
      <c r="B1074" s="39"/>
      <c r="C1074" s="5"/>
      <c r="D1074" s="5"/>
      <c r="E1074" s="5"/>
      <c r="F1074" s="5"/>
      <c r="G1074" s="29"/>
      <c r="H1074"/>
      <c r="I1074" s="7"/>
      <c r="J1074" s="7"/>
      <c r="K1074" s="7"/>
      <c r="L1074" s="8"/>
      <c r="M1074" s="7"/>
      <c r="N1074" s="7"/>
      <c r="O1074" s="8"/>
      <c r="P1074" s="6"/>
      <c r="Q1074" s="5"/>
      <c r="R1074" s="5"/>
      <c r="S1074" s="5"/>
      <c r="T1074" s="5"/>
      <c r="U1074" s="5"/>
      <c r="V1074" s="5"/>
      <c r="W1074" s="5"/>
      <c r="X1074" s="8"/>
      <c r="Y1074" s="9"/>
      <c r="Z1074" s="10"/>
      <c r="AA1074" s="10"/>
      <c r="AB1074" s="8"/>
      <c r="AC1074" s="10"/>
    </row>
    <row r="1075" spans="1:29" s="4" customFormat="1" x14ac:dyDescent="0.3">
      <c r="A1075" s="3"/>
      <c r="B1075" s="39"/>
      <c r="C1075" s="5"/>
      <c r="D1075" s="5"/>
      <c r="E1075" s="5"/>
      <c r="F1075" s="5"/>
      <c r="G1075" s="29"/>
      <c r="H1075"/>
      <c r="I1075" s="7"/>
      <c r="J1075" s="7"/>
      <c r="K1075" s="7"/>
      <c r="L1075" s="8"/>
      <c r="M1075" s="7"/>
      <c r="N1075" s="7"/>
      <c r="O1075" s="8"/>
      <c r="P1075" s="6"/>
      <c r="Q1075" s="5"/>
      <c r="R1075" s="5"/>
      <c r="S1075" s="5"/>
      <c r="T1075" s="5"/>
      <c r="U1075" s="5"/>
      <c r="V1075" s="5"/>
      <c r="W1075" s="5"/>
      <c r="X1075" s="8"/>
      <c r="Y1075" s="9"/>
      <c r="Z1075" s="10"/>
      <c r="AA1075" s="10"/>
      <c r="AB1075" s="8"/>
      <c r="AC1075" s="10"/>
    </row>
    <row r="1076" spans="1:29" s="4" customFormat="1" x14ac:dyDescent="0.3">
      <c r="A1076" s="3"/>
      <c r="B1076" s="39"/>
      <c r="C1076" s="5"/>
      <c r="D1076" s="5"/>
      <c r="E1076" s="5"/>
      <c r="F1076" s="5"/>
      <c r="G1076" s="29"/>
      <c r="H1076"/>
      <c r="I1076" s="7"/>
      <c r="J1076" s="7"/>
      <c r="K1076" s="7"/>
      <c r="L1076" s="8"/>
      <c r="M1076" s="7"/>
      <c r="N1076" s="7"/>
      <c r="O1076" s="8"/>
      <c r="P1076" s="6"/>
      <c r="Q1076" s="5"/>
      <c r="R1076" s="5"/>
      <c r="S1076" s="5"/>
      <c r="T1076" s="5"/>
      <c r="U1076" s="5"/>
      <c r="V1076" s="5"/>
      <c r="W1076" s="5"/>
      <c r="X1076" s="8"/>
      <c r="Y1076" s="9"/>
      <c r="Z1076" s="10"/>
      <c r="AA1076" s="10"/>
      <c r="AB1076" s="8"/>
      <c r="AC1076" s="10"/>
    </row>
    <row r="1077" spans="1:29" s="4" customFormat="1" x14ac:dyDescent="0.3">
      <c r="A1077" s="3"/>
      <c r="B1077" s="39"/>
      <c r="C1077" s="5"/>
      <c r="D1077" s="5"/>
      <c r="E1077" s="5"/>
      <c r="F1077" s="5"/>
      <c r="G1077" s="29"/>
      <c r="H1077"/>
      <c r="I1077" s="7"/>
      <c r="J1077" s="7"/>
      <c r="K1077" s="7"/>
      <c r="L1077" s="8"/>
      <c r="M1077" s="7"/>
      <c r="N1077" s="7"/>
      <c r="O1077" s="8"/>
      <c r="P1077" s="6"/>
      <c r="Q1077" s="5"/>
      <c r="R1077" s="5"/>
      <c r="S1077" s="5"/>
      <c r="T1077" s="5"/>
      <c r="U1077" s="5"/>
      <c r="V1077" s="5"/>
      <c r="W1077" s="5"/>
      <c r="X1077" s="8"/>
      <c r="Y1077" s="9"/>
      <c r="Z1077" s="10"/>
      <c r="AA1077" s="10"/>
      <c r="AB1077" s="8"/>
      <c r="AC1077" s="10"/>
    </row>
    <row r="1078" spans="1:29" s="4" customFormat="1" x14ac:dyDescent="0.3">
      <c r="A1078" s="3"/>
      <c r="B1078" s="39"/>
      <c r="C1078" s="5"/>
      <c r="D1078" s="5"/>
      <c r="E1078" s="5"/>
      <c r="F1078" s="5"/>
      <c r="G1078" s="29"/>
      <c r="H1078"/>
      <c r="I1078" s="7"/>
      <c r="J1078" s="7"/>
      <c r="K1078" s="7"/>
      <c r="L1078" s="8"/>
      <c r="M1078" s="7"/>
      <c r="N1078" s="7"/>
      <c r="O1078" s="8"/>
      <c r="P1078" s="6"/>
      <c r="Q1078" s="5"/>
      <c r="R1078" s="5"/>
      <c r="S1078" s="5"/>
      <c r="T1078" s="5"/>
      <c r="U1078" s="5"/>
      <c r="V1078" s="5"/>
      <c r="W1078" s="5"/>
      <c r="X1078" s="8"/>
      <c r="Y1078" s="9"/>
      <c r="Z1078" s="10"/>
      <c r="AA1078" s="10"/>
      <c r="AB1078" s="8"/>
      <c r="AC1078" s="10"/>
    </row>
    <row r="1079" spans="1:29" s="4" customFormat="1" x14ac:dyDescent="0.3">
      <c r="A1079" s="3"/>
      <c r="B1079" s="39"/>
      <c r="C1079" s="5"/>
      <c r="D1079" s="5"/>
      <c r="E1079" s="5"/>
      <c r="F1079" s="5"/>
      <c r="G1079" s="29"/>
      <c r="H1079"/>
      <c r="I1079" s="7"/>
      <c r="J1079" s="7"/>
      <c r="K1079" s="7"/>
      <c r="L1079" s="8"/>
      <c r="M1079" s="7"/>
      <c r="N1079" s="7"/>
      <c r="O1079" s="8"/>
      <c r="P1079" s="6"/>
      <c r="Q1079" s="5"/>
      <c r="R1079" s="5"/>
      <c r="S1079" s="5"/>
      <c r="T1079" s="5"/>
      <c r="U1079" s="5"/>
      <c r="V1079" s="5"/>
      <c r="W1079" s="5"/>
      <c r="X1079" s="8"/>
      <c r="Y1079" s="9"/>
      <c r="Z1079" s="10"/>
      <c r="AA1079" s="10"/>
      <c r="AB1079" s="8"/>
      <c r="AC1079" s="10"/>
    </row>
    <row r="1080" spans="1:29" s="4" customFormat="1" x14ac:dyDescent="0.3">
      <c r="A1080" s="3"/>
      <c r="B1080" s="39"/>
      <c r="C1080" s="5"/>
      <c r="D1080" s="5"/>
      <c r="E1080" s="5"/>
      <c r="F1080" s="5"/>
      <c r="G1080" s="29"/>
      <c r="H1080"/>
      <c r="I1080" s="7"/>
      <c r="J1080" s="7"/>
      <c r="K1080" s="7"/>
      <c r="L1080" s="8"/>
      <c r="M1080" s="7"/>
      <c r="N1080" s="7"/>
      <c r="O1080" s="8"/>
      <c r="P1080" s="6"/>
      <c r="Q1080" s="5"/>
      <c r="R1080" s="5"/>
      <c r="S1080" s="5"/>
      <c r="T1080" s="5"/>
      <c r="U1080" s="5"/>
      <c r="V1080" s="5"/>
      <c r="W1080" s="5"/>
      <c r="X1080" s="8"/>
      <c r="Y1080" s="9"/>
      <c r="Z1080" s="10"/>
      <c r="AA1080" s="10"/>
      <c r="AB1080" s="8"/>
      <c r="AC1080" s="10"/>
    </row>
    <row r="1081" spans="1:29" s="4" customFormat="1" x14ac:dyDescent="0.3">
      <c r="A1081" s="3"/>
      <c r="B1081" s="39"/>
      <c r="C1081" s="5"/>
      <c r="D1081" s="5"/>
      <c r="E1081" s="5"/>
      <c r="F1081" s="5"/>
      <c r="G1081" s="29"/>
      <c r="H1081"/>
      <c r="I1081" s="7"/>
      <c r="J1081" s="7"/>
      <c r="K1081" s="7"/>
      <c r="L1081" s="8"/>
      <c r="M1081" s="7"/>
      <c r="N1081" s="7"/>
      <c r="O1081" s="8"/>
      <c r="P1081" s="6"/>
      <c r="Q1081" s="5"/>
      <c r="R1081" s="5"/>
      <c r="S1081" s="5"/>
      <c r="T1081" s="5"/>
      <c r="U1081" s="5"/>
      <c r="V1081" s="5"/>
      <c r="W1081" s="5"/>
      <c r="X1081" s="8"/>
      <c r="Y1081" s="9"/>
      <c r="Z1081" s="10"/>
      <c r="AA1081" s="10"/>
      <c r="AB1081" s="8"/>
      <c r="AC1081" s="10"/>
    </row>
    <row r="1082" spans="1:29" s="4" customFormat="1" x14ac:dyDescent="0.3">
      <c r="A1082" s="3"/>
      <c r="B1082" s="39"/>
      <c r="C1082" s="5"/>
      <c r="D1082" s="5"/>
      <c r="E1082" s="5"/>
      <c r="F1082" s="5"/>
      <c r="G1082" s="29"/>
      <c r="H1082"/>
      <c r="I1082" s="7"/>
      <c r="J1082" s="7"/>
      <c r="K1082" s="7"/>
      <c r="L1082" s="8"/>
      <c r="M1082" s="7"/>
      <c r="N1082" s="7"/>
      <c r="O1082" s="8"/>
      <c r="P1082" s="6"/>
      <c r="Q1082" s="5"/>
      <c r="R1082" s="5"/>
      <c r="S1082" s="5"/>
      <c r="T1082" s="5"/>
      <c r="U1082" s="5"/>
      <c r="V1082" s="5"/>
      <c r="W1082" s="5"/>
      <c r="X1082" s="8"/>
      <c r="Y1082" s="9"/>
      <c r="Z1082" s="10"/>
      <c r="AA1082" s="10"/>
      <c r="AB1082" s="8"/>
      <c r="AC1082" s="10"/>
    </row>
    <row r="1083" spans="1:29" s="4" customFormat="1" x14ac:dyDescent="0.3">
      <c r="A1083" s="3"/>
      <c r="B1083" s="39"/>
      <c r="C1083" s="5"/>
      <c r="D1083" s="5"/>
      <c r="E1083" s="5"/>
      <c r="F1083" s="5"/>
      <c r="G1083" s="29"/>
      <c r="H1083"/>
      <c r="I1083" s="7"/>
      <c r="J1083" s="7"/>
      <c r="K1083" s="7"/>
      <c r="L1083" s="8"/>
      <c r="M1083" s="7"/>
      <c r="N1083" s="7"/>
      <c r="O1083" s="8"/>
      <c r="P1083" s="6"/>
      <c r="Q1083" s="5"/>
      <c r="R1083" s="5"/>
      <c r="S1083" s="5"/>
      <c r="T1083" s="5"/>
      <c r="U1083" s="5"/>
      <c r="V1083" s="5"/>
      <c r="W1083" s="5"/>
      <c r="X1083" s="8"/>
      <c r="Y1083" s="9"/>
      <c r="Z1083" s="10"/>
      <c r="AA1083" s="10"/>
      <c r="AB1083" s="8"/>
      <c r="AC1083" s="10"/>
    </row>
    <row r="1084" spans="1:29" s="4" customFormat="1" x14ac:dyDescent="0.3">
      <c r="A1084" s="3"/>
      <c r="B1084" s="39"/>
      <c r="C1084" s="5"/>
      <c r="D1084" s="5"/>
      <c r="E1084" s="5"/>
      <c r="F1084" s="5"/>
      <c r="G1084" s="29"/>
      <c r="H1084"/>
      <c r="I1084" s="7"/>
      <c r="J1084" s="7"/>
      <c r="K1084" s="7"/>
      <c r="L1084" s="8"/>
      <c r="M1084" s="7"/>
      <c r="N1084" s="7"/>
      <c r="O1084" s="8"/>
      <c r="P1084" s="6"/>
      <c r="Q1084" s="5"/>
      <c r="R1084" s="5"/>
      <c r="S1084" s="5"/>
      <c r="T1084" s="5"/>
      <c r="U1084" s="5"/>
      <c r="V1084" s="5"/>
      <c r="W1084" s="5"/>
      <c r="X1084" s="8"/>
      <c r="Y1084" s="9"/>
      <c r="Z1084" s="10"/>
      <c r="AA1084" s="10"/>
      <c r="AB1084" s="8"/>
      <c r="AC1084" s="10"/>
    </row>
    <row r="1085" spans="1:29" s="4" customFormat="1" x14ac:dyDescent="0.3">
      <c r="A1085" s="3"/>
      <c r="B1085" s="39"/>
      <c r="C1085" s="5"/>
      <c r="D1085" s="5"/>
      <c r="E1085" s="5"/>
      <c r="F1085" s="5"/>
      <c r="G1085" s="29"/>
      <c r="H1085"/>
      <c r="I1085" s="7"/>
      <c r="J1085" s="7"/>
      <c r="K1085" s="7"/>
      <c r="L1085" s="8"/>
      <c r="M1085" s="7"/>
      <c r="N1085" s="7"/>
      <c r="O1085" s="8"/>
      <c r="P1085" s="6"/>
      <c r="Q1085" s="5"/>
      <c r="R1085" s="5"/>
      <c r="S1085" s="5"/>
      <c r="T1085" s="5"/>
      <c r="U1085" s="5"/>
      <c r="V1085" s="5"/>
      <c r="W1085" s="5"/>
      <c r="X1085" s="8"/>
      <c r="Y1085" s="9"/>
      <c r="Z1085" s="10"/>
      <c r="AA1085" s="10"/>
      <c r="AB1085" s="8"/>
      <c r="AC1085" s="10"/>
    </row>
    <row r="1086" spans="1:29" s="4" customFormat="1" x14ac:dyDescent="0.3">
      <c r="A1086" s="3"/>
      <c r="B1086" s="39"/>
      <c r="C1086" s="5"/>
      <c r="D1086" s="5"/>
      <c r="E1086" s="5"/>
      <c r="F1086" s="5"/>
      <c r="G1086" s="29"/>
      <c r="H1086"/>
      <c r="I1086" s="7"/>
      <c r="J1086" s="7"/>
      <c r="K1086" s="7"/>
      <c r="L1086" s="8"/>
      <c r="M1086" s="7"/>
      <c r="N1086" s="7"/>
      <c r="O1086" s="8"/>
      <c r="P1086" s="6"/>
      <c r="Q1086" s="5"/>
      <c r="R1086" s="5"/>
      <c r="S1086" s="5"/>
      <c r="T1086" s="5"/>
      <c r="U1086" s="5"/>
      <c r="V1086" s="5"/>
      <c r="W1086" s="5"/>
      <c r="X1086" s="8"/>
      <c r="Y1086" s="9"/>
      <c r="Z1086" s="10"/>
      <c r="AA1086" s="10"/>
      <c r="AB1086" s="8"/>
      <c r="AC1086" s="10"/>
    </row>
    <row r="1087" spans="1:29" s="4" customFormat="1" x14ac:dyDescent="0.3">
      <c r="A1087" s="3"/>
      <c r="B1087" s="39"/>
      <c r="C1087" s="5"/>
      <c r="D1087" s="5"/>
      <c r="E1087" s="5"/>
      <c r="F1087" s="5"/>
      <c r="G1087" s="29"/>
      <c r="H1087"/>
      <c r="I1087" s="7"/>
      <c r="J1087" s="7"/>
      <c r="K1087" s="7"/>
      <c r="L1087" s="8"/>
      <c r="M1087" s="7"/>
      <c r="N1087" s="7"/>
      <c r="O1087" s="8"/>
      <c r="P1087" s="6"/>
      <c r="Q1087" s="5"/>
      <c r="R1087" s="5"/>
      <c r="S1087" s="5"/>
      <c r="T1087" s="5"/>
      <c r="U1087" s="5"/>
      <c r="V1087" s="5"/>
      <c r="W1087" s="5"/>
      <c r="X1087" s="8"/>
      <c r="Y1087" s="9"/>
      <c r="Z1087" s="10"/>
      <c r="AA1087" s="10"/>
      <c r="AB1087" s="8"/>
      <c r="AC1087" s="10"/>
    </row>
    <row r="1088" spans="1:29" s="4" customFormat="1" x14ac:dyDescent="0.3">
      <c r="A1088" s="3"/>
      <c r="B1088" s="39"/>
      <c r="C1088" s="5"/>
      <c r="D1088" s="5"/>
      <c r="E1088" s="5"/>
      <c r="F1088" s="5"/>
      <c r="G1088" s="29"/>
      <c r="H1088"/>
      <c r="I1088" s="7"/>
      <c r="J1088" s="7"/>
      <c r="K1088" s="7"/>
      <c r="L1088" s="8"/>
      <c r="M1088" s="7"/>
      <c r="N1088" s="7"/>
      <c r="O1088" s="8"/>
      <c r="P1088" s="6"/>
      <c r="Q1088" s="5"/>
      <c r="R1088" s="5"/>
      <c r="S1088" s="5"/>
      <c r="T1088" s="5"/>
      <c r="U1088" s="5"/>
      <c r="V1088" s="5"/>
      <c r="W1088" s="5"/>
      <c r="X1088" s="8"/>
      <c r="Y1088" s="9"/>
      <c r="Z1088" s="10"/>
      <c r="AA1088" s="10"/>
      <c r="AB1088" s="8"/>
      <c r="AC1088" s="10"/>
    </row>
    <row r="1089" spans="1:29" s="4" customFormat="1" x14ac:dyDescent="0.3">
      <c r="A1089" s="3"/>
      <c r="B1089" s="39"/>
      <c r="C1089" s="5"/>
      <c r="D1089" s="5"/>
      <c r="E1089" s="5"/>
      <c r="F1089" s="5"/>
      <c r="G1089" s="29"/>
      <c r="H1089"/>
      <c r="I1089" s="7"/>
      <c r="J1089" s="7"/>
      <c r="K1089" s="7"/>
      <c r="L1089" s="8"/>
      <c r="M1089" s="7"/>
      <c r="N1089" s="7"/>
      <c r="O1089" s="8"/>
      <c r="P1089" s="6"/>
      <c r="Q1089" s="5"/>
      <c r="R1089" s="5"/>
      <c r="S1089" s="5"/>
      <c r="T1089" s="5"/>
      <c r="U1089" s="5"/>
      <c r="V1089" s="5"/>
      <c r="W1089" s="5"/>
      <c r="X1089" s="8"/>
      <c r="Y1089" s="9"/>
      <c r="Z1089" s="10"/>
      <c r="AA1089" s="10"/>
      <c r="AB1089" s="8"/>
      <c r="AC1089" s="10"/>
    </row>
    <row r="1090" spans="1:29" s="4" customFormat="1" x14ac:dyDescent="0.3">
      <c r="A1090" s="3"/>
      <c r="B1090" s="39"/>
      <c r="C1090" s="5"/>
      <c r="D1090" s="5"/>
      <c r="E1090" s="5"/>
      <c r="F1090" s="5"/>
      <c r="G1090" s="29"/>
      <c r="H1090"/>
      <c r="I1090" s="7"/>
      <c r="J1090" s="7"/>
      <c r="K1090" s="7"/>
      <c r="L1090" s="8"/>
      <c r="M1090" s="7"/>
      <c r="N1090" s="7"/>
      <c r="O1090" s="8"/>
      <c r="P1090" s="6"/>
      <c r="Q1090" s="5"/>
      <c r="R1090" s="5"/>
      <c r="S1090" s="5"/>
      <c r="T1090" s="5"/>
      <c r="U1090" s="5"/>
      <c r="V1090" s="5"/>
      <c r="W1090" s="5"/>
      <c r="X1090" s="8"/>
      <c r="Y1090" s="9"/>
      <c r="Z1090" s="10"/>
      <c r="AA1090" s="10"/>
      <c r="AB1090" s="8"/>
      <c r="AC1090" s="10"/>
    </row>
    <row r="1091" spans="1:29" s="4" customFormat="1" x14ac:dyDescent="0.3">
      <c r="A1091" s="3"/>
      <c r="B1091" s="39"/>
      <c r="C1091" s="5"/>
      <c r="D1091" s="5"/>
      <c r="E1091" s="5"/>
      <c r="F1091" s="5"/>
      <c r="G1091" s="29"/>
      <c r="H1091"/>
      <c r="I1091" s="7"/>
      <c r="J1091" s="7"/>
      <c r="K1091" s="7"/>
      <c r="L1091" s="8"/>
      <c r="M1091" s="7"/>
      <c r="N1091" s="7"/>
      <c r="O1091" s="8"/>
      <c r="P1091" s="6"/>
      <c r="Q1091" s="5"/>
      <c r="R1091" s="5"/>
      <c r="S1091" s="5"/>
      <c r="T1091" s="5"/>
      <c r="U1091" s="5"/>
      <c r="V1091" s="5"/>
      <c r="W1091" s="5"/>
      <c r="X1091" s="8"/>
      <c r="Y1091" s="9"/>
      <c r="Z1091" s="10"/>
      <c r="AA1091" s="10"/>
      <c r="AB1091" s="8"/>
      <c r="AC1091" s="10"/>
    </row>
    <row r="1092" spans="1:29" s="4" customFormat="1" x14ac:dyDescent="0.3">
      <c r="A1092" s="3"/>
      <c r="B1092" s="39"/>
      <c r="C1092" s="5"/>
      <c r="D1092" s="5"/>
      <c r="E1092" s="5"/>
      <c r="F1092" s="5"/>
      <c r="G1092" s="29"/>
      <c r="H1092"/>
      <c r="I1092" s="7"/>
      <c r="J1092" s="7"/>
      <c r="K1092" s="7"/>
      <c r="L1092" s="8"/>
      <c r="M1092" s="7"/>
      <c r="N1092" s="7"/>
      <c r="O1092" s="8"/>
      <c r="P1092" s="6"/>
      <c r="Q1092" s="5"/>
      <c r="R1092" s="5"/>
      <c r="S1092" s="5"/>
      <c r="T1092" s="5"/>
      <c r="U1092" s="5"/>
      <c r="V1092" s="5"/>
      <c r="W1092" s="5"/>
      <c r="X1092" s="8"/>
      <c r="Y1092" s="9"/>
      <c r="Z1092" s="10"/>
      <c r="AA1092" s="10"/>
      <c r="AB1092" s="8"/>
      <c r="AC1092" s="10"/>
    </row>
    <row r="1093" spans="1:29" s="4" customFormat="1" x14ac:dyDescent="0.3">
      <c r="A1093" s="3"/>
      <c r="B1093" s="39"/>
      <c r="C1093" s="5"/>
      <c r="D1093" s="5"/>
      <c r="E1093" s="5"/>
      <c r="F1093" s="5"/>
      <c r="G1093" s="29"/>
      <c r="H1093"/>
      <c r="I1093" s="7"/>
      <c r="J1093" s="7"/>
      <c r="K1093" s="7"/>
      <c r="L1093" s="8"/>
      <c r="M1093" s="7"/>
      <c r="N1093" s="7"/>
      <c r="O1093" s="8"/>
      <c r="P1093" s="6"/>
      <c r="Q1093" s="5"/>
      <c r="R1093" s="5"/>
      <c r="S1093" s="5"/>
      <c r="T1093" s="5"/>
      <c r="U1093" s="5"/>
      <c r="V1093" s="5"/>
      <c r="W1093" s="5"/>
      <c r="X1093" s="8"/>
      <c r="Y1093" s="9"/>
      <c r="Z1093" s="10"/>
      <c r="AA1093" s="10"/>
      <c r="AB1093" s="8"/>
      <c r="AC1093" s="10"/>
    </row>
    <row r="1094" spans="1:29" s="4" customFormat="1" x14ac:dyDescent="0.3">
      <c r="A1094" s="3"/>
      <c r="B1094" s="39"/>
      <c r="C1094" s="5"/>
      <c r="D1094" s="5"/>
      <c r="E1094" s="5"/>
      <c r="F1094" s="5"/>
      <c r="G1094" s="29"/>
      <c r="H1094"/>
      <c r="I1094" s="7"/>
      <c r="J1094" s="7"/>
      <c r="K1094" s="7"/>
      <c r="L1094" s="8"/>
      <c r="M1094" s="7"/>
      <c r="N1094" s="7"/>
      <c r="O1094" s="8"/>
      <c r="P1094" s="6"/>
      <c r="Q1094" s="5"/>
      <c r="R1094" s="5"/>
      <c r="S1094" s="5"/>
      <c r="T1094" s="5"/>
      <c r="U1094" s="5"/>
      <c r="V1094" s="5"/>
      <c r="W1094" s="5"/>
      <c r="X1094" s="8"/>
      <c r="Y1094" s="9"/>
      <c r="Z1094" s="10"/>
      <c r="AA1094" s="10"/>
      <c r="AB1094" s="8"/>
      <c r="AC1094" s="10"/>
    </row>
    <row r="1095" spans="1:29" s="4" customFormat="1" x14ac:dyDescent="0.3">
      <c r="A1095" s="3"/>
      <c r="B1095" s="39"/>
      <c r="C1095" s="5"/>
      <c r="D1095" s="5"/>
      <c r="E1095" s="5"/>
      <c r="F1095" s="5"/>
      <c r="G1095" s="29"/>
      <c r="H1095"/>
      <c r="I1095" s="7"/>
      <c r="J1095" s="7"/>
      <c r="K1095" s="7"/>
      <c r="L1095" s="8"/>
      <c r="M1095" s="7"/>
      <c r="N1095" s="7"/>
      <c r="O1095" s="8"/>
      <c r="P1095" s="6"/>
      <c r="Q1095" s="5"/>
      <c r="R1095" s="5"/>
      <c r="S1095" s="5"/>
      <c r="T1095" s="5"/>
      <c r="U1095" s="5"/>
      <c r="V1095" s="5"/>
      <c r="W1095" s="5"/>
      <c r="X1095" s="8"/>
      <c r="Y1095" s="9"/>
      <c r="Z1095" s="10"/>
      <c r="AA1095" s="10"/>
      <c r="AB1095" s="8"/>
      <c r="AC1095" s="10"/>
    </row>
    <row r="1096" spans="1:29" s="4" customFormat="1" x14ac:dyDescent="0.3">
      <c r="A1096" s="3"/>
      <c r="B1096" s="39"/>
      <c r="C1096" s="5"/>
      <c r="D1096" s="5"/>
      <c r="E1096" s="5"/>
      <c r="F1096" s="5"/>
      <c r="G1096" s="29"/>
      <c r="H1096"/>
      <c r="I1096" s="7"/>
      <c r="J1096" s="7"/>
      <c r="K1096" s="7"/>
      <c r="L1096" s="8"/>
      <c r="M1096" s="7"/>
      <c r="N1096" s="7"/>
      <c r="O1096" s="8"/>
      <c r="P1096" s="6"/>
      <c r="Q1096" s="5"/>
      <c r="R1096" s="5"/>
      <c r="S1096" s="5"/>
      <c r="T1096" s="5"/>
      <c r="U1096" s="5"/>
      <c r="V1096" s="5"/>
      <c r="W1096" s="5"/>
      <c r="X1096" s="8"/>
      <c r="Y1096" s="9"/>
      <c r="Z1096" s="10"/>
      <c r="AA1096" s="10"/>
      <c r="AB1096" s="8"/>
      <c r="AC1096" s="10"/>
    </row>
    <row r="1097" spans="1:29" s="4" customFormat="1" x14ac:dyDescent="0.3">
      <c r="A1097" s="3"/>
      <c r="B1097" s="39"/>
      <c r="C1097" s="5"/>
      <c r="D1097" s="5"/>
      <c r="E1097" s="5"/>
      <c r="F1097" s="5"/>
      <c r="G1097" s="29"/>
      <c r="H1097"/>
      <c r="I1097" s="7"/>
      <c r="J1097" s="7"/>
      <c r="K1097" s="7"/>
      <c r="L1097" s="8"/>
      <c r="M1097" s="7"/>
      <c r="N1097" s="7"/>
      <c r="O1097" s="8"/>
      <c r="P1097" s="6"/>
      <c r="Q1097" s="5"/>
      <c r="R1097" s="5"/>
      <c r="S1097" s="5"/>
      <c r="T1097" s="5"/>
      <c r="U1097" s="5"/>
      <c r="V1097" s="5"/>
      <c r="W1097" s="5"/>
      <c r="X1097" s="8"/>
      <c r="Y1097" s="9"/>
      <c r="Z1097" s="10"/>
      <c r="AA1097" s="10"/>
      <c r="AB1097" s="8"/>
      <c r="AC1097" s="10"/>
    </row>
    <row r="1098" spans="1:29" s="4" customFormat="1" x14ac:dyDescent="0.3">
      <c r="A1098" s="3"/>
      <c r="B1098" s="39"/>
      <c r="C1098" s="5"/>
      <c r="D1098" s="5"/>
      <c r="E1098" s="5"/>
      <c r="F1098" s="5"/>
      <c r="G1098" s="29"/>
      <c r="H1098"/>
      <c r="I1098" s="7"/>
      <c r="J1098" s="7"/>
      <c r="K1098" s="7"/>
      <c r="L1098" s="8"/>
      <c r="M1098" s="7"/>
      <c r="N1098" s="7"/>
      <c r="O1098" s="8"/>
      <c r="P1098" s="6"/>
      <c r="Q1098" s="5"/>
      <c r="R1098" s="5"/>
      <c r="S1098" s="5"/>
      <c r="T1098" s="5"/>
      <c r="U1098" s="5"/>
      <c r="V1098" s="5"/>
      <c r="W1098" s="5"/>
      <c r="X1098" s="8"/>
      <c r="Y1098" s="9"/>
      <c r="Z1098" s="10"/>
      <c r="AA1098" s="10"/>
      <c r="AB1098" s="8"/>
      <c r="AC1098" s="10"/>
    </row>
    <row r="1099" spans="1:29" s="4" customFormat="1" x14ac:dyDescent="0.3">
      <c r="A1099" s="3"/>
      <c r="B1099" s="39"/>
      <c r="C1099" s="5"/>
      <c r="D1099" s="5"/>
      <c r="E1099" s="5"/>
      <c r="F1099" s="5"/>
      <c r="G1099" s="29"/>
      <c r="H1099"/>
      <c r="I1099" s="7"/>
      <c r="J1099" s="7"/>
      <c r="K1099" s="7"/>
      <c r="L1099" s="8"/>
      <c r="M1099" s="7"/>
      <c r="N1099" s="7"/>
      <c r="O1099" s="8"/>
      <c r="P1099" s="6"/>
      <c r="Q1099" s="5"/>
      <c r="R1099" s="5"/>
      <c r="S1099" s="5"/>
      <c r="T1099" s="5"/>
      <c r="U1099" s="5"/>
      <c r="V1099" s="5"/>
      <c r="W1099" s="5"/>
      <c r="X1099" s="8"/>
      <c r="Y1099" s="9"/>
      <c r="Z1099" s="10"/>
      <c r="AA1099" s="10"/>
      <c r="AB1099" s="8"/>
      <c r="AC1099" s="10"/>
    </row>
    <row r="1100" spans="1:29" s="4" customFormat="1" x14ac:dyDescent="0.3">
      <c r="A1100" s="3"/>
      <c r="B1100" s="39"/>
      <c r="C1100" s="5"/>
      <c r="D1100" s="5"/>
      <c r="E1100" s="5"/>
      <c r="F1100" s="5"/>
      <c r="G1100" s="29"/>
      <c r="H1100"/>
      <c r="I1100" s="7"/>
      <c r="J1100" s="7"/>
      <c r="K1100" s="7"/>
      <c r="L1100" s="8"/>
      <c r="M1100" s="7"/>
      <c r="N1100" s="7"/>
      <c r="O1100" s="8"/>
      <c r="P1100" s="6"/>
      <c r="Q1100" s="5"/>
      <c r="R1100" s="5"/>
      <c r="S1100" s="5"/>
      <c r="T1100" s="5"/>
      <c r="U1100" s="5"/>
      <c r="V1100" s="5"/>
      <c r="W1100" s="5"/>
      <c r="X1100" s="8"/>
      <c r="Y1100" s="9"/>
      <c r="Z1100" s="10"/>
      <c r="AA1100" s="10"/>
      <c r="AB1100" s="8"/>
      <c r="AC1100" s="10"/>
    </row>
    <row r="1101" spans="1:29" s="4" customFormat="1" x14ac:dyDescent="0.3">
      <c r="A1101" s="3"/>
      <c r="B1101" s="39"/>
      <c r="C1101" s="5"/>
      <c r="D1101" s="5"/>
      <c r="E1101" s="5"/>
      <c r="F1101" s="5"/>
      <c r="G1101" s="29"/>
      <c r="H1101"/>
      <c r="I1101" s="7"/>
      <c r="J1101" s="7"/>
      <c r="K1101" s="7"/>
      <c r="L1101" s="8"/>
      <c r="M1101" s="7"/>
      <c r="N1101" s="7"/>
      <c r="O1101" s="8"/>
      <c r="P1101" s="6"/>
      <c r="Q1101" s="5"/>
      <c r="R1101" s="5"/>
      <c r="S1101" s="5"/>
      <c r="T1101" s="5"/>
      <c r="U1101" s="5"/>
      <c r="V1101" s="5"/>
      <c r="W1101" s="5"/>
      <c r="X1101" s="8"/>
      <c r="Y1101" s="9"/>
      <c r="Z1101" s="10"/>
      <c r="AA1101" s="10"/>
      <c r="AB1101" s="8"/>
      <c r="AC1101" s="10"/>
    </row>
    <row r="1102" spans="1:29" s="4" customFormat="1" x14ac:dyDescent="0.3">
      <c r="A1102" s="3"/>
      <c r="B1102" s="39"/>
      <c r="C1102" s="5"/>
      <c r="D1102" s="5"/>
      <c r="E1102" s="5"/>
      <c r="F1102" s="5"/>
      <c r="G1102" s="29"/>
      <c r="H1102"/>
      <c r="I1102" s="7"/>
      <c r="J1102" s="7"/>
      <c r="K1102" s="7"/>
      <c r="L1102" s="8"/>
      <c r="M1102" s="7"/>
      <c r="N1102" s="7"/>
      <c r="O1102" s="8"/>
      <c r="P1102" s="6"/>
      <c r="Q1102" s="5"/>
      <c r="R1102" s="5"/>
      <c r="S1102" s="5"/>
      <c r="T1102" s="5"/>
      <c r="U1102" s="5"/>
      <c r="V1102" s="5"/>
      <c r="W1102" s="5"/>
      <c r="X1102" s="8"/>
      <c r="Y1102" s="9"/>
      <c r="Z1102" s="10"/>
      <c r="AA1102" s="10"/>
      <c r="AB1102" s="8"/>
      <c r="AC1102" s="10"/>
    </row>
    <row r="1103" spans="1:29" s="4" customFormat="1" x14ac:dyDescent="0.3">
      <c r="A1103" s="3"/>
      <c r="B1103" s="39"/>
      <c r="C1103" s="5"/>
      <c r="D1103" s="5"/>
      <c r="E1103" s="5"/>
      <c r="F1103" s="5"/>
      <c r="G1103" s="29"/>
      <c r="H1103"/>
      <c r="I1103" s="7"/>
      <c r="J1103" s="7"/>
      <c r="K1103" s="7"/>
      <c r="L1103" s="8"/>
      <c r="M1103" s="7"/>
      <c r="N1103" s="7"/>
      <c r="O1103" s="8"/>
      <c r="P1103" s="6"/>
      <c r="Q1103" s="5"/>
      <c r="R1103" s="5"/>
      <c r="S1103" s="5"/>
      <c r="T1103" s="5"/>
      <c r="U1103" s="5"/>
      <c r="V1103" s="5"/>
      <c r="W1103" s="5"/>
      <c r="X1103" s="8"/>
      <c r="Y1103" s="9"/>
      <c r="Z1103" s="10"/>
      <c r="AA1103" s="10"/>
      <c r="AB1103" s="8"/>
      <c r="AC1103" s="10"/>
    </row>
    <row r="1104" spans="1:29" s="4" customFormat="1" x14ac:dyDescent="0.3">
      <c r="A1104" s="3"/>
      <c r="B1104" s="39"/>
      <c r="C1104" s="5"/>
      <c r="D1104" s="5"/>
      <c r="E1104" s="5"/>
      <c r="F1104" s="5"/>
      <c r="G1104" s="29"/>
      <c r="H1104"/>
      <c r="I1104" s="7"/>
      <c r="J1104" s="7"/>
      <c r="K1104" s="7"/>
      <c r="L1104" s="8"/>
      <c r="M1104" s="7"/>
      <c r="N1104" s="7"/>
      <c r="O1104" s="8"/>
      <c r="P1104" s="6"/>
      <c r="Q1104" s="5"/>
      <c r="R1104" s="5"/>
      <c r="S1104" s="5"/>
      <c r="T1104" s="5"/>
      <c r="U1104" s="5"/>
      <c r="V1104" s="5"/>
      <c r="W1104" s="5"/>
      <c r="X1104" s="8"/>
      <c r="Y1104" s="9"/>
      <c r="Z1104" s="10"/>
      <c r="AA1104" s="10"/>
      <c r="AB1104" s="8"/>
      <c r="AC1104" s="10"/>
    </row>
    <row r="1105" spans="1:29" s="4" customFormat="1" x14ac:dyDescent="0.3">
      <c r="A1105" s="3"/>
      <c r="B1105" s="39"/>
      <c r="C1105" s="5"/>
      <c r="D1105" s="5"/>
      <c r="E1105" s="5"/>
      <c r="F1105" s="5"/>
      <c r="G1105" s="29"/>
      <c r="H1105"/>
      <c r="I1105" s="7"/>
      <c r="J1105" s="7"/>
      <c r="K1105" s="7"/>
      <c r="L1105" s="8"/>
      <c r="M1105" s="7"/>
      <c r="N1105" s="7"/>
      <c r="O1105" s="8"/>
      <c r="P1105" s="6"/>
      <c r="Q1105" s="5"/>
      <c r="R1105" s="5"/>
      <c r="S1105" s="5"/>
      <c r="T1105" s="5"/>
      <c r="U1105" s="5"/>
      <c r="V1105" s="5"/>
      <c r="W1105" s="5"/>
      <c r="X1105" s="8"/>
      <c r="Y1105" s="9"/>
      <c r="Z1105" s="10"/>
      <c r="AA1105" s="10"/>
      <c r="AB1105" s="8"/>
      <c r="AC1105" s="10"/>
    </row>
    <row r="1106" spans="1:29" s="4" customFormat="1" x14ac:dyDescent="0.3">
      <c r="A1106" s="3"/>
      <c r="B1106" s="39"/>
      <c r="C1106" s="5"/>
      <c r="D1106" s="5"/>
      <c r="E1106" s="5"/>
      <c r="F1106" s="5"/>
      <c r="G1106" s="29"/>
      <c r="H1106"/>
      <c r="I1106" s="7"/>
      <c r="J1106" s="7"/>
      <c r="K1106" s="7"/>
      <c r="L1106" s="8"/>
      <c r="M1106" s="7"/>
      <c r="N1106" s="7"/>
      <c r="O1106" s="8"/>
      <c r="P1106" s="6"/>
      <c r="Q1106" s="5"/>
      <c r="R1106" s="5"/>
      <c r="S1106" s="5"/>
      <c r="T1106" s="5"/>
      <c r="U1106" s="5"/>
      <c r="V1106" s="5"/>
      <c r="W1106" s="5"/>
      <c r="X1106" s="8"/>
      <c r="Y1106" s="9"/>
      <c r="Z1106" s="10"/>
      <c r="AA1106" s="10"/>
      <c r="AB1106" s="8"/>
      <c r="AC1106" s="10"/>
    </row>
    <row r="1107" spans="1:29" s="4" customFormat="1" x14ac:dyDescent="0.3">
      <c r="A1107" s="3"/>
      <c r="B1107" s="39"/>
      <c r="C1107" s="5"/>
      <c r="D1107" s="5"/>
      <c r="E1107" s="5"/>
      <c r="F1107" s="5"/>
      <c r="G1107" s="29"/>
      <c r="H1107"/>
      <c r="I1107" s="7"/>
      <c r="J1107" s="7"/>
      <c r="K1107" s="7"/>
      <c r="L1107" s="8"/>
      <c r="M1107" s="7"/>
      <c r="N1107" s="7"/>
      <c r="O1107" s="8"/>
      <c r="P1107" s="6"/>
      <c r="Q1107" s="5"/>
      <c r="R1107" s="5"/>
      <c r="S1107" s="5"/>
      <c r="T1107" s="5"/>
      <c r="U1107" s="5"/>
      <c r="V1107" s="5"/>
      <c r="W1107" s="5"/>
      <c r="X1107" s="8"/>
      <c r="Y1107" s="9"/>
      <c r="Z1107" s="10"/>
      <c r="AA1107" s="10"/>
      <c r="AB1107" s="8"/>
      <c r="AC1107" s="10"/>
    </row>
    <row r="1108" spans="1:29" s="4" customFormat="1" x14ac:dyDescent="0.3">
      <c r="A1108" s="3"/>
      <c r="B1108" s="39"/>
      <c r="C1108" s="5"/>
      <c r="D1108" s="5"/>
      <c r="E1108" s="5"/>
      <c r="F1108" s="5"/>
      <c r="G1108" s="29"/>
      <c r="H1108"/>
      <c r="I1108" s="7"/>
      <c r="J1108" s="7"/>
      <c r="K1108" s="7"/>
      <c r="L1108" s="8"/>
      <c r="M1108" s="7"/>
      <c r="N1108" s="7"/>
      <c r="O1108" s="8"/>
      <c r="P1108" s="6"/>
      <c r="Q1108" s="5"/>
      <c r="R1108" s="5"/>
      <c r="S1108" s="5"/>
      <c r="T1108" s="5"/>
      <c r="U1108" s="5"/>
      <c r="V1108" s="5"/>
      <c r="W1108" s="5"/>
      <c r="X1108" s="8"/>
      <c r="Y1108" s="9"/>
      <c r="Z1108" s="10"/>
      <c r="AA1108" s="10"/>
      <c r="AB1108" s="8"/>
      <c r="AC1108" s="10"/>
    </row>
    <row r="1109" spans="1:29" s="4" customFormat="1" x14ac:dyDescent="0.3">
      <c r="A1109" s="3"/>
      <c r="B1109" s="39"/>
      <c r="C1109" s="5"/>
      <c r="D1109" s="5"/>
      <c r="E1109" s="5"/>
      <c r="F1109" s="5"/>
      <c r="G1109" s="29"/>
      <c r="H1109"/>
      <c r="I1109" s="7"/>
      <c r="J1109" s="7"/>
      <c r="K1109" s="7"/>
      <c r="L1109" s="8"/>
      <c r="M1109" s="7"/>
      <c r="N1109" s="7"/>
      <c r="O1109" s="8"/>
      <c r="P1109" s="6"/>
      <c r="Q1109" s="5"/>
      <c r="R1109" s="5"/>
      <c r="S1109" s="5"/>
      <c r="T1109" s="5"/>
      <c r="U1109" s="5"/>
      <c r="V1109" s="5"/>
      <c r="W1109" s="5"/>
      <c r="X1109" s="8"/>
      <c r="Y1109" s="9"/>
      <c r="Z1109" s="10"/>
      <c r="AA1109" s="10"/>
      <c r="AB1109" s="8"/>
      <c r="AC1109" s="10"/>
    </row>
    <row r="1110" spans="1:29" s="4" customFormat="1" x14ac:dyDescent="0.3">
      <c r="A1110" s="3"/>
      <c r="B1110" s="39"/>
      <c r="C1110" s="5"/>
      <c r="D1110" s="5"/>
      <c r="E1110" s="5"/>
      <c r="F1110" s="5"/>
      <c r="G1110" s="29"/>
      <c r="H1110"/>
      <c r="I1110" s="7"/>
      <c r="J1110" s="7"/>
      <c r="K1110" s="7"/>
      <c r="L1110" s="8"/>
      <c r="M1110" s="7"/>
      <c r="N1110" s="7"/>
      <c r="O1110" s="8"/>
      <c r="P1110" s="6"/>
      <c r="Q1110" s="5"/>
      <c r="R1110" s="5"/>
      <c r="S1110" s="5"/>
      <c r="T1110" s="5"/>
      <c r="U1110" s="5"/>
      <c r="V1110" s="5"/>
      <c r="W1110" s="5"/>
      <c r="X1110" s="8"/>
      <c r="Y1110" s="9"/>
      <c r="Z1110" s="10"/>
      <c r="AA1110" s="10"/>
      <c r="AB1110" s="8"/>
      <c r="AC1110" s="10"/>
    </row>
    <row r="1111" spans="1:29" s="4" customFormat="1" x14ac:dyDescent="0.3">
      <c r="A1111" s="3"/>
      <c r="B1111" s="39"/>
      <c r="C1111" s="5"/>
      <c r="D1111" s="5"/>
      <c r="E1111" s="5"/>
      <c r="F1111" s="5"/>
      <c r="G1111" s="29"/>
      <c r="H1111"/>
      <c r="I1111" s="7"/>
      <c r="J1111" s="7"/>
      <c r="K1111" s="7"/>
      <c r="L1111" s="8"/>
      <c r="M1111" s="7"/>
      <c r="N1111" s="7"/>
      <c r="O1111" s="8"/>
      <c r="P1111" s="6"/>
      <c r="Q1111" s="5"/>
      <c r="R1111" s="5"/>
      <c r="S1111" s="5"/>
      <c r="T1111" s="5"/>
      <c r="U1111" s="5"/>
      <c r="V1111" s="5"/>
      <c r="W1111" s="5"/>
      <c r="X1111" s="8"/>
      <c r="Y1111" s="9"/>
      <c r="Z1111" s="10"/>
      <c r="AA1111" s="10"/>
      <c r="AB1111" s="8"/>
      <c r="AC1111" s="10"/>
    </row>
    <row r="1112" spans="1:29" s="4" customFormat="1" x14ac:dyDescent="0.3">
      <c r="A1112" s="3"/>
      <c r="B1112" s="39"/>
      <c r="C1112" s="5"/>
      <c r="D1112" s="5"/>
      <c r="E1112" s="5"/>
      <c r="F1112" s="5"/>
      <c r="G1112" s="29"/>
      <c r="H1112"/>
      <c r="I1112" s="7"/>
      <c r="J1112" s="7"/>
      <c r="K1112" s="7"/>
      <c r="L1112" s="8"/>
      <c r="M1112" s="7"/>
      <c r="N1112" s="7"/>
      <c r="O1112" s="8"/>
      <c r="P1112" s="6"/>
      <c r="Q1112" s="5"/>
      <c r="R1112" s="5"/>
      <c r="S1112" s="5"/>
      <c r="T1112" s="5"/>
      <c r="U1112" s="5"/>
      <c r="V1112" s="5"/>
      <c r="W1112" s="5"/>
      <c r="X1112" s="8"/>
      <c r="Y1112" s="9"/>
      <c r="Z1112" s="10"/>
      <c r="AA1112" s="10"/>
      <c r="AB1112" s="8"/>
      <c r="AC1112" s="10"/>
    </row>
    <row r="1113" spans="1:29" s="4" customFormat="1" x14ac:dyDescent="0.3">
      <c r="A1113" s="3"/>
      <c r="B1113" s="39"/>
      <c r="C1113" s="5"/>
      <c r="D1113" s="5"/>
      <c r="E1113" s="5"/>
      <c r="F1113" s="5"/>
      <c r="G1113" s="29"/>
      <c r="H1113"/>
      <c r="I1113" s="7"/>
      <c r="J1113" s="7"/>
      <c r="K1113" s="7"/>
      <c r="L1113" s="8"/>
      <c r="M1113" s="7"/>
      <c r="N1113" s="7"/>
      <c r="O1113" s="8"/>
      <c r="P1113" s="6"/>
      <c r="Q1113" s="5"/>
      <c r="R1113" s="5"/>
      <c r="S1113" s="5"/>
      <c r="T1113" s="5"/>
      <c r="U1113" s="5"/>
      <c r="V1113" s="5"/>
      <c r="W1113" s="5"/>
      <c r="X1113" s="8"/>
      <c r="Y1113" s="9"/>
      <c r="Z1113" s="10"/>
      <c r="AA1113" s="10"/>
      <c r="AB1113" s="8"/>
      <c r="AC1113" s="10"/>
    </row>
    <row r="1114" spans="1:29" s="4" customFormat="1" x14ac:dyDescent="0.3">
      <c r="A1114" s="3"/>
      <c r="B1114" s="39"/>
      <c r="C1114" s="5"/>
      <c r="D1114" s="5"/>
      <c r="E1114" s="5"/>
      <c r="F1114" s="5"/>
      <c r="G1114" s="29"/>
      <c r="H1114"/>
      <c r="I1114" s="7"/>
      <c r="J1114" s="7"/>
      <c r="K1114" s="7"/>
      <c r="L1114" s="8"/>
      <c r="M1114" s="7"/>
      <c r="N1114" s="7"/>
      <c r="O1114" s="8"/>
      <c r="P1114" s="6"/>
      <c r="Q1114" s="5"/>
      <c r="R1114" s="5"/>
      <c r="S1114" s="5"/>
      <c r="T1114" s="5"/>
      <c r="U1114" s="5"/>
      <c r="V1114" s="5"/>
      <c r="W1114" s="5"/>
      <c r="X1114" s="8"/>
      <c r="Y1114" s="9"/>
      <c r="Z1114" s="10"/>
      <c r="AA1114" s="10"/>
      <c r="AB1114" s="8"/>
      <c r="AC1114" s="10"/>
    </row>
    <row r="1115" spans="1:29" s="4" customFormat="1" x14ac:dyDescent="0.3">
      <c r="A1115" s="3"/>
      <c r="B1115" s="39"/>
      <c r="C1115" s="5"/>
      <c r="D1115" s="5"/>
      <c r="E1115" s="5"/>
      <c r="F1115" s="5"/>
      <c r="G1115" s="29"/>
      <c r="H1115"/>
      <c r="I1115" s="7"/>
      <c r="J1115" s="7"/>
      <c r="K1115" s="7"/>
      <c r="L1115" s="8"/>
      <c r="M1115" s="7"/>
      <c r="N1115" s="7"/>
      <c r="O1115" s="8"/>
      <c r="P1115" s="6"/>
      <c r="Q1115" s="5"/>
      <c r="R1115" s="5"/>
      <c r="S1115" s="5"/>
      <c r="T1115" s="5"/>
      <c r="U1115" s="5"/>
      <c r="V1115" s="5"/>
      <c r="W1115" s="5"/>
      <c r="X1115" s="8"/>
      <c r="Y1115" s="9"/>
      <c r="Z1115" s="10"/>
      <c r="AA1115" s="10"/>
      <c r="AB1115" s="8"/>
      <c r="AC1115" s="10"/>
    </row>
    <row r="1116" spans="1:29" s="4" customFormat="1" x14ac:dyDescent="0.3">
      <c r="A1116" s="3"/>
      <c r="B1116" s="39"/>
      <c r="C1116" s="5"/>
      <c r="D1116" s="5"/>
      <c r="E1116" s="5"/>
      <c r="F1116" s="5"/>
      <c r="G1116" s="29"/>
      <c r="H1116"/>
      <c r="I1116" s="7"/>
      <c r="J1116" s="7"/>
      <c r="K1116" s="7"/>
      <c r="L1116" s="8"/>
      <c r="M1116" s="7"/>
      <c r="N1116" s="7"/>
      <c r="O1116" s="8"/>
      <c r="P1116" s="6"/>
      <c r="Q1116" s="5"/>
      <c r="R1116" s="5"/>
      <c r="S1116" s="5"/>
      <c r="T1116" s="5"/>
      <c r="U1116" s="5"/>
      <c r="V1116" s="5"/>
      <c r="W1116" s="5"/>
      <c r="X1116" s="8"/>
      <c r="Y1116" s="9"/>
      <c r="Z1116" s="10"/>
      <c r="AA1116" s="10"/>
      <c r="AB1116" s="8"/>
      <c r="AC1116" s="10"/>
    </row>
    <row r="1117" spans="1:29" s="4" customFormat="1" x14ac:dyDescent="0.3">
      <c r="A1117" s="3"/>
      <c r="B1117" s="39"/>
      <c r="C1117" s="5"/>
      <c r="D1117" s="5"/>
      <c r="E1117" s="5"/>
      <c r="F1117" s="5"/>
      <c r="G1117" s="29"/>
      <c r="H1117"/>
      <c r="I1117" s="7"/>
      <c r="J1117" s="7"/>
      <c r="K1117" s="7"/>
      <c r="L1117" s="8"/>
      <c r="M1117" s="7"/>
      <c r="N1117" s="7"/>
      <c r="O1117" s="8"/>
      <c r="P1117" s="6"/>
      <c r="Q1117" s="5"/>
      <c r="R1117" s="5"/>
      <c r="S1117" s="5"/>
      <c r="T1117" s="5"/>
      <c r="U1117" s="5"/>
      <c r="V1117" s="5"/>
      <c r="W1117" s="5"/>
      <c r="X1117" s="8"/>
      <c r="Y1117" s="9"/>
      <c r="Z1117" s="10"/>
      <c r="AA1117" s="10"/>
      <c r="AB1117" s="8"/>
      <c r="AC1117" s="10"/>
    </row>
    <row r="1118" spans="1:29" s="4" customFormat="1" x14ac:dyDescent="0.3">
      <c r="A1118" s="3"/>
      <c r="B1118" s="39"/>
      <c r="C1118" s="5"/>
      <c r="D1118" s="5"/>
      <c r="E1118" s="5"/>
      <c r="F1118" s="5"/>
      <c r="G1118" s="29"/>
      <c r="H1118"/>
      <c r="I1118" s="7"/>
      <c r="J1118" s="7"/>
      <c r="K1118" s="7"/>
      <c r="L1118" s="8"/>
      <c r="M1118" s="7"/>
      <c r="N1118" s="7"/>
      <c r="O1118" s="8"/>
      <c r="P1118" s="6"/>
      <c r="Q1118" s="5"/>
      <c r="R1118" s="5"/>
      <c r="S1118" s="5"/>
      <c r="T1118" s="5"/>
      <c r="U1118" s="5"/>
      <c r="V1118" s="5"/>
      <c r="W1118" s="5"/>
      <c r="X1118" s="8"/>
      <c r="Y1118" s="9"/>
      <c r="Z1118" s="10"/>
      <c r="AA1118" s="10"/>
      <c r="AB1118" s="8"/>
      <c r="AC1118" s="10"/>
    </row>
    <row r="1119" spans="1:29" s="4" customFormat="1" x14ac:dyDescent="0.3">
      <c r="A1119" s="3"/>
      <c r="B1119" s="39"/>
      <c r="C1119" s="5"/>
      <c r="D1119" s="5"/>
      <c r="E1119" s="5"/>
      <c r="F1119" s="5"/>
      <c r="G1119" s="29"/>
      <c r="H1119"/>
      <c r="I1119" s="7"/>
      <c r="J1119" s="7"/>
      <c r="K1119" s="7"/>
      <c r="L1119" s="8"/>
      <c r="M1119" s="7"/>
      <c r="N1119" s="7"/>
      <c r="O1119" s="8"/>
      <c r="P1119" s="6"/>
      <c r="Q1119" s="5"/>
      <c r="R1119" s="5"/>
      <c r="S1119" s="5"/>
      <c r="T1119" s="5"/>
      <c r="U1119" s="5"/>
      <c r="V1119" s="5"/>
      <c r="W1119" s="5"/>
      <c r="X1119" s="8"/>
      <c r="Y1119" s="9"/>
      <c r="Z1119" s="10"/>
      <c r="AA1119" s="10"/>
      <c r="AB1119" s="8"/>
      <c r="AC1119" s="10"/>
    </row>
    <row r="1120" spans="1:29" s="4" customFormat="1" x14ac:dyDescent="0.3">
      <c r="A1120" s="3"/>
      <c r="B1120" s="39"/>
      <c r="C1120" s="5"/>
      <c r="D1120" s="5"/>
      <c r="E1120" s="5"/>
      <c r="F1120" s="5"/>
      <c r="G1120" s="29"/>
      <c r="H1120"/>
      <c r="I1120" s="7"/>
      <c r="J1120" s="7"/>
      <c r="K1120" s="7"/>
      <c r="L1120" s="8"/>
      <c r="M1120" s="7"/>
      <c r="N1120" s="7"/>
      <c r="O1120" s="8"/>
      <c r="P1120" s="6"/>
      <c r="Q1120" s="5"/>
      <c r="R1120" s="5"/>
      <c r="S1120" s="5"/>
      <c r="T1120" s="5"/>
      <c r="U1120" s="5"/>
      <c r="V1120" s="5"/>
      <c r="W1120" s="5"/>
      <c r="X1120" s="8"/>
      <c r="Y1120" s="9"/>
      <c r="Z1120" s="10"/>
      <c r="AA1120" s="10"/>
      <c r="AB1120" s="8"/>
      <c r="AC1120" s="10"/>
    </row>
    <row r="1121" spans="1:29" s="4" customFormat="1" x14ac:dyDescent="0.3">
      <c r="A1121" s="3"/>
      <c r="B1121" s="39"/>
      <c r="C1121" s="5"/>
      <c r="D1121" s="5"/>
      <c r="E1121" s="5"/>
      <c r="F1121" s="5"/>
      <c r="G1121" s="29"/>
      <c r="H1121"/>
      <c r="I1121" s="7"/>
      <c r="J1121" s="7"/>
      <c r="K1121" s="7"/>
      <c r="L1121" s="8"/>
      <c r="M1121" s="7"/>
      <c r="N1121" s="7"/>
      <c r="O1121" s="8"/>
      <c r="P1121" s="6"/>
      <c r="Q1121" s="5"/>
      <c r="R1121" s="5"/>
      <c r="S1121" s="5"/>
      <c r="T1121" s="5"/>
      <c r="U1121" s="5"/>
      <c r="V1121" s="5"/>
      <c r="W1121" s="5"/>
      <c r="X1121" s="8"/>
      <c r="Y1121" s="9"/>
      <c r="Z1121" s="10"/>
      <c r="AA1121" s="10"/>
      <c r="AB1121" s="8"/>
      <c r="AC1121" s="10"/>
    </row>
    <row r="1122" spans="1:29" s="4" customFormat="1" x14ac:dyDescent="0.3">
      <c r="A1122" s="3"/>
      <c r="B1122" s="39"/>
      <c r="C1122" s="5"/>
      <c r="D1122" s="5"/>
      <c r="E1122" s="5"/>
      <c r="F1122" s="5"/>
      <c r="G1122" s="29"/>
      <c r="H1122"/>
      <c r="I1122" s="7"/>
      <c r="J1122" s="7"/>
      <c r="K1122" s="7"/>
      <c r="L1122" s="8"/>
      <c r="M1122" s="7"/>
      <c r="N1122" s="7"/>
      <c r="O1122" s="8"/>
      <c r="P1122" s="6"/>
      <c r="Q1122" s="5"/>
      <c r="R1122" s="5"/>
      <c r="S1122" s="5"/>
      <c r="T1122" s="5"/>
      <c r="U1122" s="5"/>
      <c r="V1122" s="5"/>
      <c r="W1122" s="5"/>
      <c r="X1122" s="8"/>
      <c r="Y1122" s="9"/>
      <c r="Z1122" s="10"/>
      <c r="AA1122" s="10"/>
      <c r="AB1122" s="8"/>
      <c r="AC1122" s="10"/>
    </row>
    <row r="1123" spans="1:29" s="4" customFormat="1" x14ac:dyDescent="0.3">
      <c r="A1123" s="3"/>
      <c r="B1123" s="39"/>
      <c r="C1123" s="5"/>
      <c r="D1123" s="5"/>
      <c r="E1123" s="5"/>
      <c r="F1123" s="5"/>
      <c r="G1123" s="29"/>
      <c r="H1123"/>
      <c r="I1123" s="7"/>
      <c r="J1123" s="7"/>
      <c r="K1123" s="7"/>
      <c r="L1123" s="8"/>
      <c r="M1123" s="7"/>
      <c r="N1123" s="7"/>
      <c r="O1123" s="8"/>
      <c r="P1123" s="6"/>
      <c r="Q1123" s="5"/>
      <c r="R1123" s="5"/>
      <c r="S1123" s="5"/>
      <c r="T1123" s="5"/>
      <c r="U1123" s="5"/>
      <c r="V1123" s="5"/>
      <c r="W1123" s="5"/>
      <c r="X1123" s="8"/>
      <c r="Y1123" s="9"/>
      <c r="Z1123" s="10"/>
      <c r="AA1123" s="10"/>
      <c r="AB1123" s="8"/>
      <c r="AC1123" s="10"/>
    </row>
    <row r="1124" spans="1:29" s="4" customFormat="1" x14ac:dyDescent="0.3">
      <c r="A1124" s="3"/>
      <c r="B1124" s="39"/>
      <c r="C1124" s="5"/>
      <c r="D1124" s="5"/>
      <c r="E1124" s="5"/>
      <c r="F1124" s="5"/>
      <c r="G1124" s="29"/>
      <c r="H1124"/>
      <c r="I1124" s="7"/>
      <c r="J1124" s="7"/>
      <c r="K1124" s="7"/>
      <c r="L1124" s="8"/>
      <c r="M1124" s="7"/>
      <c r="N1124" s="7"/>
      <c r="O1124" s="8"/>
      <c r="P1124" s="6"/>
      <c r="Q1124" s="5"/>
      <c r="R1124" s="5"/>
      <c r="S1124" s="5"/>
      <c r="T1124" s="5"/>
      <c r="U1124" s="5"/>
      <c r="V1124" s="5"/>
      <c r="W1124" s="5"/>
      <c r="X1124" s="8"/>
      <c r="Y1124" s="9"/>
      <c r="Z1124" s="10"/>
      <c r="AA1124" s="10"/>
      <c r="AB1124" s="8"/>
      <c r="AC1124" s="10"/>
    </row>
    <row r="1125" spans="1:29" s="4" customFormat="1" x14ac:dyDescent="0.3">
      <c r="A1125" s="3"/>
      <c r="B1125" s="39"/>
      <c r="C1125" s="5"/>
      <c r="D1125" s="5"/>
      <c r="E1125" s="5"/>
      <c r="F1125" s="5"/>
      <c r="G1125" s="29"/>
      <c r="H1125"/>
      <c r="I1125" s="7"/>
      <c r="J1125" s="7"/>
      <c r="K1125" s="7"/>
      <c r="L1125" s="8"/>
      <c r="M1125" s="7"/>
      <c r="N1125" s="7"/>
      <c r="O1125" s="8"/>
      <c r="P1125" s="6"/>
      <c r="Q1125" s="5"/>
      <c r="R1125" s="5"/>
      <c r="S1125" s="5"/>
      <c r="T1125" s="5"/>
      <c r="U1125" s="5"/>
      <c r="V1125" s="5"/>
      <c r="W1125" s="5"/>
      <c r="X1125" s="8"/>
      <c r="Y1125" s="9"/>
      <c r="Z1125" s="10"/>
      <c r="AA1125" s="10"/>
      <c r="AB1125" s="8"/>
      <c r="AC1125" s="10"/>
    </row>
    <row r="1126" spans="1:29" s="4" customFormat="1" x14ac:dyDescent="0.3">
      <c r="A1126" s="3"/>
      <c r="B1126" s="39"/>
      <c r="C1126" s="5"/>
      <c r="D1126" s="5"/>
      <c r="E1126" s="5"/>
      <c r="F1126" s="5"/>
      <c r="G1126" s="29"/>
      <c r="H1126"/>
      <c r="I1126" s="7"/>
      <c r="J1126" s="7"/>
      <c r="K1126" s="7"/>
      <c r="L1126" s="8"/>
      <c r="M1126" s="7"/>
      <c r="N1126" s="7"/>
      <c r="O1126" s="8"/>
      <c r="P1126" s="6"/>
      <c r="Q1126" s="5"/>
      <c r="R1126" s="5"/>
      <c r="S1126" s="5"/>
      <c r="T1126" s="5"/>
      <c r="U1126" s="5"/>
      <c r="V1126" s="5"/>
      <c r="W1126" s="5"/>
      <c r="X1126" s="8"/>
      <c r="Y1126" s="9"/>
      <c r="Z1126" s="10"/>
      <c r="AA1126" s="10"/>
      <c r="AB1126" s="8"/>
      <c r="AC1126" s="10"/>
    </row>
    <row r="1127" spans="1:29" s="4" customFormat="1" x14ac:dyDescent="0.3">
      <c r="A1127" s="3"/>
      <c r="B1127" s="39"/>
      <c r="C1127" s="5"/>
      <c r="D1127" s="5"/>
      <c r="E1127" s="5"/>
      <c r="F1127" s="5"/>
      <c r="G1127" s="29"/>
      <c r="H1127"/>
      <c r="I1127" s="7"/>
      <c r="J1127" s="7"/>
      <c r="K1127" s="7"/>
      <c r="L1127" s="8"/>
      <c r="M1127" s="7"/>
      <c r="N1127" s="7"/>
      <c r="O1127" s="8"/>
      <c r="P1127" s="6"/>
      <c r="Q1127" s="5"/>
      <c r="R1127" s="5"/>
      <c r="S1127" s="5"/>
      <c r="T1127" s="5"/>
      <c r="U1127" s="5"/>
      <c r="V1127" s="5"/>
      <c r="W1127" s="5"/>
      <c r="X1127" s="8"/>
      <c r="Y1127" s="9"/>
      <c r="Z1127" s="10"/>
      <c r="AA1127" s="10"/>
      <c r="AB1127" s="8"/>
      <c r="AC1127" s="10"/>
    </row>
    <row r="1128" spans="1:29" s="4" customFormat="1" x14ac:dyDescent="0.3">
      <c r="A1128" s="3"/>
      <c r="B1128" s="39"/>
      <c r="C1128" s="5"/>
      <c r="D1128" s="5"/>
      <c r="E1128" s="5"/>
      <c r="F1128" s="5"/>
      <c r="G1128" s="29"/>
      <c r="H1128"/>
      <c r="I1128" s="7"/>
      <c r="J1128" s="7"/>
      <c r="K1128" s="7"/>
      <c r="L1128" s="8"/>
      <c r="M1128" s="7"/>
      <c r="N1128" s="7"/>
      <c r="O1128" s="8"/>
      <c r="P1128" s="6"/>
      <c r="Q1128" s="5"/>
      <c r="R1128" s="5"/>
      <c r="S1128" s="5"/>
      <c r="T1128" s="5"/>
      <c r="U1128" s="5"/>
      <c r="V1128" s="5"/>
      <c r="W1128" s="5"/>
      <c r="X1128" s="8"/>
      <c r="Y1128" s="9"/>
      <c r="Z1128" s="10"/>
      <c r="AA1128" s="10"/>
      <c r="AB1128" s="8"/>
      <c r="AC1128" s="10"/>
    </row>
    <row r="1129" spans="1:29" s="4" customFormat="1" x14ac:dyDescent="0.3">
      <c r="A1129" s="3"/>
      <c r="B1129" s="39"/>
      <c r="C1129" s="5"/>
      <c r="D1129" s="5"/>
      <c r="E1129" s="5"/>
      <c r="F1129" s="5"/>
      <c r="G1129" s="29"/>
      <c r="H1129"/>
      <c r="I1129" s="7"/>
      <c r="J1129" s="7"/>
      <c r="K1129" s="7"/>
      <c r="L1129" s="8"/>
      <c r="M1129" s="7"/>
      <c r="N1129" s="7"/>
      <c r="O1129" s="8"/>
      <c r="P1129" s="6"/>
      <c r="Q1129" s="5"/>
      <c r="R1129" s="5"/>
      <c r="S1129" s="5"/>
      <c r="T1129" s="5"/>
      <c r="U1129" s="5"/>
      <c r="V1129" s="5"/>
      <c r="W1129" s="5"/>
      <c r="X1129" s="8"/>
      <c r="Y1129" s="9"/>
      <c r="Z1129" s="10"/>
      <c r="AA1129" s="10"/>
      <c r="AB1129" s="8"/>
      <c r="AC1129" s="10"/>
    </row>
    <row r="1130" spans="1:29" s="4" customFormat="1" x14ac:dyDescent="0.3">
      <c r="A1130" s="3"/>
      <c r="B1130" s="39"/>
      <c r="C1130" s="5"/>
      <c r="D1130" s="5"/>
      <c r="E1130" s="5"/>
      <c r="F1130" s="5"/>
      <c r="G1130" s="29"/>
      <c r="H1130"/>
      <c r="I1130" s="7"/>
      <c r="J1130" s="7"/>
      <c r="K1130" s="7"/>
      <c r="L1130" s="8"/>
      <c r="M1130" s="7"/>
      <c r="N1130" s="7"/>
      <c r="O1130" s="8"/>
      <c r="P1130" s="6"/>
      <c r="Q1130" s="5"/>
      <c r="R1130" s="5"/>
      <c r="S1130" s="5"/>
      <c r="T1130" s="5"/>
      <c r="U1130" s="5"/>
      <c r="V1130" s="5"/>
      <c r="W1130" s="5"/>
      <c r="X1130" s="8"/>
      <c r="Y1130" s="9"/>
      <c r="Z1130" s="10"/>
      <c r="AA1130" s="10"/>
      <c r="AB1130" s="8"/>
      <c r="AC1130" s="10"/>
    </row>
    <row r="1131" spans="1:29" s="4" customFormat="1" x14ac:dyDescent="0.3">
      <c r="A1131" s="3"/>
      <c r="B1131" s="39"/>
      <c r="C1131" s="5"/>
      <c r="D1131" s="5"/>
      <c r="E1131" s="5"/>
      <c r="F1131" s="5"/>
      <c r="G1131" s="29"/>
      <c r="H1131"/>
      <c r="I1131" s="7"/>
      <c r="J1131" s="7"/>
      <c r="K1131" s="7"/>
      <c r="L1131" s="8"/>
      <c r="M1131" s="7"/>
      <c r="N1131" s="7"/>
      <c r="O1131" s="8"/>
      <c r="P1131" s="6"/>
      <c r="Q1131" s="5"/>
      <c r="R1131" s="5"/>
      <c r="S1131" s="5"/>
      <c r="T1131" s="5"/>
      <c r="U1131" s="5"/>
      <c r="V1131" s="5"/>
      <c r="W1131" s="5"/>
      <c r="X1131" s="8"/>
      <c r="Y1131" s="9"/>
      <c r="Z1131" s="10"/>
      <c r="AA1131" s="10"/>
      <c r="AB1131" s="8"/>
      <c r="AC1131" s="10"/>
    </row>
    <row r="1132" spans="1:29" s="4" customFormat="1" x14ac:dyDescent="0.3">
      <c r="A1132" s="3"/>
      <c r="B1132" s="39"/>
      <c r="C1132" s="5"/>
      <c r="D1132" s="5"/>
      <c r="E1132" s="5"/>
      <c r="F1132" s="5"/>
      <c r="G1132" s="29"/>
      <c r="H1132"/>
      <c r="I1132" s="7"/>
      <c r="J1132" s="7"/>
      <c r="K1132" s="7"/>
      <c r="L1132" s="8"/>
      <c r="M1132" s="7"/>
      <c r="N1132" s="7"/>
      <c r="O1132" s="8"/>
      <c r="P1132" s="6"/>
      <c r="Q1132" s="5"/>
      <c r="R1132" s="5"/>
      <c r="S1132" s="5"/>
      <c r="T1132" s="5"/>
      <c r="U1132" s="5"/>
      <c r="V1132" s="5"/>
      <c r="W1132" s="5"/>
      <c r="X1132" s="8"/>
      <c r="Y1132" s="9"/>
      <c r="Z1132" s="10"/>
      <c r="AA1132" s="10"/>
      <c r="AB1132" s="8"/>
      <c r="AC1132" s="10"/>
    </row>
    <row r="1133" spans="1:29" s="4" customFormat="1" x14ac:dyDescent="0.3">
      <c r="A1133" s="3"/>
      <c r="B1133" s="39"/>
      <c r="C1133" s="5"/>
      <c r="D1133" s="5"/>
      <c r="E1133" s="5"/>
      <c r="F1133" s="5"/>
      <c r="G1133" s="29"/>
      <c r="H1133"/>
      <c r="I1133" s="7"/>
      <c r="J1133" s="7"/>
      <c r="K1133" s="7"/>
      <c r="L1133" s="8"/>
      <c r="M1133" s="7"/>
      <c r="N1133" s="7"/>
      <c r="O1133" s="8"/>
      <c r="P1133" s="6"/>
      <c r="Q1133" s="5"/>
      <c r="R1133" s="5"/>
      <c r="S1133" s="5"/>
      <c r="T1133" s="5"/>
      <c r="U1133" s="5"/>
      <c r="V1133" s="5"/>
      <c r="W1133" s="5"/>
      <c r="X1133" s="8"/>
      <c r="Y1133" s="9"/>
      <c r="Z1133" s="10"/>
      <c r="AA1133" s="10"/>
      <c r="AB1133" s="8"/>
      <c r="AC1133" s="10"/>
    </row>
    <row r="1134" spans="1:29" s="4" customFormat="1" x14ac:dyDescent="0.3">
      <c r="A1134" s="3"/>
      <c r="B1134" s="39"/>
      <c r="C1134" s="5"/>
      <c r="D1134" s="5"/>
      <c r="E1134" s="5"/>
      <c r="F1134" s="5"/>
      <c r="G1134" s="29"/>
      <c r="H1134"/>
      <c r="I1134" s="7"/>
      <c r="J1134" s="7"/>
      <c r="K1134" s="7"/>
      <c r="L1134" s="8"/>
      <c r="M1134" s="7"/>
      <c r="N1134" s="7"/>
      <c r="O1134" s="8"/>
      <c r="P1134" s="6"/>
      <c r="Q1134" s="5"/>
      <c r="R1134" s="5"/>
      <c r="S1134" s="5"/>
      <c r="T1134" s="5"/>
      <c r="U1134" s="5"/>
      <c r="V1134" s="5"/>
      <c r="W1134" s="5"/>
      <c r="X1134" s="8"/>
      <c r="Y1134" s="9"/>
      <c r="Z1134" s="10"/>
      <c r="AA1134" s="10"/>
      <c r="AB1134" s="8"/>
      <c r="AC1134" s="10"/>
    </row>
    <row r="1135" spans="1:29" s="4" customFormat="1" x14ac:dyDescent="0.3">
      <c r="A1135" s="3"/>
      <c r="B1135" s="39"/>
      <c r="C1135" s="5"/>
      <c r="D1135" s="5"/>
      <c r="E1135" s="5"/>
      <c r="F1135" s="5"/>
      <c r="G1135" s="29"/>
      <c r="H1135"/>
      <c r="I1135" s="7"/>
      <c r="J1135" s="7"/>
      <c r="K1135" s="7"/>
      <c r="L1135" s="8"/>
      <c r="M1135" s="7"/>
      <c r="N1135" s="7"/>
      <c r="O1135" s="8"/>
      <c r="P1135" s="6"/>
      <c r="Q1135" s="5"/>
      <c r="R1135" s="5"/>
      <c r="S1135" s="5"/>
      <c r="T1135" s="5"/>
      <c r="U1135" s="5"/>
      <c r="V1135" s="5"/>
      <c r="W1135" s="5"/>
      <c r="X1135" s="8"/>
      <c r="Y1135" s="9"/>
      <c r="Z1135" s="10"/>
      <c r="AA1135" s="10"/>
      <c r="AB1135" s="8"/>
      <c r="AC1135" s="10"/>
    </row>
    <row r="1136" spans="1:29" s="4" customFormat="1" x14ac:dyDescent="0.3">
      <c r="A1136" s="3"/>
      <c r="B1136" s="39"/>
      <c r="C1136" s="5"/>
      <c r="D1136" s="5"/>
      <c r="E1136" s="5"/>
      <c r="F1136" s="5"/>
      <c r="G1136" s="29"/>
      <c r="H1136"/>
      <c r="I1136" s="7"/>
      <c r="J1136" s="7"/>
      <c r="K1136" s="7"/>
      <c r="L1136" s="8"/>
      <c r="M1136" s="7"/>
      <c r="N1136" s="7"/>
      <c r="O1136" s="8"/>
      <c r="P1136" s="6"/>
      <c r="Q1136" s="5"/>
      <c r="R1136" s="5"/>
      <c r="S1136" s="5"/>
      <c r="T1136" s="5"/>
      <c r="U1136" s="5"/>
      <c r="V1136" s="5"/>
      <c r="W1136" s="5"/>
      <c r="X1136" s="8"/>
      <c r="Y1136" s="9"/>
      <c r="Z1136" s="10"/>
      <c r="AA1136" s="10"/>
      <c r="AB1136" s="8"/>
      <c r="AC1136" s="10"/>
    </row>
    <row r="1137" spans="1:29" s="4" customFormat="1" x14ac:dyDescent="0.3">
      <c r="A1137" s="3"/>
      <c r="B1137" s="39"/>
      <c r="C1137" s="5"/>
      <c r="D1137" s="5"/>
      <c r="E1137" s="5"/>
      <c r="F1137" s="5"/>
      <c r="G1137" s="29"/>
      <c r="H1137"/>
      <c r="I1137" s="7"/>
      <c r="J1137" s="7"/>
      <c r="K1137" s="7"/>
      <c r="L1137" s="8"/>
      <c r="M1137" s="7"/>
      <c r="N1137" s="7"/>
      <c r="O1137" s="8"/>
      <c r="P1137" s="6"/>
      <c r="Q1137" s="5"/>
      <c r="R1137" s="5"/>
      <c r="S1137" s="5"/>
      <c r="T1137" s="5"/>
      <c r="U1137" s="5"/>
      <c r="V1137" s="5"/>
      <c r="W1137" s="5"/>
      <c r="X1137" s="8"/>
      <c r="Y1137" s="9"/>
      <c r="Z1137" s="10"/>
      <c r="AA1137" s="10"/>
      <c r="AB1137" s="8"/>
      <c r="AC1137" s="10"/>
    </row>
    <row r="1138" spans="1:29" s="4" customFormat="1" x14ac:dyDescent="0.3">
      <c r="A1138" s="3"/>
      <c r="B1138" s="39"/>
      <c r="C1138" s="5"/>
      <c r="D1138" s="5"/>
      <c r="E1138" s="5"/>
      <c r="F1138" s="5"/>
      <c r="G1138" s="29"/>
      <c r="H1138"/>
      <c r="I1138" s="7"/>
      <c r="J1138" s="7"/>
      <c r="K1138" s="7"/>
      <c r="L1138" s="8"/>
      <c r="M1138" s="7"/>
      <c r="N1138" s="7"/>
      <c r="O1138" s="8"/>
      <c r="P1138" s="6"/>
      <c r="Q1138" s="5"/>
      <c r="R1138" s="5"/>
      <c r="S1138" s="5"/>
      <c r="T1138" s="5"/>
      <c r="U1138" s="5"/>
      <c r="V1138" s="5"/>
      <c r="W1138" s="5"/>
      <c r="X1138" s="8"/>
      <c r="Y1138" s="9"/>
      <c r="Z1138" s="10"/>
      <c r="AA1138" s="10"/>
      <c r="AB1138" s="8"/>
      <c r="AC1138" s="10"/>
    </row>
    <row r="1139" spans="1:29" s="4" customFormat="1" x14ac:dyDescent="0.3">
      <c r="A1139" s="3"/>
      <c r="B1139" s="39"/>
      <c r="C1139" s="5"/>
      <c r="D1139" s="5"/>
      <c r="E1139" s="5"/>
      <c r="F1139" s="5"/>
      <c r="G1139" s="29"/>
      <c r="H1139"/>
      <c r="I1139" s="7"/>
      <c r="J1139" s="7"/>
      <c r="K1139" s="7"/>
      <c r="L1139" s="8"/>
      <c r="M1139" s="7"/>
      <c r="N1139" s="7"/>
      <c r="O1139" s="8"/>
      <c r="P1139" s="6"/>
      <c r="Q1139" s="5"/>
      <c r="R1139" s="5"/>
      <c r="S1139" s="5"/>
      <c r="T1139" s="5"/>
      <c r="U1139" s="5"/>
      <c r="V1139" s="5"/>
      <c r="W1139" s="5"/>
      <c r="X1139" s="8"/>
      <c r="Y1139" s="9"/>
      <c r="Z1139" s="10"/>
      <c r="AA1139" s="10"/>
      <c r="AB1139" s="8"/>
      <c r="AC1139" s="10"/>
    </row>
    <row r="1140" spans="1:29" s="4" customFormat="1" x14ac:dyDescent="0.3">
      <c r="A1140" s="3"/>
      <c r="B1140" s="39"/>
      <c r="C1140" s="5"/>
      <c r="D1140" s="5"/>
      <c r="E1140" s="5"/>
      <c r="F1140" s="5"/>
      <c r="G1140" s="29"/>
      <c r="H1140"/>
      <c r="I1140" s="7"/>
      <c r="J1140" s="7"/>
      <c r="K1140" s="7"/>
      <c r="L1140" s="8"/>
      <c r="M1140" s="7"/>
      <c r="N1140" s="7"/>
      <c r="O1140" s="8"/>
      <c r="P1140" s="6"/>
      <c r="Q1140" s="5"/>
      <c r="R1140" s="5"/>
      <c r="S1140" s="5"/>
      <c r="T1140" s="5"/>
      <c r="U1140" s="5"/>
      <c r="V1140" s="5"/>
      <c r="W1140" s="5"/>
      <c r="X1140" s="8"/>
      <c r="Y1140" s="9"/>
      <c r="Z1140" s="10"/>
      <c r="AA1140" s="10"/>
      <c r="AB1140" s="8"/>
      <c r="AC1140" s="10"/>
    </row>
    <row r="1141" spans="1:29" s="4" customFormat="1" x14ac:dyDescent="0.3">
      <c r="A1141" s="3"/>
      <c r="B1141" s="39"/>
      <c r="C1141" s="5"/>
      <c r="D1141" s="5"/>
      <c r="E1141" s="5"/>
      <c r="F1141" s="5"/>
      <c r="G1141" s="29"/>
      <c r="H1141"/>
      <c r="I1141" s="7"/>
      <c r="J1141" s="7"/>
      <c r="K1141" s="7"/>
      <c r="L1141" s="8"/>
      <c r="M1141" s="7"/>
      <c r="N1141" s="7"/>
      <c r="O1141" s="8"/>
      <c r="P1141" s="6"/>
      <c r="Q1141" s="5"/>
      <c r="R1141" s="5"/>
      <c r="S1141" s="5"/>
      <c r="T1141" s="5"/>
      <c r="U1141" s="5"/>
      <c r="V1141" s="5"/>
      <c r="W1141" s="5"/>
      <c r="X1141" s="8"/>
      <c r="Y1141" s="9"/>
      <c r="Z1141" s="10"/>
      <c r="AA1141" s="10"/>
      <c r="AB1141" s="8"/>
      <c r="AC1141" s="10"/>
    </row>
    <row r="1142" spans="1:29" s="4" customFormat="1" x14ac:dyDescent="0.3">
      <c r="A1142" s="3"/>
      <c r="B1142" s="39"/>
      <c r="C1142" s="5"/>
      <c r="D1142" s="5"/>
      <c r="E1142" s="5"/>
      <c r="F1142" s="5"/>
      <c r="G1142" s="29"/>
      <c r="H1142"/>
      <c r="I1142" s="7"/>
      <c r="J1142" s="7"/>
      <c r="K1142" s="7"/>
      <c r="L1142" s="8"/>
      <c r="M1142" s="7"/>
      <c r="N1142" s="7"/>
      <c r="O1142" s="8"/>
      <c r="P1142" s="6"/>
      <c r="Q1142" s="5"/>
      <c r="R1142" s="5"/>
      <c r="S1142" s="5"/>
      <c r="T1142" s="5"/>
      <c r="U1142" s="5"/>
      <c r="V1142" s="5"/>
      <c r="W1142" s="5"/>
      <c r="X1142" s="8"/>
      <c r="Y1142" s="9"/>
      <c r="Z1142" s="10"/>
      <c r="AA1142" s="10"/>
      <c r="AB1142" s="8"/>
      <c r="AC1142" s="10"/>
    </row>
    <row r="1143" spans="1:29" s="4" customFormat="1" x14ac:dyDescent="0.3">
      <c r="A1143" s="3"/>
      <c r="B1143" s="39"/>
      <c r="C1143" s="5"/>
      <c r="D1143" s="5"/>
      <c r="E1143" s="5"/>
      <c r="F1143" s="5"/>
      <c r="G1143" s="29"/>
      <c r="H1143"/>
      <c r="I1143" s="7"/>
      <c r="J1143" s="7"/>
      <c r="K1143" s="7"/>
      <c r="L1143" s="8"/>
      <c r="M1143" s="7"/>
      <c r="N1143" s="7"/>
      <c r="O1143" s="8"/>
      <c r="P1143" s="6"/>
      <c r="Q1143" s="5"/>
      <c r="R1143" s="5"/>
      <c r="S1143" s="5"/>
      <c r="T1143" s="5"/>
      <c r="U1143" s="5"/>
      <c r="V1143" s="5"/>
      <c r="W1143" s="5"/>
      <c r="X1143" s="8"/>
      <c r="Y1143" s="9"/>
      <c r="Z1143" s="10"/>
      <c r="AA1143" s="10"/>
      <c r="AB1143" s="8"/>
      <c r="AC1143" s="10"/>
    </row>
    <row r="1144" spans="1:29" s="4" customFormat="1" x14ac:dyDescent="0.3">
      <c r="A1144" s="3"/>
      <c r="B1144" s="39"/>
      <c r="C1144" s="5"/>
      <c r="D1144" s="5"/>
      <c r="E1144" s="5"/>
      <c r="F1144" s="5"/>
      <c r="G1144" s="29"/>
      <c r="H1144"/>
      <c r="I1144" s="7"/>
      <c r="J1144" s="7"/>
      <c r="K1144" s="7"/>
      <c r="L1144" s="8"/>
      <c r="M1144" s="7"/>
      <c r="N1144" s="7"/>
      <c r="O1144" s="8"/>
      <c r="P1144" s="6"/>
      <c r="Q1144" s="5"/>
      <c r="R1144" s="5"/>
      <c r="S1144" s="5"/>
      <c r="T1144" s="5"/>
      <c r="U1144" s="5"/>
      <c r="V1144" s="5"/>
      <c r="W1144" s="5"/>
      <c r="X1144" s="8"/>
      <c r="Y1144" s="9"/>
      <c r="Z1144" s="10"/>
      <c r="AA1144" s="10"/>
      <c r="AB1144" s="8"/>
      <c r="AC1144" s="10"/>
    </row>
    <row r="1145" spans="1:29" s="4" customFormat="1" x14ac:dyDescent="0.3">
      <c r="A1145" s="3"/>
      <c r="B1145" s="39"/>
      <c r="C1145" s="5"/>
      <c r="D1145" s="5"/>
      <c r="E1145" s="5"/>
      <c r="F1145" s="5"/>
      <c r="G1145" s="29"/>
      <c r="H1145"/>
      <c r="I1145" s="7"/>
      <c r="J1145" s="7"/>
      <c r="K1145" s="7"/>
      <c r="L1145" s="8"/>
      <c r="M1145" s="7"/>
      <c r="N1145" s="7"/>
      <c r="O1145" s="8"/>
      <c r="P1145" s="6"/>
      <c r="Q1145" s="5"/>
      <c r="R1145" s="5"/>
      <c r="S1145" s="5"/>
      <c r="T1145" s="5"/>
      <c r="U1145" s="5"/>
      <c r="V1145" s="5"/>
      <c r="W1145" s="5"/>
      <c r="X1145" s="8"/>
      <c r="Y1145" s="9"/>
      <c r="Z1145" s="10"/>
      <c r="AA1145" s="10"/>
      <c r="AB1145" s="8"/>
      <c r="AC1145" s="10"/>
    </row>
    <row r="1146" spans="1:29" s="4" customFormat="1" x14ac:dyDescent="0.3">
      <c r="A1146" s="3"/>
      <c r="B1146" s="39"/>
      <c r="C1146" s="5"/>
      <c r="D1146" s="5"/>
      <c r="E1146" s="5"/>
      <c r="F1146" s="5"/>
      <c r="G1146" s="29"/>
      <c r="H1146"/>
      <c r="I1146" s="7"/>
      <c r="J1146" s="7"/>
      <c r="K1146" s="7"/>
      <c r="L1146" s="8"/>
      <c r="M1146" s="7"/>
      <c r="N1146" s="7"/>
      <c r="O1146" s="8"/>
      <c r="P1146" s="6"/>
      <c r="Q1146" s="5"/>
      <c r="R1146" s="5"/>
      <c r="S1146" s="5"/>
      <c r="T1146" s="5"/>
      <c r="U1146" s="5"/>
      <c r="V1146" s="5"/>
      <c r="W1146" s="5"/>
      <c r="X1146" s="8"/>
      <c r="Y1146" s="9"/>
      <c r="Z1146" s="10"/>
      <c r="AA1146" s="10"/>
      <c r="AB1146" s="8"/>
      <c r="AC1146" s="10"/>
    </row>
    <row r="1147" spans="1:29" s="4" customFormat="1" x14ac:dyDescent="0.3">
      <c r="A1147" s="3"/>
      <c r="B1147" s="39"/>
      <c r="C1147" s="5"/>
      <c r="D1147" s="5"/>
      <c r="E1147" s="5"/>
      <c r="F1147" s="5"/>
      <c r="G1147" s="29"/>
      <c r="H1147"/>
      <c r="I1147" s="7"/>
      <c r="J1147" s="7"/>
      <c r="K1147" s="7"/>
      <c r="L1147" s="8"/>
      <c r="M1147" s="7"/>
      <c r="N1147" s="7"/>
      <c r="O1147" s="8"/>
      <c r="P1147" s="6"/>
      <c r="Q1147" s="5"/>
      <c r="R1147" s="5"/>
      <c r="S1147" s="5"/>
      <c r="T1147" s="5"/>
      <c r="U1147" s="5"/>
      <c r="V1147" s="5"/>
      <c r="W1147" s="5"/>
      <c r="X1147" s="8"/>
      <c r="Y1147" s="9"/>
      <c r="Z1147" s="10"/>
      <c r="AA1147" s="10"/>
      <c r="AB1147" s="8"/>
      <c r="AC1147" s="10"/>
    </row>
    <row r="1148" spans="1:29" s="4" customFormat="1" x14ac:dyDescent="0.3">
      <c r="A1148" s="3"/>
      <c r="B1148" s="39"/>
      <c r="C1148" s="5"/>
      <c r="D1148" s="5"/>
      <c r="E1148" s="5"/>
      <c r="F1148" s="5"/>
      <c r="G1148" s="29"/>
      <c r="H1148"/>
      <c r="I1148" s="7"/>
      <c r="J1148" s="7"/>
      <c r="K1148" s="7"/>
      <c r="L1148" s="8"/>
      <c r="M1148" s="7"/>
      <c r="N1148" s="7"/>
      <c r="O1148" s="8"/>
      <c r="P1148" s="6"/>
      <c r="Q1148" s="5"/>
      <c r="R1148" s="5"/>
      <c r="S1148" s="5"/>
      <c r="T1148" s="5"/>
      <c r="U1148" s="5"/>
      <c r="V1148" s="5"/>
      <c r="W1148" s="5"/>
      <c r="X1148" s="8"/>
      <c r="Y1148" s="9"/>
      <c r="Z1148" s="10"/>
      <c r="AA1148" s="10"/>
      <c r="AB1148" s="8"/>
      <c r="AC1148" s="10"/>
    </row>
    <row r="1149" spans="1:29" s="4" customFormat="1" x14ac:dyDescent="0.3">
      <c r="A1149" s="3"/>
      <c r="B1149" s="39"/>
      <c r="C1149" s="5"/>
      <c r="D1149" s="5"/>
      <c r="E1149" s="5"/>
      <c r="F1149" s="5"/>
      <c r="G1149" s="29"/>
      <c r="H1149"/>
      <c r="I1149" s="7"/>
      <c r="J1149" s="7"/>
      <c r="K1149" s="7"/>
      <c r="L1149" s="8"/>
      <c r="M1149" s="7"/>
      <c r="N1149" s="7"/>
      <c r="O1149" s="8"/>
      <c r="P1149" s="6"/>
      <c r="Q1149" s="5"/>
      <c r="R1149" s="5"/>
      <c r="S1149" s="5"/>
      <c r="T1149" s="5"/>
      <c r="U1149" s="5"/>
      <c r="V1149" s="5"/>
      <c r="W1149" s="5"/>
      <c r="X1149" s="8"/>
      <c r="Y1149" s="9"/>
      <c r="Z1149" s="10"/>
      <c r="AA1149" s="10"/>
      <c r="AB1149" s="8"/>
      <c r="AC1149" s="10"/>
    </row>
    <row r="1150" spans="1:29" s="4" customFormat="1" x14ac:dyDescent="0.3">
      <c r="A1150" s="3"/>
      <c r="B1150" s="39"/>
      <c r="C1150" s="5"/>
      <c r="D1150" s="5"/>
      <c r="E1150" s="5"/>
      <c r="F1150" s="5"/>
      <c r="G1150" s="29"/>
      <c r="H1150"/>
      <c r="I1150" s="7"/>
      <c r="J1150" s="7"/>
      <c r="K1150" s="7"/>
      <c r="L1150" s="8"/>
      <c r="M1150" s="7"/>
      <c r="N1150" s="7"/>
      <c r="O1150" s="8"/>
      <c r="P1150" s="6"/>
      <c r="Q1150" s="5"/>
      <c r="R1150" s="5"/>
      <c r="S1150" s="5"/>
      <c r="T1150" s="5"/>
      <c r="U1150" s="5"/>
      <c r="V1150" s="5"/>
      <c r="W1150" s="5"/>
      <c r="X1150" s="8"/>
      <c r="Y1150" s="9"/>
      <c r="Z1150" s="10"/>
      <c r="AA1150" s="10"/>
      <c r="AB1150" s="8"/>
      <c r="AC1150" s="10"/>
    </row>
    <row r="1151" spans="1:29" s="4" customFormat="1" x14ac:dyDescent="0.3">
      <c r="A1151" s="3"/>
      <c r="B1151" s="39"/>
      <c r="C1151" s="5"/>
      <c r="D1151" s="5"/>
      <c r="E1151" s="5"/>
      <c r="F1151" s="5"/>
      <c r="G1151" s="29"/>
      <c r="H1151"/>
      <c r="I1151" s="7"/>
      <c r="J1151" s="7"/>
      <c r="K1151" s="7"/>
      <c r="L1151" s="8"/>
      <c r="M1151" s="7"/>
      <c r="N1151" s="7"/>
      <c r="O1151" s="8"/>
      <c r="P1151" s="6"/>
      <c r="Q1151" s="5"/>
      <c r="R1151" s="5"/>
      <c r="S1151" s="5"/>
      <c r="T1151" s="5"/>
      <c r="U1151" s="5"/>
      <c r="V1151" s="5"/>
      <c r="W1151" s="5"/>
      <c r="X1151" s="8"/>
      <c r="Y1151" s="9"/>
      <c r="Z1151" s="10"/>
      <c r="AA1151" s="10"/>
      <c r="AB1151" s="8"/>
      <c r="AC1151" s="10"/>
    </row>
    <row r="1152" spans="1:29" s="4" customFormat="1" x14ac:dyDescent="0.3">
      <c r="A1152" s="3"/>
      <c r="B1152" s="39"/>
      <c r="C1152" s="5"/>
      <c r="D1152" s="5"/>
      <c r="E1152" s="5"/>
      <c r="F1152" s="5"/>
      <c r="G1152" s="29"/>
      <c r="H1152"/>
      <c r="I1152" s="7"/>
      <c r="J1152" s="7"/>
      <c r="K1152" s="7"/>
      <c r="L1152" s="8"/>
      <c r="M1152" s="7"/>
      <c r="N1152" s="7"/>
      <c r="O1152" s="8"/>
      <c r="P1152" s="6"/>
      <c r="Q1152" s="5"/>
      <c r="R1152" s="5"/>
      <c r="S1152" s="5"/>
      <c r="T1152" s="5"/>
      <c r="U1152" s="5"/>
      <c r="V1152" s="5"/>
      <c r="W1152" s="5"/>
      <c r="X1152" s="8"/>
      <c r="Y1152" s="9"/>
      <c r="Z1152" s="10"/>
      <c r="AA1152" s="10"/>
      <c r="AB1152" s="8"/>
      <c r="AC1152" s="10"/>
    </row>
    <row r="1153" spans="1:29" s="4" customFormat="1" x14ac:dyDescent="0.3">
      <c r="A1153" s="3"/>
      <c r="B1153" s="39"/>
      <c r="C1153" s="5"/>
      <c r="D1153" s="5"/>
      <c r="E1153" s="5"/>
      <c r="F1153" s="5"/>
      <c r="G1153" s="29"/>
      <c r="H1153"/>
      <c r="I1153" s="7"/>
      <c r="J1153" s="7"/>
      <c r="K1153" s="7"/>
      <c r="L1153" s="8"/>
      <c r="M1153" s="7"/>
      <c r="N1153" s="7"/>
      <c r="O1153" s="8"/>
      <c r="P1153" s="6"/>
      <c r="Q1153" s="5"/>
      <c r="R1153" s="5"/>
      <c r="S1153" s="5"/>
      <c r="T1153" s="5"/>
      <c r="U1153" s="5"/>
      <c r="V1153" s="5"/>
      <c r="W1153" s="5"/>
      <c r="X1153" s="8"/>
      <c r="Y1153" s="9"/>
      <c r="Z1153" s="10"/>
      <c r="AA1153" s="10"/>
      <c r="AB1153" s="8"/>
      <c r="AC1153" s="10"/>
    </row>
    <row r="1154" spans="1:29" s="4" customFormat="1" x14ac:dyDescent="0.3">
      <c r="A1154" s="3"/>
      <c r="B1154" s="39"/>
      <c r="C1154" s="5"/>
      <c r="D1154" s="5"/>
      <c r="E1154" s="5"/>
      <c r="F1154" s="5"/>
      <c r="G1154" s="29"/>
      <c r="H1154"/>
      <c r="I1154" s="7"/>
      <c r="J1154" s="7"/>
      <c r="K1154" s="7"/>
      <c r="L1154" s="8"/>
      <c r="M1154" s="7"/>
      <c r="N1154" s="7"/>
      <c r="O1154" s="8"/>
      <c r="P1154" s="6"/>
      <c r="Q1154" s="5"/>
      <c r="R1154" s="5"/>
      <c r="S1154" s="5"/>
      <c r="T1154" s="5"/>
      <c r="U1154" s="5"/>
      <c r="V1154" s="5"/>
      <c r="W1154" s="5"/>
      <c r="X1154" s="8"/>
      <c r="Y1154" s="9"/>
      <c r="Z1154" s="10"/>
      <c r="AA1154" s="10"/>
      <c r="AB1154" s="8"/>
      <c r="AC1154" s="10"/>
    </row>
    <row r="1155" spans="1:29" s="4" customFormat="1" x14ac:dyDescent="0.3">
      <c r="A1155" s="3"/>
      <c r="B1155" s="39"/>
      <c r="C1155" s="5"/>
      <c r="D1155" s="5"/>
      <c r="E1155" s="5"/>
      <c r="F1155" s="5"/>
      <c r="G1155" s="29"/>
      <c r="H1155"/>
      <c r="I1155" s="7"/>
      <c r="J1155" s="7"/>
      <c r="K1155" s="7"/>
      <c r="L1155" s="8"/>
      <c r="M1155" s="7"/>
      <c r="N1155" s="7"/>
      <c r="O1155" s="8"/>
      <c r="P1155" s="6"/>
      <c r="Q1155" s="5"/>
      <c r="R1155" s="5"/>
      <c r="S1155" s="5"/>
      <c r="T1155" s="5"/>
      <c r="U1155" s="5"/>
      <c r="V1155" s="5"/>
      <c r="W1155" s="5"/>
      <c r="X1155" s="8"/>
      <c r="Y1155" s="9"/>
      <c r="Z1155" s="10"/>
      <c r="AA1155" s="10"/>
      <c r="AB1155" s="8"/>
      <c r="AC1155" s="10"/>
    </row>
    <row r="1156" spans="1:29" s="4" customFormat="1" x14ac:dyDescent="0.3">
      <c r="A1156" s="3"/>
      <c r="B1156" s="39"/>
      <c r="C1156" s="5"/>
      <c r="D1156" s="5"/>
      <c r="E1156" s="5"/>
      <c r="F1156" s="5"/>
      <c r="G1156" s="29"/>
      <c r="H1156"/>
      <c r="I1156" s="7"/>
      <c r="J1156" s="7"/>
      <c r="K1156" s="7"/>
      <c r="L1156" s="8"/>
      <c r="M1156" s="7"/>
      <c r="N1156" s="7"/>
      <c r="O1156" s="8"/>
      <c r="P1156" s="6"/>
      <c r="Q1156" s="5"/>
      <c r="R1156" s="5"/>
      <c r="S1156" s="5"/>
      <c r="T1156" s="5"/>
      <c r="U1156" s="5"/>
      <c r="V1156" s="5"/>
      <c r="W1156" s="5"/>
      <c r="X1156" s="8"/>
      <c r="Y1156" s="9"/>
      <c r="Z1156" s="10"/>
      <c r="AA1156" s="10"/>
      <c r="AB1156" s="8"/>
      <c r="AC1156" s="10"/>
    </row>
    <row r="1157" spans="1:29" s="4" customFormat="1" x14ac:dyDescent="0.3">
      <c r="A1157" s="3"/>
      <c r="B1157" s="39"/>
      <c r="C1157" s="5"/>
      <c r="D1157" s="5"/>
      <c r="E1157" s="5"/>
      <c r="F1157" s="5"/>
      <c r="G1157" s="29"/>
      <c r="H1157"/>
      <c r="I1157" s="7"/>
      <c r="J1157" s="7"/>
      <c r="K1157" s="7"/>
      <c r="L1157" s="8"/>
      <c r="M1157" s="7"/>
      <c r="N1157" s="7"/>
      <c r="O1157" s="8"/>
      <c r="P1157" s="6"/>
      <c r="Q1157" s="5"/>
      <c r="R1157" s="5"/>
      <c r="S1157" s="5"/>
      <c r="T1157" s="5"/>
      <c r="U1157" s="5"/>
      <c r="V1157" s="5"/>
      <c r="W1157" s="5"/>
      <c r="X1157" s="8"/>
      <c r="Y1157" s="9"/>
      <c r="Z1157" s="10"/>
      <c r="AA1157" s="10"/>
      <c r="AB1157" s="8"/>
      <c r="AC1157" s="10"/>
    </row>
    <row r="1158" spans="1:29" s="4" customFormat="1" x14ac:dyDescent="0.3">
      <c r="A1158" s="3"/>
      <c r="B1158" s="39"/>
      <c r="C1158" s="5"/>
      <c r="D1158" s="5"/>
      <c r="E1158" s="5"/>
      <c r="F1158" s="5"/>
      <c r="G1158" s="29"/>
      <c r="H1158"/>
      <c r="I1158" s="7"/>
      <c r="J1158" s="7"/>
      <c r="K1158" s="7"/>
      <c r="L1158" s="8"/>
      <c r="M1158" s="7"/>
      <c r="N1158" s="7"/>
      <c r="O1158" s="8"/>
      <c r="P1158" s="6"/>
      <c r="Q1158" s="5"/>
      <c r="R1158" s="5"/>
      <c r="S1158" s="5"/>
      <c r="T1158" s="5"/>
      <c r="U1158" s="5"/>
      <c r="V1158" s="5"/>
      <c r="W1158" s="5"/>
      <c r="X1158" s="8"/>
      <c r="Y1158" s="9"/>
      <c r="Z1158" s="10"/>
      <c r="AA1158" s="10"/>
      <c r="AB1158" s="8"/>
      <c r="AC1158" s="10"/>
    </row>
    <row r="1159" spans="1:29" s="4" customFormat="1" x14ac:dyDescent="0.3">
      <c r="A1159" s="3"/>
      <c r="B1159" s="39"/>
      <c r="C1159" s="5"/>
      <c r="D1159" s="5"/>
      <c r="E1159" s="5"/>
      <c r="F1159" s="5"/>
      <c r="G1159" s="29"/>
      <c r="H1159"/>
      <c r="I1159" s="7"/>
      <c r="J1159" s="7"/>
      <c r="K1159" s="7"/>
      <c r="L1159" s="8"/>
      <c r="M1159" s="7"/>
      <c r="N1159" s="7"/>
      <c r="O1159" s="8"/>
      <c r="P1159" s="6"/>
      <c r="Q1159" s="5"/>
      <c r="R1159" s="5"/>
      <c r="S1159" s="5"/>
      <c r="T1159" s="5"/>
      <c r="U1159" s="5"/>
      <c r="V1159" s="5"/>
      <c r="W1159" s="5"/>
      <c r="X1159" s="8"/>
      <c r="Y1159" s="9"/>
      <c r="Z1159" s="10"/>
      <c r="AA1159" s="10"/>
      <c r="AB1159" s="8"/>
      <c r="AC1159" s="10"/>
    </row>
    <row r="1160" spans="1:29" s="4" customFormat="1" x14ac:dyDescent="0.3">
      <c r="A1160" s="3"/>
      <c r="B1160" s="39"/>
      <c r="C1160" s="5"/>
      <c r="D1160" s="5"/>
      <c r="E1160" s="5"/>
      <c r="F1160" s="5"/>
      <c r="G1160" s="29"/>
      <c r="H1160"/>
      <c r="I1160" s="7"/>
      <c r="J1160" s="7"/>
      <c r="K1160" s="7"/>
      <c r="L1160" s="8"/>
      <c r="M1160" s="7"/>
      <c r="N1160" s="7"/>
      <c r="O1160" s="8"/>
      <c r="P1160" s="6"/>
      <c r="Q1160" s="5"/>
      <c r="R1160" s="5"/>
      <c r="S1160" s="5"/>
      <c r="T1160" s="5"/>
      <c r="U1160" s="5"/>
      <c r="V1160" s="5"/>
      <c r="W1160" s="5"/>
      <c r="X1160" s="8"/>
      <c r="Y1160" s="9"/>
      <c r="Z1160" s="10"/>
      <c r="AA1160" s="10"/>
      <c r="AB1160" s="8"/>
      <c r="AC1160" s="10"/>
    </row>
    <row r="1161" spans="1:29" s="4" customFormat="1" x14ac:dyDescent="0.3">
      <c r="A1161" s="3"/>
      <c r="B1161" s="39"/>
      <c r="C1161" s="5"/>
      <c r="D1161" s="5"/>
      <c r="E1161" s="5"/>
      <c r="F1161" s="5"/>
      <c r="G1161" s="29"/>
      <c r="H1161"/>
      <c r="I1161" s="7"/>
      <c r="J1161" s="7"/>
      <c r="K1161" s="7"/>
      <c r="L1161" s="8"/>
      <c r="M1161" s="7"/>
      <c r="N1161" s="7"/>
      <c r="O1161" s="8"/>
      <c r="P1161" s="6"/>
      <c r="Q1161" s="5"/>
      <c r="R1161" s="5"/>
      <c r="S1161" s="5"/>
      <c r="T1161" s="5"/>
      <c r="U1161" s="5"/>
      <c r="V1161" s="5"/>
      <c r="W1161" s="5"/>
      <c r="X1161" s="8"/>
      <c r="Y1161" s="9"/>
      <c r="Z1161" s="10"/>
      <c r="AA1161" s="10"/>
      <c r="AB1161" s="8"/>
      <c r="AC1161" s="10"/>
    </row>
    <row r="1162" spans="1:29" s="4" customFormat="1" x14ac:dyDescent="0.3">
      <c r="A1162" s="3"/>
      <c r="B1162" s="39"/>
      <c r="C1162" s="5"/>
      <c r="D1162" s="5"/>
      <c r="E1162" s="5"/>
      <c r="F1162" s="5"/>
      <c r="G1162" s="29"/>
      <c r="H1162"/>
      <c r="I1162" s="7"/>
      <c r="J1162" s="7"/>
      <c r="K1162" s="7"/>
      <c r="L1162" s="8"/>
      <c r="M1162" s="7"/>
      <c r="N1162" s="7"/>
      <c r="O1162" s="8"/>
      <c r="P1162" s="6"/>
      <c r="Q1162" s="5"/>
      <c r="R1162" s="5"/>
      <c r="S1162" s="5"/>
      <c r="T1162" s="5"/>
      <c r="U1162" s="5"/>
      <c r="V1162" s="5"/>
      <c r="W1162" s="5"/>
      <c r="X1162" s="8"/>
      <c r="Y1162" s="9"/>
      <c r="Z1162" s="10"/>
      <c r="AA1162" s="10"/>
      <c r="AB1162" s="8"/>
      <c r="AC1162" s="10"/>
    </row>
    <row r="1163" spans="1:29" s="4" customFormat="1" x14ac:dyDescent="0.3">
      <c r="A1163" s="3"/>
      <c r="B1163" s="39"/>
      <c r="C1163" s="5"/>
      <c r="D1163" s="5"/>
      <c r="E1163" s="5"/>
      <c r="F1163" s="5"/>
      <c r="G1163" s="29"/>
      <c r="H1163"/>
      <c r="I1163" s="7"/>
      <c r="J1163" s="7"/>
      <c r="K1163" s="7"/>
      <c r="L1163" s="8"/>
      <c r="M1163" s="7"/>
      <c r="N1163" s="7"/>
      <c r="O1163" s="8"/>
      <c r="P1163" s="6"/>
      <c r="Q1163" s="5"/>
      <c r="R1163" s="5"/>
      <c r="S1163" s="5"/>
      <c r="T1163" s="5"/>
      <c r="U1163" s="5"/>
      <c r="V1163" s="5"/>
      <c r="W1163" s="5"/>
      <c r="X1163" s="8"/>
      <c r="Y1163" s="9"/>
      <c r="Z1163" s="10"/>
      <c r="AA1163" s="10"/>
      <c r="AB1163" s="8"/>
      <c r="AC1163" s="10"/>
    </row>
    <row r="1164" spans="1:29" s="4" customFormat="1" x14ac:dyDescent="0.3">
      <c r="A1164" s="3"/>
      <c r="B1164" s="39"/>
      <c r="C1164" s="5"/>
      <c r="D1164" s="5"/>
      <c r="E1164" s="5"/>
      <c r="F1164" s="5"/>
      <c r="G1164" s="29"/>
      <c r="H1164"/>
      <c r="I1164" s="7"/>
      <c r="J1164" s="7"/>
      <c r="K1164" s="7"/>
      <c r="L1164" s="8"/>
      <c r="M1164" s="7"/>
      <c r="N1164" s="7"/>
      <c r="O1164" s="8"/>
      <c r="P1164" s="6"/>
      <c r="Q1164" s="5"/>
      <c r="R1164" s="5"/>
      <c r="S1164" s="5"/>
      <c r="T1164" s="5"/>
      <c r="U1164" s="5"/>
      <c r="V1164" s="5"/>
      <c r="W1164" s="5"/>
      <c r="X1164" s="8"/>
      <c r="Y1164" s="9"/>
      <c r="Z1164" s="10"/>
      <c r="AA1164" s="10"/>
      <c r="AB1164" s="8"/>
      <c r="AC1164" s="10"/>
    </row>
    <row r="1165" spans="1:29" s="4" customFormat="1" x14ac:dyDescent="0.3">
      <c r="A1165" s="3"/>
      <c r="B1165" s="39"/>
      <c r="C1165" s="5"/>
      <c r="D1165" s="5"/>
      <c r="E1165" s="5"/>
      <c r="F1165" s="5"/>
      <c r="G1165" s="29"/>
      <c r="H1165"/>
      <c r="I1165" s="7"/>
      <c r="J1165" s="7"/>
      <c r="K1165" s="7"/>
      <c r="L1165" s="8"/>
      <c r="M1165" s="7"/>
      <c r="N1165" s="7"/>
      <c r="O1165" s="8"/>
      <c r="P1165" s="6"/>
      <c r="Q1165" s="5"/>
      <c r="R1165" s="5"/>
      <c r="S1165" s="5"/>
      <c r="T1165" s="5"/>
      <c r="U1165" s="5"/>
      <c r="V1165" s="5"/>
      <c r="W1165" s="5"/>
      <c r="X1165" s="8"/>
      <c r="Y1165" s="9"/>
      <c r="Z1165" s="10"/>
      <c r="AA1165" s="10"/>
      <c r="AB1165" s="8"/>
      <c r="AC1165" s="10"/>
    </row>
    <row r="1166" spans="1:29" s="4" customFormat="1" x14ac:dyDescent="0.3">
      <c r="A1166" s="3"/>
      <c r="B1166" s="39"/>
      <c r="C1166" s="5"/>
      <c r="D1166" s="5"/>
      <c r="E1166" s="5"/>
      <c r="F1166" s="5"/>
      <c r="G1166" s="29"/>
      <c r="H1166"/>
      <c r="I1166" s="7"/>
      <c r="J1166" s="7"/>
      <c r="K1166" s="7"/>
      <c r="L1166" s="8"/>
      <c r="M1166" s="7"/>
      <c r="N1166" s="7"/>
      <c r="O1166" s="8"/>
      <c r="P1166" s="6"/>
      <c r="Q1166" s="5"/>
      <c r="R1166" s="5"/>
      <c r="S1166" s="5"/>
      <c r="T1166" s="5"/>
      <c r="U1166" s="5"/>
      <c r="V1166" s="5"/>
      <c r="W1166" s="5"/>
      <c r="X1166" s="8"/>
      <c r="Y1166" s="9"/>
      <c r="Z1166" s="10"/>
      <c r="AA1166" s="10"/>
      <c r="AB1166" s="8"/>
      <c r="AC1166" s="10"/>
    </row>
    <row r="1167" spans="1:29" s="4" customFormat="1" x14ac:dyDescent="0.3">
      <c r="A1167" s="3"/>
      <c r="B1167" s="39"/>
      <c r="C1167" s="5"/>
      <c r="D1167" s="5"/>
      <c r="E1167" s="5"/>
      <c r="F1167" s="5"/>
      <c r="G1167" s="29"/>
      <c r="H1167"/>
      <c r="I1167" s="7"/>
      <c r="J1167" s="7"/>
      <c r="K1167" s="7"/>
      <c r="L1167" s="8"/>
      <c r="M1167" s="7"/>
      <c r="N1167" s="7"/>
      <c r="O1167" s="8"/>
      <c r="P1167" s="6"/>
      <c r="Q1167" s="5"/>
      <c r="R1167" s="5"/>
      <c r="S1167" s="5"/>
      <c r="T1167" s="5"/>
      <c r="U1167" s="5"/>
      <c r="V1167" s="5"/>
      <c r="W1167" s="5"/>
      <c r="X1167" s="8"/>
      <c r="Y1167" s="9"/>
      <c r="Z1167" s="10"/>
      <c r="AA1167" s="10"/>
      <c r="AB1167" s="8"/>
      <c r="AC1167" s="10"/>
    </row>
    <row r="1168" spans="1:29" s="4" customFormat="1" x14ac:dyDescent="0.3">
      <c r="A1168" s="3"/>
      <c r="B1168" s="39"/>
      <c r="C1168" s="5"/>
      <c r="D1168" s="5"/>
      <c r="E1168" s="5"/>
      <c r="F1168" s="5"/>
      <c r="G1168" s="29"/>
      <c r="H1168"/>
      <c r="I1168" s="7"/>
      <c r="J1168" s="7"/>
      <c r="K1168" s="7"/>
      <c r="L1168" s="8"/>
      <c r="M1168" s="7"/>
      <c r="N1168" s="7"/>
      <c r="O1168" s="8"/>
      <c r="P1168" s="6"/>
      <c r="Q1168" s="5"/>
      <c r="R1168" s="5"/>
      <c r="S1168" s="5"/>
      <c r="T1168" s="5"/>
      <c r="U1168" s="5"/>
      <c r="V1168" s="5"/>
      <c r="W1168" s="5"/>
      <c r="X1168" s="8"/>
      <c r="Y1168" s="9"/>
      <c r="Z1168" s="10"/>
      <c r="AA1168" s="10"/>
      <c r="AB1168" s="8"/>
      <c r="AC1168" s="10"/>
    </row>
    <row r="1169" spans="1:29" s="4" customFormat="1" x14ac:dyDescent="0.3">
      <c r="A1169" s="3"/>
      <c r="B1169" s="39"/>
      <c r="C1169" s="5"/>
      <c r="D1169" s="5"/>
      <c r="E1169" s="5"/>
      <c r="F1169" s="5"/>
      <c r="G1169" s="29"/>
      <c r="H1169"/>
      <c r="I1169" s="7"/>
      <c r="J1169" s="7"/>
      <c r="K1169" s="7"/>
      <c r="L1169" s="8"/>
      <c r="M1169" s="7"/>
      <c r="N1169" s="7"/>
      <c r="O1169" s="8"/>
      <c r="P1169" s="6"/>
      <c r="Q1169" s="5"/>
      <c r="R1169" s="5"/>
      <c r="S1169" s="5"/>
      <c r="T1169" s="5"/>
      <c r="U1169" s="5"/>
      <c r="V1169" s="5"/>
      <c r="W1169" s="5"/>
      <c r="X1169" s="8"/>
      <c r="Y1169" s="9"/>
      <c r="Z1169" s="10"/>
      <c r="AA1169" s="10"/>
      <c r="AB1169" s="8"/>
      <c r="AC1169" s="10"/>
    </row>
    <row r="1170" spans="1:29" s="4" customFormat="1" x14ac:dyDescent="0.3">
      <c r="A1170" s="3"/>
      <c r="B1170" s="39"/>
      <c r="C1170" s="5"/>
      <c r="D1170" s="5"/>
      <c r="E1170" s="5"/>
      <c r="F1170" s="5"/>
      <c r="G1170" s="29"/>
      <c r="H1170"/>
      <c r="I1170" s="7"/>
      <c r="J1170" s="7"/>
      <c r="K1170" s="7"/>
      <c r="L1170" s="8"/>
      <c r="M1170" s="7"/>
      <c r="N1170" s="7"/>
      <c r="O1170" s="8"/>
      <c r="P1170" s="6"/>
      <c r="Q1170" s="5"/>
      <c r="R1170" s="5"/>
      <c r="S1170" s="5"/>
      <c r="T1170" s="5"/>
      <c r="U1170" s="5"/>
      <c r="V1170" s="5"/>
      <c r="W1170" s="5"/>
      <c r="X1170" s="8"/>
      <c r="Y1170" s="9"/>
      <c r="Z1170" s="10"/>
      <c r="AA1170" s="10"/>
      <c r="AB1170" s="8"/>
      <c r="AC1170" s="10"/>
    </row>
    <row r="1171" spans="1:29" s="4" customFormat="1" x14ac:dyDescent="0.3">
      <c r="A1171" s="3"/>
      <c r="B1171" s="39"/>
      <c r="C1171" s="5"/>
      <c r="D1171" s="5"/>
      <c r="E1171" s="5"/>
      <c r="F1171" s="5"/>
      <c r="G1171" s="29"/>
      <c r="H1171"/>
      <c r="I1171" s="7"/>
      <c r="J1171" s="7"/>
      <c r="K1171" s="7"/>
      <c r="L1171" s="8"/>
      <c r="M1171" s="7"/>
      <c r="N1171" s="7"/>
      <c r="O1171" s="8"/>
      <c r="P1171" s="6"/>
      <c r="Q1171" s="5"/>
      <c r="R1171" s="5"/>
      <c r="S1171" s="5"/>
      <c r="T1171" s="5"/>
      <c r="U1171" s="5"/>
      <c r="V1171" s="5"/>
      <c r="W1171" s="5"/>
      <c r="X1171" s="8"/>
      <c r="Y1171" s="9"/>
      <c r="Z1171" s="10"/>
      <c r="AA1171" s="10"/>
      <c r="AB1171" s="8"/>
      <c r="AC1171" s="10"/>
    </row>
    <row r="1172" spans="1:29" s="4" customFormat="1" x14ac:dyDescent="0.3">
      <c r="A1172" s="3"/>
      <c r="B1172" s="39"/>
      <c r="C1172" s="5"/>
      <c r="D1172" s="5"/>
      <c r="E1172" s="5"/>
      <c r="F1172" s="5"/>
      <c r="G1172" s="29"/>
      <c r="H1172"/>
      <c r="I1172" s="7"/>
      <c r="J1172" s="7"/>
      <c r="K1172" s="7"/>
      <c r="L1172" s="8"/>
      <c r="M1172" s="7"/>
      <c r="N1172" s="7"/>
      <c r="O1172" s="8"/>
      <c r="P1172" s="6"/>
      <c r="Q1172" s="5"/>
      <c r="R1172" s="5"/>
      <c r="S1172" s="5"/>
      <c r="T1172" s="5"/>
      <c r="U1172" s="5"/>
      <c r="V1172" s="5"/>
      <c r="W1172" s="5"/>
      <c r="X1172" s="8"/>
      <c r="Y1172" s="9"/>
      <c r="Z1172" s="10"/>
      <c r="AA1172" s="10"/>
      <c r="AB1172" s="8"/>
      <c r="AC1172" s="10"/>
    </row>
    <row r="1173" spans="1:29" s="4" customFormat="1" x14ac:dyDescent="0.3">
      <c r="A1173" s="3"/>
      <c r="B1173" s="39"/>
      <c r="C1173" s="5"/>
      <c r="D1173" s="5"/>
      <c r="E1173" s="5"/>
      <c r="F1173" s="5"/>
      <c r="G1173" s="29"/>
      <c r="H1173"/>
      <c r="I1173" s="7"/>
      <c r="J1173" s="7"/>
      <c r="K1173" s="7"/>
      <c r="L1173" s="8"/>
      <c r="M1173" s="7"/>
      <c r="N1173" s="7"/>
      <c r="O1173" s="8"/>
      <c r="P1173" s="6"/>
      <c r="Q1173" s="5"/>
      <c r="R1173" s="5"/>
      <c r="S1173" s="5"/>
      <c r="T1173" s="5"/>
      <c r="U1173" s="5"/>
      <c r="V1173" s="5"/>
      <c r="W1173" s="5"/>
      <c r="X1173" s="8"/>
      <c r="Y1173" s="9"/>
      <c r="Z1173" s="10"/>
      <c r="AA1173" s="10"/>
      <c r="AB1173" s="8"/>
      <c r="AC1173" s="10"/>
    </row>
    <row r="1174" spans="1:29" s="4" customFormat="1" x14ac:dyDescent="0.3">
      <c r="A1174" s="3"/>
      <c r="B1174" s="39"/>
      <c r="C1174" s="5"/>
      <c r="D1174" s="5"/>
      <c r="E1174" s="5"/>
      <c r="F1174" s="5"/>
      <c r="G1174" s="29"/>
      <c r="H1174"/>
      <c r="I1174" s="7"/>
      <c r="J1174" s="7"/>
      <c r="K1174" s="7"/>
      <c r="L1174" s="8"/>
      <c r="M1174" s="7"/>
      <c r="N1174" s="7"/>
      <c r="O1174" s="8"/>
      <c r="P1174" s="6"/>
      <c r="Q1174" s="5"/>
      <c r="R1174" s="5"/>
      <c r="S1174" s="5"/>
      <c r="T1174" s="5"/>
      <c r="U1174" s="5"/>
      <c r="V1174" s="5"/>
      <c r="W1174" s="5"/>
      <c r="X1174" s="8"/>
      <c r="Y1174" s="9"/>
      <c r="Z1174" s="10"/>
      <c r="AA1174" s="10"/>
      <c r="AB1174" s="8"/>
      <c r="AC1174" s="10"/>
    </row>
    <row r="1175" spans="1:29" s="4" customFormat="1" x14ac:dyDescent="0.3">
      <c r="A1175" s="3"/>
      <c r="B1175" s="39"/>
      <c r="C1175" s="5"/>
      <c r="D1175" s="5"/>
      <c r="E1175" s="5"/>
      <c r="F1175" s="5"/>
      <c r="G1175" s="29"/>
      <c r="H1175"/>
      <c r="I1175" s="7"/>
      <c r="J1175" s="7"/>
      <c r="K1175" s="7"/>
      <c r="L1175" s="8"/>
      <c r="M1175" s="7"/>
      <c r="N1175" s="7"/>
      <c r="O1175" s="8"/>
      <c r="P1175" s="6"/>
      <c r="Q1175" s="5"/>
      <c r="R1175" s="5"/>
      <c r="S1175" s="5"/>
      <c r="T1175" s="5"/>
      <c r="U1175" s="5"/>
      <c r="V1175" s="5"/>
      <c r="W1175" s="5"/>
      <c r="X1175" s="8"/>
      <c r="Y1175" s="9"/>
      <c r="Z1175" s="10"/>
      <c r="AA1175" s="10"/>
      <c r="AB1175" s="8"/>
      <c r="AC1175" s="10"/>
    </row>
    <row r="1176" spans="1:29" s="4" customFormat="1" x14ac:dyDescent="0.3">
      <c r="A1176" s="3"/>
      <c r="B1176" s="39"/>
      <c r="C1176" s="5"/>
      <c r="D1176" s="5"/>
      <c r="E1176" s="5"/>
      <c r="F1176" s="5"/>
      <c r="G1176" s="29"/>
      <c r="H1176"/>
      <c r="I1176" s="7"/>
      <c r="J1176" s="7"/>
      <c r="K1176" s="7"/>
      <c r="L1176" s="8"/>
      <c r="M1176" s="7"/>
      <c r="N1176" s="7"/>
      <c r="O1176" s="8"/>
      <c r="P1176" s="6"/>
      <c r="Q1176" s="5"/>
      <c r="R1176" s="5"/>
      <c r="S1176" s="5"/>
      <c r="T1176" s="5"/>
      <c r="U1176" s="5"/>
      <c r="V1176" s="5"/>
      <c r="W1176" s="5"/>
      <c r="X1176" s="8"/>
      <c r="Y1176" s="9"/>
      <c r="Z1176" s="10"/>
      <c r="AA1176" s="10"/>
      <c r="AB1176" s="8"/>
      <c r="AC1176" s="10"/>
    </row>
    <row r="1177" spans="1:29" s="4" customFormat="1" x14ac:dyDescent="0.3">
      <c r="A1177" s="3"/>
      <c r="B1177" s="39"/>
      <c r="C1177" s="5"/>
      <c r="D1177" s="5"/>
      <c r="E1177" s="5"/>
      <c r="F1177" s="5"/>
      <c r="G1177" s="29"/>
      <c r="H1177"/>
      <c r="I1177" s="7"/>
      <c r="J1177" s="7"/>
      <c r="K1177" s="7"/>
      <c r="L1177" s="8"/>
      <c r="M1177" s="7"/>
      <c r="N1177" s="7"/>
      <c r="O1177" s="8"/>
      <c r="P1177" s="6"/>
      <c r="Q1177" s="5"/>
      <c r="R1177" s="5"/>
      <c r="S1177" s="5"/>
      <c r="T1177" s="5"/>
      <c r="U1177" s="5"/>
      <c r="V1177" s="5"/>
      <c r="W1177" s="5"/>
      <c r="X1177" s="8"/>
      <c r="Y1177" s="9"/>
      <c r="Z1177" s="10"/>
      <c r="AA1177" s="10"/>
      <c r="AB1177" s="8"/>
      <c r="AC1177" s="10"/>
    </row>
    <row r="1178" spans="1:29" s="4" customFormat="1" x14ac:dyDescent="0.3">
      <c r="A1178" s="3"/>
      <c r="B1178" s="39"/>
      <c r="C1178" s="5"/>
      <c r="D1178" s="5"/>
      <c r="E1178" s="5"/>
      <c r="F1178" s="5"/>
      <c r="G1178" s="29"/>
      <c r="H1178"/>
      <c r="I1178" s="7"/>
      <c r="J1178" s="7"/>
      <c r="K1178" s="7"/>
      <c r="L1178" s="8"/>
      <c r="M1178" s="7"/>
      <c r="N1178" s="7"/>
      <c r="O1178" s="8"/>
      <c r="P1178" s="6"/>
      <c r="Q1178" s="5"/>
      <c r="R1178" s="5"/>
      <c r="S1178" s="5"/>
      <c r="T1178" s="5"/>
      <c r="U1178" s="5"/>
      <c r="V1178" s="5"/>
      <c r="W1178" s="5"/>
      <c r="X1178" s="8"/>
      <c r="Y1178" s="9"/>
      <c r="Z1178" s="10"/>
      <c r="AA1178" s="10"/>
      <c r="AB1178" s="8"/>
      <c r="AC1178" s="10"/>
    </row>
    <row r="1179" spans="1:29" s="4" customFormat="1" x14ac:dyDescent="0.3">
      <c r="A1179" s="3"/>
      <c r="B1179" s="39"/>
      <c r="C1179" s="5"/>
      <c r="D1179" s="5"/>
      <c r="E1179" s="5"/>
      <c r="F1179" s="5"/>
      <c r="G1179" s="29"/>
      <c r="H1179"/>
      <c r="I1179" s="7"/>
      <c r="J1179" s="7"/>
      <c r="K1179" s="7"/>
      <c r="L1179" s="8"/>
      <c r="M1179" s="7"/>
      <c r="N1179" s="7"/>
      <c r="O1179" s="8"/>
      <c r="P1179" s="6"/>
      <c r="Q1179" s="5"/>
      <c r="R1179" s="5"/>
      <c r="S1179" s="5"/>
      <c r="T1179" s="5"/>
      <c r="U1179" s="5"/>
      <c r="V1179" s="5"/>
      <c r="W1179" s="5"/>
      <c r="X1179" s="8"/>
      <c r="Y1179" s="9"/>
      <c r="Z1179" s="10"/>
      <c r="AA1179" s="10"/>
      <c r="AB1179" s="8"/>
      <c r="AC1179" s="10"/>
    </row>
    <row r="1180" spans="1:29" s="4" customFormat="1" x14ac:dyDescent="0.3">
      <c r="A1180" s="3"/>
      <c r="B1180" s="39"/>
      <c r="C1180" s="5"/>
      <c r="D1180" s="5"/>
      <c r="E1180" s="5"/>
      <c r="F1180" s="5"/>
      <c r="G1180" s="29"/>
      <c r="H1180"/>
      <c r="I1180" s="7"/>
      <c r="J1180" s="7"/>
      <c r="K1180" s="7"/>
      <c r="L1180" s="8"/>
      <c r="M1180" s="7"/>
      <c r="N1180" s="7"/>
      <c r="O1180" s="8"/>
      <c r="P1180" s="6"/>
      <c r="Q1180" s="5"/>
      <c r="R1180" s="5"/>
      <c r="S1180" s="5"/>
      <c r="T1180" s="5"/>
      <c r="U1180" s="5"/>
      <c r="V1180" s="5"/>
      <c r="W1180" s="5"/>
      <c r="X1180" s="8"/>
      <c r="Y1180" s="9"/>
      <c r="Z1180" s="10"/>
      <c r="AA1180" s="10"/>
      <c r="AB1180" s="8"/>
      <c r="AC1180" s="10"/>
    </row>
    <row r="1181" spans="1:29" s="4" customFormat="1" x14ac:dyDescent="0.3">
      <c r="A1181" s="3"/>
      <c r="B1181" s="39"/>
      <c r="C1181" s="5"/>
      <c r="D1181" s="5"/>
      <c r="E1181" s="5"/>
      <c r="F1181" s="5"/>
      <c r="G1181" s="29"/>
      <c r="H1181"/>
      <c r="I1181" s="7"/>
      <c r="J1181" s="7"/>
      <c r="K1181" s="7"/>
      <c r="L1181" s="8"/>
      <c r="M1181" s="7"/>
      <c r="N1181" s="7"/>
      <c r="O1181" s="8"/>
      <c r="P1181" s="6"/>
      <c r="Q1181" s="5"/>
      <c r="R1181" s="5"/>
      <c r="S1181" s="5"/>
      <c r="T1181" s="5"/>
      <c r="U1181" s="5"/>
      <c r="V1181" s="5"/>
      <c r="W1181" s="5"/>
      <c r="X1181" s="8"/>
      <c r="Y1181" s="9"/>
      <c r="Z1181" s="10"/>
      <c r="AA1181" s="10"/>
      <c r="AB1181" s="8"/>
      <c r="AC1181" s="10"/>
    </row>
    <row r="1182" spans="1:29" s="4" customFormat="1" x14ac:dyDescent="0.3">
      <c r="A1182" s="3"/>
      <c r="B1182" s="39"/>
      <c r="C1182" s="5"/>
      <c r="D1182" s="5"/>
      <c r="E1182" s="5"/>
      <c r="F1182" s="5"/>
      <c r="G1182" s="29"/>
      <c r="H1182"/>
      <c r="I1182" s="7"/>
      <c r="J1182" s="7"/>
      <c r="K1182" s="7"/>
      <c r="L1182" s="8"/>
      <c r="M1182" s="7"/>
      <c r="N1182" s="7"/>
      <c r="O1182" s="8"/>
      <c r="P1182" s="6"/>
      <c r="Q1182" s="5"/>
      <c r="R1182" s="5"/>
      <c r="S1182" s="5"/>
      <c r="T1182" s="5"/>
      <c r="U1182" s="5"/>
      <c r="V1182" s="5"/>
      <c r="W1182" s="5"/>
      <c r="X1182" s="8"/>
      <c r="Y1182" s="9"/>
      <c r="Z1182" s="10"/>
      <c r="AA1182" s="10"/>
      <c r="AB1182" s="8"/>
      <c r="AC1182" s="10"/>
    </row>
    <row r="1183" spans="1:29" s="4" customFormat="1" x14ac:dyDescent="0.3">
      <c r="A1183" s="3"/>
      <c r="B1183" s="39"/>
      <c r="C1183" s="5"/>
      <c r="D1183" s="5"/>
      <c r="E1183" s="5"/>
      <c r="F1183" s="5"/>
      <c r="G1183" s="29"/>
      <c r="H1183"/>
      <c r="I1183" s="7"/>
      <c r="J1183" s="7"/>
      <c r="K1183" s="7"/>
      <c r="L1183" s="8"/>
      <c r="M1183" s="7"/>
      <c r="N1183" s="7"/>
      <c r="O1183" s="8"/>
      <c r="P1183" s="6"/>
      <c r="Q1183" s="5"/>
      <c r="R1183" s="5"/>
      <c r="S1183" s="5"/>
      <c r="T1183" s="5"/>
      <c r="U1183" s="5"/>
      <c r="V1183" s="5"/>
      <c r="W1183" s="5"/>
      <c r="X1183" s="8"/>
      <c r="Y1183" s="9"/>
      <c r="Z1183" s="10"/>
      <c r="AA1183" s="10"/>
      <c r="AB1183" s="8"/>
      <c r="AC1183" s="10"/>
    </row>
    <row r="1184" spans="1:29" s="4" customFormat="1" x14ac:dyDescent="0.3">
      <c r="A1184" s="3"/>
      <c r="B1184" s="39"/>
      <c r="C1184" s="5"/>
      <c r="D1184" s="5"/>
      <c r="E1184" s="5"/>
      <c r="F1184" s="5"/>
      <c r="G1184" s="29"/>
      <c r="H1184"/>
      <c r="I1184" s="7"/>
      <c r="J1184" s="7"/>
      <c r="K1184" s="7"/>
      <c r="L1184" s="8"/>
      <c r="M1184" s="7"/>
      <c r="N1184" s="7"/>
      <c r="O1184" s="8"/>
      <c r="P1184" s="6"/>
      <c r="Q1184" s="5"/>
      <c r="R1184" s="5"/>
      <c r="S1184" s="5"/>
      <c r="T1184" s="5"/>
      <c r="U1184" s="5"/>
      <c r="V1184" s="5"/>
      <c r="W1184" s="5"/>
      <c r="X1184" s="8"/>
      <c r="Y1184" s="9"/>
      <c r="Z1184" s="10"/>
      <c r="AA1184" s="10"/>
      <c r="AB1184" s="8"/>
      <c r="AC1184" s="10"/>
    </row>
    <row r="1185" spans="1:29" s="4" customFormat="1" x14ac:dyDescent="0.3">
      <c r="A1185" s="3"/>
      <c r="B1185" s="39"/>
      <c r="C1185" s="5"/>
      <c r="D1185" s="5"/>
      <c r="E1185" s="5"/>
      <c r="F1185" s="5"/>
      <c r="G1185" s="29"/>
      <c r="H1185"/>
      <c r="I1185" s="7"/>
      <c r="J1185" s="7"/>
      <c r="K1185" s="7"/>
      <c r="L1185" s="8"/>
      <c r="M1185" s="7"/>
      <c r="N1185" s="7"/>
      <c r="O1185" s="8"/>
      <c r="P1185" s="6"/>
      <c r="Q1185" s="5"/>
      <c r="R1185" s="5"/>
      <c r="S1185" s="5"/>
      <c r="T1185" s="5"/>
      <c r="U1185" s="5"/>
      <c r="V1185" s="5"/>
      <c r="W1185" s="5"/>
      <c r="X1185" s="8"/>
      <c r="Y1185" s="9"/>
      <c r="Z1185" s="10"/>
      <c r="AA1185" s="10"/>
      <c r="AB1185" s="8"/>
      <c r="AC1185" s="10"/>
    </row>
    <row r="1186" spans="1:29" s="4" customFormat="1" x14ac:dyDescent="0.3">
      <c r="A1186" s="3"/>
      <c r="B1186" s="39"/>
      <c r="C1186" s="5"/>
      <c r="D1186" s="5"/>
      <c r="E1186" s="5"/>
      <c r="F1186" s="5"/>
      <c r="G1186" s="29"/>
      <c r="H1186"/>
      <c r="I1186" s="7"/>
      <c r="J1186" s="7"/>
      <c r="K1186" s="7"/>
      <c r="L1186" s="8"/>
      <c r="M1186" s="7"/>
      <c r="N1186" s="7"/>
      <c r="O1186" s="8"/>
      <c r="P1186" s="6"/>
      <c r="Q1186" s="5"/>
      <c r="R1186" s="5"/>
      <c r="S1186" s="5"/>
      <c r="T1186" s="5"/>
      <c r="U1186" s="5"/>
      <c r="V1186" s="5"/>
      <c r="W1186" s="5"/>
      <c r="X1186" s="8"/>
      <c r="Y1186" s="9"/>
      <c r="Z1186" s="10"/>
      <c r="AA1186" s="10"/>
      <c r="AB1186" s="8"/>
      <c r="AC1186" s="10"/>
    </row>
    <row r="1187" spans="1:29" s="4" customFormat="1" x14ac:dyDescent="0.3">
      <c r="A1187" s="3"/>
      <c r="B1187" s="39"/>
      <c r="C1187" s="5"/>
      <c r="D1187" s="5"/>
      <c r="E1187" s="5"/>
      <c r="F1187" s="5"/>
      <c r="G1187" s="29"/>
      <c r="H1187"/>
      <c r="I1187" s="7"/>
      <c r="J1187" s="7"/>
      <c r="K1187" s="7"/>
      <c r="L1187" s="8"/>
      <c r="M1187" s="7"/>
      <c r="N1187" s="7"/>
      <c r="O1187" s="8"/>
      <c r="P1187" s="6"/>
      <c r="Q1187" s="5"/>
      <c r="R1187" s="5"/>
      <c r="S1187" s="5"/>
      <c r="T1187" s="5"/>
      <c r="U1187" s="5"/>
      <c r="V1187" s="5"/>
      <c r="W1187" s="5"/>
      <c r="X1187" s="8"/>
      <c r="Y1187" s="9"/>
      <c r="Z1187" s="10"/>
      <c r="AA1187" s="10"/>
      <c r="AB1187" s="8"/>
      <c r="AC1187" s="10"/>
    </row>
    <row r="1188" spans="1:29" s="4" customFormat="1" x14ac:dyDescent="0.3">
      <c r="A1188" s="3"/>
      <c r="B1188" s="39"/>
      <c r="C1188" s="5"/>
      <c r="D1188" s="5"/>
      <c r="E1188" s="5"/>
      <c r="F1188" s="5"/>
      <c r="G1188" s="29"/>
      <c r="H1188"/>
      <c r="I1188" s="7"/>
      <c r="J1188" s="7"/>
      <c r="K1188" s="7"/>
      <c r="L1188" s="8"/>
      <c r="M1188" s="7"/>
      <c r="N1188" s="7"/>
      <c r="O1188" s="8"/>
      <c r="P1188" s="6"/>
      <c r="Q1188" s="5"/>
      <c r="R1188" s="5"/>
      <c r="S1188" s="5"/>
      <c r="T1188" s="5"/>
      <c r="U1188" s="5"/>
      <c r="V1188" s="5"/>
      <c r="W1188" s="5"/>
      <c r="X1188" s="8"/>
      <c r="Y1188" s="9"/>
      <c r="Z1188" s="10"/>
      <c r="AA1188" s="10"/>
      <c r="AB1188" s="8"/>
      <c r="AC1188" s="10"/>
    </row>
    <row r="1189" spans="1:29" s="4" customFormat="1" x14ac:dyDescent="0.3">
      <c r="A1189" s="3"/>
      <c r="B1189" s="39"/>
      <c r="C1189" s="5"/>
      <c r="D1189" s="5"/>
      <c r="E1189" s="5"/>
      <c r="F1189" s="5"/>
      <c r="G1189" s="29"/>
      <c r="H1189"/>
      <c r="I1189" s="7"/>
      <c r="J1189" s="7"/>
      <c r="K1189" s="7"/>
      <c r="L1189" s="8"/>
      <c r="M1189" s="7"/>
      <c r="N1189" s="7"/>
      <c r="O1189" s="8"/>
      <c r="P1189" s="6"/>
      <c r="Q1189" s="5"/>
      <c r="R1189" s="5"/>
      <c r="S1189" s="5"/>
      <c r="T1189" s="5"/>
      <c r="U1189" s="5"/>
      <c r="V1189" s="5"/>
      <c r="W1189" s="5"/>
      <c r="X1189" s="8"/>
      <c r="Y1189" s="9"/>
      <c r="Z1189" s="10"/>
      <c r="AA1189" s="10"/>
      <c r="AB1189" s="8"/>
      <c r="AC1189" s="10"/>
    </row>
    <row r="1190" spans="1:29" s="4" customFormat="1" x14ac:dyDescent="0.3">
      <c r="A1190" s="3"/>
      <c r="B1190" s="39"/>
      <c r="C1190" s="5"/>
      <c r="D1190" s="5"/>
      <c r="E1190" s="5"/>
      <c r="F1190" s="5"/>
      <c r="G1190" s="29"/>
      <c r="H1190"/>
      <c r="I1190" s="7"/>
      <c r="J1190" s="7"/>
      <c r="K1190" s="7"/>
      <c r="L1190" s="8"/>
      <c r="M1190" s="7"/>
      <c r="N1190" s="7"/>
      <c r="O1190" s="8"/>
      <c r="P1190" s="6"/>
      <c r="Q1190" s="5"/>
      <c r="R1190" s="5"/>
      <c r="S1190" s="5"/>
      <c r="T1190" s="5"/>
      <c r="U1190" s="5"/>
      <c r="V1190" s="5"/>
      <c r="W1190" s="5"/>
      <c r="X1190" s="8"/>
      <c r="Y1190" s="9"/>
      <c r="Z1190" s="10"/>
      <c r="AA1190" s="10"/>
      <c r="AB1190" s="8"/>
      <c r="AC1190" s="10"/>
    </row>
    <row r="1191" spans="1:29" s="4" customFormat="1" x14ac:dyDescent="0.3">
      <c r="A1191" s="3"/>
      <c r="B1191" s="39"/>
      <c r="C1191" s="5"/>
      <c r="D1191" s="5"/>
      <c r="E1191" s="5"/>
      <c r="F1191" s="5"/>
      <c r="G1191" s="29"/>
      <c r="H1191"/>
      <c r="I1191" s="7"/>
      <c r="J1191" s="7"/>
      <c r="K1191" s="7"/>
      <c r="L1191" s="8"/>
      <c r="M1191" s="7"/>
      <c r="N1191" s="7"/>
      <c r="O1191" s="8"/>
      <c r="P1191" s="6"/>
      <c r="Q1191" s="5"/>
      <c r="R1191" s="5"/>
      <c r="S1191" s="5"/>
      <c r="T1191" s="5"/>
      <c r="U1191" s="5"/>
      <c r="V1191" s="5"/>
      <c r="W1191" s="5"/>
      <c r="X1191" s="8"/>
      <c r="Y1191" s="9"/>
      <c r="Z1191" s="10"/>
      <c r="AA1191" s="10"/>
      <c r="AB1191" s="8"/>
      <c r="AC1191" s="10"/>
    </row>
    <row r="1192" spans="1:29" s="4" customFormat="1" x14ac:dyDescent="0.3">
      <c r="A1192" s="3"/>
      <c r="B1192" s="39"/>
      <c r="C1192" s="5"/>
      <c r="D1192" s="5"/>
      <c r="E1192" s="5"/>
      <c r="F1192" s="5"/>
      <c r="G1192" s="29"/>
      <c r="H1192"/>
      <c r="I1192" s="7"/>
      <c r="J1192" s="7"/>
      <c r="K1192" s="7"/>
      <c r="L1192" s="8"/>
      <c r="M1192" s="7"/>
      <c r="N1192" s="7"/>
      <c r="O1192" s="8"/>
      <c r="P1192" s="6"/>
      <c r="Q1192" s="5"/>
      <c r="R1192" s="5"/>
      <c r="S1192" s="5"/>
      <c r="T1192" s="5"/>
      <c r="U1192" s="5"/>
      <c r="V1192" s="5"/>
      <c r="W1192" s="5"/>
      <c r="X1192" s="8"/>
      <c r="Y1192" s="9"/>
      <c r="Z1192" s="10"/>
      <c r="AA1192" s="10"/>
      <c r="AB1192" s="8"/>
      <c r="AC1192" s="10"/>
    </row>
    <row r="1193" spans="1:29" s="4" customFormat="1" x14ac:dyDescent="0.3">
      <c r="A1193" s="3"/>
      <c r="B1193" s="39"/>
      <c r="C1193" s="5"/>
      <c r="D1193" s="5"/>
      <c r="E1193" s="5"/>
      <c r="F1193" s="5"/>
      <c r="G1193" s="29"/>
      <c r="H1193"/>
      <c r="I1193" s="7"/>
      <c r="J1193" s="7"/>
      <c r="K1193" s="7"/>
      <c r="L1193" s="8"/>
      <c r="M1193" s="7"/>
      <c r="N1193" s="7"/>
      <c r="O1193" s="8"/>
      <c r="P1193" s="6"/>
      <c r="Q1193" s="5"/>
      <c r="R1193" s="5"/>
      <c r="S1193" s="5"/>
      <c r="T1193" s="5"/>
      <c r="U1193" s="5"/>
      <c r="V1193" s="5"/>
      <c r="W1193" s="5"/>
      <c r="X1193" s="8"/>
      <c r="Y1193" s="9"/>
      <c r="Z1193" s="10"/>
      <c r="AA1193" s="10"/>
      <c r="AB1193" s="8"/>
      <c r="AC1193" s="10"/>
    </row>
    <row r="1194" spans="1:29" s="4" customFormat="1" x14ac:dyDescent="0.3">
      <c r="A1194" s="3"/>
      <c r="B1194" s="39"/>
      <c r="C1194" s="5"/>
      <c r="D1194" s="5"/>
      <c r="E1194" s="5"/>
      <c r="F1194" s="5"/>
      <c r="G1194" s="29"/>
      <c r="H1194"/>
      <c r="I1194" s="7"/>
      <c r="J1194" s="7"/>
      <c r="K1194" s="7"/>
      <c r="L1194" s="8"/>
      <c r="M1194" s="7"/>
      <c r="N1194" s="7"/>
      <c r="O1194" s="8"/>
      <c r="P1194" s="6"/>
      <c r="Q1194" s="5"/>
      <c r="R1194" s="5"/>
      <c r="S1194" s="5"/>
      <c r="T1194" s="5"/>
      <c r="U1194" s="5"/>
      <c r="V1194" s="5"/>
      <c r="W1194" s="5"/>
      <c r="X1194" s="8"/>
      <c r="Y1194" s="9"/>
      <c r="Z1194" s="10"/>
      <c r="AA1194" s="10"/>
      <c r="AB1194" s="8"/>
      <c r="AC1194" s="10"/>
    </row>
    <row r="1195" spans="1:29" s="4" customFormat="1" x14ac:dyDescent="0.3">
      <c r="A1195" s="3"/>
      <c r="B1195" s="39"/>
      <c r="C1195" s="5"/>
      <c r="D1195" s="5"/>
      <c r="E1195" s="5"/>
      <c r="F1195" s="5"/>
      <c r="G1195" s="29"/>
      <c r="H1195"/>
      <c r="I1195" s="7"/>
      <c r="J1195" s="7"/>
      <c r="K1195" s="7"/>
      <c r="L1195" s="8"/>
      <c r="M1195" s="7"/>
      <c r="N1195" s="7"/>
      <c r="O1195" s="8"/>
      <c r="P1195" s="6"/>
      <c r="Q1195" s="5"/>
      <c r="R1195" s="5"/>
      <c r="S1195" s="5"/>
      <c r="T1195" s="5"/>
      <c r="U1195" s="5"/>
      <c r="V1195" s="5"/>
      <c r="W1195" s="5"/>
      <c r="X1195" s="8"/>
      <c r="Y1195" s="9"/>
      <c r="Z1195" s="10"/>
      <c r="AA1195" s="10"/>
      <c r="AB1195" s="8"/>
      <c r="AC1195" s="10"/>
    </row>
    <row r="1196" spans="1:29" s="4" customFormat="1" x14ac:dyDescent="0.3">
      <c r="A1196" s="3"/>
      <c r="B1196" s="39"/>
      <c r="C1196" s="5"/>
      <c r="D1196" s="5"/>
      <c r="E1196" s="5"/>
      <c r="F1196" s="5"/>
      <c r="G1196" s="29"/>
      <c r="H1196"/>
      <c r="I1196" s="7"/>
      <c r="J1196" s="7"/>
      <c r="K1196" s="7"/>
      <c r="L1196" s="8"/>
      <c r="M1196" s="7"/>
      <c r="N1196" s="7"/>
      <c r="O1196" s="8"/>
      <c r="P1196" s="6"/>
      <c r="Q1196" s="5"/>
      <c r="R1196" s="5"/>
      <c r="S1196" s="5"/>
      <c r="T1196" s="5"/>
      <c r="U1196" s="5"/>
      <c r="V1196" s="5"/>
      <c r="W1196" s="5"/>
      <c r="X1196" s="8"/>
      <c r="Y1196" s="9"/>
      <c r="Z1196" s="10"/>
      <c r="AA1196" s="10"/>
      <c r="AB1196" s="8"/>
      <c r="AC1196" s="10"/>
    </row>
    <row r="1197" spans="1:29" s="4" customFormat="1" x14ac:dyDescent="0.3">
      <c r="A1197" s="3"/>
      <c r="B1197" s="39"/>
      <c r="C1197" s="5"/>
      <c r="D1197" s="5"/>
      <c r="E1197" s="5"/>
      <c r="F1197" s="5"/>
      <c r="G1197" s="29"/>
      <c r="H1197"/>
      <c r="I1197" s="7"/>
      <c r="J1197" s="7"/>
      <c r="K1197" s="7"/>
      <c r="L1197" s="8"/>
      <c r="M1197" s="7"/>
      <c r="N1197" s="7"/>
      <c r="O1197" s="8"/>
      <c r="P1197" s="6"/>
      <c r="Q1197" s="5"/>
      <c r="R1197" s="5"/>
      <c r="S1197" s="5"/>
      <c r="T1197" s="5"/>
      <c r="U1197" s="5"/>
      <c r="V1197" s="5"/>
      <c r="W1197" s="5"/>
      <c r="X1197" s="8"/>
      <c r="Y1197" s="9"/>
      <c r="Z1197" s="10"/>
      <c r="AA1197" s="10"/>
      <c r="AB1197" s="8"/>
      <c r="AC1197" s="10"/>
    </row>
    <row r="1198" spans="1:29" s="4" customFormat="1" x14ac:dyDescent="0.3">
      <c r="A1198" s="3"/>
      <c r="B1198" s="39"/>
      <c r="C1198" s="5"/>
      <c r="D1198" s="5"/>
      <c r="E1198" s="5"/>
      <c r="F1198" s="5"/>
      <c r="G1198" s="29"/>
      <c r="H1198"/>
      <c r="I1198" s="7"/>
      <c r="J1198" s="7"/>
      <c r="K1198" s="7"/>
      <c r="L1198" s="8"/>
      <c r="M1198" s="7"/>
      <c r="N1198" s="7"/>
      <c r="O1198" s="8"/>
      <c r="P1198" s="6"/>
      <c r="Q1198" s="5"/>
      <c r="R1198" s="5"/>
      <c r="S1198" s="5"/>
      <c r="T1198" s="5"/>
      <c r="U1198" s="5"/>
      <c r="V1198" s="5"/>
      <c r="W1198" s="5"/>
      <c r="X1198" s="8"/>
      <c r="Y1198" s="9"/>
      <c r="Z1198" s="10"/>
      <c r="AA1198" s="10"/>
      <c r="AB1198" s="8"/>
      <c r="AC1198" s="10"/>
    </row>
    <row r="1199" spans="1:29" s="4" customFormat="1" x14ac:dyDescent="0.3">
      <c r="A1199" s="3"/>
      <c r="B1199" s="39"/>
      <c r="C1199" s="5"/>
      <c r="D1199" s="5"/>
      <c r="E1199" s="5"/>
      <c r="F1199" s="5"/>
      <c r="G1199" s="29"/>
      <c r="H1199"/>
      <c r="I1199" s="7"/>
      <c r="J1199" s="7"/>
      <c r="K1199" s="7"/>
      <c r="L1199" s="8"/>
      <c r="M1199" s="7"/>
      <c r="N1199" s="7"/>
      <c r="O1199" s="8"/>
      <c r="P1199" s="6"/>
      <c r="Q1199" s="5"/>
      <c r="R1199" s="5"/>
      <c r="S1199" s="5"/>
      <c r="T1199" s="5"/>
      <c r="U1199" s="5"/>
      <c r="V1199" s="5"/>
      <c r="W1199" s="5"/>
      <c r="X1199" s="8"/>
      <c r="Y1199" s="9"/>
      <c r="Z1199" s="10"/>
      <c r="AA1199" s="10"/>
      <c r="AB1199" s="8"/>
      <c r="AC1199" s="10"/>
    </row>
    <row r="1200" spans="1:29" s="4" customFormat="1" x14ac:dyDescent="0.3">
      <c r="A1200" s="3"/>
      <c r="B1200" s="39"/>
      <c r="C1200" s="5"/>
      <c r="D1200" s="5"/>
      <c r="E1200" s="5"/>
      <c r="F1200" s="5"/>
      <c r="G1200" s="29"/>
      <c r="H1200"/>
      <c r="I1200" s="7"/>
      <c r="J1200" s="7"/>
      <c r="K1200" s="7"/>
      <c r="L1200" s="8"/>
      <c r="M1200" s="7"/>
      <c r="N1200" s="7"/>
      <c r="O1200" s="8"/>
      <c r="P1200" s="6"/>
      <c r="Q1200" s="5"/>
      <c r="R1200" s="5"/>
      <c r="S1200" s="5"/>
      <c r="T1200" s="5"/>
      <c r="U1200" s="5"/>
      <c r="V1200" s="5"/>
      <c r="W1200" s="5"/>
      <c r="X1200" s="8"/>
      <c r="Y1200" s="9"/>
      <c r="Z1200" s="10"/>
      <c r="AA1200" s="10"/>
      <c r="AB1200" s="8"/>
      <c r="AC1200" s="10"/>
    </row>
    <row r="1201" spans="1:29" s="4" customFormat="1" x14ac:dyDescent="0.3">
      <c r="A1201" s="3"/>
      <c r="B1201" s="39"/>
      <c r="C1201" s="5"/>
      <c r="D1201" s="5"/>
      <c r="E1201" s="5"/>
      <c r="F1201" s="5"/>
      <c r="G1201" s="29"/>
      <c r="H1201"/>
      <c r="I1201" s="7"/>
      <c r="J1201" s="7"/>
      <c r="K1201" s="7"/>
      <c r="L1201" s="8"/>
      <c r="M1201" s="7"/>
      <c r="N1201" s="7"/>
      <c r="O1201" s="8"/>
      <c r="P1201" s="6"/>
      <c r="Q1201" s="5"/>
      <c r="R1201" s="5"/>
      <c r="S1201" s="5"/>
      <c r="T1201" s="5"/>
      <c r="U1201" s="5"/>
      <c r="V1201" s="5"/>
      <c r="W1201" s="5"/>
      <c r="X1201" s="8"/>
      <c r="Y1201" s="9"/>
      <c r="Z1201" s="10"/>
      <c r="AA1201" s="10"/>
      <c r="AB1201" s="8"/>
      <c r="AC1201" s="10"/>
    </row>
    <row r="1202" spans="1:29" s="4" customFormat="1" x14ac:dyDescent="0.3">
      <c r="A1202" s="3"/>
      <c r="B1202" s="39"/>
      <c r="C1202" s="5"/>
      <c r="D1202" s="5"/>
      <c r="E1202" s="5"/>
      <c r="F1202" s="5"/>
      <c r="G1202" s="29"/>
      <c r="H1202"/>
      <c r="I1202" s="7"/>
      <c r="J1202" s="7"/>
      <c r="K1202" s="7"/>
      <c r="L1202" s="8"/>
      <c r="M1202" s="7"/>
      <c r="N1202" s="7"/>
      <c r="O1202" s="8"/>
      <c r="P1202" s="6"/>
      <c r="Q1202" s="5"/>
      <c r="R1202" s="5"/>
      <c r="S1202" s="5"/>
      <c r="T1202" s="5"/>
      <c r="U1202" s="5"/>
      <c r="V1202" s="5"/>
      <c r="W1202" s="5"/>
      <c r="X1202" s="8"/>
      <c r="Y1202" s="9"/>
      <c r="Z1202" s="10"/>
      <c r="AA1202" s="10"/>
      <c r="AB1202" s="8"/>
      <c r="AC1202" s="10"/>
    </row>
    <row r="1203" spans="1:29" s="4" customFormat="1" x14ac:dyDescent="0.3">
      <c r="A1203" s="3"/>
      <c r="B1203" s="39"/>
      <c r="C1203" s="5"/>
      <c r="D1203" s="5"/>
      <c r="E1203" s="5"/>
      <c r="F1203" s="5"/>
      <c r="G1203" s="29"/>
      <c r="H1203"/>
      <c r="I1203" s="7"/>
      <c r="J1203" s="7"/>
      <c r="K1203" s="7"/>
      <c r="L1203" s="8"/>
      <c r="M1203" s="7"/>
      <c r="N1203" s="7"/>
      <c r="O1203" s="8"/>
      <c r="P1203" s="6"/>
      <c r="Q1203" s="5"/>
      <c r="R1203" s="5"/>
      <c r="S1203" s="5"/>
      <c r="T1203" s="5"/>
      <c r="U1203" s="5"/>
      <c r="V1203" s="5"/>
      <c r="W1203" s="5"/>
      <c r="X1203" s="8"/>
      <c r="Y1203" s="9"/>
      <c r="Z1203" s="10"/>
      <c r="AA1203" s="10"/>
      <c r="AB1203" s="8"/>
      <c r="AC1203" s="10"/>
    </row>
    <row r="1204" spans="1:29" s="4" customFormat="1" x14ac:dyDescent="0.3">
      <c r="A1204" s="3"/>
      <c r="B1204" s="39"/>
      <c r="C1204" s="5"/>
      <c r="D1204" s="5"/>
      <c r="E1204" s="5"/>
      <c r="F1204" s="5"/>
      <c r="G1204" s="29"/>
      <c r="H1204"/>
      <c r="I1204" s="7"/>
      <c r="J1204" s="7"/>
      <c r="K1204" s="7"/>
      <c r="L1204" s="8"/>
      <c r="M1204" s="7"/>
      <c r="N1204" s="7"/>
      <c r="O1204" s="8"/>
      <c r="P1204" s="6"/>
      <c r="Q1204" s="5"/>
      <c r="R1204" s="5"/>
      <c r="S1204" s="5"/>
      <c r="T1204" s="5"/>
      <c r="U1204" s="5"/>
      <c r="V1204" s="5"/>
      <c r="W1204" s="5"/>
      <c r="X1204" s="8"/>
      <c r="Y1204" s="9"/>
      <c r="Z1204" s="10"/>
      <c r="AA1204" s="10"/>
      <c r="AB1204" s="8"/>
      <c r="AC1204" s="10"/>
    </row>
    <row r="1205" spans="1:29" s="4" customFormat="1" x14ac:dyDescent="0.3">
      <c r="A1205" s="3"/>
      <c r="B1205" s="39"/>
      <c r="C1205" s="5"/>
      <c r="D1205" s="5"/>
      <c r="E1205" s="5"/>
      <c r="F1205" s="5"/>
      <c r="G1205" s="29"/>
      <c r="H1205"/>
      <c r="I1205" s="7"/>
      <c r="J1205" s="7"/>
      <c r="K1205" s="7"/>
      <c r="L1205" s="8"/>
      <c r="M1205" s="7"/>
      <c r="N1205" s="7"/>
      <c r="O1205" s="8"/>
      <c r="P1205" s="6"/>
      <c r="Q1205" s="5"/>
      <c r="R1205" s="5"/>
      <c r="S1205" s="5"/>
      <c r="T1205" s="5"/>
      <c r="U1205" s="5"/>
      <c r="V1205" s="5"/>
      <c r="W1205" s="5"/>
      <c r="X1205" s="8"/>
      <c r="Y1205" s="9"/>
      <c r="Z1205" s="10"/>
      <c r="AA1205" s="10"/>
      <c r="AB1205" s="8"/>
      <c r="AC1205" s="10"/>
    </row>
    <row r="1206" spans="1:29" s="4" customFormat="1" x14ac:dyDescent="0.3">
      <c r="A1206" s="3"/>
      <c r="B1206" s="39"/>
      <c r="C1206" s="5"/>
      <c r="D1206" s="5"/>
      <c r="E1206" s="5"/>
      <c r="F1206" s="5"/>
      <c r="G1206" s="29"/>
      <c r="H1206"/>
      <c r="I1206" s="7"/>
      <c r="J1206" s="7"/>
      <c r="K1206" s="7"/>
      <c r="L1206" s="8"/>
      <c r="M1206" s="7"/>
      <c r="N1206" s="7"/>
      <c r="O1206" s="8"/>
      <c r="P1206" s="6"/>
      <c r="Q1206" s="5"/>
      <c r="R1206" s="5"/>
      <c r="S1206" s="5"/>
      <c r="T1206" s="5"/>
      <c r="U1206" s="5"/>
      <c r="V1206" s="5"/>
      <c r="W1206" s="5"/>
      <c r="X1206" s="8"/>
      <c r="Y1206" s="9"/>
      <c r="Z1206" s="10"/>
      <c r="AA1206" s="10"/>
      <c r="AB1206" s="8"/>
      <c r="AC1206" s="10"/>
    </row>
    <row r="1207" spans="1:29" s="4" customFormat="1" x14ac:dyDescent="0.3">
      <c r="A1207" s="3"/>
      <c r="B1207" s="39"/>
      <c r="C1207" s="5"/>
      <c r="D1207" s="5"/>
      <c r="E1207" s="5"/>
      <c r="F1207" s="5"/>
      <c r="G1207" s="29"/>
      <c r="H1207"/>
      <c r="I1207" s="7"/>
      <c r="J1207" s="7"/>
      <c r="K1207" s="7"/>
      <c r="L1207" s="8"/>
      <c r="M1207" s="7"/>
      <c r="N1207" s="7"/>
      <c r="O1207" s="8"/>
      <c r="P1207" s="6"/>
      <c r="Q1207" s="5"/>
      <c r="R1207" s="5"/>
      <c r="S1207" s="5"/>
      <c r="T1207" s="5"/>
      <c r="U1207" s="5"/>
      <c r="V1207" s="5"/>
      <c r="W1207" s="5"/>
      <c r="X1207" s="8"/>
      <c r="Y1207" s="9"/>
      <c r="Z1207" s="10"/>
      <c r="AA1207" s="10"/>
      <c r="AB1207" s="8"/>
      <c r="AC1207" s="10"/>
    </row>
    <row r="1208" spans="1:29" s="4" customFormat="1" x14ac:dyDescent="0.3">
      <c r="A1208" s="3"/>
      <c r="B1208" s="39"/>
      <c r="C1208" s="5"/>
      <c r="D1208" s="5"/>
      <c r="E1208" s="5"/>
      <c r="F1208" s="5"/>
      <c r="G1208" s="29"/>
      <c r="H1208"/>
      <c r="I1208" s="7"/>
      <c r="J1208" s="7"/>
      <c r="K1208" s="7"/>
      <c r="L1208" s="8"/>
      <c r="M1208" s="7"/>
      <c r="N1208" s="7"/>
      <c r="O1208" s="8"/>
      <c r="P1208" s="6"/>
      <c r="Q1208" s="5"/>
      <c r="R1208" s="5"/>
      <c r="S1208" s="5"/>
      <c r="T1208" s="5"/>
      <c r="U1208" s="5"/>
      <c r="V1208" s="5"/>
      <c r="W1208" s="5"/>
      <c r="X1208" s="8"/>
      <c r="Y1208" s="9"/>
      <c r="Z1208" s="10"/>
      <c r="AA1208" s="10"/>
      <c r="AB1208" s="8"/>
      <c r="AC1208" s="10"/>
    </row>
    <row r="1209" spans="1:29" s="4" customFormat="1" x14ac:dyDescent="0.3">
      <c r="A1209" s="3"/>
      <c r="B1209" s="39"/>
      <c r="C1209" s="5"/>
      <c r="D1209" s="5"/>
      <c r="E1209" s="5"/>
      <c r="F1209" s="5"/>
      <c r="G1209" s="29"/>
      <c r="H1209"/>
      <c r="I1209" s="7"/>
      <c r="J1209" s="7"/>
      <c r="K1209" s="7"/>
      <c r="L1209" s="8"/>
      <c r="M1209" s="7"/>
      <c r="N1209" s="7"/>
      <c r="O1209" s="8"/>
      <c r="P1209" s="6"/>
      <c r="Q1209" s="5"/>
      <c r="R1209" s="5"/>
      <c r="S1209" s="5"/>
      <c r="T1209" s="5"/>
      <c r="U1209" s="5"/>
      <c r="V1209" s="5"/>
      <c r="W1209" s="5"/>
      <c r="X1209" s="8"/>
      <c r="Y1209" s="9"/>
      <c r="Z1209" s="10"/>
      <c r="AA1209" s="10"/>
      <c r="AB1209" s="8"/>
      <c r="AC1209" s="10"/>
    </row>
    <row r="1210" spans="1:29" s="4" customFormat="1" x14ac:dyDescent="0.3">
      <c r="A1210" s="3"/>
      <c r="B1210" s="39"/>
      <c r="C1210" s="5"/>
      <c r="D1210" s="5"/>
      <c r="E1210" s="5"/>
      <c r="F1210" s="5"/>
      <c r="G1210" s="29"/>
      <c r="H1210"/>
      <c r="I1210" s="7"/>
      <c r="J1210" s="7"/>
      <c r="K1210" s="7"/>
      <c r="L1210" s="8"/>
      <c r="M1210" s="7"/>
      <c r="N1210" s="7"/>
      <c r="O1210" s="8"/>
      <c r="P1210" s="6"/>
      <c r="Q1210" s="5"/>
      <c r="R1210" s="5"/>
      <c r="S1210" s="5"/>
      <c r="T1210" s="5"/>
      <c r="U1210" s="5"/>
      <c r="V1210" s="5"/>
      <c r="W1210" s="5"/>
      <c r="X1210" s="8"/>
      <c r="Y1210" s="9"/>
      <c r="Z1210" s="10"/>
      <c r="AA1210" s="10"/>
      <c r="AB1210" s="8"/>
      <c r="AC1210" s="10"/>
    </row>
    <row r="1211" spans="1:29" s="4" customFormat="1" x14ac:dyDescent="0.3">
      <c r="A1211" s="3"/>
      <c r="B1211" s="39"/>
      <c r="C1211" s="5"/>
      <c r="D1211" s="5"/>
      <c r="E1211" s="5"/>
      <c r="F1211" s="5"/>
      <c r="G1211" s="29"/>
      <c r="H1211"/>
      <c r="I1211" s="7"/>
      <c r="J1211" s="7"/>
      <c r="K1211" s="7"/>
      <c r="L1211" s="8"/>
      <c r="M1211" s="7"/>
      <c r="N1211" s="7"/>
      <c r="O1211" s="8"/>
      <c r="P1211" s="6"/>
      <c r="Q1211" s="5"/>
      <c r="R1211" s="5"/>
      <c r="S1211" s="5"/>
      <c r="T1211" s="5"/>
      <c r="U1211" s="5"/>
      <c r="V1211" s="5"/>
      <c r="W1211" s="5"/>
      <c r="X1211" s="8"/>
      <c r="Y1211" s="9"/>
      <c r="Z1211" s="10"/>
      <c r="AA1211" s="10"/>
      <c r="AB1211" s="8"/>
      <c r="AC1211" s="10"/>
    </row>
    <row r="1212" spans="1:29" s="4" customFormat="1" x14ac:dyDescent="0.3">
      <c r="A1212" s="3"/>
      <c r="B1212" s="39"/>
      <c r="C1212" s="5"/>
      <c r="D1212" s="5"/>
      <c r="E1212" s="5"/>
      <c r="F1212" s="5"/>
      <c r="G1212" s="29"/>
      <c r="H1212"/>
      <c r="I1212" s="7"/>
      <c r="J1212" s="7"/>
      <c r="K1212" s="7"/>
      <c r="L1212" s="8"/>
      <c r="M1212" s="7"/>
      <c r="N1212" s="7"/>
      <c r="O1212" s="8"/>
      <c r="P1212" s="6"/>
      <c r="Q1212" s="5"/>
      <c r="R1212" s="5"/>
      <c r="S1212" s="5"/>
      <c r="T1212" s="5"/>
      <c r="U1212" s="5"/>
      <c r="V1212" s="5"/>
      <c r="W1212" s="5"/>
      <c r="X1212" s="8"/>
      <c r="Y1212" s="9"/>
      <c r="Z1212" s="10"/>
      <c r="AA1212" s="10"/>
      <c r="AB1212" s="8"/>
      <c r="AC1212" s="10"/>
    </row>
    <row r="1213" spans="1:29" s="4" customFormat="1" x14ac:dyDescent="0.3">
      <c r="A1213" s="3"/>
      <c r="B1213" s="39"/>
      <c r="C1213" s="5"/>
      <c r="D1213" s="5"/>
      <c r="E1213" s="5"/>
      <c r="F1213" s="5"/>
      <c r="G1213" s="29"/>
      <c r="H1213"/>
      <c r="I1213" s="7"/>
      <c r="J1213" s="7"/>
      <c r="K1213" s="7"/>
      <c r="L1213" s="8"/>
      <c r="M1213" s="7"/>
      <c r="N1213" s="7"/>
      <c r="O1213" s="8"/>
      <c r="P1213" s="6"/>
      <c r="Q1213" s="5"/>
      <c r="R1213" s="5"/>
      <c r="S1213" s="5"/>
      <c r="T1213" s="5"/>
      <c r="U1213" s="5"/>
      <c r="V1213" s="5"/>
      <c r="W1213" s="5"/>
      <c r="X1213" s="8"/>
      <c r="Y1213" s="9"/>
      <c r="Z1213" s="10"/>
      <c r="AA1213" s="10"/>
      <c r="AB1213" s="8"/>
      <c r="AC1213" s="10"/>
    </row>
    <row r="1214" spans="1:29" s="4" customFormat="1" x14ac:dyDescent="0.3">
      <c r="A1214" s="3"/>
      <c r="B1214" s="39"/>
      <c r="C1214" s="5"/>
      <c r="D1214" s="5"/>
      <c r="E1214" s="5"/>
      <c r="F1214" s="5"/>
      <c r="G1214" s="29"/>
      <c r="H1214"/>
      <c r="I1214" s="7"/>
      <c r="J1214" s="7"/>
      <c r="K1214" s="7"/>
      <c r="L1214" s="8"/>
      <c r="M1214" s="7"/>
      <c r="N1214" s="7"/>
      <c r="O1214" s="8"/>
      <c r="P1214" s="6"/>
      <c r="Q1214" s="5"/>
      <c r="R1214" s="5"/>
      <c r="S1214" s="5"/>
      <c r="T1214" s="5"/>
      <c r="U1214" s="5"/>
      <c r="V1214" s="5"/>
      <c r="W1214" s="5"/>
      <c r="X1214" s="8"/>
      <c r="Y1214" s="9"/>
      <c r="Z1214" s="10"/>
      <c r="AA1214" s="10"/>
      <c r="AB1214" s="8"/>
      <c r="AC1214" s="10"/>
    </row>
    <row r="1215" spans="1:29" s="4" customFormat="1" x14ac:dyDescent="0.3">
      <c r="A1215" s="3"/>
      <c r="B1215" s="39"/>
      <c r="C1215" s="5"/>
      <c r="D1215" s="5"/>
      <c r="E1215" s="5"/>
      <c r="F1215" s="5"/>
      <c r="G1215" s="29"/>
      <c r="H1215"/>
      <c r="I1215" s="7"/>
      <c r="J1215" s="7"/>
      <c r="K1215" s="7"/>
      <c r="L1215" s="8"/>
      <c r="M1215" s="7"/>
      <c r="N1215" s="7"/>
      <c r="O1215" s="8"/>
      <c r="P1215" s="6"/>
      <c r="Q1215" s="5"/>
      <c r="R1215" s="5"/>
      <c r="S1215" s="5"/>
      <c r="T1215" s="5"/>
      <c r="U1215" s="5"/>
      <c r="V1215" s="5"/>
      <c r="W1215" s="5"/>
      <c r="X1215" s="8"/>
      <c r="Y1215" s="9"/>
      <c r="Z1215" s="10"/>
      <c r="AA1215" s="10"/>
      <c r="AB1215" s="8"/>
      <c r="AC1215" s="10"/>
    </row>
    <row r="1216" spans="1:29" s="4" customFormat="1" x14ac:dyDescent="0.3">
      <c r="A1216" s="3"/>
      <c r="B1216" s="39"/>
      <c r="C1216" s="5"/>
      <c r="D1216" s="5"/>
      <c r="E1216" s="5"/>
      <c r="F1216" s="5"/>
      <c r="G1216" s="29"/>
      <c r="H1216"/>
      <c r="I1216" s="7"/>
      <c r="J1216" s="7"/>
      <c r="K1216" s="7"/>
      <c r="L1216" s="8"/>
      <c r="M1216" s="7"/>
      <c r="N1216" s="7"/>
      <c r="O1216" s="8"/>
      <c r="P1216" s="6"/>
      <c r="Q1216" s="5"/>
      <c r="R1216" s="5"/>
      <c r="S1216" s="5"/>
      <c r="T1216" s="5"/>
      <c r="U1216" s="5"/>
      <c r="V1216" s="5"/>
      <c r="W1216" s="5"/>
      <c r="X1216" s="8"/>
      <c r="Y1216" s="9"/>
      <c r="Z1216" s="10"/>
      <c r="AA1216" s="10"/>
      <c r="AB1216" s="8"/>
      <c r="AC1216" s="10"/>
    </row>
    <row r="1217" spans="1:29" s="4" customFormat="1" x14ac:dyDescent="0.3">
      <c r="A1217" s="3"/>
      <c r="B1217" s="39"/>
      <c r="C1217" s="5"/>
      <c r="D1217" s="5"/>
      <c r="E1217" s="5"/>
      <c r="F1217" s="5"/>
      <c r="G1217" s="29"/>
      <c r="H1217"/>
      <c r="I1217" s="7"/>
      <c r="J1217" s="7"/>
      <c r="K1217" s="7"/>
      <c r="L1217" s="8"/>
      <c r="M1217" s="7"/>
      <c r="N1217" s="7"/>
      <c r="O1217" s="8"/>
      <c r="P1217" s="6"/>
      <c r="Q1217" s="5"/>
      <c r="R1217" s="5"/>
      <c r="S1217" s="5"/>
      <c r="T1217" s="5"/>
      <c r="U1217" s="5"/>
      <c r="V1217" s="5"/>
      <c r="W1217" s="5"/>
      <c r="X1217" s="8"/>
      <c r="Y1217" s="9"/>
      <c r="Z1217" s="10"/>
      <c r="AA1217" s="10"/>
      <c r="AB1217" s="8"/>
      <c r="AC1217" s="10"/>
    </row>
    <row r="1218" spans="1:29" s="4" customFormat="1" x14ac:dyDescent="0.3">
      <c r="A1218" s="3"/>
      <c r="B1218" s="39"/>
      <c r="C1218" s="5"/>
      <c r="D1218" s="5"/>
      <c r="E1218" s="5"/>
      <c r="F1218" s="5"/>
      <c r="G1218" s="29"/>
      <c r="H1218"/>
      <c r="I1218" s="7"/>
      <c r="J1218" s="7"/>
      <c r="K1218" s="7"/>
      <c r="L1218" s="8"/>
      <c r="M1218" s="7"/>
      <c r="N1218" s="7"/>
      <c r="O1218" s="8"/>
      <c r="P1218" s="6"/>
      <c r="Q1218" s="5"/>
      <c r="R1218" s="5"/>
      <c r="S1218" s="5"/>
      <c r="T1218" s="5"/>
      <c r="U1218" s="5"/>
      <c r="V1218" s="5"/>
      <c r="W1218" s="5"/>
      <c r="X1218" s="8"/>
      <c r="Y1218" s="9"/>
      <c r="Z1218" s="10"/>
      <c r="AA1218" s="10"/>
      <c r="AB1218" s="8"/>
      <c r="AC1218" s="10"/>
    </row>
    <row r="1219" spans="1:29" s="4" customFormat="1" x14ac:dyDescent="0.3">
      <c r="A1219" s="3"/>
      <c r="B1219" s="39"/>
      <c r="C1219" s="5"/>
      <c r="D1219" s="5"/>
      <c r="E1219" s="5"/>
      <c r="F1219" s="5"/>
      <c r="G1219" s="29"/>
      <c r="H1219"/>
      <c r="I1219" s="7"/>
      <c r="J1219" s="7"/>
      <c r="K1219" s="7"/>
      <c r="L1219" s="8"/>
      <c r="M1219" s="7"/>
      <c r="N1219" s="7"/>
      <c r="O1219" s="8"/>
      <c r="P1219" s="6"/>
      <c r="Q1219" s="5"/>
      <c r="R1219" s="5"/>
      <c r="S1219" s="5"/>
      <c r="T1219" s="5"/>
      <c r="U1219" s="5"/>
      <c r="V1219" s="5"/>
      <c r="W1219" s="5"/>
      <c r="X1219" s="8"/>
      <c r="Y1219" s="9"/>
      <c r="Z1219" s="10"/>
      <c r="AA1219" s="10"/>
      <c r="AB1219" s="8"/>
      <c r="AC1219" s="10"/>
    </row>
    <row r="1220" spans="1:29" s="4" customFormat="1" x14ac:dyDescent="0.3">
      <c r="A1220" s="3"/>
      <c r="B1220" s="39"/>
      <c r="C1220" s="5"/>
      <c r="D1220" s="5"/>
      <c r="E1220" s="5"/>
      <c r="F1220" s="5"/>
      <c r="G1220" s="29"/>
      <c r="H1220"/>
      <c r="I1220" s="7"/>
      <c r="J1220" s="7"/>
      <c r="K1220" s="7"/>
      <c r="L1220" s="8"/>
      <c r="M1220" s="7"/>
      <c r="N1220" s="7"/>
      <c r="O1220" s="8"/>
      <c r="P1220" s="6"/>
      <c r="Q1220" s="5"/>
      <c r="R1220" s="5"/>
      <c r="S1220" s="5"/>
      <c r="T1220" s="5"/>
      <c r="U1220" s="5"/>
      <c r="V1220" s="5"/>
      <c r="W1220" s="5"/>
      <c r="X1220" s="8"/>
      <c r="Y1220" s="9"/>
      <c r="Z1220" s="10"/>
      <c r="AA1220" s="10"/>
      <c r="AB1220" s="8"/>
      <c r="AC1220" s="10"/>
    </row>
    <row r="1221" spans="1:29" s="4" customFormat="1" x14ac:dyDescent="0.3">
      <c r="A1221" s="3"/>
      <c r="B1221" s="39"/>
      <c r="C1221" s="5"/>
      <c r="D1221" s="5"/>
      <c r="E1221" s="5"/>
      <c r="F1221" s="5"/>
      <c r="G1221" s="29"/>
      <c r="H1221"/>
      <c r="I1221" s="7"/>
      <c r="J1221" s="7"/>
      <c r="K1221" s="7"/>
      <c r="L1221" s="8"/>
      <c r="M1221" s="7"/>
      <c r="N1221" s="7"/>
      <c r="O1221" s="8"/>
      <c r="P1221" s="6"/>
      <c r="Q1221" s="5"/>
      <c r="R1221" s="5"/>
      <c r="S1221" s="5"/>
      <c r="T1221" s="5"/>
      <c r="U1221" s="5"/>
      <c r="V1221" s="5"/>
      <c r="W1221" s="5"/>
      <c r="X1221" s="8"/>
      <c r="Y1221" s="9"/>
      <c r="Z1221" s="10"/>
      <c r="AA1221" s="10"/>
      <c r="AB1221" s="8"/>
      <c r="AC1221" s="10"/>
    </row>
    <row r="1222" spans="1:29" s="4" customFormat="1" x14ac:dyDescent="0.3">
      <c r="A1222" s="3"/>
      <c r="B1222" s="39"/>
      <c r="C1222" s="5"/>
      <c r="D1222" s="5"/>
      <c r="E1222" s="5"/>
      <c r="F1222" s="5"/>
      <c r="G1222" s="29"/>
      <c r="H1222"/>
      <c r="I1222" s="7"/>
      <c r="J1222" s="7"/>
      <c r="K1222" s="7"/>
      <c r="L1222" s="8"/>
      <c r="M1222" s="7"/>
      <c r="N1222" s="7"/>
      <c r="O1222" s="8"/>
      <c r="P1222" s="6"/>
      <c r="Q1222" s="5"/>
      <c r="R1222" s="5"/>
      <c r="S1222" s="5"/>
      <c r="T1222" s="5"/>
      <c r="U1222" s="5"/>
      <c r="V1222" s="5"/>
      <c r="W1222" s="5"/>
      <c r="X1222" s="8"/>
      <c r="Y1222" s="9"/>
      <c r="Z1222" s="10"/>
      <c r="AA1222" s="10"/>
      <c r="AB1222" s="8"/>
      <c r="AC1222" s="10"/>
    </row>
    <row r="1223" spans="1:29" s="4" customFormat="1" x14ac:dyDescent="0.3">
      <c r="A1223" s="3"/>
      <c r="B1223" s="39"/>
      <c r="C1223" s="5"/>
      <c r="D1223" s="5"/>
      <c r="E1223" s="5"/>
      <c r="F1223" s="5"/>
      <c r="G1223" s="29"/>
      <c r="H1223"/>
      <c r="I1223" s="7"/>
      <c r="J1223" s="7"/>
      <c r="K1223" s="7"/>
      <c r="L1223" s="8"/>
      <c r="M1223" s="7"/>
      <c r="N1223" s="7"/>
      <c r="O1223" s="8"/>
      <c r="P1223" s="6"/>
      <c r="Q1223" s="5"/>
      <c r="R1223" s="5"/>
      <c r="S1223" s="5"/>
      <c r="T1223" s="5"/>
      <c r="U1223" s="5"/>
      <c r="V1223" s="5"/>
      <c r="W1223" s="5"/>
      <c r="X1223" s="8"/>
      <c r="Y1223" s="9"/>
      <c r="Z1223" s="10"/>
      <c r="AA1223" s="10"/>
      <c r="AB1223" s="8"/>
      <c r="AC1223" s="10"/>
    </row>
    <row r="1224" spans="1:29" s="4" customFormat="1" x14ac:dyDescent="0.3">
      <c r="A1224" s="3"/>
      <c r="B1224" s="39"/>
      <c r="C1224" s="5"/>
      <c r="D1224" s="5"/>
      <c r="E1224" s="5"/>
      <c r="F1224" s="5"/>
      <c r="G1224" s="29"/>
      <c r="H1224"/>
      <c r="I1224" s="7"/>
      <c r="J1224" s="7"/>
      <c r="K1224" s="7"/>
      <c r="L1224" s="8"/>
      <c r="M1224" s="7"/>
      <c r="N1224" s="7"/>
      <c r="O1224" s="8"/>
      <c r="P1224" s="6"/>
      <c r="Q1224" s="5"/>
      <c r="R1224" s="5"/>
      <c r="S1224" s="5"/>
      <c r="T1224" s="5"/>
      <c r="U1224" s="5"/>
      <c r="V1224" s="5"/>
      <c r="W1224" s="5"/>
      <c r="X1224" s="8"/>
      <c r="Y1224" s="9"/>
      <c r="Z1224" s="10"/>
      <c r="AA1224" s="10"/>
      <c r="AB1224" s="8"/>
      <c r="AC1224" s="10"/>
    </row>
    <row r="1225" spans="1:29" s="4" customFormat="1" x14ac:dyDescent="0.3">
      <c r="A1225" s="3"/>
      <c r="B1225" s="39"/>
      <c r="C1225" s="5"/>
      <c r="D1225" s="5"/>
      <c r="E1225" s="5"/>
      <c r="F1225" s="5"/>
      <c r="G1225" s="29"/>
      <c r="H1225"/>
      <c r="I1225" s="7"/>
      <c r="J1225" s="7"/>
      <c r="K1225" s="7"/>
      <c r="L1225" s="8"/>
      <c r="M1225" s="7"/>
      <c r="N1225" s="7"/>
      <c r="O1225" s="8"/>
      <c r="P1225" s="6"/>
      <c r="Q1225" s="5"/>
      <c r="R1225" s="5"/>
      <c r="S1225" s="5"/>
      <c r="T1225" s="5"/>
      <c r="U1225" s="5"/>
      <c r="V1225" s="5"/>
      <c r="W1225" s="5"/>
      <c r="X1225" s="8"/>
      <c r="Y1225" s="9"/>
      <c r="Z1225" s="10"/>
      <c r="AA1225" s="10"/>
      <c r="AB1225" s="8"/>
      <c r="AC1225" s="10"/>
    </row>
    <row r="1226" spans="1:29" s="4" customFormat="1" x14ac:dyDescent="0.3">
      <c r="A1226" s="3"/>
      <c r="B1226" s="39"/>
      <c r="C1226" s="5"/>
      <c r="D1226" s="5"/>
      <c r="E1226" s="5"/>
      <c r="F1226" s="5"/>
      <c r="G1226" s="29"/>
      <c r="H1226"/>
      <c r="I1226" s="7"/>
      <c r="J1226" s="7"/>
      <c r="K1226" s="7"/>
      <c r="L1226" s="8"/>
      <c r="M1226" s="7"/>
      <c r="N1226" s="7"/>
      <c r="O1226" s="8"/>
      <c r="P1226" s="6"/>
      <c r="Q1226" s="5"/>
      <c r="R1226" s="5"/>
      <c r="S1226" s="5"/>
      <c r="T1226" s="5"/>
      <c r="U1226" s="5"/>
      <c r="V1226" s="5"/>
      <c r="W1226" s="5"/>
      <c r="X1226" s="8"/>
      <c r="Y1226" s="9"/>
      <c r="Z1226" s="10"/>
      <c r="AA1226" s="10"/>
      <c r="AB1226" s="8"/>
      <c r="AC1226" s="10"/>
    </row>
    <row r="1227" spans="1:29" s="4" customFormat="1" x14ac:dyDescent="0.3">
      <c r="A1227" s="3"/>
      <c r="B1227" s="39"/>
      <c r="C1227" s="5"/>
      <c r="D1227" s="5"/>
      <c r="E1227" s="5"/>
      <c r="F1227" s="5"/>
      <c r="G1227" s="29"/>
      <c r="H1227"/>
      <c r="I1227" s="7"/>
      <c r="J1227" s="7"/>
      <c r="K1227" s="7"/>
      <c r="L1227" s="8"/>
      <c r="M1227" s="7"/>
      <c r="N1227" s="7"/>
      <c r="O1227" s="8"/>
      <c r="P1227" s="6"/>
      <c r="Q1227" s="5"/>
      <c r="R1227" s="5"/>
      <c r="S1227" s="5"/>
      <c r="T1227" s="5"/>
      <c r="U1227" s="5"/>
      <c r="V1227" s="5"/>
      <c r="W1227" s="5"/>
      <c r="X1227" s="8"/>
      <c r="Y1227" s="9"/>
      <c r="Z1227" s="10"/>
      <c r="AA1227" s="10"/>
      <c r="AB1227" s="8"/>
      <c r="AC1227" s="10"/>
    </row>
    <row r="1228" spans="1:29" s="4" customFormat="1" x14ac:dyDescent="0.3">
      <c r="A1228" s="3"/>
      <c r="B1228" s="39"/>
      <c r="C1228" s="5"/>
      <c r="D1228" s="5"/>
      <c r="E1228" s="5"/>
      <c r="F1228" s="5"/>
      <c r="G1228" s="29"/>
      <c r="H1228"/>
      <c r="I1228" s="7"/>
      <c r="J1228" s="7"/>
      <c r="K1228" s="7"/>
      <c r="L1228" s="8"/>
      <c r="M1228" s="7"/>
      <c r="N1228" s="7"/>
      <c r="O1228" s="8"/>
      <c r="P1228" s="6"/>
      <c r="Q1228" s="5"/>
      <c r="R1228" s="5"/>
      <c r="S1228" s="5"/>
      <c r="T1228" s="5"/>
      <c r="U1228" s="5"/>
      <c r="V1228" s="5"/>
      <c r="W1228" s="5"/>
      <c r="X1228" s="8"/>
      <c r="Y1228" s="9"/>
      <c r="Z1228" s="10"/>
      <c r="AA1228" s="10"/>
      <c r="AB1228" s="8"/>
      <c r="AC1228" s="10"/>
    </row>
    <row r="1229" spans="1:29" s="4" customFormat="1" x14ac:dyDescent="0.3">
      <c r="A1229" s="3"/>
      <c r="B1229" s="39"/>
      <c r="C1229" s="5"/>
      <c r="D1229" s="5"/>
      <c r="E1229" s="5"/>
      <c r="F1229" s="5"/>
      <c r="G1229" s="29"/>
      <c r="H1229"/>
      <c r="I1229" s="7"/>
      <c r="J1229" s="7"/>
      <c r="K1229" s="7"/>
      <c r="L1229" s="8"/>
      <c r="M1229" s="7"/>
      <c r="N1229" s="7"/>
      <c r="O1229" s="8"/>
      <c r="P1229" s="6"/>
      <c r="Q1229" s="5"/>
      <c r="R1229" s="5"/>
      <c r="S1229" s="5"/>
      <c r="T1229" s="5"/>
      <c r="U1229" s="5"/>
      <c r="V1229" s="5"/>
      <c r="W1229" s="5"/>
      <c r="X1229" s="8"/>
      <c r="Y1229" s="9"/>
      <c r="Z1229" s="10"/>
      <c r="AA1229" s="10"/>
      <c r="AB1229" s="8"/>
      <c r="AC1229" s="10"/>
    </row>
    <row r="1230" spans="1:29" s="4" customFormat="1" x14ac:dyDescent="0.3">
      <c r="A1230" s="3"/>
      <c r="B1230" s="39"/>
      <c r="C1230" s="5"/>
      <c r="D1230" s="5"/>
      <c r="E1230" s="5"/>
      <c r="F1230" s="5"/>
      <c r="G1230" s="29"/>
      <c r="H1230"/>
      <c r="I1230" s="7"/>
      <c r="J1230" s="7"/>
      <c r="K1230" s="7"/>
      <c r="L1230" s="8"/>
      <c r="M1230" s="7"/>
      <c r="N1230" s="7"/>
      <c r="O1230" s="8"/>
      <c r="P1230" s="6"/>
      <c r="Q1230" s="5"/>
      <c r="R1230" s="5"/>
      <c r="S1230" s="5"/>
      <c r="T1230" s="5"/>
      <c r="U1230" s="5"/>
      <c r="V1230" s="5"/>
      <c r="W1230" s="5"/>
      <c r="X1230" s="8"/>
      <c r="Y1230" s="9"/>
      <c r="Z1230" s="10"/>
      <c r="AA1230" s="10"/>
      <c r="AB1230" s="8"/>
      <c r="AC1230" s="10"/>
    </row>
    <row r="1231" spans="1:29" s="4" customFormat="1" x14ac:dyDescent="0.3">
      <c r="A1231" s="3"/>
      <c r="B1231" s="39"/>
      <c r="C1231" s="5"/>
      <c r="D1231" s="5"/>
      <c r="E1231" s="5"/>
      <c r="F1231" s="5"/>
      <c r="G1231" s="29"/>
      <c r="H1231"/>
      <c r="I1231" s="7"/>
      <c r="J1231" s="7"/>
      <c r="K1231" s="7"/>
      <c r="L1231" s="8"/>
      <c r="M1231" s="7"/>
      <c r="N1231" s="7"/>
      <c r="O1231" s="8"/>
      <c r="P1231" s="6"/>
      <c r="Q1231" s="5"/>
      <c r="R1231" s="5"/>
      <c r="S1231" s="5"/>
      <c r="T1231" s="5"/>
      <c r="U1231" s="5"/>
      <c r="V1231" s="5"/>
      <c r="W1231" s="5"/>
      <c r="X1231" s="8"/>
      <c r="Y1231" s="9"/>
      <c r="Z1231" s="10"/>
      <c r="AA1231" s="10"/>
      <c r="AB1231" s="8"/>
      <c r="AC1231" s="10"/>
    </row>
    <row r="1232" spans="1:29" s="4" customFormat="1" x14ac:dyDescent="0.3">
      <c r="A1232" s="3"/>
      <c r="B1232" s="39"/>
      <c r="C1232" s="5"/>
      <c r="D1232" s="5"/>
      <c r="E1232" s="5"/>
      <c r="F1232" s="5"/>
      <c r="G1232" s="29"/>
      <c r="H1232"/>
      <c r="I1232" s="7"/>
      <c r="J1232" s="7"/>
      <c r="K1232" s="7"/>
      <c r="L1232" s="8"/>
      <c r="M1232" s="7"/>
      <c r="N1232" s="7"/>
      <c r="O1232" s="8"/>
      <c r="P1232" s="6"/>
      <c r="Q1232" s="5"/>
      <c r="R1232" s="5"/>
      <c r="S1232" s="5"/>
      <c r="T1232" s="5"/>
      <c r="U1232" s="5"/>
      <c r="V1232" s="5"/>
      <c r="W1232" s="5"/>
      <c r="X1232" s="8"/>
      <c r="Y1232" s="9"/>
      <c r="Z1232" s="10"/>
      <c r="AA1232" s="10"/>
      <c r="AB1232" s="8"/>
      <c r="AC1232" s="10"/>
    </row>
    <row r="1233" spans="1:29" s="4" customFormat="1" x14ac:dyDescent="0.3">
      <c r="A1233" s="3"/>
      <c r="B1233" s="39"/>
      <c r="C1233" s="5"/>
      <c r="D1233" s="5"/>
      <c r="E1233" s="5"/>
      <c r="F1233" s="5"/>
      <c r="G1233" s="29"/>
      <c r="H1233"/>
      <c r="I1233" s="7"/>
      <c r="J1233" s="7"/>
      <c r="K1233" s="7"/>
      <c r="L1233" s="8"/>
      <c r="M1233" s="7"/>
      <c r="N1233" s="7"/>
      <c r="O1233" s="8"/>
      <c r="P1233" s="6"/>
      <c r="Q1233" s="5"/>
      <c r="R1233" s="5"/>
      <c r="S1233" s="5"/>
      <c r="T1233" s="5"/>
      <c r="U1233" s="5"/>
      <c r="V1233" s="5"/>
      <c r="W1233" s="5"/>
      <c r="X1233" s="8"/>
      <c r="Y1233" s="9"/>
      <c r="Z1233" s="10"/>
      <c r="AA1233" s="10"/>
      <c r="AB1233" s="8"/>
      <c r="AC1233" s="10"/>
    </row>
    <row r="1234" spans="1:29" s="4" customFormat="1" x14ac:dyDescent="0.3">
      <c r="A1234" s="3"/>
      <c r="B1234" s="39"/>
      <c r="C1234" s="5"/>
      <c r="D1234" s="5"/>
      <c r="E1234" s="5"/>
      <c r="F1234" s="5"/>
      <c r="G1234" s="29"/>
      <c r="H1234"/>
      <c r="I1234" s="7"/>
      <c r="J1234" s="7"/>
      <c r="K1234" s="7"/>
      <c r="L1234" s="8"/>
      <c r="M1234" s="7"/>
      <c r="N1234" s="7"/>
      <c r="O1234" s="8"/>
      <c r="P1234" s="6"/>
      <c r="Q1234" s="5"/>
      <c r="R1234" s="5"/>
      <c r="S1234" s="5"/>
      <c r="T1234" s="5"/>
      <c r="U1234" s="5"/>
      <c r="V1234" s="5"/>
      <c r="W1234" s="5"/>
      <c r="X1234" s="8"/>
      <c r="Y1234" s="9"/>
      <c r="Z1234" s="10"/>
      <c r="AA1234" s="10"/>
      <c r="AB1234" s="8"/>
      <c r="AC1234" s="10"/>
    </row>
    <row r="1235" spans="1:29" s="4" customFormat="1" x14ac:dyDescent="0.3">
      <c r="A1235" s="3"/>
      <c r="B1235" s="39"/>
      <c r="C1235" s="5"/>
      <c r="D1235" s="5"/>
      <c r="E1235" s="5"/>
      <c r="F1235" s="5"/>
      <c r="G1235" s="29"/>
      <c r="H1235"/>
      <c r="I1235" s="7"/>
      <c r="J1235" s="7"/>
      <c r="K1235" s="7"/>
      <c r="L1235" s="8"/>
      <c r="M1235" s="7"/>
      <c r="N1235" s="7"/>
      <c r="O1235" s="8"/>
      <c r="P1235" s="6"/>
      <c r="Q1235" s="5"/>
      <c r="R1235" s="5"/>
      <c r="S1235" s="5"/>
      <c r="T1235" s="5"/>
      <c r="U1235" s="5"/>
      <c r="V1235" s="5"/>
      <c r="W1235" s="5"/>
      <c r="X1235" s="8"/>
      <c r="Y1235" s="9"/>
      <c r="Z1235" s="10"/>
      <c r="AA1235" s="10"/>
      <c r="AB1235" s="8"/>
      <c r="AC1235" s="10"/>
    </row>
    <row r="1236" spans="1:29" s="4" customFormat="1" x14ac:dyDescent="0.3">
      <c r="A1236" s="3"/>
      <c r="B1236" s="39"/>
      <c r="C1236" s="5"/>
      <c r="D1236" s="5"/>
      <c r="E1236" s="5"/>
      <c r="F1236" s="5"/>
      <c r="G1236" s="29"/>
      <c r="H1236"/>
      <c r="I1236" s="7"/>
      <c r="J1236" s="7"/>
      <c r="K1236" s="7"/>
      <c r="L1236" s="8"/>
      <c r="M1236" s="7"/>
      <c r="N1236" s="7"/>
      <c r="O1236" s="8"/>
      <c r="P1236" s="6"/>
      <c r="Q1236" s="5"/>
      <c r="R1236" s="5"/>
      <c r="S1236" s="5"/>
      <c r="T1236" s="5"/>
      <c r="U1236" s="5"/>
      <c r="V1236" s="5"/>
      <c r="W1236" s="5"/>
      <c r="X1236" s="8"/>
      <c r="Y1236" s="9"/>
      <c r="Z1236" s="10"/>
      <c r="AA1236" s="10"/>
      <c r="AB1236" s="8"/>
      <c r="AC1236" s="10"/>
    </row>
    <row r="1237" spans="1:29" s="4" customFormat="1" x14ac:dyDescent="0.3">
      <c r="A1237" s="3"/>
      <c r="B1237" s="39"/>
      <c r="C1237" s="5"/>
      <c r="D1237" s="5"/>
      <c r="E1237" s="5"/>
      <c r="F1237" s="5"/>
      <c r="G1237" s="29"/>
      <c r="H1237"/>
      <c r="I1237" s="7"/>
      <c r="J1237" s="7"/>
      <c r="K1237" s="7"/>
      <c r="L1237" s="8"/>
      <c r="M1237" s="7"/>
      <c r="N1237" s="7"/>
      <c r="O1237" s="8"/>
      <c r="P1237" s="6"/>
      <c r="Q1237" s="5"/>
      <c r="R1237" s="5"/>
      <c r="S1237" s="5"/>
      <c r="T1237" s="5"/>
      <c r="U1237" s="5"/>
      <c r="V1237" s="5"/>
      <c r="W1237" s="5"/>
      <c r="X1237" s="8"/>
      <c r="Y1237" s="9"/>
      <c r="Z1237" s="10"/>
      <c r="AA1237" s="10"/>
      <c r="AB1237" s="8"/>
      <c r="AC1237" s="10"/>
    </row>
    <row r="1238" spans="1:29" s="4" customFormat="1" x14ac:dyDescent="0.3">
      <c r="A1238" s="3"/>
      <c r="B1238" s="39"/>
      <c r="C1238" s="5"/>
      <c r="D1238" s="5"/>
      <c r="E1238" s="5"/>
      <c r="F1238" s="5"/>
      <c r="G1238" s="29"/>
      <c r="H1238"/>
      <c r="I1238" s="7"/>
      <c r="J1238" s="7"/>
      <c r="K1238" s="7"/>
      <c r="L1238" s="8"/>
      <c r="M1238" s="7"/>
      <c r="N1238" s="7"/>
      <c r="O1238" s="8"/>
      <c r="P1238" s="6"/>
      <c r="Q1238" s="5"/>
      <c r="R1238" s="5"/>
      <c r="S1238" s="5"/>
      <c r="T1238" s="5"/>
      <c r="U1238" s="5"/>
      <c r="V1238" s="5"/>
      <c r="W1238" s="5"/>
      <c r="X1238" s="8"/>
      <c r="Y1238" s="9"/>
      <c r="Z1238" s="10"/>
      <c r="AA1238" s="10"/>
      <c r="AB1238" s="8"/>
      <c r="AC1238" s="10"/>
    </row>
    <row r="1239" spans="1:29" s="4" customFormat="1" x14ac:dyDescent="0.3">
      <c r="A1239" s="3"/>
      <c r="B1239" s="39"/>
      <c r="C1239" s="5"/>
      <c r="D1239" s="5"/>
      <c r="E1239" s="5"/>
      <c r="F1239" s="5"/>
      <c r="G1239" s="29"/>
      <c r="H1239"/>
      <c r="I1239" s="7"/>
      <c r="J1239" s="7"/>
      <c r="K1239" s="7"/>
      <c r="L1239" s="8"/>
      <c r="M1239" s="7"/>
      <c r="N1239" s="7"/>
      <c r="O1239" s="8"/>
      <c r="P1239" s="6"/>
      <c r="Q1239" s="5"/>
      <c r="R1239" s="5"/>
      <c r="S1239" s="5"/>
      <c r="T1239" s="5"/>
      <c r="U1239" s="5"/>
      <c r="V1239" s="5"/>
      <c r="W1239" s="5"/>
      <c r="X1239" s="8"/>
      <c r="Y1239" s="9"/>
      <c r="Z1239" s="10"/>
      <c r="AA1239" s="10"/>
      <c r="AB1239" s="8"/>
      <c r="AC1239" s="10"/>
    </row>
    <row r="1240" spans="1:29" s="4" customFormat="1" x14ac:dyDescent="0.3">
      <c r="A1240" s="3"/>
      <c r="B1240" s="39"/>
      <c r="C1240" s="5"/>
      <c r="D1240" s="5"/>
      <c r="E1240" s="5"/>
      <c r="F1240" s="5"/>
      <c r="G1240" s="29"/>
      <c r="H1240"/>
      <c r="I1240" s="7"/>
      <c r="J1240" s="7"/>
      <c r="K1240" s="7"/>
      <c r="L1240" s="8"/>
      <c r="M1240" s="7"/>
      <c r="N1240" s="7"/>
      <c r="O1240" s="8"/>
      <c r="P1240" s="6"/>
      <c r="Q1240" s="5"/>
      <c r="R1240" s="5"/>
      <c r="S1240" s="5"/>
      <c r="T1240" s="5"/>
      <c r="U1240" s="5"/>
      <c r="V1240" s="5"/>
      <c r="W1240" s="5"/>
      <c r="X1240" s="8"/>
      <c r="Y1240" s="9"/>
      <c r="Z1240" s="10"/>
      <c r="AA1240" s="10"/>
      <c r="AB1240" s="8"/>
      <c r="AC1240" s="10"/>
    </row>
    <row r="1241" spans="1:29" s="4" customFormat="1" x14ac:dyDescent="0.3">
      <c r="A1241" s="3"/>
      <c r="B1241" s="39"/>
      <c r="C1241" s="5"/>
      <c r="D1241" s="5"/>
      <c r="E1241" s="5"/>
      <c r="F1241" s="5"/>
      <c r="G1241" s="29"/>
      <c r="H1241"/>
      <c r="I1241" s="7"/>
      <c r="J1241" s="7"/>
      <c r="K1241" s="7"/>
      <c r="L1241" s="8"/>
      <c r="M1241" s="7"/>
      <c r="N1241" s="7"/>
      <c r="O1241" s="8"/>
      <c r="P1241" s="6"/>
      <c r="Q1241" s="5"/>
      <c r="R1241" s="5"/>
      <c r="S1241" s="5"/>
      <c r="T1241" s="5"/>
      <c r="U1241" s="5"/>
      <c r="V1241" s="5"/>
      <c r="W1241" s="5"/>
      <c r="X1241" s="8"/>
      <c r="Y1241" s="9"/>
      <c r="Z1241" s="10"/>
      <c r="AA1241" s="10"/>
      <c r="AB1241" s="8"/>
      <c r="AC1241" s="10"/>
    </row>
    <row r="1242" spans="1:29" s="4" customFormat="1" x14ac:dyDescent="0.3">
      <c r="A1242" s="3"/>
      <c r="B1242" s="39"/>
      <c r="C1242" s="5"/>
      <c r="D1242" s="5"/>
      <c r="E1242" s="5"/>
      <c r="F1242" s="5"/>
      <c r="G1242" s="29"/>
      <c r="H1242"/>
      <c r="I1242" s="7"/>
      <c r="J1242" s="7"/>
      <c r="K1242" s="7"/>
      <c r="L1242" s="8"/>
      <c r="M1242" s="7"/>
      <c r="N1242" s="7"/>
      <c r="O1242" s="8"/>
      <c r="P1242" s="6"/>
      <c r="Q1242" s="5"/>
      <c r="R1242" s="5"/>
      <c r="S1242" s="5"/>
      <c r="T1242" s="5"/>
      <c r="U1242" s="5"/>
      <c r="V1242" s="5"/>
      <c r="W1242" s="5"/>
      <c r="X1242" s="8"/>
      <c r="Y1242" s="9"/>
      <c r="Z1242" s="10"/>
      <c r="AA1242" s="10"/>
      <c r="AB1242" s="8"/>
      <c r="AC1242" s="10"/>
    </row>
    <row r="1243" spans="1:29" s="4" customFormat="1" x14ac:dyDescent="0.3">
      <c r="A1243" s="3"/>
      <c r="B1243" s="39"/>
      <c r="C1243" s="5"/>
      <c r="D1243" s="5"/>
      <c r="E1243" s="5"/>
      <c r="F1243" s="5"/>
      <c r="G1243" s="29"/>
      <c r="H1243"/>
      <c r="I1243" s="7"/>
      <c r="J1243" s="7"/>
      <c r="K1243" s="7"/>
      <c r="L1243" s="8"/>
      <c r="M1243" s="7"/>
      <c r="N1243" s="7"/>
      <c r="O1243" s="8"/>
      <c r="P1243" s="6"/>
      <c r="Q1243" s="5"/>
      <c r="R1243" s="5"/>
      <c r="S1243" s="5"/>
      <c r="T1243" s="5"/>
      <c r="U1243" s="5"/>
      <c r="V1243" s="5"/>
      <c r="W1243" s="5"/>
      <c r="X1243" s="8"/>
      <c r="Y1243" s="9"/>
      <c r="Z1243" s="10"/>
      <c r="AA1243" s="10"/>
      <c r="AB1243" s="8"/>
      <c r="AC1243" s="10"/>
    </row>
    <row r="1244" spans="1:29" s="4" customFormat="1" x14ac:dyDescent="0.3">
      <c r="A1244" s="3"/>
      <c r="B1244" s="39"/>
      <c r="C1244" s="5"/>
      <c r="D1244" s="5"/>
      <c r="E1244" s="5"/>
      <c r="F1244" s="5"/>
      <c r="G1244" s="29"/>
      <c r="H1244"/>
      <c r="I1244" s="7"/>
      <c r="J1244" s="7"/>
      <c r="K1244" s="7"/>
      <c r="L1244" s="8"/>
      <c r="M1244" s="7"/>
      <c r="N1244" s="7"/>
      <c r="O1244" s="8"/>
      <c r="P1244" s="6"/>
      <c r="Q1244" s="5"/>
      <c r="R1244" s="5"/>
      <c r="S1244" s="5"/>
      <c r="T1244" s="5"/>
      <c r="U1244" s="5"/>
      <c r="V1244" s="5"/>
      <c r="W1244" s="5"/>
      <c r="X1244" s="8"/>
      <c r="Y1244" s="9"/>
      <c r="Z1244" s="10"/>
      <c r="AA1244" s="10"/>
      <c r="AB1244" s="8"/>
      <c r="AC1244" s="10"/>
    </row>
    <row r="1245" spans="1:29" s="4" customFormat="1" x14ac:dyDescent="0.3">
      <c r="A1245" s="3"/>
      <c r="B1245" s="39"/>
      <c r="C1245" s="5"/>
      <c r="D1245" s="5"/>
      <c r="E1245" s="5"/>
      <c r="F1245" s="5"/>
      <c r="G1245" s="29"/>
      <c r="H1245"/>
      <c r="I1245" s="7"/>
      <c r="J1245" s="7"/>
      <c r="K1245" s="7"/>
      <c r="L1245" s="8"/>
      <c r="M1245" s="7"/>
      <c r="N1245" s="7"/>
      <c r="O1245" s="8"/>
      <c r="P1245" s="6"/>
      <c r="Q1245" s="5"/>
      <c r="R1245" s="5"/>
      <c r="S1245" s="5"/>
      <c r="T1245" s="5"/>
      <c r="U1245" s="5"/>
      <c r="V1245" s="5"/>
      <c r="W1245" s="5"/>
      <c r="X1245" s="8"/>
      <c r="Y1245" s="9"/>
      <c r="Z1245" s="10"/>
      <c r="AA1245" s="10"/>
      <c r="AB1245" s="8"/>
      <c r="AC1245" s="10"/>
    </row>
    <row r="1246" spans="1:29" s="4" customFormat="1" x14ac:dyDescent="0.3">
      <c r="A1246" s="3"/>
      <c r="B1246" s="39"/>
      <c r="C1246" s="5"/>
      <c r="D1246" s="5"/>
      <c r="E1246" s="5"/>
      <c r="F1246" s="5"/>
      <c r="G1246" s="29"/>
      <c r="H1246"/>
      <c r="I1246" s="7"/>
      <c r="J1246" s="7"/>
      <c r="K1246" s="7"/>
      <c r="L1246" s="8"/>
      <c r="M1246" s="7"/>
      <c r="N1246" s="7"/>
      <c r="O1246" s="8"/>
      <c r="P1246" s="6"/>
      <c r="Q1246" s="5"/>
      <c r="R1246" s="5"/>
      <c r="S1246" s="5"/>
      <c r="T1246" s="5"/>
      <c r="U1246" s="5"/>
      <c r="V1246" s="5"/>
      <c r="W1246" s="5"/>
      <c r="X1246" s="8"/>
      <c r="Y1246" s="9"/>
      <c r="Z1246" s="10"/>
      <c r="AA1246" s="10"/>
      <c r="AB1246" s="8"/>
      <c r="AC1246" s="10"/>
    </row>
    <row r="1247" spans="1:29" s="4" customFormat="1" x14ac:dyDescent="0.3">
      <c r="A1247" s="3"/>
      <c r="B1247" s="39"/>
      <c r="C1247" s="5"/>
      <c r="D1247" s="5"/>
      <c r="E1247" s="5"/>
      <c r="F1247" s="5"/>
      <c r="G1247" s="29"/>
      <c r="H1247"/>
      <c r="I1247" s="7"/>
      <c r="J1247" s="7"/>
      <c r="K1247" s="7"/>
      <c r="L1247" s="8"/>
      <c r="M1247" s="7"/>
      <c r="N1247" s="7"/>
      <c r="O1247" s="8"/>
      <c r="P1247" s="6"/>
      <c r="Q1247" s="5"/>
      <c r="R1247" s="5"/>
      <c r="S1247" s="5"/>
      <c r="T1247" s="5"/>
      <c r="U1247" s="5"/>
      <c r="V1247" s="5"/>
      <c r="W1247" s="5"/>
      <c r="X1247" s="8"/>
      <c r="Y1247" s="9"/>
      <c r="Z1247" s="10"/>
      <c r="AA1247" s="10"/>
      <c r="AB1247" s="8"/>
      <c r="AC1247" s="10"/>
    </row>
    <row r="1248" spans="1:29" s="4" customFormat="1" x14ac:dyDescent="0.3">
      <c r="A1248" s="3"/>
      <c r="B1248" s="39"/>
      <c r="C1248" s="5"/>
      <c r="D1248" s="5"/>
      <c r="E1248" s="5"/>
      <c r="F1248" s="5"/>
      <c r="G1248" s="29"/>
      <c r="H1248"/>
      <c r="I1248" s="7"/>
      <c r="J1248" s="7"/>
      <c r="K1248" s="7"/>
      <c r="L1248" s="8"/>
      <c r="M1248" s="7"/>
      <c r="N1248" s="7"/>
      <c r="O1248" s="8"/>
      <c r="P1248" s="6"/>
      <c r="Q1248" s="5"/>
      <c r="R1248" s="5"/>
      <c r="S1248" s="5"/>
      <c r="T1248" s="5"/>
      <c r="U1248" s="5"/>
      <c r="V1248" s="5"/>
      <c r="W1248" s="5"/>
      <c r="X1248" s="8"/>
      <c r="Y1248" s="9"/>
      <c r="Z1248" s="10"/>
      <c r="AA1248" s="10"/>
      <c r="AB1248" s="8"/>
      <c r="AC1248" s="10"/>
    </row>
    <row r="1249" spans="1:29" s="4" customFormat="1" x14ac:dyDescent="0.3">
      <c r="A1249" s="3"/>
      <c r="B1249" s="39"/>
      <c r="C1249" s="5"/>
      <c r="D1249" s="5"/>
      <c r="E1249" s="5"/>
      <c r="F1249" s="5"/>
      <c r="G1249" s="29"/>
      <c r="H1249"/>
      <c r="I1249" s="7"/>
      <c r="J1249" s="7"/>
      <c r="K1249" s="7"/>
      <c r="L1249" s="8"/>
      <c r="M1249" s="7"/>
      <c r="N1249" s="7"/>
      <c r="O1249" s="8"/>
      <c r="P1249" s="6"/>
      <c r="Q1249" s="5"/>
      <c r="R1249" s="5"/>
      <c r="S1249" s="5"/>
      <c r="T1249" s="5"/>
      <c r="U1249" s="5"/>
      <c r="V1249" s="5"/>
      <c r="W1249" s="5"/>
      <c r="X1249" s="8"/>
      <c r="Y1249" s="9"/>
      <c r="Z1249" s="10"/>
      <c r="AA1249" s="10"/>
      <c r="AB1249" s="8"/>
      <c r="AC1249" s="10"/>
    </row>
    <row r="1250" spans="1:29" s="4" customFormat="1" x14ac:dyDescent="0.3">
      <c r="A1250" s="3"/>
      <c r="B1250" s="39"/>
      <c r="C1250" s="5"/>
      <c r="D1250" s="5"/>
      <c r="E1250" s="5"/>
      <c r="F1250" s="5"/>
      <c r="G1250" s="29"/>
      <c r="H1250"/>
      <c r="I1250" s="7"/>
      <c r="J1250" s="7"/>
      <c r="K1250" s="7"/>
      <c r="L1250" s="8"/>
      <c r="M1250" s="7"/>
      <c r="N1250" s="7"/>
      <c r="O1250" s="8"/>
      <c r="P1250" s="6"/>
      <c r="Q1250" s="5"/>
      <c r="R1250" s="5"/>
      <c r="S1250" s="5"/>
      <c r="T1250" s="5"/>
      <c r="U1250" s="5"/>
      <c r="V1250" s="5"/>
      <c r="W1250" s="5"/>
      <c r="X1250" s="8"/>
      <c r="Y1250" s="9"/>
      <c r="Z1250" s="10"/>
      <c r="AA1250" s="10"/>
      <c r="AB1250" s="8"/>
      <c r="AC1250" s="10"/>
    </row>
    <row r="1251" spans="1:29" s="4" customFormat="1" x14ac:dyDescent="0.3">
      <c r="A1251" s="3"/>
      <c r="B1251" s="39"/>
      <c r="C1251" s="5"/>
      <c r="D1251" s="5"/>
      <c r="E1251" s="5"/>
      <c r="F1251" s="5"/>
      <c r="G1251" s="29"/>
      <c r="H1251"/>
      <c r="I1251" s="7"/>
      <c r="J1251" s="7"/>
      <c r="K1251" s="7"/>
      <c r="L1251" s="8"/>
      <c r="M1251" s="7"/>
      <c r="N1251" s="7"/>
      <c r="O1251" s="8"/>
      <c r="P1251" s="6"/>
      <c r="Q1251" s="5"/>
      <c r="R1251" s="5"/>
      <c r="S1251" s="5"/>
      <c r="T1251" s="5"/>
      <c r="U1251" s="5"/>
      <c r="V1251" s="5"/>
      <c r="W1251" s="5"/>
      <c r="X1251" s="8"/>
      <c r="Y1251" s="9"/>
      <c r="Z1251" s="10"/>
      <c r="AA1251" s="10"/>
      <c r="AB1251" s="8"/>
      <c r="AC1251" s="10"/>
    </row>
    <row r="1252" spans="1:29" s="4" customFormat="1" x14ac:dyDescent="0.3">
      <c r="A1252" s="3"/>
      <c r="B1252" s="39"/>
      <c r="C1252" s="5"/>
      <c r="D1252" s="5"/>
      <c r="E1252" s="5"/>
      <c r="F1252" s="5"/>
      <c r="G1252" s="29"/>
      <c r="H1252"/>
      <c r="I1252" s="7"/>
      <c r="J1252" s="7"/>
      <c r="K1252" s="7"/>
      <c r="L1252" s="8"/>
      <c r="M1252" s="7"/>
      <c r="N1252" s="7"/>
      <c r="O1252" s="8"/>
      <c r="P1252" s="6"/>
      <c r="Q1252" s="5"/>
      <c r="R1252" s="5"/>
      <c r="S1252" s="5"/>
      <c r="T1252" s="5"/>
      <c r="U1252" s="5"/>
      <c r="V1252" s="5"/>
      <c r="W1252" s="5"/>
      <c r="X1252" s="8"/>
      <c r="Y1252" s="9"/>
      <c r="Z1252" s="10"/>
      <c r="AA1252" s="10"/>
      <c r="AB1252" s="8"/>
      <c r="AC1252" s="10"/>
    </row>
    <row r="1253" spans="1:29" s="4" customFormat="1" x14ac:dyDescent="0.3">
      <c r="A1253" s="3"/>
      <c r="B1253" s="39"/>
      <c r="C1253" s="5"/>
      <c r="D1253" s="5"/>
      <c r="E1253" s="5"/>
      <c r="F1253" s="5"/>
      <c r="G1253" s="29"/>
      <c r="H1253"/>
      <c r="I1253" s="7"/>
      <c r="J1253" s="7"/>
      <c r="K1253" s="7"/>
      <c r="L1253" s="8"/>
      <c r="M1253" s="7"/>
      <c r="N1253" s="7"/>
      <c r="O1253" s="8"/>
      <c r="P1253" s="6"/>
      <c r="Q1253" s="5"/>
      <c r="R1253" s="5"/>
      <c r="S1253" s="5"/>
      <c r="T1253" s="5"/>
      <c r="U1253" s="5"/>
      <c r="V1253" s="5"/>
      <c r="W1253" s="5"/>
      <c r="X1253" s="8"/>
      <c r="Y1253" s="9"/>
      <c r="Z1253" s="10"/>
      <c r="AA1253" s="10"/>
      <c r="AB1253" s="8"/>
      <c r="AC1253" s="10"/>
    </row>
    <row r="1254" spans="1:29" s="4" customFormat="1" x14ac:dyDescent="0.3">
      <c r="A1254" s="3"/>
      <c r="B1254" s="39"/>
      <c r="C1254" s="5"/>
      <c r="D1254" s="5"/>
      <c r="E1254" s="5"/>
      <c r="F1254" s="5"/>
      <c r="G1254" s="29"/>
      <c r="H1254"/>
      <c r="I1254" s="7"/>
      <c r="J1254" s="7"/>
      <c r="K1254" s="7"/>
      <c r="L1254" s="8"/>
      <c r="M1254" s="7"/>
      <c r="N1254" s="7"/>
      <c r="O1254" s="8"/>
      <c r="P1254" s="6"/>
      <c r="Q1254" s="5"/>
      <c r="R1254" s="5"/>
      <c r="S1254" s="5"/>
      <c r="T1254" s="5"/>
      <c r="U1254" s="5"/>
      <c r="V1254" s="5"/>
      <c r="W1254" s="5"/>
      <c r="X1254" s="8"/>
      <c r="Y1254" s="9"/>
      <c r="Z1254" s="10"/>
      <c r="AA1254" s="10"/>
      <c r="AB1254" s="8"/>
      <c r="AC1254" s="10"/>
    </row>
    <row r="1255" spans="1:29" s="4" customFormat="1" x14ac:dyDescent="0.3">
      <c r="A1255" s="3"/>
      <c r="B1255" s="39"/>
      <c r="C1255" s="5"/>
      <c r="D1255" s="5"/>
      <c r="E1255" s="5"/>
      <c r="F1255" s="5"/>
      <c r="G1255" s="29"/>
      <c r="H1255"/>
      <c r="I1255" s="7"/>
      <c r="J1255" s="7"/>
      <c r="K1255" s="7"/>
      <c r="L1255" s="8"/>
      <c r="M1255" s="7"/>
      <c r="N1255" s="7"/>
      <c r="O1255" s="8"/>
      <c r="P1255" s="6"/>
      <c r="Q1255" s="5"/>
      <c r="R1255" s="5"/>
      <c r="S1255" s="5"/>
      <c r="T1255" s="5"/>
      <c r="U1255" s="5"/>
      <c r="V1255" s="5"/>
      <c r="W1255" s="5"/>
      <c r="X1255" s="8"/>
      <c r="Y1255" s="9"/>
      <c r="Z1255" s="10"/>
      <c r="AA1255" s="10"/>
      <c r="AB1255" s="8"/>
      <c r="AC1255" s="10"/>
    </row>
    <row r="1256" spans="1:29" s="4" customFormat="1" x14ac:dyDescent="0.3">
      <c r="A1256" s="3"/>
      <c r="B1256" s="39"/>
      <c r="C1256" s="5"/>
      <c r="D1256" s="5"/>
      <c r="E1256" s="5"/>
      <c r="F1256" s="5"/>
      <c r="G1256" s="29"/>
      <c r="H1256"/>
      <c r="I1256" s="7"/>
      <c r="J1256" s="7"/>
      <c r="K1256" s="7"/>
      <c r="L1256" s="8"/>
      <c r="M1256" s="7"/>
      <c r="N1256" s="7"/>
      <c r="O1256" s="8"/>
      <c r="P1256" s="6"/>
      <c r="Q1256" s="5"/>
      <c r="R1256" s="5"/>
      <c r="S1256" s="5"/>
      <c r="T1256" s="5"/>
      <c r="U1256" s="5"/>
      <c r="V1256" s="5"/>
      <c r="W1256" s="5"/>
      <c r="X1256" s="8"/>
      <c r="Y1256" s="9"/>
      <c r="Z1256" s="10"/>
      <c r="AA1256" s="10"/>
      <c r="AB1256" s="8"/>
      <c r="AC1256" s="10"/>
    </row>
    <row r="1257" spans="1:29" s="4" customFormat="1" x14ac:dyDescent="0.3">
      <c r="A1257" s="3"/>
      <c r="B1257" s="39"/>
      <c r="C1257" s="5"/>
      <c r="D1257" s="5"/>
      <c r="E1257" s="5"/>
      <c r="F1257" s="5"/>
      <c r="G1257" s="29"/>
      <c r="H1257"/>
      <c r="I1257" s="7"/>
      <c r="J1257" s="7"/>
      <c r="K1257" s="7"/>
      <c r="L1257" s="8"/>
      <c r="M1257" s="7"/>
      <c r="N1257" s="7"/>
      <c r="O1257" s="8"/>
      <c r="P1257" s="6"/>
      <c r="Q1257" s="5"/>
      <c r="R1257" s="5"/>
      <c r="S1257" s="5"/>
      <c r="T1257" s="5"/>
      <c r="U1257" s="5"/>
      <c r="V1257" s="5"/>
      <c r="W1257" s="5"/>
      <c r="X1257" s="8"/>
      <c r="Y1257" s="9"/>
      <c r="Z1257" s="10"/>
      <c r="AA1257" s="10"/>
      <c r="AB1257" s="8"/>
      <c r="AC1257" s="10"/>
    </row>
    <row r="1258" spans="1:29" s="4" customFormat="1" x14ac:dyDescent="0.3">
      <c r="A1258" s="3"/>
      <c r="B1258" s="39"/>
      <c r="C1258" s="5"/>
      <c r="D1258" s="5"/>
      <c r="E1258" s="5"/>
      <c r="F1258" s="5"/>
      <c r="G1258" s="29"/>
      <c r="H1258"/>
      <c r="I1258" s="7"/>
      <c r="J1258" s="7"/>
      <c r="K1258" s="7"/>
      <c r="L1258" s="8"/>
      <c r="M1258" s="7"/>
      <c r="N1258" s="7"/>
      <c r="O1258" s="8"/>
      <c r="P1258" s="6"/>
      <c r="Q1258" s="5"/>
      <c r="R1258" s="5"/>
      <c r="S1258" s="5"/>
      <c r="T1258" s="5"/>
      <c r="U1258" s="5"/>
      <c r="V1258" s="5"/>
      <c r="W1258" s="5"/>
      <c r="X1258" s="8"/>
      <c r="Y1258" s="9"/>
      <c r="Z1258" s="10"/>
      <c r="AA1258" s="10"/>
      <c r="AB1258" s="8"/>
      <c r="AC1258" s="10"/>
    </row>
    <row r="1259" spans="1:29" s="4" customFormat="1" x14ac:dyDescent="0.3">
      <c r="A1259" s="3"/>
      <c r="B1259" s="39"/>
      <c r="C1259" s="5"/>
      <c r="D1259" s="5"/>
      <c r="E1259" s="5"/>
      <c r="F1259" s="5"/>
      <c r="G1259" s="29"/>
      <c r="H1259"/>
      <c r="I1259" s="7"/>
      <c r="J1259" s="7"/>
      <c r="K1259" s="7"/>
      <c r="L1259" s="8"/>
      <c r="M1259" s="7"/>
      <c r="N1259" s="7"/>
      <c r="O1259" s="8"/>
      <c r="P1259" s="6"/>
      <c r="Q1259" s="5"/>
      <c r="R1259" s="5"/>
      <c r="S1259" s="5"/>
      <c r="T1259" s="5"/>
      <c r="U1259" s="5"/>
      <c r="V1259" s="5"/>
      <c r="W1259" s="5"/>
      <c r="X1259" s="8"/>
      <c r="Y1259" s="9"/>
      <c r="Z1259" s="10"/>
      <c r="AA1259" s="10"/>
      <c r="AB1259" s="8"/>
      <c r="AC1259" s="10"/>
    </row>
    <row r="1260" spans="1:29" s="4" customFormat="1" x14ac:dyDescent="0.3">
      <c r="A1260" s="3"/>
      <c r="B1260" s="39"/>
      <c r="C1260" s="5"/>
      <c r="D1260" s="5"/>
      <c r="E1260" s="5"/>
      <c r="F1260" s="5"/>
      <c r="G1260" s="29"/>
      <c r="H1260"/>
      <c r="I1260" s="7"/>
      <c r="J1260" s="7"/>
      <c r="K1260" s="7"/>
      <c r="L1260" s="8"/>
      <c r="M1260" s="7"/>
      <c r="N1260" s="7"/>
      <c r="O1260" s="8"/>
      <c r="P1260" s="6"/>
      <c r="Q1260" s="5"/>
      <c r="R1260" s="5"/>
      <c r="S1260" s="5"/>
      <c r="T1260" s="5"/>
      <c r="U1260" s="5"/>
      <c r="V1260" s="5"/>
      <c r="W1260" s="5"/>
      <c r="X1260" s="8"/>
      <c r="Y1260" s="9"/>
      <c r="Z1260" s="10"/>
      <c r="AA1260" s="10"/>
      <c r="AB1260" s="8"/>
      <c r="AC1260" s="10"/>
    </row>
    <row r="1261" spans="1:29" s="4" customFormat="1" x14ac:dyDescent="0.3">
      <c r="A1261" s="3"/>
      <c r="B1261" s="39"/>
      <c r="C1261" s="5"/>
      <c r="D1261" s="5"/>
      <c r="E1261" s="5"/>
      <c r="F1261" s="5"/>
      <c r="G1261" s="29"/>
      <c r="H1261"/>
      <c r="I1261" s="7"/>
      <c r="J1261" s="7"/>
      <c r="K1261" s="7"/>
      <c r="L1261" s="8"/>
      <c r="M1261" s="7"/>
      <c r="N1261" s="7"/>
      <c r="O1261" s="8"/>
      <c r="P1261" s="6"/>
      <c r="Q1261" s="5"/>
      <c r="R1261" s="5"/>
      <c r="S1261" s="5"/>
      <c r="T1261" s="5"/>
      <c r="U1261" s="5"/>
      <c r="V1261" s="5"/>
      <c r="W1261" s="5"/>
      <c r="X1261" s="8"/>
      <c r="Y1261" s="9"/>
      <c r="Z1261" s="10"/>
      <c r="AA1261" s="10"/>
      <c r="AB1261" s="8"/>
      <c r="AC1261" s="10"/>
    </row>
    <row r="1262" spans="1:29" s="4" customFormat="1" x14ac:dyDescent="0.3">
      <c r="A1262" s="3"/>
      <c r="B1262" s="39"/>
      <c r="C1262" s="5"/>
      <c r="D1262" s="5"/>
      <c r="E1262" s="5"/>
      <c r="F1262" s="5"/>
      <c r="G1262" s="29"/>
      <c r="H1262"/>
      <c r="I1262" s="7"/>
      <c r="J1262" s="7"/>
      <c r="K1262" s="7"/>
      <c r="L1262" s="8"/>
      <c r="M1262" s="7"/>
      <c r="N1262" s="7"/>
      <c r="O1262" s="8"/>
      <c r="P1262" s="6"/>
      <c r="Q1262" s="5"/>
      <c r="R1262" s="5"/>
      <c r="S1262" s="5"/>
      <c r="T1262" s="5"/>
      <c r="U1262" s="5"/>
      <c r="V1262" s="5"/>
      <c r="W1262" s="5"/>
      <c r="X1262" s="8"/>
      <c r="Y1262" s="9"/>
      <c r="Z1262" s="10"/>
      <c r="AA1262" s="10"/>
      <c r="AB1262" s="8"/>
      <c r="AC1262" s="10"/>
    </row>
    <row r="1263" spans="1:29" s="4" customFormat="1" x14ac:dyDescent="0.3">
      <c r="A1263" s="3"/>
      <c r="B1263" s="39"/>
      <c r="C1263" s="5"/>
      <c r="D1263" s="5"/>
      <c r="E1263" s="5"/>
      <c r="F1263" s="5"/>
      <c r="G1263" s="29"/>
      <c r="H1263"/>
      <c r="I1263" s="7"/>
      <c r="J1263" s="7"/>
      <c r="K1263" s="7"/>
      <c r="L1263" s="8"/>
      <c r="M1263" s="7"/>
      <c r="N1263" s="7"/>
      <c r="O1263" s="8"/>
      <c r="P1263" s="6"/>
      <c r="Q1263" s="5"/>
      <c r="R1263" s="5"/>
      <c r="S1263" s="5"/>
      <c r="T1263" s="5"/>
      <c r="U1263" s="5"/>
      <c r="V1263" s="5"/>
      <c r="W1263" s="5"/>
      <c r="X1263" s="8"/>
      <c r="Y1263" s="9"/>
      <c r="Z1263" s="10"/>
      <c r="AA1263" s="10"/>
      <c r="AB1263" s="8"/>
      <c r="AC1263" s="10"/>
    </row>
    <row r="1264" spans="1:29" s="4" customFormat="1" x14ac:dyDescent="0.3">
      <c r="A1264" s="3"/>
      <c r="B1264" s="39"/>
      <c r="C1264" s="5"/>
      <c r="D1264" s="5"/>
      <c r="E1264" s="5"/>
      <c r="F1264" s="5"/>
      <c r="G1264" s="29"/>
      <c r="H1264"/>
      <c r="I1264" s="7"/>
      <c r="J1264" s="7"/>
      <c r="K1264" s="7"/>
      <c r="L1264" s="8"/>
      <c r="M1264" s="7"/>
      <c r="N1264" s="7"/>
      <c r="O1264" s="8"/>
      <c r="P1264" s="6"/>
      <c r="Q1264" s="5"/>
      <c r="R1264" s="5"/>
      <c r="S1264" s="5"/>
      <c r="T1264" s="5"/>
      <c r="U1264" s="5"/>
      <c r="V1264" s="5"/>
      <c r="W1264" s="5"/>
      <c r="X1264" s="8"/>
      <c r="Y1264" s="9"/>
      <c r="Z1264" s="10"/>
      <c r="AA1264" s="10"/>
      <c r="AB1264" s="8"/>
      <c r="AC1264" s="10"/>
    </row>
    <row r="1265" spans="1:29" s="4" customFormat="1" x14ac:dyDescent="0.3">
      <c r="A1265" s="3"/>
      <c r="B1265" s="39"/>
      <c r="C1265" s="5"/>
      <c r="D1265" s="5"/>
      <c r="E1265" s="5"/>
      <c r="F1265" s="5"/>
      <c r="G1265" s="29"/>
      <c r="H1265"/>
      <c r="I1265" s="7"/>
      <c r="J1265" s="7"/>
      <c r="K1265" s="7"/>
      <c r="L1265" s="8"/>
      <c r="M1265" s="7"/>
      <c r="N1265" s="7"/>
      <c r="O1265" s="8"/>
      <c r="P1265" s="6"/>
      <c r="Q1265" s="5"/>
      <c r="R1265" s="5"/>
      <c r="S1265" s="5"/>
      <c r="T1265" s="5"/>
      <c r="U1265" s="5"/>
      <c r="V1265" s="5"/>
      <c r="W1265" s="5"/>
      <c r="X1265" s="8"/>
      <c r="Y1265" s="9"/>
      <c r="Z1265" s="10"/>
      <c r="AA1265" s="10"/>
      <c r="AB1265" s="8"/>
      <c r="AC1265" s="10"/>
    </row>
    <row r="1266" spans="1:29" s="4" customFormat="1" x14ac:dyDescent="0.3">
      <c r="A1266" s="3"/>
      <c r="B1266" s="39"/>
      <c r="C1266" s="5"/>
      <c r="D1266" s="5"/>
      <c r="E1266" s="5"/>
      <c r="F1266" s="5"/>
      <c r="G1266" s="29"/>
      <c r="H1266"/>
      <c r="I1266" s="7"/>
      <c r="J1266" s="7"/>
      <c r="K1266" s="7"/>
      <c r="L1266" s="8"/>
      <c r="M1266" s="7"/>
      <c r="N1266" s="7"/>
      <c r="O1266" s="8"/>
      <c r="P1266" s="6"/>
      <c r="Q1266" s="5"/>
      <c r="R1266" s="5"/>
      <c r="S1266" s="5"/>
      <c r="T1266" s="5"/>
      <c r="U1266" s="5"/>
      <c r="V1266" s="5"/>
      <c r="W1266" s="5"/>
      <c r="X1266" s="8"/>
      <c r="Y1266" s="9"/>
      <c r="Z1266" s="10"/>
      <c r="AA1266" s="10"/>
      <c r="AB1266" s="8"/>
      <c r="AC1266" s="10"/>
    </row>
    <row r="1267" spans="1:29" s="4" customFormat="1" x14ac:dyDescent="0.3">
      <c r="A1267" s="3"/>
      <c r="B1267" s="39"/>
      <c r="C1267" s="5"/>
      <c r="D1267" s="5"/>
      <c r="E1267" s="5"/>
      <c r="F1267" s="5"/>
      <c r="G1267" s="29"/>
      <c r="H1267"/>
      <c r="I1267" s="7"/>
      <c r="J1267" s="7"/>
      <c r="K1267" s="7"/>
      <c r="L1267" s="8"/>
      <c r="M1267" s="7"/>
      <c r="N1267" s="7"/>
      <c r="O1267" s="8"/>
      <c r="P1267" s="6"/>
      <c r="Q1267" s="5"/>
      <c r="R1267" s="5"/>
      <c r="S1267" s="5"/>
      <c r="T1267" s="5"/>
      <c r="U1267" s="5"/>
      <c r="V1267" s="5"/>
      <c r="W1267" s="5"/>
      <c r="X1267" s="8"/>
      <c r="Y1267" s="9"/>
      <c r="Z1267" s="10"/>
      <c r="AA1267" s="10"/>
      <c r="AB1267" s="8"/>
      <c r="AC1267" s="10"/>
    </row>
    <row r="1268" spans="1:29" s="4" customFormat="1" x14ac:dyDescent="0.3">
      <c r="A1268" s="3"/>
      <c r="B1268" s="39"/>
      <c r="C1268" s="5"/>
      <c r="D1268" s="5"/>
      <c r="E1268" s="5"/>
      <c r="F1268" s="5"/>
      <c r="G1268" s="29"/>
      <c r="H1268"/>
      <c r="I1268" s="7"/>
      <c r="J1268" s="7"/>
      <c r="K1268" s="7"/>
      <c r="L1268" s="8"/>
      <c r="M1268" s="7"/>
      <c r="N1268" s="7"/>
      <c r="O1268" s="8"/>
      <c r="P1268" s="6"/>
      <c r="Q1268" s="5"/>
      <c r="R1268" s="5"/>
      <c r="S1268" s="5"/>
      <c r="T1268" s="5"/>
      <c r="U1268" s="5"/>
      <c r="V1268" s="5"/>
      <c r="W1268" s="5"/>
      <c r="X1268" s="8"/>
      <c r="Y1268" s="9"/>
      <c r="Z1268" s="10"/>
      <c r="AA1268" s="10"/>
      <c r="AB1268" s="8"/>
      <c r="AC1268" s="10"/>
    </row>
    <row r="1269" spans="1:29" s="4" customFormat="1" x14ac:dyDescent="0.3">
      <c r="A1269" s="3"/>
      <c r="B1269" s="39"/>
      <c r="C1269" s="5"/>
      <c r="D1269" s="5"/>
      <c r="E1269" s="5"/>
      <c r="F1269" s="5"/>
      <c r="G1269" s="29"/>
      <c r="H1269"/>
      <c r="I1269" s="7"/>
      <c r="J1269" s="7"/>
      <c r="K1269" s="7"/>
      <c r="L1269" s="8"/>
      <c r="M1269" s="7"/>
      <c r="N1269" s="7"/>
      <c r="O1269" s="8"/>
      <c r="P1269" s="6"/>
      <c r="Q1269" s="5"/>
      <c r="R1269" s="5"/>
      <c r="S1269" s="5"/>
      <c r="T1269" s="5"/>
      <c r="U1269" s="5"/>
      <c r="V1269" s="5"/>
      <c r="W1269" s="5"/>
      <c r="X1269" s="8"/>
      <c r="Y1269" s="9"/>
      <c r="Z1269" s="10"/>
      <c r="AA1269" s="10"/>
      <c r="AB1269" s="8"/>
      <c r="AC1269" s="10"/>
    </row>
    <row r="1270" spans="1:29" s="4" customFormat="1" x14ac:dyDescent="0.3">
      <c r="A1270" s="3"/>
      <c r="B1270" s="39"/>
      <c r="C1270" s="5"/>
      <c r="D1270" s="5"/>
      <c r="E1270" s="5"/>
      <c r="F1270" s="5"/>
      <c r="G1270" s="29"/>
      <c r="H1270"/>
      <c r="I1270" s="7"/>
      <c r="J1270" s="7"/>
      <c r="K1270" s="7"/>
      <c r="L1270" s="8"/>
      <c r="M1270" s="7"/>
      <c r="N1270" s="7"/>
      <c r="O1270" s="8"/>
      <c r="P1270" s="6"/>
      <c r="Q1270" s="5"/>
      <c r="R1270" s="5"/>
      <c r="S1270" s="5"/>
      <c r="T1270" s="5"/>
      <c r="U1270" s="5"/>
      <c r="V1270" s="5"/>
      <c r="W1270" s="5"/>
      <c r="X1270" s="8"/>
      <c r="Y1270" s="9"/>
      <c r="Z1270" s="10"/>
      <c r="AA1270" s="10"/>
      <c r="AB1270" s="8"/>
      <c r="AC1270" s="10"/>
    </row>
    <row r="1271" spans="1:29" s="4" customFormat="1" x14ac:dyDescent="0.3">
      <c r="A1271" s="3"/>
      <c r="B1271" s="39"/>
      <c r="C1271" s="5"/>
      <c r="D1271" s="5"/>
      <c r="E1271" s="5"/>
      <c r="F1271" s="5"/>
      <c r="G1271" s="29"/>
      <c r="H1271"/>
      <c r="I1271" s="7"/>
      <c r="J1271" s="7"/>
      <c r="K1271" s="7"/>
      <c r="L1271" s="8"/>
      <c r="M1271" s="7"/>
      <c r="N1271" s="7"/>
      <c r="O1271" s="8"/>
      <c r="P1271" s="6"/>
      <c r="Q1271" s="5"/>
      <c r="R1271" s="5"/>
      <c r="S1271" s="5"/>
      <c r="T1271" s="5"/>
      <c r="U1271" s="5"/>
      <c r="V1271" s="5"/>
      <c r="W1271" s="5"/>
      <c r="X1271" s="8"/>
      <c r="Y1271" s="9"/>
      <c r="Z1271" s="10"/>
      <c r="AA1271" s="10"/>
      <c r="AB1271" s="8"/>
      <c r="AC1271" s="10"/>
    </row>
    <row r="1272" spans="1:29" s="4" customFormat="1" x14ac:dyDescent="0.3">
      <c r="A1272" s="3"/>
      <c r="B1272" s="39"/>
      <c r="C1272" s="5"/>
      <c r="D1272" s="5"/>
      <c r="E1272" s="5"/>
      <c r="F1272" s="5"/>
      <c r="G1272" s="29"/>
      <c r="H1272"/>
      <c r="I1272" s="7"/>
      <c r="J1272" s="7"/>
      <c r="K1272" s="7"/>
      <c r="L1272" s="8"/>
      <c r="M1272" s="7"/>
      <c r="N1272" s="7"/>
      <c r="O1272" s="8"/>
      <c r="P1272" s="6"/>
      <c r="Q1272" s="5"/>
      <c r="R1272" s="5"/>
      <c r="S1272" s="5"/>
      <c r="T1272" s="5"/>
      <c r="U1272" s="5"/>
      <c r="V1272" s="5"/>
      <c r="W1272" s="5"/>
      <c r="X1272" s="8"/>
      <c r="Y1272" s="9"/>
      <c r="Z1272" s="10"/>
      <c r="AA1272" s="10"/>
      <c r="AB1272" s="8"/>
      <c r="AC1272" s="10"/>
    </row>
    <row r="1273" spans="1:29" s="4" customFormat="1" x14ac:dyDescent="0.3">
      <c r="A1273" s="3"/>
      <c r="B1273" s="39"/>
      <c r="C1273" s="5"/>
      <c r="D1273" s="5"/>
      <c r="E1273" s="5"/>
      <c r="F1273" s="5"/>
      <c r="G1273" s="29"/>
      <c r="H1273"/>
      <c r="I1273" s="7"/>
      <c r="J1273" s="7"/>
      <c r="K1273" s="7"/>
      <c r="L1273" s="8"/>
      <c r="M1273" s="7"/>
      <c r="N1273" s="7"/>
      <c r="O1273" s="8"/>
      <c r="P1273" s="6"/>
      <c r="Q1273" s="5"/>
      <c r="R1273" s="5"/>
      <c r="S1273" s="5"/>
      <c r="T1273" s="5"/>
      <c r="U1273" s="5"/>
      <c r="V1273" s="5"/>
      <c r="W1273" s="5"/>
      <c r="X1273" s="8"/>
      <c r="Y1273" s="9"/>
      <c r="Z1273" s="10"/>
      <c r="AA1273" s="10"/>
      <c r="AB1273" s="8"/>
      <c r="AC1273" s="10"/>
    </row>
    <row r="1274" spans="1:29" s="4" customFormat="1" x14ac:dyDescent="0.3">
      <c r="A1274" s="3"/>
      <c r="B1274" s="39"/>
      <c r="C1274" s="5"/>
      <c r="D1274" s="5"/>
      <c r="E1274" s="5"/>
      <c r="F1274" s="5"/>
      <c r="G1274" s="29"/>
      <c r="H1274"/>
      <c r="I1274" s="7"/>
      <c r="J1274" s="7"/>
      <c r="K1274" s="7"/>
      <c r="L1274" s="8"/>
      <c r="M1274" s="7"/>
      <c r="N1274" s="7"/>
      <c r="O1274" s="8"/>
      <c r="P1274" s="6"/>
      <c r="Q1274" s="5"/>
      <c r="R1274" s="5"/>
      <c r="S1274" s="5"/>
      <c r="T1274" s="5"/>
      <c r="U1274" s="5"/>
      <c r="V1274" s="5"/>
      <c r="W1274" s="5"/>
      <c r="X1274" s="8"/>
      <c r="Y1274" s="9"/>
      <c r="Z1274" s="10"/>
      <c r="AA1274" s="10"/>
      <c r="AB1274" s="8"/>
      <c r="AC1274" s="10"/>
    </row>
    <row r="1275" spans="1:29" s="4" customFormat="1" x14ac:dyDescent="0.3">
      <c r="A1275" s="3"/>
      <c r="B1275" s="39"/>
      <c r="C1275" s="5"/>
      <c r="D1275" s="5"/>
      <c r="E1275" s="5"/>
      <c r="F1275" s="5"/>
      <c r="G1275" s="29"/>
      <c r="H1275"/>
      <c r="I1275" s="7"/>
      <c r="J1275" s="7"/>
      <c r="K1275" s="7"/>
      <c r="L1275" s="8"/>
      <c r="M1275" s="7"/>
      <c r="N1275" s="7"/>
      <c r="O1275" s="8"/>
      <c r="P1275" s="6"/>
      <c r="Q1275" s="5"/>
      <c r="R1275" s="5"/>
      <c r="S1275" s="5"/>
      <c r="T1275" s="5"/>
      <c r="U1275" s="5"/>
      <c r="V1275" s="5"/>
      <c r="W1275" s="5"/>
      <c r="X1275" s="8"/>
      <c r="Y1275" s="9"/>
      <c r="Z1275" s="10"/>
      <c r="AA1275" s="10"/>
      <c r="AB1275" s="8"/>
      <c r="AC1275" s="10"/>
    </row>
    <row r="1276" spans="1:29" s="4" customFormat="1" x14ac:dyDescent="0.3">
      <c r="A1276" s="3"/>
      <c r="B1276" s="39"/>
      <c r="C1276" s="5"/>
      <c r="D1276" s="5"/>
      <c r="E1276" s="5"/>
      <c r="F1276" s="5"/>
      <c r="G1276" s="29"/>
      <c r="H1276"/>
      <c r="I1276" s="7"/>
      <c r="J1276" s="7"/>
      <c r="K1276" s="7"/>
      <c r="L1276" s="8"/>
      <c r="M1276" s="7"/>
      <c r="N1276" s="7"/>
      <c r="O1276" s="8"/>
      <c r="P1276" s="6"/>
      <c r="Q1276" s="5"/>
      <c r="R1276" s="5"/>
      <c r="S1276" s="5"/>
      <c r="T1276" s="5"/>
      <c r="U1276" s="5"/>
      <c r="V1276" s="5"/>
      <c r="W1276" s="5"/>
      <c r="X1276" s="8"/>
      <c r="Y1276" s="9"/>
      <c r="Z1276" s="10"/>
      <c r="AA1276" s="10"/>
      <c r="AB1276" s="8"/>
      <c r="AC1276" s="10"/>
    </row>
    <row r="1277" spans="1:29" s="4" customFormat="1" x14ac:dyDescent="0.3">
      <c r="A1277" s="3"/>
      <c r="B1277" s="39"/>
      <c r="C1277" s="5"/>
      <c r="D1277" s="5"/>
      <c r="E1277" s="5"/>
      <c r="F1277" s="5"/>
      <c r="G1277" s="29"/>
      <c r="H1277"/>
      <c r="I1277" s="7"/>
      <c r="J1277" s="7"/>
      <c r="K1277" s="7"/>
      <c r="L1277" s="8"/>
      <c r="M1277" s="7"/>
      <c r="N1277" s="7"/>
      <c r="O1277" s="8"/>
      <c r="P1277" s="6"/>
      <c r="Q1277" s="5"/>
      <c r="R1277" s="5"/>
      <c r="S1277" s="5"/>
      <c r="T1277" s="5"/>
      <c r="U1277" s="5"/>
      <c r="V1277" s="5"/>
      <c r="W1277" s="5"/>
      <c r="X1277" s="8"/>
      <c r="Y1277" s="9"/>
      <c r="Z1277" s="10"/>
      <c r="AA1277" s="10"/>
      <c r="AB1277" s="8"/>
      <c r="AC1277" s="10"/>
    </row>
    <row r="1278" spans="1:29" s="4" customFormat="1" x14ac:dyDescent="0.3">
      <c r="A1278" s="3"/>
      <c r="B1278" s="39"/>
      <c r="C1278" s="5"/>
      <c r="D1278" s="5"/>
      <c r="E1278" s="5"/>
      <c r="F1278" s="5"/>
      <c r="G1278" s="29"/>
      <c r="H1278"/>
      <c r="I1278" s="7"/>
      <c r="J1278" s="7"/>
      <c r="K1278" s="7"/>
      <c r="L1278" s="8"/>
      <c r="M1278" s="7"/>
      <c r="N1278" s="7"/>
      <c r="O1278" s="8"/>
      <c r="P1278" s="6"/>
      <c r="Q1278" s="5"/>
      <c r="R1278" s="5"/>
      <c r="S1278" s="5"/>
      <c r="T1278" s="5"/>
      <c r="U1278" s="5"/>
      <c r="V1278" s="5"/>
      <c r="W1278" s="5"/>
      <c r="X1278" s="8"/>
      <c r="Y1278" s="9"/>
      <c r="Z1278" s="10"/>
      <c r="AA1278" s="10"/>
      <c r="AB1278" s="8"/>
      <c r="AC1278" s="10"/>
    </row>
    <row r="1279" spans="1:29" s="4" customFormat="1" x14ac:dyDescent="0.3">
      <c r="A1279" s="3"/>
      <c r="B1279" s="39"/>
      <c r="C1279" s="5"/>
      <c r="D1279" s="5"/>
      <c r="E1279" s="5"/>
      <c r="F1279" s="5"/>
      <c r="G1279" s="29"/>
      <c r="H1279"/>
      <c r="I1279" s="7"/>
      <c r="J1279" s="7"/>
      <c r="K1279" s="7"/>
      <c r="L1279" s="8"/>
      <c r="M1279" s="7"/>
      <c r="N1279" s="7"/>
      <c r="O1279" s="8"/>
      <c r="P1279" s="6"/>
      <c r="Q1279" s="5"/>
      <c r="R1279" s="5"/>
      <c r="S1279" s="5"/>
      <c r="T1279" s="5"/>
      <c r="U1279" s="5"/>
      <c r="V1279" s="5"/>
      <c r="W1279" s="5"/>
      <c r="X1279" s="8"/>
      <c r="Y1279" s="9"/>
      <c r="Z1279" s="10"/>
      <c r="AA1279" s="10"/>
      <c r="AB1279" s="8"/>
      <c r="AC1279" s="10"/>
    </row>
    <row r="1280" spans="1:29" s="4" customFormat="1" x14ac:dyDescent="0.3">
      <c r="A1280" s="3"/>
      <c r="B1280" s="39"/>
      <c r="C1280" s="5"/>
      <c r="D1280" s="5"/>
      <c r="E1280" s="5"/>
      <c r="F1280" s="5"/>
      <c r="G1280" s="29"/>
      <c r="H1280"/>
      <c r="I1280" s="7"/>
      <c r="J1280" s="7"/>
      <c r="K1280" s="7"/>
      <c r="L1280" s="8"/>
      <c r="M1280" s="7"/>
      <c r="N1280" s="7"/>
      <c r="O1280" s="8"/>
      <c r="P1280" s="6"/>
      <c r="Q1280" s="5"/>
      <c r="R1280" s="5"/>
      <c r="S1280" s="5"/>
      <c r="T1280" s="5"/>
      <c r="U1280" s="5"/>
      <c r="V1280" s="5"/>
      <c r="W1280" s="5"/>
      <c r="X1280" s="8"/>
      <c r="Y1280" s="9"/>
      <c r="Z1280" s="10"/>
      <c r="AA1280" s="10"/>
      <c r="AB1280" s="8"/>
      <c r="AC1280" s="10"/>
    </row>
    <row r="1281" spans="1:29" s="4" customFormat="1" x14ac:dyDescent="0.3">
      <c r="A1281" s="3"/>
      <c r="B1281" s="39"/>
      <c r="C1281" s="5"/>
      <c r="D1281" s="5"/>
      <c r="E1281" s="5"/>
      <c r="F1281" s="5"/>
      <c r="G1281" s="29"/>
      <c r="H1281"/>
      <c r="I1281" s="7"/>
      <c r="J1281" s="7"/>
      <c r="K1281" s="7"/>
      <c r="L1281" s="8"/>
      <c r="M1281" s="7"/>
      <c r="N1281" s="7"/>
      <c r="O1281" s="8"/>
      <c r="P1281" s="6"/>
      <c r="Q1281" s="5"/>
      <c r="R1281" s="5"/>
      <c r="S1281" s="5"/>
      <c r="T1281" s="5"/>
      <c r="U1281" s="5"/>
      <c r="V1281" s="5"/>
      <c r="W1281" s="5"/>
      <c r="X1281" s="8"/>
      <c r="Y1281" s="9"/>
      <c r="Z1281" s="10"/>
      <c r="AA1281" s="10"/>
      <c r="AB1281" s="8"/>
      <c r="AC1281" s="10"/>
    </row>
    <row r="1282" spans="1:29" s="4" customFormat="1" x14ac:dyDescent="0.3">
      <c r="A1282" s="3"/>
      <c r="B1282" s="39"/>
      <c r="C1282" s="5"/>
      <c r="D1282" s="5"/>
      <c r="E1282" s="5"/>
      <c r="F1282" s="5"/>
      <c r="G1282" s="29"/>
      <c r="H1282"/>
      <c r="I1282" s="7"/>
      <c r="J1282" s="7"/>
      <c r="K1282" s="7"/>
      <c r="L1282" s="8"/>
      <c r="M1282" s="7"/>
      <c r="N1282" s="7"/>
      <c r="O1282" s="8"/>
      <c r="P1282" s="6"/>
      <c r="Q1282" s="5"/>
      <c r="R1282" s="5"/>
      <c r="S1282" s="5"/>
      <c r="T1282" s="5"/>
      <c r="U1282" s="5"/>
      <c r="V1282" s="5"/>
      <c r="W1282" s="5"/>
      <c r="X1282" s="8"/>
      <c r="Y1282" s="9"/>
      <c r="Z1282" s="10"/>
      <c r="AA1282" s="10"/>
      <c r="AB1282" s="8"/>
      <c r="AC1282" s="10"/>
    </row>
    <row r="1283" spans="1:29" s="4" customFormat="1" x14ac:dyDescent="0.3">
      <c r="A1283" s="3"/>
      <c r="B1283" s="39"/>
      <c r="C1283" s="5"/>
      <c r="D1283" s="5"/>
      <c r="E1283" s="5"/>
      <c r="F1283" s="5"/>
      <c r="G1283" s="29"/>
      <c r="H1283"/>
      <c r="I1283" s="7"/>
      <c r="J1283" s="7"/>
      <c r="K1283" s="7"/>
      <c r="L1283" s="8"/>
      <c r="M1283" s="7"/>
      <c r="N1283" s="7"/>
      <c r="O1283" s="8"/>
      <c r="P1283" s="6"/>
      <c r="Q1283" s="5"/>
      <c r="R1283" s="5"/>
      <c r="S1283" s="5"/>
      <c r="T1283" s="5"/>
      <c r="U1283" s="5"/>
      <c r="V1283" s="5"/>
      <c r="W1283" s="5"/>
      <c r="X1283" s="8"/>
      <c r="Y1283" s="9"/>
      <c r="Z1283" s="10"/>
      <c r="AA1283" s="10"/>
      <c r="AB1283" s="8"/>
      <c r="AC1283" s="10"/>
    </row>
    <row r="1284" spans="1:29" s="4" customFormat="1" x14ac:dyDescent="0.3">
      <c r="A1284" s="3"/>
      <c r="B1284" s="39"/>
      <c r="C1284" s="5"/>
      <c r="D1284" s="5"/>
      <c r="E1284" s="5"/>
      <c r="F1284" s="5"/>
      <c r="G1284" s="29"/>
      <c r="H1284"/>
      <c r="I1284" s="7"/>
      <c r="J1284" s="7"/>
      <c r="K1284" s="7"/>
      <c r="L1284" s="8"/>
      <c r="M1284" s="7"/>
      <c r="N1284" s="7"/>
      <c r="O1284" s="8"/>
      <c r="P1284" s="6"/>
      <c r="Q1284" s="5"/>
      <c r="R1284" s="5"/>
      <c r="S1284" s="5"/>
      <c r="T1284" s="5"/>
      <c r="U1284" s="5"/>
      <c r="V1284" s="5"/>
      <c r="W1284" s="5"/>
      <c r="X1284" s="8"/>
      <c r="Y1284" s="9"/>
      <c r="Z1284" s="10"/>
      <c r="AA1284" s="10"/>
      <c r="AB1284" s="8"/>
      <c r="AC1284" s="10"/>
    </row>
    <row r="1285" spans="1:29" s="4" customFormat="1" x14ac:dyDescent="0.3">
      <c r="A1285" s="3"/>
      <c r="B1285" s="39"/>
      <c r="C1285" s="5"/>
      <c r="D1285" s="5"/>
      <c r="E1285" s="5"/>
      <c r="F1285" s="5"/>
      <c r="G1285" s="29"/>
      <c r="H1285"/>
      <c r="I1285" s="7"/>
      <c r="J1285" s="7"/>
      <c r="K1285" s="7"/>
      <c r="L1285" s="8"/>
      <c r="M1285" s="7"/>
      <c r="N1285" s="7"/>
      <c r="O1285" s="8"/>
      <c r="P1285" s="6"/>
      <c r="Q1285" s="5"/>
      <c r="R1285" s="5"/>
      <c r="S1285" s="5"/>
      <c r="T1285" s="5"/>
      <c r="U1285" s="5"/>
      <c r="V1285" s="5"/>
      <c r="W1285" s="5"/>
      <c r="X1285" s="8"/>
      <c r="Y1285" s="9"/>
      <c r="Z1285" s="10"/>
      <c r="AA1285" s="10"/>
      <c r="AB1285" s="8"/>
      <c r="AC1285" s="10"/>
    </row>
    <row r="1286" spans="1:29" s="4" customFormat="1" x14ac:dyDescent="0.3">
      <c r="A1286" s="3"/>
      <c r="B1286" s="39"/>
      <c r="C1286" s="5"/>
      <c r="D1286" s="5"/>
      <c r="E1286" s="5"/>
      <c r="F1286" s="5"/>
      <c r="G1286" s="29"/>
      <c r="H1286"/>
      <c r="I1286" s="7"/>
      <c r="J1286" s="7"/>
      <c r="K1286" s="7"/>
      <c r="L1286" s="8"/>
      <c r="M1286" s="7"/>
      <c r="N1286" s="7"/>
      <c r="O1286" s="8"/>
      <c r="P1286" s="6"/>
      <c r="Q1286" s="5"/>
      <c r="R1286" s="5"/>
      <c r="S1286" s="5"/>
      <c r="T1286" s="5"/>
      <c r="U1286" s="5"/>
      <c r="V1286" s="5"/>
      <c r="W1286" s="5"/>
      <c r="X1286" s="8"/>
      <c r="Y1286" s="9"/>
      <c r="Z1286" s="10"/>
      <c r="AA1286" s="10"/>
      <c r="AB1286" s="8"/>
      <c r="AC1286" s="10"/>
    </row>
    <row r="1287" spans="1:29" s="4" customFormat="1" x14ac:dyDescent="0.3">
      <c r="A1287" s="3"/>
      <c r="B1287" s="39"/>
      <c r="C1287" s="5"/>
      <c r="D1287" s="5"/>
      <c r="E1287" s="5"/>
      <c r="F1287" s="5"/>
      <c r="G1287" s="29"/>
      <c r="H1287"/>
      <c r="I1287" s="7"/>
      <c r="J1287" s="7"/>
      <c r="K1287" s="7"/>
      <c r="L1287" s="8"/>
      <c r="M1287" s="7"/>
      <c r="N1287" s="7"/>
      <c r="O1287" s="8"/>
      <c r="P1287" s="6"/>
      <c r="Q1287" s="5"/>
      <c r="R1287" s="5"/>
      <c r="S1287" s="5"/>
      <c r="T1287" s="5"/>
      <c r="U1287" s="5"/>
      <c r="V1287" s="5"/>
      <c r="W1287" s="5"/>
      <c r="X1287" s="8"/>
      <c r="Y1287" s="9"/>
      <c r="Z1287" s="10"/>
      <c r="AA1287" s="10"/>
      <c r="AB1287" s="8"/>
      <c r="AC1287" s="10"/>
    </row>
    <row r="1288" spans="1:29" s="4" customFormat="1" x14ac:dyDescent="0.3">
      <c r="A1288" s="3"/>
      <c r="B1288" s="39"/>
      <c r="C1288" s="5"/>
      <c r="D1288" s="5"/>
      <c r="E1288" s="5"/>
      <c r="F1288" s="5"/>
      <c r="G1288" s="29"/>
      <c r="H1288"/>
      <c r="I1288" s="7"/>
      <c r="J1288" s="7"/>
      <c r="K1288" s="7"/>
      <c r="L1288" s="8"/>
      <c r="M1288" s="7"/>
      <c r="N1288" s="7"/>
      <c r="O1288" s="8"/>
      <c r="P1288" s="6"/>
      <c r="Q1288" s="5"/>
      <c r="R1288" s="5"/>
      <c r="S1288" s="5"/>
      <c r="T1288" s="5"/>
      <c r="U1288" s="5"/>
      <c r="V1288" s="5"/>
      <c r="W1288" s="5"/>
      <c r="X1288" s="8"/>
      <c r="Y1288" s="9"/>
      <c r="Z1288" s="10"/>
      <c r="AA1288" s="10"/>
      <c r="AB1288" s="8"/>
      <c r="AC1288" s="10"/>
    </row>
    <row r="1289" spans="1:29" s="4" customFormat="1" x14ac:dyDescent="0.3">
      <c r="A1289" s="3"/>
      <c r="B1289" s="39"/>
      <c r="C1289" s="5"/>
      <c r="D1289" s="5"/>
      <c r="E1289" s="5"/>
      <c r="F1289" s="5"/>
      <c r="G1289" s="29"/>
      <c r="H1289"/>
      <c r="I1289" s="7"/>
      <c r="J1289" s="7"/>
      <c r="K1289" s="7"/>
      <c r="L1289" s="8"/>
      <c r="M1289" s="7"/>
      <c r="N1289" s="7"/>
      <c r="O1289" s="8"/>
      <c r="P1289" s="6"/>
      <c r="Q1289" s="5"/>
      <c r="R1289" s="5"/>
      <c r="S1289" s="5"/>
      <c r="T1289" s="5"/>
      <c r="U1289" s="5"/>
      <c r="V1289" s="5"/>
      <c r="W1289" s="5"/>
      <c r="X1289" s="8"/>
      <c r="Y1289" s="9"/>
      <c r="Z1289" s="10"/>
      <c r="AA1289" s="10"/>
      <c r="AB1289" s="8"/>
      <c r="AC1289" s="10"/>
    </row>
    <row r="1290" spans="1:29" s="4" customFormat="1" x14ac:dyDescent="0.3">
      <c r="A1290" s="3"/>
      <c r="B1290" s="39"/>
      <c r="C1290" s="5"/>
      <c r="D1290" s="5"/>
      <c r="E1290" s="5"/>
      <c r="F1290" s="5"/>
      <c r="G1290" s="29"/>
      <c r="H1290"/>
      <c r="I1290" s="7"/>
      <c r="J1290" s="7"/>
      <c r="K1290" s="7"/>
      <c r="L1290" s="8"/>
      <c r="M1290" s="7"/>
      <c r="N1290" s="7"/>
      <c r="O1290" s="8"/>
      <c r="P1290" s="6"/>
      <c r="Q1290" s="5"/>
      <c r="R1290" s="5"/>
      <c r="S1290" s="5"/>
      <c r="T1290" s="5"/>
      <c r="U1290" s="5"/>
      <c r="V1290" s="5"/>
      <c r="W1290" s="5"/>
      <c r="X1290" s="8"/>
      <c r="Y1290" s="9"/>
      <c r="Z1290" s="10"/>
      <c r="AA1290" s="10"/>
      <c r="AB1290" s="8"/>
      <c r="AC1290" s="10"/>
    </row>
    <row r="1291" spans="1:29" s="4" customFormat="1" x14ac:dyDescent="0.3">
      <c r="A1291" s="3"/>
      <c r="B1291" s="39"/>
      <c r="C1291" s="5"/>
      <c r="D1291" s="5"/>
      <c r="E1291" s="5"/>
      <c r="F1291" s="5"/>
      <c r="G1291" s="29"/>
      <c r="H1291"/>
      <c r="I1291" s="7"/>
      <c r="J1291" s="7"/>
      <c r="K1291" s="7"/>
      <c r="L1291" s="8"/>
      <c r="M1291" s="7"/>
      <c r="N1291" s="7"/>
      <c r="O1291" s="8"/>
      <c r="P1291" s="6"/>
      <c r="Q1291" s="5"/>
      <c r="R1291" s="5"/>
      <c r="S1291" s="5"/>
      <c r="T1291" s="5"/>
      <c r="U1291" s="5"/>
      <c r="V1291" s="5"/>
      <c r="W1291" s="5"/>
      <c r="X1291" s="8"/>
      <c r="Y1291" s="9"/>
      <c r="Z1291" s="10"/>
      <c r="AA1291" s="10"/>
      <c r="AB1291" s="8"/>
      <c r="AC1291" s="10"/>
    </row>
    <row r="1292" spans="1:29" s="4" customFormat="1" x14ac:dyDescent="0.3">
      <c r="A1292" s="3"/>
      <c r="B1292" s="39"/>
      <c r="C1292" s="5"/>
      <c r="D1292" s="5"/>
      <c r="E1292" s="5"/>
      <c r="F1292" s="5"/>
      <c r="G1292" s="29"/>
      <c r="H1292"/>
      <c r="I1292" s="7"/>
      <c r="J1292" s="7"/>
      <c r="K1292" s="7"/>
      <c r="L1292" s="8"/>
      <c r="M1292" s="7"/>
      <c r="N1292" s="7"/>
      <c r="O1292" s="8"/>
      <c r="P1292" s="6"/>
      <c r="Q1292" s="5"/>
      <c r="R1292" s="5"/>
      <c r="S1292" s="5"/>
      <c r="T1292" s="5"/>
      <c r="U1292" s="5"/>
      <c r="V1292" s="5"/>
      <c r="W1292" s="5"/>
      <c r="X1292" s="8"/>
      <c r="Y1292" s="9"/>
      <c r="Z1292" s="10"/>
      <c r="AA1292" s="10"/>
      <c r="AB1292" s="8"/>
      <c r="AC1292" s="10"/>
    </row>
    <row r="1293" spans="1:29" s="4" customFormat="1" x14ac:dyDescent="0.3">
      <c r="A1293" s="3"/>
      <c r="B1293" s="39"/>
      <c r="C1293" s="5"/>
      <c r="D1293" s="5"/>
      <c r="E1293" s="5"/>
      <c r="F1293" s="5"/>
      <c r="G1293" s="29"/>
      <c r="H1293"/>
      <c r="I1293" s="7"/>
      <c r="J1293" s="7"/>
      <c r="K1293" s="7"/>
      <c r="L1293" s="8"/>
      <c r="M1293" s="7"/>
      <c r="N1293" s="7"/>
      <c r="O1293" s="8"/>
      <c r="P1293" s="6"/>
      <c r="Q1293" s="5"/>
      <c r="R1293" s="5"/>
      <c r="S1293" s="5"/>
      <c r="T1293" s="5"/>
      <c r="U1293" s="5"/>
      <c r="V1293" s="5"/>
      <c r="W1293" s="5"/>
      <c r="X1293" s="8"/>
      <c r="Y1293" s="9"/>
      <c r="Z1293" s="10"/>
      <c r="AA1293" s="10"/>
      <c r="AB1293" s="8"/>
      <c r="AC1293" s="10"/>
    </row>
    <row r="1294" spans="1:29" s="4" customFormat="1" x14ac:dyDescent="0.3">
      <c r="A1294" s="3"/>
      <c r="B1294" s="39"/>
      <c r="C1294" s="5"/>
      <c r="D1294" s="5"/>
      <c r="E1294" s="5"/>
      <c r="F1294" s="5"/>
      <c r="G1294" s="29"/>
      <c r="H1294"/>
      <c r="I1294" s="7"/>
      <c r="J1294" s="7"/>
      <c r="K1294" s="7"/>
      <c r="L1294" s="8"/>
      <c r="M1294" s="7"/>
      <c r="N1294" s="7"/>
      <c r="O1294" s="8"/>
      <c r="P1294" s="6"/>
      <c r="Q1294" s="5"/>
      <c r="R1294" s="5"/>
      <c r="S1294" s="5"/>
      <c r="T1294" s="5"/>
      <c r="U1294" s="5"/>
      <c r="V1294" s="5"/>
      <c r="W1294" s="5"/>
      <c r="X1294" s="8"/>
      <c r="Y1294" s="9"/>
      <c r="Z1294" s="10"/>
      <c r="AA1294" s="10"/>
      <c r="AB1294" s="8"/>
      <c r="AC1294" s="10"/>
    </row>
    <row r="1295" spans="1:29" s="4" customFormat="1" x14ac:dyDescent="0.3">
      <c r="A1295" s="3"/>
      <c r="B1295" s="39"/>
      <c r="C1295" s="5"/>
      <c r="D1295" s="5"/>
      <c r="E1295" s="5"/>
      <c r="F1295" s="5"/>
      <c r="G1295" s="29"/>
      <c r="H1295"/>
      <c r="I1295" s="7"/>
      <c r="J1295" s="7"/>
      <c r="K1295" s="7"/>
      <c r="L1295" s="8"/>
      <c r="M1295" s="7"/>
      <c r="N1295" s="7"/>
      <c r="O1295" s="8"/>
      <c r="P1295" s="6"/>
      <c r="Q1295" s="5"/>
      <c r="R1295" s="5"/>
      <c r="S1295" s="5"/>
      <c r="T1295" s="5"/>
      <c r="U1295" s="5"/>
      <c r="V1295" s="5"/>
      <c r="W1295" s="5"/>
      <c r="X1295" s="8"/>
      <c r="Y1295" s="9"/>
      <c r="Z1295" s="10"/>
      <c r="AA1295" s="10"/>
      <c r="AB1295" s="8"/>
      <c r="AC1295" s="10"/>
    </row>
    <row r="1296" spans="1:29" s="4" customFormat="1" x14ac:dyDescent="0.3">
      <c r="A1296" s="3"/>
      <c r="B1296" s="39"/>
      <c r="C1296" s="5"/>
      <c r="D1296" s="5"/>
      <c r="E1296" s="5"/>
      <c r="F1296" s="5"/>
      <c r="G1296" s="29"/>
      <c r="H1296"/>
      <c r="I1296" s="7"/>
      <c r="J1296" s="7"/>
      <c r="K1296" s="7"/>
      <c r="L1296" s="8"/>
      <c r="M1296" s="7"/>
      <c r="N1296" s="7"/>
      <c r="O1296" s="8"/>
      <c r="P1296" s="6"/>
      <c r="Q1296" s="5"/>
      <c r="R1296" s="5"/>
      <c r="S1296" s="5"/>
      <c r="T1296" s="5"/>
      <c r="U1296" s="5"/>
      <c r="V1296" s="5"/>
      <c r="W1296" s="5"/>
      <c r="X1296" s="8"/>
      <c r="Y1296" s="9"/>
      <c r="Z1296" s="10"/>
      <c r="AA1296" s="10"/>
      <c r="AB1296" s="8"/>
      <c r="AC1296" s="10"/>
    </row>
    <row r="1297" spans="1:29" s="4" customFormat="1" x14ac:dyDescent="0.3">
      <c r="A1297" s="3"/>
      <c r="B1297" s="39"/>
      <c r="C1297" s="5"/>
      <c r="D1297" s="5"/>
      <c r="E1297" s="5"/>
      <c r="F1297" s="5"/>
      <c r="G1297" s="29"/>
      <c r="H1297"/>
      <c r="I1297" s="7"/>
      <c r="J1297" s="7"/>
      <c r="K1297" s="7"/>
      <c r="L1297" s="8"/>
      <c r="M1297" s="7"/>
      <c r="N1297" s="7"/>
      <c r="O1297" s="8"/>
      <c r="P1297" s="6"/>
      <c r="Q1297" s="5"/>
      <c r="R1297" s="5"/>
      <c r="S1297" s="5"/>
      <c r="T1297" s="5"/>
      <c r="U1297" s="5"/>
      <c r="V1297" s="5"/>
      <c r="W1297" s="5"/>
      <c r="X1297" s="8"/>
      <c r="Y1297" s="9"/>
      <c r="Z1297" s="10"/>
      <c r="AA1297" s="10"/>
      <c r="AB1297" s="8"/>
      <c r="AC1297" s="10"/>
    </row>
    <row r="1298" spans="1:29" s="4" customFormat="1" x14ac:dyDescent="0.3">
      <c r="A1298" s="3"/>
      <c r="B1298" s="39"/>
      <c r="C1298" s="5"/>
      <c r="D1298" s="5"/>
      <c r="E1298" s="5"/>
      <c r="F1298" s="5"/>
      <c r="G1298" s="29"/>
      <c r="H1298"/>
      <c r="I1298" s="7"/>
      <c r="J1298" s="7"/>
      <c r="K1298" s="7"/>
      <c r="L1298" s="8"/>
      <c r="M1298" s="7"/>
      <c r="N1298" s="7"/>
      <c r="O1298" s="8"/>
      <c r="P1298" s="6"/>
      <c r="Q1298" s="5"/>
      <c r="R1298" s="5"/>
      <c r="S1298" s="5"/>
      <c r="T1298" s="5"/>
      <c r="U1298" s="5"/>
      <c r="V1298" s="5"/>
      <c r="W1298" s="5"/>
      <c r="X1298" s="8"/>
      <c r="Y1298" s="9"/>
      <c r="Z1298" s="10"/>
      <c r="AA1298" s="10"/>
      <c r="AB1298" s="8"/>
      <c r="AC1298" s="10"/>
    </row>
    <row r="1299" spans="1:29" s="4" customFormat="1" x14ac:dyDescent="0.3">
      <c r="A1299" s="3"/>
      <c r="B1299" s="39"/>
      <c r="C1299" s="5"/>
      <c r="D1299" s="5"/>
      <c r="E1299" s="5"/>
      <c r="F1299" s="5"/>
      <c r="G1299" s="29"/>
      <c r="H1299"/>
      <c r="I1299" s="7"/>
      <c r="J1299" s="7"/>
      <c r="K1299" s="7"/>
      <c r="L1299" s="8"/>
      <c r="M1299" s="7"/>
      <c r="N1299" s="7"/>
      <c r="O1299" s="8"/>
      <c r="P1299" s="6"/>
      <c r="Q1299" s="5"/>
      <c r="R1299" s="5"/>
      <c r="S1299" s="5"/>
      <c r="T1299" s="5"/>
      <c r="U1299" s="5"/>
      <c r="V1299" s="5"/>
      <c r="W1299" s="5"/>
      <c r="X1299" s="8"/>
      <c r="Y1299" s="9"/>
      <c r="Z1299" s="10"/>
      <c r="AA1299" s="10"/>
      <c r="AB1299" s="8"/>
      <c r="AC1299" s="10"/>
    </row>
    <row r="1300" spans="1:29" s="4" customFormat="1" x14ac:dyDescent="0.3">
      <c r="A1300" s="3"/>
      <c r="B1300" s="39"/>
      <c r="C1300" s="5"/>
      <c r="D1300" s="5"/>
      <c r="E1300" s="5"/>
      <c r="F1300" s="5"/>
      <c r="G1300" s="29"/>
      <c r="H1300"/>
      <c r="I1300" s="7"/>
      <c r="J1300" s="7"/>
      <c r="K1300" s="7"/>
      <c r="L1300" s="8"/>
      <c r="M1300" s="7"/>
      <c r="N1300" s="7"/>
      <c r="O1300" s="8"/>
      <c r="P1300" s="6"/>
      <c r="Q1300" s="5"/>
      <c r="R1300" s="5"/>
      <c r="S1300" s="5"/>
      <c r="T1300" s="5"/>
      <c r="U1300" s="5"/>
      <c r="V1300" s="5"/>
      <c r="W1300" s="5"/>
      <c r="X1300" s="8"/>
      <c r="Y1300" s="9"/>
      <c r="Z1300" s="10"/>
      <c r="AA1300" s="10"/>
      <c r="AB1300" s="8"/>
      <c r="AC1300" s="10"/>
    </row>
    <row r="1301" spans="1:29" s="4" customFormat="1" x14ac:dyDescent="0.3">
      <c r="A1301" s="3"/>
      <c r="B1301" s="39"/>
      <c r="C1301" s="5"/>
      <c r="D1301" s="5"/>
      <c r="E1301" s="5"/>
      <c r="F1301" s="5"/>
      <c r="G1301" s="29"/>
      <c r="H1301"/>
      <c r="I1301" s="7"/>
      <c r="J1301" s="7"/>
      <c r="K1301" s="7"/>
      <c r="L1301" s="8"/>
      <c r="M1301" s="7"/>
      <c r="N1301" s="7"/>
      <c r="O1301" s="8"/>
      <c r="P1301" s="6"/>
      <c r="Q1301" s="5"/>
      <c r="R1301" s="5"/>
      <c r="S1301" s="5"/>
      <c r="T1301" s="5"/>
      <c r="U1301" s="5"/>
      <c r="V1301" s="5"/>
      <c r="W1301" s="5"/>
      <c r="X1301" s="8"/>
      <c r="Y1301" s="9"/>
      <c r="Z1301" s="10"/>
      <c r="AA1301" s="10"/>
      <c r="AB1301" s="8"/>
      <c r="AC1301" s="10"/>
    </row>
    <row r="1302" spans="1:29" s="4" customFormat="1" x14ac:dyDescent="0.3">
      <c r="A1302" s="3"/>
      <c r="B1302" s="39"/>
      <c r="C1302" s="5"/>
      <c r="D1302" s="5"/>
      <c r="E1302" s="5"/>
      <c r="F1302" s="5"/>
      <c r="G1302" s="29"/>
      <c r="H1302"/>
      <c r="I1302" s="7"/>
      <c r="J1302" s="7"/>
      <c r="K1302" s="7"/>
      <c r="L1302" s="8"/>
      <c r="M1302" s="7"/>
      <c r="N1302" s="7"/>
      <c r="O1302" s="8"/>
      <c r="P1302" s="6"/>
      <c r="Q1302" s="5"/>
      <c r="R1302" s="5"/>
      <c r="S1302" s="5"/>
      <c r="T1302" s="5"/>
      <c r="U1302" s="5"/>
      <c r="V1302" s="5"/>
      <c r="W1302" s="5"/>
      <c r="X1302" s="8"/>
      <c r="Y1302" s="9"/>
      <c r="Z1302" s="10"/>
      <c r="AA1302" s="10"/>
      <c r="AB1302" s="8"/>
      <c r="AC1302" s="10"/>
    </row>
    <row r="1303" spans="1:29" s="4" customFormat="1" x14ac:dyDescent="0.3">
      <c r="A1303" s="3"/>
      <c r="B1303" s="39"/>
      <c r="C1303" s="5"/>
      <c r="D1303" s="5"/>
      <c r="E1303" s="5"/>
      <c r="F1303" s="5"/>
      <c r="G1303" s="29"/>
      <c r="H1303"/>
      <c r="I1303" s="7"/>
      <c r="J1303" s="7"/>
      <c r="K1303" s="7"/>
      <c r="L1303" s="8"/>
      <c r="M1303" s="7"/>
      <c r="N1303" s="7"/>
      <c r="O1303" s="8"/>
      <c r="P1303" s="6"/>
      <c r="Q1303" s="5"/>
      <c r="R1303" s="5"/>
      <c r="S1303" s="5"/>
      <c r="T1303" s="5"/>
      <c r="U1303" s="5"/>
      <c r="V1303" s="5"/>
      <c r="W1303" s="5"/>
      <c r="X1303" s="8"/>
      <c r="Y1303" s="9"/>
      <c r="Z1303" s="10"/>
      <c r="AA1303" s="10"/>
      <c r="AB1303" s="8"/>
      <c r="AC1303" s="10"/>
    </row>
    <row r="1304" spans="1:29" s="4" customFormat="1" x14ac:dyDescent="0.3">
      <c r="A1304" s="3"/>
      <c r="B1304" s="39"/>
      <c r="C1304" s="5"/>
      <c r="D1304" s="5"/>
      <c r="E1304" s="5"/>
      <c r="F1304" s="5"/>
      <c r="G1304" s="29"/>
      <c r="H1304"/>
      <c r="I1304" s="7"/>
      <c r="J1304" s="7"/>
      <c r="K1304" s="7"/>
      <c r="L1304" s="8"/>
      <c r="M1304" s="7"/>
      <c r="N1304" s="7"/>
      <c r="O1304" s="8"/>
      <c r="P1304" s="6"/>
      <c r="Q1304" s="5"/>
      <c r="R1304" s="5"/>
      <c r="S1304" s="5"/>
      <c r="T1304" s="5"/>
      <c r="U1304" s="5"/>
      <c r="V1304" s="5"/>
      <c r="W1304" s="5"/>
      <c r="X1304" s="8"/>
      <c r="Y1304" s="9"/>
      <c r="Z1304" s="10"/>
      <c r="AA1304" s="10"/>
      <c r="AB1304" s="8"/>
      <c r="AC1304" s="10"/>
    </row>
    <row r="1305" spans="1:29" s="4" customFormat="1" x14ac:dyDescent="0.3">
      <c r="A1305" s="3"/>
      <c r="B1305" s="39"/>
      <c r="C1305" s="5"/>
      <c r="D1305" s="5"/>
      <c r="E1305" s="5"/>
      <c r="F1305" s="5"/>
      <c r="G1305" s="29"/>
      <c r="H1305"/>
      <c r="I1305" s="7"/>
      <c r="J1305" s="7"/>
      <c r="K1305" s="7"/>
      <c r="L1305" s="8"/>
      <c r="M1305" s="7"/>
      <c r="N1305" s="7"/>
      <c r="O1305" s="8"/>
      <c r="P1305" s="6"/>
      <c r="Q1305" s="5"/>
      <c r="R1305" s="5"/>
      <c r="S1305" s="5"/>
      <c r="T1305" s="5"/>
      <c r="U1305" s="5"/>
      <c r="V1305" s="5"/>
      <c r="W1305" s="5"/>
      <c r="X1305" s="8"/>
      <c r="Y1305" s="9"/>
      <c r="Z1305" s="10"/>
      <c r="AA1305" s="10"/>
      <c r="AB1305" s="8"/>
      <c r="AC1305" s="10"/>
    </row>
    <row r="1306" spans="1:29" s="4" customFormat="1" x14ac:dyDescent="0.3">
      <c r="A1306" s="3"/>
      <c r="B1306" s="39"/>
      <c r="C1306" s="5"/>
      <c r="D1306" s="5"/>
      <c r="E1306" s="5"/>
      <c r="F1306" s="5"/>
      <c r="G1306" s="29"/>
      <c r="H1306"/>
      <c r="I1306" s="7"/>
      <c r="J1306" s="7"/>
      <c r="K1306" s="7"/>
      <c r="L1306" s="8"/>
      <c r="M1306" s="7"/>
      <c r="N1306" s="7"/>
      <c r="O1306" s="8"/>
      <c r="P1306" s="6"/>
      <c r="Q1306" s="5"/>
      <c r="R1306" s="5"/>
      <c r="S1306" s="5"/>
      <c r="T1306" s="5"/>
      <c r="U1306" s="5"/>
      <c r="V1306" s="5"/>
      <c r="W1306" s="5"/>
      <c r="X1306" s="8"/>
      <c r="Y1306" s="9"/>
      <c r="Z1306" s="10"/>
      <c r="AA1306" s="10"/>
      <c r="AB1306" s="8"/>
      <c r="AC1306" s="10"/>
    </row>
    <row r="1307" spans="1:29" s="4" customFormat="1" x14ac:dyDescent="0.3">
      <c r="A1307" s="3"/>
      <c r="B1307" s="39"/>
      <c r="C1307" s="5"/>
      <c r="D1307" s="5"/>
      <c r="E1307" s="5"/>
      <c r="F1307" s="5"/>
      <c r="G1307" s="29"/>
      <c r="H1307"/>
      <c r="I1307" s="7"/>
      <c r="J1307" s="7"/>
      <c r="K1307" s="7"/>
      <c r="L1307" s="8"/>
      <c r="M1307" s="7"/>
      <c r="N1307" s="7"/>
      <c r="O1307" s="8"/>
      <c r="P1307" s="6"/>
      <c r="Q1307" s="5"/>
      <c r="R1307" s="5"/>
      <c r="S1307" s="5"/>
      <c r="T1307" s="5"/>
      <c r="U1307" s="5"/>
      <c r="V1307" s="5"/>
      <c r="W1307" s="5"/>
      <c r="X1307" s="8"/>
      <c r="Y1307" s="9"/>
      <c r="Z1307" s="10"/>
      <c r="AA1307" s="10"/>
      <c r="AB1307" s="8"/>
      <c r="AC1307" s="10"/>
    </row>
    <row r="1308" spans="1:29" s="4" customFormat="1" x14ac:dyDescent="0.3">
      <c r="A1308" s="3"/>
      <c r="B1308" s="39"/>
      <c r="C1308" s="5"/>
      <c r="D1308" s="5"/>
      <c r="E1308" s="5"/>
      <c r="F1308" s="5"/>
      <c r="G1308" s="29"/>
      <c r="H1308"/>
      <c r="I1308" s="7"/>
      <c r="J1308" s="7"/>
      <c r="K1308" s="7"/>
      <c r="L1308" s="8"/>
      <c r="M1308" s="7"/>
      <c r="N1308" s="7"/>
      <c r="O1308" s="8"/>
      <c r="P1308" s="6"/>
      <c r="Q1308" s="5"/>
      <c r="R1308" s="5"/>
      <c r="S1308" s="5"/>
      <c r="T1308" s="5"/>
      <c r="U1308" s="5"/>
      <c r="V1308" s="5"/>
      <c r="W1308" s="5"/>
      <c r="X1308" s="8"/>
      <c r="Y1308" s="9"/>
      <c r="Z1308" s="10"/>
      <c r="AA1308" s="10"/>
      <c r="AB1308" s="8"/>
      <c r="AC1308" s="10"/>
    </row>
    <row r="1309" spans="1:29" s="4" customFormat="1" x14ac:dyDescent="0.3">
      <c r="A1309" s="3"/>
      <c r="B1309" s="39"/>
      <c r="C1309" s="5"/>
      <c r="D1309" s="5"/>
      <c r="E1309" s="5"/>
      <c r="F1309" s="5"/>
      <c r="G1309" s="29"/>
      <c r="H1309"/>
      <c r="I1309" s="7"/>
      <c r="J1309" s="7"/>
      <c r="K1309" s="7"/>
      <c r="L1309" s="8"/>
      <c r="M1309" s="7"/>
      <c r="N1309" s="7"/>
      <c r="O1309" s="8"/>
      <c r="P1309" s="6"/>
      <c r="Q1309" s="5"/>
      <c r="R1309" s="5"/>
      <c r="S1309" s="5"/>
      <c r="T1309" s="5"/>
      <c r="U1309" s="5"/>
      <c r="V1309" s="5"/>
      <c r="W1309" s="5"/>
      <c r="X1309" s="8"/>
      <c r="Y1309" s="9"/>
      <c r="Z1309" s="10"/>
      <c r="AA1309" s="10"/>
      <c r="AB1309" s="8"/>
      <c r="AC1309" s="10"/>
    </row>
    <row r="1310" spans="1:29" s="4" customFormat="1" x14ac:dyDescent="0.3">
      <c r="A1310" s="3"/>
      <c r="B1310" s="39"/>
      <c r="C1310" s="5"/>
      <c r="D1310" s="5"/>
      <c r="E1310" s="5"/>
      <c r="F1310" s="5"/>
      <c r="G1310" s="29"/>
      <c r="H1310"/>
      <c r="I1310" s="7"/>
      <c r="J1310" s="7"/>
      <c r="K1310" s="7"/>
      <c r="L1310" s="8"/>
      <c r="M1310" s="7"/>
      <c r="N1310" s="7"/>
      <c r="O1310" s="8"/>
      <c r="P1310" s="6"/>
      <c r="Q1310" s="5"/>
      <c r="R1310" s="5"/>
      <c r="S1310" s="5"/>
      <c r="T1310" s="5"/>
      <c r="U1310" s="5"/>
      <c r="V1310" s="5"/>
      <c r="W1310" s="5"/>
      <c r="X1310" s="8"/>
      <c r="Y1310" s="9"/>
      <c r="Z1310" s="10"/>
      <c r="AA1310" s="10"/>
      <c r="AB1310" s="8"/>
      <c r="AC1310" s="10"/>
    </row>
    <row r="1311" spans="1:29" s="4" customFormat="1" x14ac:dyDescent="0.3">
      <c r="A1311" s="3"/>
      <c r="B1311" s="39"/>
      <c r="C1311" s="5"/>
      <c r="D1311" s="5"/>
      <c r="E1311" s="5"/>
      <c r="F1311" s="5"/>
      <c r="G1311" s="29"/>
      <c r="H1311"/>
      <c r="I1311" s="7"/>
      <c r="J1311" s="7"/>
      <c r="K1311" s="7"/>
      <c r="L1311" s="8"/>
      <c r="M1311" s="7"/>
      <c r="N1311" s="7"/>
      <c r="O1311" s="8"/>
      <c r="P1311" s="6"/>
      <c r="Q1311" s="5"/>
      <c r="R1311" s="5"/>
      <c r="S1311" s="5"/>
      <c r="T1311" s="5"/>
      <c r="U1311" s="5"/>
      <c r="V1311" s="5"/>
      <c r="W1311" s="5"/>
      <c r="X1311" s="8"/>
      <c r="Y1311" s="9"/>
      <c r="Z1311" s="10"/>
      <c r="AA1311" s="10"/>
      <c r="AB1311" s="8"/>
      <c r="AC1311" s="10"/>
    </row>
    <row r="1312" spans="1:29" s="4" customFormat="1" x14ac:dyDescent="0.3">
      <c r="A1312" s="3"/>
      <c r="B1312" s="39"/>
      <c r="C1312" s="5"/>
      <c r="D1312" s="5"/>
      <c r="E1312" s="5"/>
      <c r="F1312" s="5"/>
      <c r="G1312" s="29"/>
      <c r="H1312"/>
      <c r="I1312" s="7"/>
      <c r="J1312" s="7"/>
      <c r="K1312" s="7"/>
      <c r="L1312" s="8"/>
      <c r="M1312" s="7"/>
      <c r="N1312" s="7"/>
      <c r="O1312" s="8"/>
      <c r="P1312" s="6"/>
      <c r="Q1312" s="5"/>
      <c r="R1312" s="5"/>
      <c r="S1312" s="5"/>
      <c r="T1312" s="5"/>
      <c r="U1312" s="5"/>
      <c r="V1312" s="5"/>
      <c r="W1312" s="5"/>
      <c r="X1312" s="8"/>
      <c r="Y1312" s="9"/>
      <c r="Z1312" s="10"/>
      <c r="AA1312" s="10"/>
      <c r="AB1312" s="8"/>
      <c r="AC1312" s="10"/>
    </row>
    <row r="1313" spans="1:29" s="4" customFormat="1" x14ac:dyDescent="0.3">
      <c r="A1313" s="3"/>
      <c r="B1313" s="39"/>
      <c r="C1313" s="5"/>
      <c r="D1313" s="5"/>
      <c r="E1313" s="5"/>
      <c r="F1313" s="5"/>
      <c r="G1313" s="29"/>
      <c r="H1313"/>
      <c r="I1313" s="7"/>
      <c r="J1313" s="7"/>
      <c r="K1313" s="7"/>
      <c r="L1313" s="8"/>
      <c r="M1313" s="7"/>
      <c r="N1313" s="7"/>
      <c r="O1313" s="8"/>
      <c r="P1313" s="6"/>
      <c r="Q1313" s="5"/>
      <c r="R1313" s="5"/>
      <c r="S1313" s="5"/>
      <c r="T1313" s="5"/>
      <c r="U1313" s="5"/>
      <c r="V1313" s="5"/>
      <c r="W1313" s="5"/>
      <c r="X1313" s="8"/>
      <c r="Y1313" s="9"/>
      <c r="Z1313" s="10"/>
      <c r="AA1313" s="10"/>
      <c r="AB1313" s="8"/>
      <c r="AC1313" s="10"/>
    </row>
    <row r="1314" spans="1:29" s="4" customFormat="1" x14ac:dyDescent="0.3">
      <c r="A1314" s="3"/>
      <c r="B1314" s="39"/>
      <c r="C1314" s="5"/>
      <c r="D1314" s="5"/>
      <c r="E1314" s="5"/>
      <c r="F1314" s="5"/>
      <c r="G1314" s="29"/>
      <c r="H1314"/>
      <c r="I1314" s="7"/>
      <c r="J1314" s="7"/>
      <c r="K1314" s="7"/>
      <c r="L1314" s="8"/>
      <c r="M1314" s="7"/>
      <c r="N1314" s="7"/>
      <c r="O1314" s="8"/>
      <c r="P1314" s="6"/>
      <c r="Q1314" s="5"/>
      <c r="R1314" s="5"/>
      <c r="S1314" s="5"/>
      <c r="T1314" s="5"/>
      <c r="U1314" s="5"/>
      <c r="V1314" s="5"/>
      <c r="W1314" s="5"/>
      <c r="X1314" s="8"/>
      <c r="Y1314" s="9"/>
      <c r="Z1314" s="10"/>
      <c r="AA1314" s="10"/>
      <c r="AB1314" s="8"/>
      <c r="AC1314" s="10"/>
    </row>
    <row r="1315" spans="1:29" s="4" customFormat="1" x14ac:dyDescent="0.3">
      <c r="A1315" s="3"/>
      <c r="B1315" s="39"/>
      <c r="C1315" s="5"/>
      <c r="D1315" s="5"/>
      <c r="E1315" s="5"/>
      <c r="F1315" s="5"/>
      <c r="G1315" s="29"/>
      <c r="H1315"/>
      <c r="I1315" s="7"/>
      <c r="J1315" s="7"/>
      <c r="K1315" s="7"/>
      <c r="L1315" s="8"/>
      <c r="M1315" s="7"/>
      <c r="N1315" s="7"/>
      <c r="O1315" s="8"/>
      <c r="P1315" s="6"/>
      <c r="Q1315" s="5"/>
      <c r="R1315" s="5"/>
      <c r="S1315" s="5"/>
      <c r="T1315" s="5"/>
      <c r="U1315" s="5"/>
      <c r="V1315" s="5"/>
      <c r="W1315" s="5"/>
      <c r="X1315" s="8"/>
      <c r="Y1315" s="9"/>
      <c r="Z1315" s="10"/>
      <c r="AA1315" s="10"/>
      <c r="AB1315" s="8"/>
      <c r="AC1315" s="10"/>
    </row>
    <row r="1316" spans="1:29" s="4" customFormat="1" x14ac:dyDescent="0.3">
      <c r="A1316" s="3"/>
      <c r="B1316" s="39"/>
      <c r="C1316" s="5"/>
      <c r="D1316" s="5"/>
      <c r="E1316" s="5"/>
      <c r="F1316" s="5"/>
      <c r="G1316" s="29"/>
      <c r="H1316"/>
      <c r="I1316" s="7"/>
      <c r="J1316" s="7"/>
      <c r="K1316" s="7"/>
      <c r="L1316" s="8"/>
      <c r="M1316" s="7"/>
      <c r="N1316" s="7"/>
      <c r="O1316" s="8"/>
      <c r="P1316" s="6"/>
      <c r="Q1316" s="5"/>
      <c r="R1316" s="5"/>
      <c r="S1316" s="5"/>
      <c r="T1316" s="5"/>
      <c r="U1316" s="5"/>
      <c r="V1316" s="5"/>
      <c r="W1316" s="5"/>
      <c r="X1316" s="8"/>
      <c r="Y1316" s="9"/>
      <c r="Z1316" s="10"/>
      <c r="AA1316" s="10"/>
      <c r="AB1316" s="8"/>
      <c r="AC1316" s="10"/>
    </row>
    <row r="1317" spans="1:29" s="4" customFormat="1" x14ac:dyDescent="0.3">
      <c r="A1317" s="3"/>
      <c r="B1317" s="39"/>
      <c r="C1317" s="5"/>
      <c r="D1317" s="5"/>
      <c r="E1317" s="5"/>
      <c r="F1317" s="5"/>
      <c r="G1317" s="29"/>
      <c r="H1317"/>
      <c r="I1317" s="7"/>
      <c r="J1317" s="7"/>
      <c r="K1317" s="7"/>
      <c r="L1317" s="8"/>
      <c r="M1317" s="7"/>
      <c r="N1317" s="7"/>
      <c r="O1317" s="8"/>
      <c r="P1317" s="6"/>
      <c r="Q1317" s="5"/>
      <c r="R1317" s="5"/>
      <c r="S1317" s="5"/>
      <c r="T1317" s="5"/>
      <c r="U1317" s="5"/>
      <c r="V1317" s="5"/>
      <c r="W1317" s="5"/>
      <c r="X1317" s="8"/>
      <c r="Y1317" s="9"/>
      <c r="Z1317" s="10"/>
      <c r="AA1317" s="10"/>
      <c r="AB1317" s="8"/>
      <c r="AC1317" s="10"/>
    </row>
    <row r="1318" spans="1:29" s="4" customFormat="1" x14ac:dyDescent="0.3">
      <c r="A1318" s="3"/>
      <c r="B1318" s="39"/>
      <c r="C1318" s="5"/>
      <c r="D1318" s="5"/>
      <c r="E1318" s="5"/>
      <c r="F1318" s="5"/>
      <c r="G1318" s="29"/>
      <c r="H1318"/>
      <c r="I1318" s="7"/>
      <c r="J1318" s="7"/>
      <c r="K1318" s="7"/>
      <c r="L1318" s="8"/>
      <c r="M1318" s="7"/>
      <c r="N1318" s="7"/>
      <c r="O1318" s="8"/>
      <c r="P1318" s="6"/>
      <c r="Q1318" s="5"/>
      <c r="R1318" s="5"/>
      <c r="S1318" s="5"/>
      <c r="T1318" s="5"/>
      <c r="U1318" s="5"/>
      <c r="V1318" s="5"/>
      <c r="W1318" s="5"/>
      <c r="X1318" s="8"/>
      <c r="Y1318" s="9"/>
      <c r="Z1318" s="10"/>
      <c r="AA1318" s="10"/>
      <c r="AB1318" s="8"/>
      <c r="AC1318" s="10"/>
    </row>
    <row r="1319" spans="1:29" s="4" customFormat="1" x14ac:dyDescent="0.3">
      <c r="A1319" s="3"/>
      <c r="B1319" s="39"/>
      <c r="C1319" s="5"/>
      <c r="D1319" s="5"/>
      <c r="E1319" s="5"/>
      <c r="F1319" s="5"/>
      <c r="G1319" s="29"/>
      <c r="H1319"/>
      <c r="I1319" s="7"/>
      <c r="J1319" s="7"/>
      <c r="K1319" s="7"/>
      <c r="L1319" s="8"/>
      <c r="M1319" s="7"/>
      <c r="N1319" s="7"/>
      <c r="O1319" s="8"/>
      <c r="P1319" s="6"/>
      <c r="Q1319" s="5"/>
      <c r="R1319" s="5"/>
      <c r="S1319" s="5"/>
      <c r="T1319" s="5"/>
      <c r="U1319" s="5"/>
      <c r="V1319" s="5"/>
      <c r="W1319" s="5"/>
      <c r="X1319" s="8"/>
      <c r="Y1319" s="9"/>
      <c r="Z1319" s="10"/>
      <c r="AA1319" s="10"/>
      <c r="AB1319" s="8"/>
      <c r="AC1319" s="10"/>
    </row>
    <row r="1320" spans="1:29" s="4" customFormat="1" x14ac:dyDescent="0.3">
      <c r="A1320" s="3"/>
      <c r="B1320" s="39"/>
      <c r="C1320" s="5"/>
      <c r="D1320" s="5"/>
      <c r="E1320" s="5"/>
      <c r="F1320" s="5"/>
      <c r="G1320" s="29"/>
      <c r="H1320"/>
      <c r="I1320" s="7"/>
      <c r="J1320" s="7"/>
      <c r="K1320" s="7"/>
      <c r="L1320" s="8"/>
      <c r="M1320" s="7"/>
      <c r="N1320" s="7"/>
      <c r="O1320" s="8"/>
      <c r="P1320" s="6"/>
      <c r="Q1320" s="5"/>
      <c r="R1320" s="5"/>
      <c r="S1320" s="5"/>
      <c r="T1320" s="5"/>
      <c r="U1320" s="5"/>
      <c r="V1320" s="5"/>
      <c r="W1320" s="5"/>
      <c r="X1320" s="8"/>
      <c r="Y1320" s="9"/>
      <c r="Z1320" s="10"/>
      <c r="AA1320" s="10"/>
      <c r="AB1320" s="8"/>
      <c r="AC1320" s="10"/>
    </row>
  </sheetData>
  <mergeCells count="3">
    <mergeCell ref="G11:I11"/>
    <mergeCell ref="C12:F12"/>
    <mergeCell ref="J12:AC12"/>
  </mergeCells>
  <dataValidations count="6">
    <dataValidation type="list" allowBlank="1" showInputMessage="1" showErrorMessage="1" sqref="C9" xr:uid="{00000000-0002-0000-0400-000000000000}">
      <formula1>"Units,Thousands,Millions,Billions"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B13:W13 B15:V36 Y15:AC36" xr:uid="{00000000-0002-0000-0400-000001000000}">
      <formula1>"FALSE"</formula1>
    </dataValidation>
    <dataValidation type="list" allowBlank="1" showInputMessage="1" showErrorMessage="1" sqref="C8" xr:uid="{00000000-0002-0000-0400-000002000000}">
      <formula1>"Q,Y"</formula1>
    </dataValidation>
    <dataValidation type="list" allowBlank="1" showInputMessage="1" sqref="C2" xr:uid="{00000000-0002-0000-0400-000003000000}">
      <formula1>Codigos</formula1>
    </dataValidation>
    <dataValidation type="list" allowBlank="1" showInputMessage="1" showErrorMessage="1" sqref="C10" xr:uid="{00000000-0002-0000-0400-000004000000}">
      <formula1>"ORIGINAL CURRENCY,USD,EUR,INFLATION ADJUSTED"</formula1>
    </dataValidation>
    <dataValidation type="list" allowBlank="1" showInputMessage="1" showErrorMessage="1" sqref="G12:I12" xr:uid="{00000000-0002-0000-0400-000005000000}">
      <formula1>"3M,12M,In Fiscal Year"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9">
    <tabColor rgb="FFB1AE2D"/>
  </sheetPr>
  <dimension ref="B1:AY32"/>
  <sheetViews>
    <sheetView showGridLines="0" zoomScale="80" zoomScaleNormal="80" workbookViewId="0">
      <selection sqref="A1:XFD1"/>
    </sheetView>
  </sheetViews>
  <sheetFormatPr defaultColWidth="9.21875" defaultRowHeight="13.8" x14ac:dyDescent="0.3"/>
  <cols>
    <col min="1" max="1" width="2.77734375" style="3" customWidth="1"/>
    <col min="2" max="2" width="29" style="3" bestFit="1" customWidth="1"/>
    <col min="3" max="3" width="24.5546875" style="3" customWidth="1"/>
    <col min="4" max="4" width="2.88671875" style="487" customWidth="1"/>
    <col min="5" max="5" width="26.21875" style="12" bestFit="1" customWidth="1"/>
    <col min="6" max="7" width="24.5546875" style="12" customWidth="1"/>
    <col min="8" max="11" width="9.21875" style="3"/>
    <col min="12" max="12" width="24.44140625" style="3" bestFit="1" customWidth="1"/>
    <col min="13" max="13" width="31" style="3" bestFit="1" customWidth="1"/>
    <col min="14" max="16384" width="9.21875" style="3"/>
  </cols>
  <sheetData>
    <row r="1" spans="2:51" s="393" customFormat="1" ht="60" customHeight="1" x14ac:dyDescent="0.3">
      <c r="B1" s="31"/>
      <c r="C1" s="394"/>
      <c r="D1" s="485"/>
      <c r="E1" s="395"/>
      <c r="F1" s="472" t="s">
        <v>2883</v>
      </c>
      <c r="G1" s="397"/>
      <c r="H1" s="397"/>
      <c r="I1" s="397"/>
      <c r="J1" s="397"/>
      <c r="K1" s="397"/>
      <c r="L1" s="397"/>
      <c r="M1" s="397"/>
      <c r="N1" s="397"/>
      <c r="O1" s="398"/>
      <c r="P1" s="397"/>
      <c r="Q1" s="399"/>
      <c r="R1" s="400"/>
      <c r="S1" s="399"/>
      <c r="T1" s="400"/>
      <c r="U1" s="399"/>
      <c r="V1" s="400"/>
      <c r="W1" s="400"/>
      <c r="X1" s="400"/>
      <c r="Y1" s="400"/>
      <c r="Z1" s="400"/>
      <c r="AA1" s="401"/>
      <c r="AB1" s="399"/>
      <c r="AC1" s="399"/>
      <c r="AD1" s="399"/>
      <c r="AE1" s="399"/>
      <c r="AF1" s="399"/>
      <c r="AG1" s="69"/>
      <c r="AH1" s="402"/>
      <c r="AI1" s="47"/>
      <c r="AJ1" s="47"/>
      <c r="AK1" s="47"/>
      <c r="AL1" s="47"/>
      <c r="AM1" s="47"/>
      <c r="AN1" s="401"/>
      <c r="AO1" s="48"/>
      <c r="AP1" s="48"/>
      <c r="AQ1" s="48"/>
      <c r="AR1" s="48"/>
      <c r="AS1" s="31"/>
      <c r="AT1" s="48"/>
      <c r="AU1" s="47"/>
      <c r="AV1" s="403"/>
      <c r="AW1" s="47"/>
      <c r="AX1" s="31"/>
      <c r="AY1" s="31"/>
    </row>
    <row r="2" spans="2:51" s="473" customFormat="1" ht="15.6" x14ac:dyDescent="0.3">
      <c r="B2" s="490" t="s">
        <v>2196</v>
      </c>
      <c r="C2" s="491">
        <f>'Debêntures IPCA-Spread'!C2</f>
        <v>45552</v>
      </c>
      <c r="D2" s="486"/>
      <c r="E2" s="474"/>
      <c r="F2" s="475"/>
      <c r="G2" s="476"/>
      <c r="H2" s="476"/>
      <c r="I2" s="476"/>
      <c r="J2" s="476"/>
      <c r="K2" s="476"/>
      <c r="L2" s="476"/>
      <c r="M2" s="476"/>
      <c r="N2" s="476"/>
      <c r="O2" s="477"/>
      <c r="P2" s="476"/>
      <c r="Q2" s="478"/>
      <c r="R2" s="479"/>
      <c r="S2" s="478"/>
      <c r="T2" s="479"/>
      <c r="U2" s="478"/>
      <c r="V2" s="479"/>
      <c r="W2" s="479"/>
      <c r="X2" s="479"/>
      <c r="Y2" s="479"/>
      <c r="Z2" s="479"/>
      <c r="AA2" s="480"/>
      <c r="AB2" s="478"/>
      <c r="AC2" s="478"/>
      <c r="AD2" s="478"/>
      <c r="AE2" s="478"/>
      <c r="AF2" s="478"/>
      <c r="AG2" s="411"/>
      <c r="AH2" s="481"/>
      <c r="AI2" s="482"/>
      <c r="AJ2" s="482"/>
      <c r="AK2" s="482"/>
      <c r="AL2" s="482"/>
      <c r="AM2" s="482"/>
      <c r="AN2" s="480"/>
      <c r="AO2" s="483"/>
      <c r="AP2" s="483"/>
      <c r="AQ2" s="483"/>
      <c r="AR2" s="483"/>
      <c r="AT2" s="483"/>
      <c r="AU2" s="482"/>
      <c r="AV2" s="484"/>
      <c r="AW2" s="482"/>
    </row>
    <row r="3" spans="2:51" x14ac:dyDescent="0.3">
      <c r="B3" s="75"/>
    </row>
    <row r="4" spans="2:51" ht="16.2" thickBot="1" x14ac:dyDescent="0.35">
      <c r="B4" s="492" t="s">
        <v>239</v>
      </c>
      <c r="C4" s="493" t="s">
        <v>341</v>
      </c>
      <c r="D4" s="489"/>
      <c r="E4" s="494" t="str">
        <f>_xll.ECOSECURITIES("governmentbond","ACTIVE",,"bra",,,"Códigos NTN-B's","Name=NTN-B 760199")</f>
        <v>Códigos NTN-B's</v>
      </c>
      <c r="F4" s="495" t="str">
        <f>_xll.ECONOMATICA($E$5:$E$102,"maturity date",,,,,,,,,"Vencimento")</f>
        <v>Vencimento</v>
      </c>
      <c r="G4" s="496" t="str">
        <f>_xll.ECONOMATICA($E$5:$E$102,"YTM",,$C$2,,,,,,,"Taxa")</f>
        <v>Taxa</v>
      </c>
    </row>
    <row r="5" spans="2:51" ht="16.2" thickTop="1" x14ac:dyDescent="0.3">
      <c r="B5" s="497" t="s">
        <v>238</v>
      </c>
      <c r="C5" s="498" t="s">
        <v>216</v>
      </c>
      <c r="D5" s="488"/>
      <c r="E5" s="506" t="s">
        <v>217</v>
      </c>
      <c r="F5" s="286">
        <v>45519</v>
      </c>
      <c r="G5" s="503"/>
      <c r="J5"/>
      <c r="K5"/>
      <c r="L5"/>
    </row>
    <row r="6" spans="2:51" ht="15.6" x14ac:dyDescent="0.3">
      <c r="B6" s="499" t="s">
        <v>240</v>
      </c>
      <c r="C6" s="500" t="s">
        <v>334</v>
      </c>
      <c r="D6" s="488"/>
      <c r="E6" s="507" t="s">
        <v>606</v>
      </c>
      <c r="F6" s="308">
        <v>45792</v>
      </c>
      <c r="G6" s="504">
        <v>5.73</v>
      </c>
      <c r="J6"/>
      <c r="K6"/>
      <c r="L6"/>
    </row>
    <row r="7" spans="2:51" ht="15.6" x14ac:dyDescent="0.3">
      <c r="B7" s="501" t="s">
        <v>241</v>
      </c>
      <c r="C7" s="502" t="s">
        <v>335</v>
      </c>
      <c r="D7" s="488"/>
      <c r="E7" s="508" t="s">
        <v>218</v>
      </c>
      <c r="F7" s="297">
        <v>46249</v>
      </c>
      <c r="G7" s="505">
        <v>6.5365000000000002</v>
      </c>
      <c r="J7"/>
      <c r="K7"/>
      <c r="L7"/>
    </row>
    <row r="8" spans="2:51" ht="15.6" x14ac:dyDescent="0.3">
      <c r="B8" s="499" t="s">
        <v>242</v>
      </c>
      <c r="C8" s="500" t="s">
        <v>336</v>
      </c>
      <c r="D8" s="488"/>
      <c r="E8" s="507" t="s">
        <v>1127</v>
      </c>
      <c r="F8" s="308">
        <v>46522</v>
      </c>
      <c r="G8" s="504">
        <v>6.391</v>
      </c>
      <c r="J8"/>
      <c r="K8"/>
      <c r="L8"/>
    </row>
    <row r="9" spans="2:51" ht="15.6" x14ac:dyDescent="0.3">
      <c r="B9" s="501" t="s">
        <v>243</v>
      </c>
      <c r="C9" s="502" t="s">
        <v>337</v>
      </c>
      <c r="D9" s="488"/>
      <c r="E9" s="508" t="s">
        <v>219</v>
      </c>
      <c r="F9" s="297">
        <v>46980</v>
      </c>
      <c r="G9" s="505">
        <v>6.4702000000000002</v>
      </c>
      <c r="J9"/>
      <c r="K9"/>
      <c r="L9"/>
    </row>
    <row r="10" spans="2:51" ht="15.6" x14ac:dyDescent="0.3">
      <c r="B10" s="499" t="s">
        <v>244</v>
      </c>
      <c r="C10" s="500" t="s">
        <v>338</v>
      </c>
      <c r="D10" s="488"/>
      <c r="E10" s="507" t="s">
        <v>2328</v>
      </c>
      <c r="F10" s="308">
        <v>47253</v>
      </c>
      <c r="G10" s="504">
        <v>6.41</v>
      </c>
      <c r="J10"/>
      <c r="K10"/>
      <c r="L10"/>
    </row>
    <row r="11" spans="2:51" ht="15.6" x14ac:dyDescent="0.3">
      <c r="B11" s="501" t="s">
        <v>245</v>
      </c>
      <c r="C11" s="502" t="s">
        <v>339</v>
      </c>
      <c r="D11" s="488"/>
      <c r="E11" s="508" t="s">
        <v>220</v>
      </c>
      <c r="F11" s="297">
        <v>47710</v>
      </c>
      <c r="G11" s="505">
        <v>6.3273999999999999</v>
      </c>
      <c r="J11"/>
      <c r="K11"/>
      <c r="L11"/>
    </row>
    <row r="12" spans="2:51" ht="15.6" x14ac:dyDescent="0.3">
      <c r="B12" s="499" t="s">
        <v>246</v>
      </c>
      <c r="C12" s="500" t="s">
        <v>340</v>
      </c>
      <c r="D12" s="488"/>
      <c r="E12" s="507" t="s">
        <v>1128</v>
      </c>
      <c r="F12" s="308">
        <v>48441</v>
      </c>
      <c r="G12" s="504">
        <v>6.3467000000000002</v>
      </c>
      <c r="J12"/>
      <c r="K12"/>
      <c r="L12"/>
    </row>
    <row r="13" spans="2:51" ht="15.6" x14ac:dyDescent="0.3">
      <c r="B13" s="501" t="s">
        <v>247</v>
      </c>
      <c r="C13" s="502"/>
      <c r="D13" s="488"/>
      <c r="E13" s="508" t="s">
        <v>1387</v>
      </c>
      <c r="F13" s="297">
        <v>48714</v>
      </c>
      <c r="G13" s="505">
        <v>6.3373999999999997</v>
      </c>
      <c r="J13"/>
      <c r="K13"/>
      <c r="L13"/>
    </row>
    <row r="14" spans="2:51" ht="15.6" x14ac:dyDescent="0.3">
      <c r="B14" s="499" t="s">
        <v>248</v>
      </c>
      <c r="C14" s="500"/>
      <c r="D14" s="488"/>
      <c r="E14" s="507" t="s">
        <v>221</v>
      </c>
      <c r="F14" s="308">
        <v>49444</v>
      </c>
      <c r="G14" s="504">
        <v>6.3137999999999996</v>
      </c>
      <c r="J14"/>
      <c r="K14"/>
      <c r="L14"/>
    </row>
    <row r="15" spans="2:51" ht="15.6" x14ac:dyDescent="0.3">
      <c r="B15" s="501" t="s">
        <v>249</v>
      </c>
      <c r="C15" s="502"/>
      <c r="D15" s="488"/>
      <c r="E15" s="508" t="s">
        <v>222</v>
      </c>
      <c r="F15" s="297">
        <v>51363</v>
      </c>
      <c r="G15" s="505">
        <v>6.2279</v>
      </c>
      <c r="J15"/>
      <c r="K15"/>
      <c r="L15"/>
    </row>
    <row r="16" spans="2:51" ht="15.6" x14ac:dyDescent="0.3">
      <c r="B16" s="499" t="s">
        <v>250</v>
      </c>
      <c r="C16" s="500"/>
      <c r="D16" s="488"/>
      <c r="E16" s="507" t="s">
        <v>223</v>
      </c>
      <c r="F16" s="308">
        <v>53097</v>
      </c>
      <c r="G16" s="504">
        <v>6.3133999999999997</v>
      </c>
      <c r="J16"/>
      <c r="K16"/>
      <c r="L16"/>
    </row>
    <row r="17" spans="2:12" ht="15.6" x14ac:dyDescent="0.3">
      <c r="B17" s="501" t="s">
        <v>251</v>
      </c>
      <c r="C17" s="502"/>
      <c r="D17" s="488"/>
      <c r="E17" s="508" t="s">
        <v>224</v>
      </c>
      <c r="F17" s="297">
        <v>55015</v>
      </c>
      <c r="G17" s="505">
        <v>6.3236999999999997</v>
      </c>
      <c r="J17"/>
      <c r="K17"/>
      <c r="L17"/>
    </row>
    <row r="18" spans="2:12" ht="15.6" x14ac:dyDescent="0.3">
      <c r="B18" s="499" t="s">
        <v>252</v>
      </c>
      <c r="C18" s="500"/>
      <c r="D18" s="488"/>
      <c r="E18" s="507" t="s">
        <v>225</v>
      </c>
      <c r="F18" s="308">
        <v>56749</v>
      </c>
      <c r="G18" s="504">
        <v>6.3038999999999996</v>
      </c>
      <c r="J18"/>
      <c r="K18"/>
      <c r="L18"/>
    </row>
    <row r="19" spans="2:12" ht="15.6" x14ac:dyDescent="0.3">
      <c r="B19" s="501" t="s">
        <v>253</v>
      </c>
      <c r="C19" s="502"/>
      <c r="D19" s="488"/>
      <c r="E19" s="508" t="s">
        <v>1129</v>
      </c>
      <c r="F19" s="297">
        <v>58668</v>
      </c>
      <c r="G19" s="505">
        <v>6.3230000000000004</v>
      </c>
      <c r="J19"/>
      <c r="K19"/>
      <c r="L19"/>
    </row>
    <row r="20" spans="2:12" ht="15.6" x14ac:dyDescent="0.3">
      <c r="B20" s="499" t="s">
        <v>254</v>
      </c>
      <c r="C20" s="500"/>
      <c r="D20" s="488"/>
      <c r="E20" s="507"/>
      <c r="F20" s="308"/>
      <c r="G20" s="504"/>
      <c r="J20"/>
      <c r="K20"/>
      <c r="L20"/>
    </row>
    <row r="21" spans="2:12" ht="15.6" x14ac:dyDescent="0.3">
      <c r="B21" s="501" t="s">
        <v>255</v>
      </c>
      <c r="C21" s="502"/>
      <c r="D21" s="488"/>
      <c r="E21" s="508"/>
      <c r="F21" s="297"/>
      <c r="G21" s="505"/>
      <c r="J21"/>
      <c r="K21"/>
      <c r="L21"/>
    </row>
    <row r="22" spans="2:12" ht="15.6" x14ac:dyDescent="0.3">
      <c r="B22" s="499" t="s">
        <v>256</v>
      </c>
      <c r="C22" s="500"/>
      <c r="D22" s="488"/>
      <c r="E22" s="507"/>
      <c r="F22" s="308"/>
      <c r="G22" s="504"/>
      <c r="J22"/>
      <c r="K22"/>
      <c r="L22"/>
    </row>
    <row r="23" spans="2:12" ht="15.6" x14ac:dyDescent="0.3">
      <c r="B23" s="501" t="s">
        <v>257</v>
      </c>
      <c r="C23" s="502"/>
      <c r="D23" s="488"/>
      <c r="E23" s="508"/>
      <c r="F23" s="297"/>
      <c r="G23" s="505"/>
      <c r="J23"/>
      <c r="K23"/>
      <c r="L23"/>
    </row>
    <row r="24" spans="2:12" ht="15.6" x14ac:dyDescent="0.3">
      <c r="B24" s="499" t="s">
        <v>258</v>
      </c>
      <c r="C24" s="500"/>
      <c r="D24" s="488"/>
      <c r="E24" s="507"/>
      <c r="F24" s="308"/>
      <c r="G24" s="504"/>
      <c r="J24"/>
      <c r="K24"/>
      <c r="L24"/>
    </row>
    <row r="25" spans="2:12" ht="15.6" x14ac:dyDescent="0.3">
      <c r="B25" s="501" t="s">
        <v>259</v>
      </c>
      <c r="C25" s="502"/>
      <c r="D25" s="488"/>
      <c r="E25" s="508"/>
      <c r="F25" s="297"/>
      <c r="G25" s="505"/>
      <c r="J25"/>
      <c r="K25"/>
      <c r="L25"/>
    </row>
    <row r="26" spans="2:12" ht="15.6" x14ac:dyDescent="0.3">
      <c r="B26" s="499"/>
      <c r="C26" s="500"/>
      <c r="D26" s="488"/>
      <c r="E26" s="507"/>
      <c r="F26" s="308"/>
      <c r="G26" s="504"/>
      <c r="J26"/>
      <c r="K26"/>
      <c r="L26"/>
    </row>
    <row r="27" spans="2:12" ht="15.6" x14ac:dyDescent="0.3">
      <c r="B27" s="501"/>
      <c r="C27" s="502"/>
      <c r="D27" s="488"/>
      <c r="E27" s="508"/>
      <c r="F27" s="297"/>
      <c r="G27" s="505"/>
      <c r="J27"/>
      <c r="K27"/>
      <c r="L27"/>
    </row>
    <row r="28" spans="2:12" ht="15.6" x14ac:dyDescent="0.3">
      <c r="B28" s="499"/>
      <c r="C28" s="500"/>
      <c r="D28" s="488"/>
      <c r="E28" s="507"/>
      <c r="F28" s="308"/>
      <c r="G28" s="504"/>
      <c r="J28"/>
      <c r="K28"/>
      <c r="L28"/>
    </row>
    <row r="29" spans="2:12" ht="15.6" x14ac:dyDescent="0.3">
      <c r="B29" s="509"/>
      <c r="C29" s="510"/>
      <c r="D29" s="488"/>
      <c r="E29" s="511"/>
      <c r="F29" s="512"/>
      <c r="G29" s="513"/>
      <c r="J29"/>
      <c r="K29"/>
      <c r="L29"/>
    </row>
    <row r="30" spans="2:12" ht="14.4" x14ac:dyDescent="0.3">
      <c r="B30" s="233"/>
      <c r="C30" s="233"/>
      <c r="E30" s="514"/>
      <c r="F30" s="514"/>
      <c r="G30" s="514"/>
      <c r="J30"/>
      <c r="K30"/>
      <c r="L30"/>
    </row>
    <row r="31" spans="2:12" ht="14.4" x14ac:dyDescent="0.3">
      <c r="J31"/>
      <c r="K31"/>
      <c r="L31"/>
    </row>
    <row r="32" spans="2:12" ht="14.4" x14ac:dyDescent="0.3">
      <c r="J32"/>
      <c r="K32"/>
      <c r="L32"/>
    </row>
  </sheetData>
  <conditionalFormatting sqref="F1:F2">
    <cfRule type="expression" dxfId="1" priority="1">
      <formula>OR($C$4="Volume",$C$4="Volume Médio",$C$4="Negócios Médio",$C$4="Negócios")</formula>
    </cfRule>
    <cfRule type="expression" dxfId="0" priority="2">
      <formula>$C$4="P/VPA Atual"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Debêntures IPCA-Spread</vt:lpstr>
      <vt:lpstr>Balanço Patrimonial</vt:lpstr>
      <vt:lpstr>DRE</vt:lpstr>
      <vt:lpstr>Análise Fundamentalista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Milton Santiago</cp:lastModifiedBy>
  <cp:lastPrinted>2018-10-29T13:03:54Z</cp:lastPrinted>
  <dcterms:created xsi:type="dcterms:W3CDTF">2018-01-04T12:44:39Z</dcterms:created>
  <dcterms:modified xsi:type="dcterms:W3CDTF">2024-09-18T20:54:22Z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1411159591</vt:lpwstr>
  </property>
  <property fmtid="{D5CDD505-2E9C-101B-9397-08002B2CF9AE}" pid="3" name="EcoUpdateMessage">
    <vt:lpwstr>2024/09/18-20:46:31</vt:lpwstr>
  </property>
  <property fmtid="{D5CDD505-2E9C-101B-9397-08002B2CF9AE}" pid="4" name="EcoUpdateStatus">
    <vt:lpwstr>2024-09-17=BRA:St,ME,Fd,TP;ARG:St,ME,Fd,TP;CHL:St,ME,Fd;PER:St,ME,Fd,TP;SAU:St|2024-09-18=USA:St,ME;MEX:St,ME,Fd,TP|2022-10-17=USA:TP|2021-11-17=CHL:TP|2014-02-26=VEN:St|2002-11-08=JPN:St|2024-09-09=GBR:St,ME|2016-08-18=NNN:St|2024-09-16=COL:St,ME,Fd|2007-01-31=ESP:St|2003-01-29=CHN:St|2003-01-28=TWN:St|2003-01-30=HKG:St;KOR:St|2023-01-19=OTH:St|2024-06-30=PAN:St|2024-06-24=SAU:ME</vt:lpwstr>
  </property>
</Properties>
</file>