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\Desktop\Planillas\"/>
    </mc:Choice>
  </mc:AlternateContent>
  <xr:revisionPtr revIDLastSave="0" documentId="13_ncr:1_{5C20A98E-7397-429C-BFEA-3019785F1F3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e" sheetId="1" r:id="rId1"/>
    <sheet name="Referencias Benchmark" sheetId="2" r:id="rId2"/>
  </sheets>
  <definedNames>
    <definedName name="_ECO_RANGE_ID06397edf55c34b41b321c0c0843504f9" localSheetId="0" hidden="1">Informe!$BE$11:$BE$227</definedName>
    <definedName name="_ECO_RANGE_ID06fd72a551ba4ed0bf03a9ed8875833b" localSheetId="0" hidden="1">Informe!$BA$11:$BA$227</definedName>
    <definedName name="_ECO_RANGE_ID0c5287930e974622b4021d2b5158c4d4" localSheetId="0" hidden="1">Informe!$AN$11:$AN$227</definedName>
    <definedName name="_ECO_RANGE_ID171d98b0c0674d6c813d6d0826f54f30" localSheetId="0" hidden="1">Informe!$X$11:$X$227</definedName>
    <definedName name="_ECO_RANGE_ID1b0c690286314321b78eb569df6ccdb0" localSheetId="0" hidden="1">Informe!$AZ$11:$AZ$227</definedName>
    <definedName name="_ECO_RANGE_ID1b864f367a644db5b6ac1caf50934412" localSheetId="0" hidden="1">Informe!$BF$11:$BF$227</definedName>
    <definedName name="_ECO_RANGE_ID1d998525563e4b4dadf629ea407ce0c1" localSheetId="0" hidden="1">Informe!$V$11:$V$227</definedName>
    <definedName name="_ECO_RANGE_ID23e8f4b8e014440181f564257245c192" localSheetId="0" hidden="1">Informe!$AU$11:$AU$227</definedName>
    <definedName name="_ECO_RANGE_ID24c67f1533004900a337bc4fcc9de619" localSheetId="0" hidden="1">Informe!$H$11:$H$227</definedName>
    <definedName name="_ECO_RANGE_ID26d4237ff0864efeae273ae8f6e61e59" localSheetId="0" hidden="1">Informe!$AP$11:$AP$227</definedName>
    <definedName name="_ECO_RANGE_ID2928063625e448578bffbb8398d33b1e" localSheetId="0" hidden="1">Informe!$AS$11:$AS$227</definedName>
    <definedName name="_ECO_RANGE_ID2dfc20a08c8c497e9d19935c87ca3d85" localSheetId="0" hidden="1">Informe!$B$11:$B$227</definedName>
    <definedName name="_ECO_RANGE_ID30d6cf9acf114252abbf10122b18bec2" localSheetId="0" hidden="1">Informe!$AJ$11:$AJ$227</definedName>
    <definedName name="_ECO_RANGE_ID3beb7ab89d8c4d1e98fb197a7da2c032" localSheetId="0" hidden="1">Informe!$F$11:$F$227</definedName>
    <definedName name="_ECO_RANGE_ID3d63e54d6cfc43db951023f6d332c5f7" localSheetId="0" hidden="1">Informe!$BH$11:$BH$227</definedName>
    <definedName name="_ECO_RANGE_ID3fd30c72b2024c2a8923f6026f7c74c9" localSheetId="0" hidden="1">Informe!$AV$11:$AV$227</definedName>
    <definedName name="_ECO_RANGE_ID478aa84e056648078bfafc7cc0140752" localSheetId="0" hidden="1">Informe!$E$11:$E$227</definedName>
    <definedName name="_ECO_RANGE_ID4b81663e01b74a649e5eba5b6e379694" localSheetId="1" hidden="1">'Referencias Benchmark'!$C$3:$C$31</definedName>
    <definedName name="_ECO_RANGE_ID4bde156aef8d49eabe6eb6d374715282" localSheetId="1" hidden="1">'Referencias Benchmark'!$D$3:$D$31</definedName>
    <definedName name="_ECO_RANGE_ID52b06de50e60412aa22319ee63fd7c8e" localSheetId="0" hidden="1">Informe!$AX$11:$AX$227</definedName>
    <definedName name="_ECO_RANGE_ID588acceeb5984c168327c5bf3e429cdd" localSheetId="0" hidden="1">Informe!$AF$11:$AF$227</definedName>
    <definedName name="_ECO_RANGE_ID5d1ad96b541b4a8da97ebbd79cd589fc" localSheetId="0" hidden="1">Informe!$BD$11:$BD$227</definedName>
    <definedName name="_ECO_RANGE_ID60fe4122a57d4018934888b7f78f250d" localSheetId="0" hidden="1">Informe!$BB$11:$BB$227</definedName>
    <definedName name="_ECO_RANGE_ID62bb8c468290453a84fdfebd40c0fd3a" localSheetId="0" hidden="1">Informe!$G$11:$G$227</definedName>
    <definedName name="_ECO_RANGE_ID63e1e531c03147e288956e69c3c272ef" localSheetId="0" hidden="1">Informe!$AL$11:$AL$227</definedName>
    <definedName name="_ECO_RANGE_ID68e53e8b4fb44932980a067fad0d695d" localSheetId="0" hidden="1">Informe!$Q$11:$Q$227</definedName>
    <definedName name="_ECO_RANGE_ID70ca6b1f246f4764a86eb5241e96e28d" localSheetId="0" hidden="1">Informe!$T$11:$T$227</definedName>
    <definedName name="_ECO_RANGE_ID74435d24193542e5a677efbe97bfd016" localSheetId="0" hidden="1">Informe!$AB$11:$AB$227</definedName>
    <definedName name="_ECO_RANGE_ID82f892bad8bb477082d546a64c8c043b" localSheetId="0" hidden="1">Informe!$AY$11:$AY$227</definedName>
    <definedName name="_ECO_RANGE_ID8554320b91a64af9b235a2fdc8a9e1b6" localSheetId="0" hidden="1">Informe!$N$11:$N$227</definedName>
    <definedName name="_ECO_RANGE_ID865ac8af69ec4e76988c278b979acc4a" localSheetId="0" hidden="1">Informe!$J$11:$J$227</definedName>
    <definedName name="_ECO_RANGE_ID872945b6e6114bf8b5192de3ca28f484" localSheetId="0" hidden="1">Informe!$C$11:$C$227</definedName>
    <definedName name="_ECO_RANGE_ID98c6bb19a97d48a091222a924abb06b5" localSheetId="0" hidden="1">Informe!$I$11:$I$227</definedName>
    <definedName name="_ECO_RANGE_ID9976d3b81edd4d90806f02a680682c93" localSheetId="0" hidden="1">Informe!$AT$11:$AT$227</definedName>
    <definedName name="_ECO_RANGE_ID9ab507aaa55c4bd68664ccdef44ed2ca" localSheetId="0" hidden="1">Informe!$L$11:$L$227</definedName>
    <definedName name="_ECO_RANGE_ID9b890826b958419b967664d4714bff4b" localSheetId="0" hidden="1">Informe!$AR$11:$AR$227</definedName>
    <definedName name="_ECO_RANGE_IDa508e8f0ceaa44ca8dd4fab6a7ff04a3" localSheetId="0" hidden="1">Informe!$BI$11:$BI$227</definedName>
    <definedName name="_ECO_RANGE_IDacddd2da6c31403082a7d1497296ba5d" localSheetId="0" hidden="1">Informe!$D$11:$D$227</definedName>
    <definedName name="_ECO_RANGE_IDb731bb945ae24ee9b39c59f003a45977" localSheetId="0" hidden="1">Informe!$M$11:$M$227</definedName>
    <definedName name="_ECO_RANGE_IDbea1ecde9d0245d1a3749cd89f0920a8" localSheetId="0" hidden="1">Informe!$AD$11:$AD$227</definedName>
    <definedName name="_ECO_RANGE_IDc0c0604ef3eb4a5b87b4147d445bc340" localSheetId="0" hidden="1">Informe!$Z$11:$Z$227</definedName>
    <definedName name="_ECO_RANGE_IDc8d97719f9b349728db67017729cc9c4" localSheetId="0" hidden="1">Informe!$BG$11:$BG$227</definedName>
    <definedName name="_ECO_RANGE_IDcdb91f50f1174b0983e8267b6a9e35b7" localSheetId="0" hidden="1">Informe!$AW$11:$AW$227</definedName>
    <definedName name="_ECO_RANGE_IDd637ace483de42ea808c415fa00845fd" localSheetId="0" hidden="1">Informe!$P$11:$P$227</definedName>
    <definedName name="_ECO_RANGE_IDeb3f497c96684f12ac57a28295e11644" localSheetId="0" hidden="1">Informe!$AH$11:$AH$227</definedName>
    <definedName name="_ECO_RANGE_IDebe07cb615cd4242a00d60267d7fce16" localSheetId="1" hidden="1">'Referencias Benchmark'!$B$3:$B$31</definedName>
    <definedName name="ListaIndices">OFFSET('Referencias Benchmark'!$C$3,0,0,COUNTA('Referencias Benchmark'!$C:$C)-1)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8" i="1" l="1"/>
  <c r="AM8" i="1"/>
  <c r="AK8" i="1"/>
  <c r="AI8" i="1"/>
  <c r="AG8" i="1"/>
  <c r="AE8" i="1"/>
  <c r="AC8" i="1"/>
  <c r="AA8" i="1"/>
  <c r="Y8" i="1"/>
  <c r="W8" i="1"/>
  <c r="U8" i="1"/>
  <c r="D2" i="2"/>
  <c r="C10" i="1"/>
  <c r="BE10" i="1"/>
  <c r="E3" i="1"/>
  <c r="C2" i="2"/>
  <c r="BF10" i="1"/>
  <c r="BG10" i="1"/>
  <c r="V8" i="1"/>
  <c r="AD8" i="1"/>
  <c r="AL8" i="1"/>
  <c r="E6" i="1"/>
  <c r="BI10" i="1"/>
  <c r="Z8" i="1"/>
  <c r="B2" i="2"/>
  <c r="H10" i="1"/>
  <c r="F10" i="1"/>
  <c r="X8" i="1"/>
  <c r="AF8" i="1"/>
  <c r="AN8" i="1"/>
  <c r="BH10" i="1"/>
  <c r="AH8" i="1"/>
  <c r="AP8" i="1"/>
  <c r="AJ8" i="1"/>
  <c r="AB8" i="1"/>
  <c r="T8" i="1"/>
  <c r="O11" i="1" l="1"/>
  <c r="BB10" i="1"/>
  <c r="AR10" i="1"/>
  <c r="M10" i="1"/>
  <c r="N10" i="1"/>
  <c r="I10" i="1"/>
  <c r="E10" i="1"/>
  <c r="BA10" i="1"/>
  <c r="V10" i="1"/>
  <c r="X10" i="1"/>
  <c r="BD10" i="1"/>
  <c r="P10" i="1"/>
  <c r="L10" i="1"/>
  <c r="AS10" i="1"/>
  <c r="AZ10" i="1"/>
  <c r="AT10" i="1"/>
  <c r="AP10" i="1"/>
  <c r="Q10" i="1"/>
  <c r="D10" i="1"/>
  <c r="B10" i="1"/>
  <c r="AU10" i="1"/>
  <c r="V9" i="1" l="1"/>
  <c r="AM202" i="1"/>
  <c r="AI202" i="1"/>
  <c r="AG202" i="1"/>
  <c r="AE202" i="1"/>
  <c r="AC202" i="1"/>
  <c r="Y202" i="1"/>
  <c r="W202" i="1"/>
  <c r="U202" i="1"/>
  <c r="R202" i="1"/>
  <c r="O202" i="1"/>
  <c r="K202" i="1"/>
  <c r="AO201" i="1"/>
  <c r="AM201" i="1"/>
  <c r="AK201" i="1"/>
  <c r="AI201" i="1"/>
  <c r="AG201" i="1"/>
  <c r="AE201" i="1"/>
  <c r="AC201" i="1"/>
  <c r="AA201" i="1"/>
  <c r="Y201" i="1"/>
  <c r="W201" i="1"/>
  <c r="U201" i="1"/>
  <c r="R201" i="1"/>
  <c r="O201" i="1"/>
  <c r="K201" i="1"/>
  <c r="AO200" i="1"/>
  <c r="AM200" i="1"/>
  <c r="AK200" i="1"/>
  <c r="AI200" i="1"/>
  <c r="AG200" i="1"/>
  <c r="AE200" i="1"/>
  <c r="AC200" i="1"/>
  <c r="AA200" i="1"/>
  <c r="Y200" i="1"/>
  <c r="W200" i="1"/>
  <c r="U200" i="1"/>
  <c r="R200" i="1"/>
  <c r="O200" i="1"/>
  <c r="K200" i="1"/>
  <c r="AO199" i="1"/>
  <c r="AM199" i="1"/>
  <c r="AK199" i="1"/>
  <c r="AI199" i="1"/>
  <c r="AG199" i="1"/>
  <c r="AE199" i="1"/>
  <c r="AC199" i="1"/>
  <c r="AA199" i="1"/>
  <c r="Y199" i="1"/>
  <c r="W199" i="1"/>
  <c r="U199" i="1"/>
  <c r="R199" i="1"/>
  <c r="O199" i="1"/>
  <c r="K199" i="1"/>
  <c r="AO198" i="1"/>
  <c r="AM198" i="1"/>
  <c r="AK198" i="1"/>
  <c r="AI198" i="1"/>
  <c r="AG198" i="1"/>
  <c r="AE198" i="1"/>
  <c r="AC198" i="1"/>
  <c r="AA198" i="1"/>
  <c r="Y198" i="1"/>
  <c r="W198" i="1"/>
  <c r="U198" i="1"/>
  <c r="R198" i="1"/>
  <c r="O198" i="1"/>
  <c r="K198" i="1"/>
  <c r="AO197" i="1"/>
  <c r="AM197" i="1"/>
  <c r="R197" i="1"/>
  <c r="O197" i="1"/>
  <c r="K197" i="1"/>
  <c r="AO196" i="1"/>
  <c r="AM196" i="1"/>
  <c r="AK196" i="1"/>
  <c r="AI196" i="1"/>
  <c r="AG196" i="1"/>
  <c r="AE196" i="1"/>
  <c r="AC196" i="1"/>
  <c r="AA196" i="1"/>
  <c r="Y196" i="1"/>
  <c r="W196" i="1"/>
  <c r="U196" i="1"/>
  <c r="R196" i="1"/>
  <c r="O196" i="1"/>
  <c r="K196" i="1"/>
  <c r="R195" i="1"/>
  <c r="O195" i="1"/>
  <c r="K195" i="1"/>
  <c r="AO194" i="1"/>
  <c r="AM194" i="1"/>
  <c r="AK194" i="1"/>
  <c r="AI194" i="1"/>
  <c r="AG194" i="1"/>
  <c r="AE194" i="1"/>
  <c r="AC194" i="1"/>
  <c r="AA194" i="1"/>
  <c r="Y194" i="1"/>
  <c r="W194" i="1"/>
  <c r="U194" i="1"/>
  <c r="R194" i="1"/>
  <c r="O194" i="1"/>
  <c r="K194" i="1"/>
  <c r="AO193" i="1"/>
  <c r="AM193" i="1"/>
  <c r="AI193" i="1"/>
  <c r="AC193" i="1"/>
  <c r="AA193" i="1"/>
  <c r="Y193" i="1"/>
  <c r="W193" i="1"/>
  <c r="U193" i="1"/>
  <c r="R193" i="1"/>
  <c r="O193" i="1"/>
  <c r="K193" i="1"/>
  <c r="U192" i="1"/>
  <c r="R192" i="1"/>
  <c r="O192" i="1"/>
  <c r="K192" i="1"/>
  <c r="AO191" i="1"/>
  <c r="AM191" i="1"/>
  <c r="AK191" i="1"/>
  <c r="AI191" i="1"/>
  <c r="AG191" i="1"/>
  <c r="AE191" i="1"/>
  <c r="AC191" i="1"/>
  <c r="AA191" i="1"/>
  <c r="Y191" i="1"/>
  <c r="W191" i="1"/>
  <c r="U191" i="1"/>
  <c r="R191" i="1"/>
  <c r="O191" i="1"/>
  <c r="K191" i="1"/>
  <c r="AO190" i="1"/>
  <c r="AM190" i="1"/>
  <c r="AK190" i="1"/>
  <c r="U190" i="1"/>
  <c r="R190" i="1"/>
  <c r="O190" i="1"/>
  <c r="K190" i="1"/>
  <c r="R189" i="1"/>
  <c r="O189" i="1"/>
  <c r="K189" i="1"/>
  <c r="AO188" i="1"/>
  <c r="AM188" i="1"/>
  <c r="AK188" i="1"/>
  <c r="AI188" i="1"/>
  <c r="AG188" i="1"/>
  <c r="AE188" i="1"/>
  <c r="AC188" i="1"/>
  <c r="AA188" i="1"/>
  <c r="Y188" i="1"/>
  <c r="W188" i="1"/>
  <c r="U188" i="1"/>
  <c r="R188" i="1"/>
  <c r="O188" i="1"/>
  <c r="K188" i="1"/>
  <c r="R187" i="1"/>
  <c r="O187" i="1"/>
  <c r="K187" i="1"/>
  <c r="AO186" i="1"/>
  <c r="AM186" i="1"/>
  <c r="AK186" i="1"/>
  <c r="AI186" i="1"/>
  <c r="AG186" i="1"/>
  <c r="AE186" i="1"/>
  <c r="AC186" i="1"/>
  <c r="AA186" i="1"/>
  <c r="Y186" i="1"/>
  <c r="W186" i="1"/>
  <c r="U186" i="1"/>
  <c r="R186" i="1"/>
  <c r="O186" i="1"/>
  <c r="K186" i="1"/>
  <c r="AO185" i="1"/>
  <c r="AM185" i="1"/>
  <c r="AK185" i="1"/>
  <c r="AI185" i="1"/>
  <c r="AG185" i="1"/>
  <c r="AE185" i="1"/>
  <c r="AC185" i="1"/>
  <c r="AA185" i="1"/>
  <c r="Y185" i="1"/>
  <c r="W185" i="1"/>
  <c r="U185" i="1"/>
  <c r="R185" i="1"/>
  <c r="O185" i="1"/>
  <c r="K185" i="1"/>
  <c r="AO184" i="1"/>
  <c r="AM184" i="1"/>
  <c r="AK184" i="1"/>
  <c r="AI184" i="1"/>
  <c r="AG184" i="1"/>
  <c r="AE184" i="1"/>
  <c r="AC184" i="1"/>
  <c r="AA184" i="1"/>
  <c r="Y184" i="1"/>
  <c r="W184" i="1"/>
  <c r="U184" i="1"/>
  <c r="R184" i="1"/>
  <c r="O184" i="1"/>
  <c r="K184" i="1"/>
  <c r="R183" i="1"/>
  <c r="O183" i="1"/>
  <c r="K183" i="1"/>
  <c r="AO182" i="1"/>
  <c r="AM182" i="1"/>
  <c r="AK182" i="1"/>
  <c r="AI182" i="1"/>
  <c r="AG182" i="1"/>
  <c r="AE182" i="1"/>
  <c r="AC182" i="1"/>
  <c r="AA182" i="1"/>
  <c r="Y182" i="1"/>
  <c r="W182" i="1"/>
  <c r="U182" i="1"/>
  <c r="R182" i="1"/>
  <c r="O182" i="1"/>
  <c r="K182" i="1"/>
  <c r="AO181" i="1"/>
  <c r="AM181" i="1"/>
  <c r="AK181" i="1"/>
  <c r="AI181" i="1"/>
  <c r="AG181" i="1"/>
  <c r="AE181" i="1"/>
  <c r="AC181" i="1"/>
  <c r="AA181" i="1"/>
  <c r="Y181" i="1"/>
  <c r="W181" i="1"/>
  <c r="U181" i="1"/>
  <c r="R181" i="1"/>
  <c r="O181" i="1"/>
  <c r="K181" i="1"/>
  <c r="AO180" i="1"/>
  <c r="AM180" i="1"/>
  <c r="AK180" i="1"/>
  <c r="AI180" i="1"/>
  <c r="AG180" i="1"/>
  <c r="AE180" i="1"/>
  <c r="AC180" i="1"/>
  <c r="AA180" i="1"/>
  <c r="Y180" i="1"/>
  <c r="W180" i="1"/>
  <c r="U180" i="1"/>
  <c r="R180" i="1"/>
  <c r="O180" i="1"/>
  <c r="K180" i="1"/>
  <c r="AO179" i="1"/>
  <c r="AM179" i="1"/>
  <c r="AK179" i="1"/>
  <c r="AI179" i="1"/>
  <c r="AG179" i="1"/>
  <c r="AE179" i="1"/>
  <c r="AC179" i="1"/>
  <c r="AA179" i="1"/>
  <c r="Y179" i="1"/>
  <c r="W179" i="1"/>
  <c r="U179" i="1"/>
  <c r="R179" i="1"/>
  <c r="O179" i="1"/>
  <c r="K179" i="1"/>
  <c r="AO178" i="1"/>
  <c r="AM178" i="1"/>
  <c r="AK178" i="1"/>
  <c r="AI178" i="1"/>
  <c r="AG178" i="1"/>
  <c r="AE178" i="1"/>
  <c r="AC178" i="1"/>
  <c r="AA178" i="1"/>
  <c r="Y178" i="1"/>
  <c r="W178" i="1"/>
  <c r="U178" i="1"/>
  <c r="R178" i="1"/>
  <c r="O178" i="1"/>
  <c r="K178" i="1"/>
  <c r="AO177" i="1"/>
  <c r="AM177" i="1"/>
  <c r="AK177" i="1"/>
  <c r="AI177" i="1"/>
  <c r="AG177" i="1"/>
  <c r="AE177" i="1"/>
  <c r="AC177" i="1"/>
  <c r="AA177" i="1"/>
  <c r="Y177" i="1"/>
  <c r="W177" i="1"/>
  <c r="U177" i="1"/>
  <c r="R177" i="1"/>
  <c r="O177" i="1"/>
  <c r="K177" i="1"/>
  <c r="AO176" i="1"/>
  <c r="AM176" i="1"/>
  <c r="AK176" i="1"/>
  <c r="AI176" i="1"/>
  <c r="AG176" i="1"/>
  <c r="AE176" i="1"/>
  <c r="AC176" i="1"/>
  <c r="AA176" i="1"/>
  <c r="Y176" i="1"/>
  <c r="W176" i="1"/>
  <c r="U176" i="1"/>
  <c r="R176" i="1"/>
  <c r="O176" i="1"/>
  <c r="K176" i="1"/>
  <c r="AO175" i="1"/>
  <c r="AM175" i="1"/>
  <c r="AK175" i="1"/>
  <c r="AI175" i="1"/>
  <c r="AG175" i="1"/>
  <c r="AE175" i="1"/>
  <c r="AC175" i="1"/>
  <c r="AA175" i="1"/>
  <c r="Y175" i="1"/>
  <c r="W175" i="1"/>
  <c r="U175" i="1"/>
  <c r="R175" i="1"/>
  <c r="O175" i="1"/>
  <c r="K175" i="1"/>
  <c r="AO174" i="1"/>
  <c r="AM174" i="1"/>
  <c r="AK174" i="1"/>
  <c r="AI174" i="1"/>
  <c r="AG174" i="1"/>
  <c r="AE174" i="1"/>
  <c r="AC174" i="1"/>
  <c r="AA174" i="1"/>
  <c r="Y174" i="1"/>
  <c r="W174" i="1"/>
  <c r="U174" i="1"/>
  <c r="R174" i="1"/>
  <c r="O174" i="1"/>
  <c r="K174" i="1"/>
  <c r="AO173" i="1"/>
  <c r="AI173" i="1"/>
  <c r="AG173" i="1"/>
  <c r="AE173" i="1"/>
  <c r="AC173" i="1"/>
  <c r="U173" i="1"/>
  <c r="R173" i="1"/>
  <c r="O173" i="1"/>
  <c r="K173" i="1"/>
  <c r="AO172" i="1"/>
  <c r="AM172" i="1"/>
  <c r="AK172" i="1"/>
  <c r="AI172" i="1"/>
  <c r="R172" i="1"/>
  <c r="O172" i="1"/>
  <c r="K172" i="1"/>
  <c r="AO171" i="1"/>
  <c r="AM171" i="1"/>
  <c r="AK171" i="1"/>
  <c r="AI171" i="1"/>
  <c r="AG171" i="1"/>
  <c r="AE171" i="1"/>
  <c r="AC171" i="1"/>
  <c r="AA171" i="1"/>
  <c r="Y171" i="1"/>
  <c r="W171" i="1"/>
  <c r="U171" i="1"/>
  <c r="R171" i="1"/>
  <c r="O171" i="1"/>
  <c r="K171" i="1"/>
  <c r="R170" i="1"/>
  <c r="O170" i="1"/>
  <c r="K170" i="1"/>
  <c r="R169" i="1"/>
  <c r="O169" i="1"/>
  <c r="K169" i="1"/>
  <c r="AO168" i="1"/>
  <c r="AM168" i="1"/>
  <c r="AK168" i="1"/>
  <c r="AI168" i="1"/>
  <c r="AG168" i="1"/>
  <c r="AE168" i="1"/>
  <c r="AC168" i="1"/>
  <c r="AA168" i="1"/>
  <c r="Y168" i="1"/>
  <c r="W168" i="1"/>
  <c r="U168" i="1"/>
  <c r="R168" i="1"/>
  <c r="O168" i="1"/>
  <c r="K168" i="1"/>
  <c r="R167" i="1"/>
  <c r="O167" i="1"/>
  <c r="K167" i="1"/>
  <c r="AO166" i="1"/>
  <c r="AE166" i="1"/>
  <c r="W166" i="1"/>
  <c r="U166" i="1"/>
  <c r="R166" i="1"/>
  <c r="O166" i="1"/>
  <c r="K166" i="1"/>
  <c r="AO165" i="1"/>
  <c r="AM165" i="1"/>
  <c r="AK165" i="1"/>
  <c r="AI165" i="1"/>
  <c r="AG165" i="1"/>
  <c r="AE165" i="1"/>
  <c r="AC165" i="1"/>
  <c r="AA165" i="1"/>
  <c r="Y165" i="1"/>
  <c r="W165" i="1"/>
  <c r="U165" i="1"/>
  <c r="R165" i="1"/>
  <c r="O165" i="1"/>
  <c r="K165" i="1"/>
  <c r="AO164" i="1"/>
  <c r="AM164" i="1"/>
  <c r="AK164" i="1"/>
  <c r="AI164" i="1"/>
  <c r="AG164" i="1"/>
  <c r="AE164" i="1"/>
  <c r="AC164" i="1"/>
  <c r="AA164" i="1"/>
  <c r="Y164" i="1"/>
  <c r="W164" i="1"/>
  <c r="U164" i="1"/>
  <c r="R164" i="1"/>
  <c r="O164" i="1"/>
  <c r="K164" i="1"/>
  <c r="R163" i="1"/>
  <c r="O163" i="1"/>
  <c r="K163" i="1"/>
  <c r="AO162" i="1"/>
  <c r="AM162" i="1"/>
  <c r="AK162" i="1"/>
  <c r="AI162" i="1"/>
  <c r="AG162" i="1"/>
  <c r="AE162" i="1"/>
  <c r="AC162" i="1"/>
  <c r="AA162" i="1"/>
  <c r="Y162" i="1"/>
  <c r="W162" i="1"/>
  <c r="U162" i="1"/>
  <c r="R162" i="1"/>
  <c r="O162" i="1"/>
  <c r="K162" i="1"/>
  <c r="AO161" i="1"/>
  <c r="AM161" i="1"/>
  <c r="AK161" i="1"/>
  <c r="AI161" i="1"/>
  <c r="AG161" i="1"/>
  <c r="AE161" i="1"/>
  <c r="AC161" i="1"/>
  <c r="AA161" i="1"/>
  <c r="Y161" i="1"/>
  <c r="W161" i="1"/>
  <c r="U161" i="1"/>
  <c r="R161" i="1"/>
  <c r="O161" i="1"/>
  <c r="K161" i="1"/>
  <c r="AG160" i="1"/>
  <c r="R160" i="1"/>
  <c r="O160" i="1"/>
  <c r="K160" i="1"/>
  <c r="R159" i="1"/>
  <c r="O159" i="1"/>
  <c r="K159" i="1"/>
  <c r="AO158" i="1"/>
  <c r="AG158" i="1"/>
  <c r="AE158" i="1"/>
  <c r="Y158" i="1"/>
  <c r="U158" i="1"/>
  <c r="R158" i="1"/>
  <c r="O158" i="1"/>
  <c r="K158" i="1"/>
  <c r="R157" i="1"/>
  <c r="O157" i="1"/>
  <c r="K157" i="1"/>
  <c r="AO156" i="1"/>
  <c r="AM156" i="1"/>
  <c r="AK156" i="1"/>
  <c r="AI156" i="1"/>
  <c r="AG156" i="1"/>
  <c r="AE156" i="1"/>
  <c r="AC156" i="1"/>
  <c r="AA156" i="1"/>
  <c r="Y156" i="1"/>
  <c r="W156" i="1"/>
  <c r="U156" i="1"/>
  <c r="R156" i="1"/>
  <c r="O156" i="1"/>
  <c r="K156" i="1"/>
  <c r="AO155" i="1"/>
  <c r="AM155" i="1"/>
  <c r="AK155" i="1"/>
  <c r="AI155" i="1"/>
  <c r="AG155" i="1"/>
  <c r="AE155" i="1"/>
  <c r="AC155" i="1"/>
  <c r="AA155" i="1"/>
  <c r="Y155" i="1"/>
  <c r="W155" i="1"/>
  <c r="U155" i="1"/>
  <c r="R155" i="1"/>
  <c r="O155" i="1"/>
  <c r="K155" i="1"/>
  <c r="R154" i="1"/>
  <c r="O154" i="1"/>
  <c r="K154" i="1"/>
  <c r="AO153" i="1"/>
  <c r="AM153" i="1"/>
  <c r="AK153" i="1"/>
  <c r="AI153" i="1"/>
  <c r="AG153" i="1"/>
  <c r="AE153" i="1"/>
  <c r="AC153" i="1"/>
  <c r="AA153" i="1"/>
  <c r="Y153" i="1"/>
  <c r="W153" i="1"/>
  <c r="U153" i="1"/>
  <c r="R153" i="1"/>
  <c r="O153" i="1"/>
  <c r="K153" i="1"/>
  <c r="AI152" i="1"/>
  <c r="AE152" i="1"/>
  <c r="AA152" i="1"/>
  <c r="Y152" i="1"/>
  <c r="W152" i="1"/>
  <c r="U152" i="1"/>
  <c r="R152" i="1"/>
  <c r="O152" i="1"/>
  <c r="K152" i="1"/>
  <c r="AO151" i="1"/>
  <c r="AM151" i="1"/>
  <c r="AK151" i="1"/>
  <c r="AI151" i="1"/>
  <c r="AG151" i="1"/>
  <c r="AE151" i="1"/>
  <c r="AC151" i="1"/>
  <c r="AA151" i="1"/>
  <c r="Y151" i="1"/>
  <c r="W151" i="1"/>
  <c r="U151" i="1"/>
  <c r="R151" i="1"/>
  <c r="O151" i="1"/>
  <c r="K151" i="1"/>
  <c r="AO150" i="1"/>
  <c r="AM150" i="1"/>
  <c r="AK150" i="1"/>
  <c r="AI150" i="1"/>
  <c r="AG150" i="1"/>
  <c r="AE150" i="1"/>
  <c r="AC150" i="1"/>
  <c r="AA150" i="1"/>
  <c r="Y150" i="1"/>
  <c r="W150" i="1"/>
  <c r="U150" i="1"/>
  <c r="R150" i="1"/>
  <c r="O150" i="1"/>
  <c r="K150" i="1"/>
  <c r="AO149" i="1"/>
  <c r="AM149" i="1"/>
  <c r="AK149" i="1"/>
  <c r="AI149" i="1"/>
  <c r="AG149" i="1"/>
  <c r="AE149" i="1"/>
  <c r="AC149" i="1"/>
  <c r="AA149" i="1"/>
  <c r="Y149" i="1"/>
  <c r="W149" i="1"/>
  <c r="U149" i="1"/>
  <c r="R149" i="1"/>
  <c r="O149" i="1"/>
  <c r="K149" i="1"/>
  <c r="AO148" i="1"/>
  <c r="AM148" i="1"/>
  <c r="AK148" i="1"/>
  <c r="AI148" i="1"/>
  <c r="AG148" i="1"/>
  <c r="AE148" i="1"/>
  <c r="AC148" i="1"/>
  <c r="AA148" i="1"/>
  <c r="Y148" i="1"/>
  <c r="W148" i="1"/>
  <c r="U148" i="1"/>
  <c r="R148" i="1"/>
  <c r="O148" i="1"/>
  <c r="K148" i="1"/>
  <c r="AO147" i="1"/>
  <c r="AM147" i="1"/>
  <c r="AK147" i="1"/>
  <c r="AI147" i="1"/>
  <c r="AG147" i="1"/>
  <c r="AE147" i="1"/>
  <c r="AC147" i="1"/>
  <c r="AA147" i="1"/>
  <c r="Y147" i="1"/>
  <c r="W147" i="1"/>
  <c r="U147" i="1"/>
  <c r="R147" i="1"/>
  <c r="O147" i="1"/>
  <c r="K147" i="1"/>
  <c r="R146" i="1"/>
  <c r="O146" i="1"/>
  <c r="K146" i="1"/>
  <c r="AO145" i="1"/>
  <c r="AM145" i="1"/>
  <c r="AK145" i="1"/>
  <c r="AI145" i="1"/>
  <c r="AG145" i="1"/>
  <c r="AE145" i="1"/>
  <c r="AC145" i="1"/>
  <c r="AA145" i="1"/>
  <c r="Y145" i="1"/>
  <c r="W145" i="1"/>
  <c r="U145" i="1"/>
  <c r="R145" i="1"/>
  <c r="O145" i="1"/>
  <c r="K145" i="1"/>
  <c r="R144" i="1"/>
  <c r="O144" i="1"/>
  <c r="K144" i="1"/>
  <c r="AO143" i="1"/>
  <c r="AM143" i="1"/>
  <c r="AK143" i="1"/>
  <c r="AI143" i="1"/>
  <c r="AG143" i="1"/>
  <c r="AE143" i="1"/>
  <c r="AC143" i="1"/>
  <c r="AA143" i="1"/>
  <c r="Y143" i="1"/>
  <c r="W143" i="1"/>
  <c r="U143" i="1"/>
  <c r="R143" i="1"/>
  <c r="O143" i="1"/>
  <c r="K143" i="1"/>
  <c r="AO142" i="1"/>
  <c r="AM142" i="1"/>
  <c r="AK142" i="1"/>
  <c r="AI142" i="1"/>
  <c r="AG142" i="1"/>
  <c r="AE142" i="1"/>
  <c r="AC142" i="1"/>
  <c r="AA142" i="1"/>
  <c r="Y142" i="1"/>
  <c r="W142" i="1"/>
  <c r="U142" i="1"/>
  <c r="R142" i="1"/>
  <c r="O142" i="1"/>
  <c r="K142" i="1"/>
  <c r="AO141" i="1"/>
  <c r="AM141" i="1"/>
  <c r="AK141" i="1"/>
  <c r="AI141" i="1"/>
  <c r="AG141" i="1"/>
  <c r="AE141" i="1"/>
  <c r="AC141" i="1"/>
  <c r="AA141" i="1"/>
  <c r="Y141" i="1"/>
  <c r="W141" i="1"/>
  <c r="U141" i="1"/>
  <c r="R141" i="1"/>
  <c r="O141" i="1"/>
  <c r="K141" i="1"/>
  <c r="R140" i="1"/>
  <c r="O140" i="1"/>
  <c r="K140" i="1"/>
  <c r="AO139" i="1"/>
  <c r="AM139" i="1"/>
  <c r="AK139" i="1"/>
  <c r="AI139" i="1"/>
  <c r="AG139" i="1"/>
  <c r="AE139" i="1"/>
  <c r="AC139" i="1"/>
  <c r="AA139" i="1"/>
  <c r="Y139" i="1"/>
  <c r="W139" i="1"/>
  <c r="U139" i="1"/>
  <c r="R139" i="1"/>
  <c r="O139" i="1"/>
  <c r="K139" i="1"/>
  <c r="R138" i="1"/>
  <c r="O138" i="1"/>
  <c r="K138" i="1"/>
  <c r="AO137" i="1"/>
  <c r="AM137" i="1"/>
  <c r="AK137" i="1"/>
  <c r="AI137" i="1"/>
  <c r="AG137" i="1"/>
  <c r="AE137" i="1"/>
  <c r="AC137" i="1"/>
  <c r="AA137" i="1"/>
  <c r="Y137" i="1"/>
  <c r="W137" i="1"/>
  <c r="U137" i="1"/>
  <c r="R137" i="1"/>
  <c r="O137" i="1"/>
  <c r="K137" i="1"/>
  <c r="AO136" i="1"/>
  <c r="AM136" i="1"/>
  <c r="AK136" i="1"/>
  <c r="AI136" i="1"/>
  <c r="AG136" i="1"/>
  <c r="AE136" i="1"/>
  <c r="AC136" i="1"/>
  <c r="AA136" i="1"/>
  <c r="Y136" i="1"/>
  <c r="W136" i="1"/>
  <c r="U136" i="1"/>
  <c r="R136" i="1"/>
  <c r="O136" i="1"/>
  <c r="K136" i="1"/>
  <c r="AO135" i="1"/>
  <c r="AM135" i="1"/>
  <c r="AK135" i="1"/>
  <c r="AI135" i="1"/>
  <c r="AG135" i="1"/>
  <c r="AE135" i="1"/>
  <c r="AC135" i="1"/>
  <c r="AA135" i="1"/>
  <c r="Y135" i="1"/>
  <c r="W135" i="1"/>
  <c r="U135" i="1"/>
  <c r="R135" i="1"/>
  <c r="O135" i="1"/>
  <c r="K135" i="1"/>
  <c r="AK134" i="1"/>
  <c r="AI134" i="1"/>
  <c r="AE134" i="1"/>
  <c r="AC134" i="1"/>
  <c r="W134" i="1"/>
  <c r="U134" i="1"/>
  <c r="R134" i="1"/>
  <c r="O134" i="1"/>
  <c r="K134" i="1"/>
  <c r="AO133" i="1"/>
  <c r="AM133" i="1"/>
  <c r="AK133" i="1"/>
  <c r="AI133" i="1"/>
  <c r="R133" i="1"/>
  <c r="O133" i="1"/>
  <c r="K133" i="1"/>
  <c r="AO132" i="1"/>
  <c r="AM132" i="1"/>
  <c r="AK132" i="1"/>
  <c r="AI132" i="1"/>
  <c r="AG132" i="1"/>
  <c r="AE132" i="1"/>
  <c r="AC132" i="1"/>
  <c r="AA132" i="1"/>
  <c r="Y132" i="1"/>
  <c r="W132" i="1"/>
  <c r="U132" i="1"/>
  <c r="R132" i="1"/>
  <c r="O132" i="1"/>
  <c r="K132" i="1"/>
  <c r="AO131" i="1"/>
  <c r="AM131" i="1"/>
  <c r="AK131" i="1"/>
  <c r="AI131" i="1"/>
  <c r="AG131" i="1"/>
  <c r="AE131" i="1"/>
  <c r="AC131" i="1"/>
  <c r="AA131" i="1"/>
  <c r="Y131" i="1"/>
  <c r="W131" i="1"/>
  <c r="U131" i="1"/>
  <c r="R131" i="1"/>
  <c r="O131" i="1"/>
  <c r="K131" i="1"/>
  <c r="AK130" i="1"/>
  <c r="W130" i="1"/>
  <c r="R130" i="1"/>
  <c r="O130" i="1"/>
  <c r="K130" i="1"/>
  <c r="AO129" i="1"/>
  <c r="AM129" i="1"/>
  <c r="AK129" i="1"/>
  <c r="AI129" i="1"/>
  <c r="AG129" i="1"/>
  <c r="AE129" i="1"/>
  <c r="AC129" i="1"/>
  <c r="AA129" i="1"/>
  <c r="Y129" i="1"/>
  <c r="W129" i="1"/>
  <c r="U129" i="1"/>
  <c r="R129" i="1"/>
  <c r="O129" i="1"/>
  <c r="K129" i="1"/>
  <c r="AO128" i="1"/>
  <c r="AM128" i="1"/>
  <c r="AK128" i="1"/>
  <c r="AI128" i="1"/>
  <c r="AG128" i="1"/>
  <c r="AE128" i="1"/>
  <c r="AC128" i="1"/>
  <c r="AA128" i="1"/>
  <c r="Y128" i="1"/>
  <c r="W128" i="1"/>
  <c r="U128" i="1"/>
  <c r="R128" i="1"/>
  <c r="O128" i="1"/>
  <c r="K128" i="1"/>
  <c r="R127" i="1"/>
  <c r="O127" i="1"/>
  <c r="K127" i="1"/>
  <c r="AO126" i="1"/>
  <c r="AE126" i="1"/>
  <c r="AC126" i="1"/>
  <c r="AA126" i="1"/>
  <c r="Y126" i="1"/>
  <c r="W126" i="1"/>
  <c r="U126" i="1"/>
  <c r="R126" i="1"/>
  <c r="O126" i="1"/>
  <c r="K126" i="1"/>
  <c r="R125" i="1"/>
  <c r="O125" i="1"/>
  <c r="K125" i="1"/>
  <c r="AI124" i="1"/>
  <c r="U124" i="1"/>
  <c r="R124" i="1"/>
  <c r="O124" i="1"/>
  <c r="K124" i="1"/>
  <c r="AO123" i="1"/>
  <c r="AM123" i="1"/>
  <c r="AK123" i="1"/>
  <c r="AI123" i="1"/>
  <c r="AG123" i="1"/>
  <c r="AE123" i="1"/>
  <c r="AC123" i="1"/>
  <c r="AA123" i="1"/>
  <c r="Y123" i="1"/>
  <c r="W123" i="1"/>
  <c r="U123" i="1"/>
  <c r="R123" i="1"/>
  <c r="O123" i="1"/>
  <c r="K123" i="1"/>
  <c r="Y122" i="1"/>
  <c r="U122" i="1"/>
  <c r="R122" i="1"/>
  <c r="O122" i="1"/>
  <c r="K122" i="1"/>
  <c r="AO121" i="1"/>
  <c r="AM121" i="1"/>
  <c r="AK121" i="1"/>
  <c r="AI121" i="1"/>
  <c r="AG121" i="1"/>
  <c r="AE121" i="1"/>
  <c r="AC121" i="1"/>
  <c r="AA121" i="1"/>
  <c r="Y121" i="1"/>
  <c r="W121" i="1"/>
  <c r="U121" i="1"/>
  <c r="R121" i="1"/>
  <c r="O121" i="1"/>
  <c r="K121" i="1"/>
  <c r="R120" i="1"/>
  <c r="O120" i="1"/>
  <c r="K120" i="1"/>
  <c r="AO119" i="1"/>
  <c r="AM119" i="1"/>
  <c r="AK119" i="1"/>
  <c r="AI119" i="1"/>
  <c r="AG119" i="1"/>
  <c r="AE119" i="1"/>
  <c r="AC119" i="1"/>
  <c r="AA119" i="1"/>
  <c r="Y119" i="1"/>
  <c r="W119" i="1"/>
  <c r="U119" i="1"/>
  <c r="R119" i="1"/>
  <c r="O119" i="1"/>
  <c r="K119" i="1"/>
  <c r="AO118" i="1"/>
  <c r="AM118" i="1"/>
  <c r="AK118" i="1"/>
  <c r="AI118" i="1"/>
  <c r="AG118" i="1"/>
  <c r="AE118" i="1"/>
  <c r="AC118" i="1"/>
  <c r="AA118" i="1"/>
  <c r="Y118" i="1"/>
  <c r="W118" i="1"/>
  <c r="U118" i="1"/>
  <c r="R118" i="1"/>
  <c r="O118" i="1"/>
  <c r="K118" i="1"/>
  <c r="AO117" i="1"/>
  <c r="AM117" i="1"/>
  <c r="AK117" i="1"/>
  <c r="AI117" i="1"/>
  <c r="AG117" i="1"/>
  <c r="AE117" i="1"/>
  <c r="AC117" i="1"/>
  <c r="AA117" i="1"/>
  <c r="Y117" i="1"/>
  <c r="W117" i="1"/>
  <c r="U117" i="1"/>
  <c r="R117" i="1"/>
  <c r="O117" i="1"/>
  <c r="K117" i="1"/>
  <c r="R116" i="1"/>
  <c r="O116" i="1"/>
  <c r="K116" i="1"/>
  <c r="AE115" i="1"/>
  <c r="U115" i="1"/>
  <c r="R115" i="1"/>
  <c r="O115" i="1"/>
  <c r="K115" i="1"/>
  <c r="AO114" i="1"/>
  <c r="AM114" i="1"/>
  <c r="AK114" i="1"/>
  <c r="AI114" i="1"/>
  <c r="AG114" i="1"/>
  <c r="AE114" i="1"/>
  <c r="AC114" i="1"/>
  <c r="AA114" i="1"/>
  <c r="Y114" i="1"/>
  <c r="W114" i="1"/>
  <c r="U114" i="1"/>
  <c r="R114" i="1"/>
  <c r="O114" i="1"/>
  <c r="K114" i="1"/>
  <c r="AO113" i="1"/>
  <c r="AM113" i="1"/>
  <c r="AK113" i="1"/>
  <c r="AI113" i="1"/>
  <c r="AG113" i="1"/>
  <c r="AE113" i="1"/>
  <c r="AC113" i="1"/>
  <c r="AA113" i="1"/>
  <c r="Y113" i="1"/>
  <c r="W113" i="1"/>
  <c r="U113" i="1"/>
  <c r="R113" i="1"/>
  <c r="O113" i="1"/>
  <c r="K113" i="1"/>
  <c r="AO112" i="1"/>
  <c r="AM112" i="1"/>
  <c r="AK112" i="1"/>
  <c r="AI112" i="1"/>
  <c r="AG112" i="1"/>
  <c r="AE112" i="1"/>
  <c r="AC112" i="1"/>
  <c r="AA112" i="1"/>
  <c r="Y112" i="1"/>
  <c r="W112" i="1"/>
  <c r="U112" i="1"/>
  <c r="R112" i="1"/>
  <c r="O112" i="1"/>
  <c r="K112" i="1"/>
  <c r="AO111" i="1"/>
  <c r="AM111" i="1"/>
  <c r="AK111" i="1"/>
  <c r="AG111" i="1"/>
  <c r="AE111" i="1"/>
  <c r="AC111" i="1"/>
  <c r="AA111" i="1"/>
  <c r="W111" i="1"/>
  <c r="U111" i="1"/>
  <c r="R111" i="1"/>
  <c r="O111" i="1"/>
  <c r="K111" i="1"/>
  <c r="AO110" i="1"/>
  <c r="AM110" i="1"/>
  <c r="AK110" i="1"/>
  <c r="AI110" i="1"/>
  <c r="AG110" i="1"/>
  <c r="AE110" i="1"/>
  <c r="AC110" i="1"/>
  <c r="AA110" i="1"/>
  <c r="Y110" i="1"/>
  <c r="W110" i="1"/>
  <c r="U110" i="1"/>
  <c r="R110" i="1"/>
  <c r="O110" i="1"/>
  <c r="K110" i="1"/>
  <c r="AO109" i="1"/>
  <c r="AM109" i="1"/>
  <c r="AK109" i="1"/>
  <c r="AI109" i="1"/>
  <c r="AG109" i="1"/>
  <c r="AE109" i="1"/>
  <c r="AC109" i="1"/>
  <c r="AA109" i="1"/>
  <c r="Y109" i="1"/>
  <c r="W109" i="1"/>
  <c r="U109" i="1"/>
  <c r="R109" i="1"/>
  <c r="O109" i="1"/>
  <c r="K109" i="1"/>
  <c r="AO108" i="1"/>
  <c r="AC108" i="1"/>
  <c r="AA108" i="1"/>
  <c r="W108" i="1"/>
  <c r="U108" i="1"/>
  <c r="R108" i="1"/>
  <c r="O108" i="1"/>
  <c r="K108" i="1"/>
  <c r="R107" i="1"/>
  <c r="O107" i="1"/>
  <c r="K107" i="1"/>
  <c r="R106" i="1"/>
  <c r="O106" i="1"/>
  <c r="K106" i="1"/>
  <c r="AO105" i="1"/>
  <c r="AM105" i="1"/>
  <c r="AK105" i="1"/>
  <c r="AI105" i="1"/>
  <c r="AG105" i="1"/>
  <c r="AE105" i="1"/>
  <c r="AC105" i="1"/>
  <c r="AA105" i="1"/>
  <c r="Y105" i="1"/>
  <c r="W105" i="1"/>
  <c r="U105" i="1"/>
  <c r="R105" i="1"/>
  <c r="O105" i="1"/>
  <c r="K105" i="1"/>
  <c r="AO104" i="1"/>
  <c r="AM104" i="1"/>
  <c r="AK104" i="1"/>
  <c r="AI104" i="1"/>
  <c r="AG104" i="1"/>
  <c r="AE104" i="1"/>
  <c r="AC104" i="1"/>
  <c r="AA104" i="1"/>
  <c r="Y104" i="1"/>
  <c r="W104" i="1"/>
  <c r="U104" i="1"/>
  <c r="R104" i="1"/>
  <c r="O104" i="1"/>
  <c r="K104" i="1"/>
  <c r="R103" i="1"/>
  <c r="O103" i="1"/>
  <c r="K103" i="1"/>
  <c r="AO102" i="1"/>
  <c r="AM102" i="1"/>
  <c r="AK102" i="1"/>
  <c r="AI102" i="1"/>
  <c r="AG102" i="1"/>
  <c r="AE102" i="1"/>
  <c r="AC102" i="1"/>
  <c r="AA102" i="1"/>
  <c r="Y102" i="1"/>
  <c r="W102" i="1"/>
  <c r="U102" i="1"/>
  <c r="R102" i="1"/>
  <c r="O102" i="1"/>
  <c r="K102" i="1"/>
  <c r="AO101" i="1"/>
  <c r="R101" i="1"/>
  <c r="O101" i="1"/>
  <c r="K101" i="1"/>
  <c r="R100" i="1"/>
  <c r="O100" i="1"/>
  <c r="K100" i="1"/>
  <c r="AO99" i="1"/>
  <c r="R99" i="1"/>
  <c r="O99" i="1"/>
  <c r="K99" i="1"/>
  <c r="AO98" i="1"/>
  <c r="AM98" i="1"/>
  <c r="AK98" i="1"/>
  <c r="U98" i="1"/>
  <c r="R98" i="1"/>
  <c r="O98" i="1"/>
  <c r="K98" i="1"/>
  <c r="AO97" i="1"/>
  <c r="AM97" i="1"/>
  <c r="R97" i="1"/>
  <c r="O97" i="1"/>
  <c r="K97" i="1"/>
  <c r="R96" i="1"/>
  <c r="O96" i="1"/>
  <c r="K96" i="1"/>
  <c r="U95" i="1"/>
  <c r="R95" i="1"/>
  <c r="O95" i="1"/>
  <c r="K95" i="1"/>
  <c r="R94" i="1"/>
  <c r="O94" i="1"/>
  <c r="K94" i="1"/>
  <c r="R93" i="1"/>
  <c r="O93" i="1"/>
  <c r="K93" i="1"/>
  <c r="R92" i="1"/>
  <c r="O92" i="1"/>
  <c r="K92" i="1"/>
  <c r="AO91" i="1"/>
  <c r="AM91" i="1"/>
  <c r="AK91" i="1"/>
  <c r="AI91" i="1"/>
  <c r="AG91" i="1"/>
  <c r="AE91" i="1"/>
  <c r="AC91" i="1"/>
  <c r="AA91" i="1"/>
  <c r="Y91" i="1"/>
  <c r="W91" i="1"/>
  <c r="U91" i="1"/>
  <c r="R91" i="1"/>
  <c r="O91" i="1"/>
  <c r="K91" i="1"/>
  <c r="AO90" i="1"/>
  <c r="AM90" i="1"/>
  <c r="AK90" i="1"/>
  <c r="AI90" i="1"/>
  <c r="AG90" i="1"/>
  <c r="AE90" i="1"/>
  <c r="AC90" i="1"/>
  <c r="AA90" i="1"/>
  <c r="Y90" i="1"/>
  <c r="W90" i="1"/>
  <c r="U90" i="1"/>
  <c r="R90" i="1"/>
  <c r="O90" i="1"/>
  <c r="K90" i="1"/>
  <c r="AO89" i="1"/>
  <c r="AM89" i="1"/>
  <c r="AK89" i="1"/>
  <c r="AI89" i="1"/>
  <c r="AG89" i="1"/>
  <c r="AE89" i="1"/>
  <c r="AC89" i="1"/>
  <c r="AA89" i="1"/>
  <c r="Y89" i="1"/>
  <c r="W89" i="1"/>
  <c r="U89" i="1"/>
  <c r="R89" i="1"/>
  <c r="O89" i="1"/>
  <c r="K89" i="1"/>
  <c r="R88" i="1"/>
  <c r="O88" i="1"/>
  <c r="K88" i="1"/>
  <c r="AA87" i="1"/>
  <c r="R87" i="1"/>
  <c r="O87" i="1"/>
  <c r="K87" i="1"/>
  <c r="AO86" i="1"/>
  <c r="AM86" i="1"/>
  <c r="AK86" i="1"/>
  <c r="AI86" i="1"/>
  <c r="AG86" i="1"/>
  <c r="AE86" i="1"/>
  <c r="AC86" i="1"/>
  <c r="AA86" i="1"/>
  <c r="Y86" i="1"/>
  <c r="W86" i="1"/>
  <c r="U86" i="1"/>
  <c r="R86" i="1"/>
  <c r="O86" i="1"/>
  <c r="K86" i="1"/>
  <c r="AG85" i="1"/>
  <c r="AE85" i="1"/>
  <c r="U85" i="1"/>
  <c r="R85" i="1"/>
  <c r="O85" i="1"/>
  <c r="K85" i="1"/>
  <c r="AO84" i="1"/>
  <c r="AM84" i="1"/>
  <c r="AK84" i="1"/>
  <c r="AI84" i="1"/>
  <c r="AG84" i="1"/>
  <c r="AE84" i="1"/>
  <c r="AC84" i="1"/>
  <c r="AA84" i="1"/>
  <c r="Y84" i="1"/>
  <c r="W84" i="1"/>
  <c r="U84" i="1"/>
  <c r="R84" i="1"/>
  <c r="O84" i="1"/>
  <c r="K84" i="1"/>
  <c r="AO83" i="1"/>
  <c r="AM83" i="1"/>
  <c r="AK83" i="1"/>
  <c r="AI83" i="1"/>
  <c r="AG83" i="1"/>
  <c r="AE83" i="1"/>
  <c r="AC83" i="1"/>
  <c r="AA83" i="1"/>
  <c r="Y83" i="1"/>
  <c r="W83" i="1"/>
  <c r="U83" i="1"/>
  <c r="R83" i="1"/>
  <c r="O83" i="1"/>
  <c r="K83" i="1"/>
  <c r="R82" i="1"/>
  <c r="O82" i="1"/>
  <c r="K82" i="1"/>
  <c r="R81" i="1"/>
  <c r="O81" i="1"/>
  <c r="K81" i="1"/>
  <c r="AO80" i="1"/>
  <c r="AM80" i="1"/>
  <c r="AK80" i="1"/>
  <c r="AI80" i="1"/>
  <c r="AG80" i="1"/>
  <c r="AE80" i="1"/>
  <c r="AC80" i="1"/>
  <c r="AA80" i="1"/>
  <c r="Y80" i="1"/>
  <c r="W80" i="1"/>
  <c r="U80" i="1"/>
  <c r="R80" i="1"/>
  <c r="O80" i="1"/>
  <c r="K80" i="1"/>
  <c r="AO79" i="1"/>
  <c r="AM79" i="1"/>
  <c r="AK79" i="1"/>
  <c r="AI79" i="1"/>
  <c r="AG79" i="1"/>
  <c r="AE79" i="1"/>
  <c r="AC79" i="1"/>
  <c r="AA79" i="1"/>
  <c r="Y79" i="1"/>
  <c r="W79" i="1"/>
  <c r="U79" i="1"/>
  <c r="R79" i="1"/>
  <c r="O79" i="1"/>
  <c r="K79" i="1"/>
  <c r="U78" i="1"/>
  <c r="R78" i="1"/>
  <c r="O78" i="1"/>
  <c r="K78" i="1"/>
  <c r="AO77" i="1"/>
  <c r="AM77" i="1"/>
  <c r="AK77" i="1"/>
  <c r="AI77" i="1"/>
  <c r="AG77" i="1"/>
  <c r="AE77" i="1"/>
  <c r="AC77" i="1"/>
  <c r="AA77" i="1"/>
  <c r="Y77" i="1"/>
  <c r="W77" i="1"/>
  <c r="U77" i="1"/>
  <c r="R77" i="1"/>
  <c r="O77" i="1"/>
  <c r="K77" i="1"/>
  <c r="AC76" i="1"/>
  <c r="U76" i="1"/>
  <c r="R76" i="1"/>
  <c r="O76" i="1"/>
  <c r="K76" i="1"/>
  <c r="R75" i="1"/>
  <c r="O75" i="1"/>
  <c r="K75" i="1"/>
  <c r="R74" i="1"/>
  <c r="O74" i="1"/>
  <c r="K74" i="1"/>
  <c r="R73" i="1"/>
  <c r="O73" i="1"/>
  <c r="K73" i="1"/>
  <c r="R72" i="1"/>
  <c r="O72" i="1"/>
  <c r="K72" i="1"/>
  <c r="R71" i="1"/>
  <c r="O71" i="1"/>
  <c r="K71" i="1"/>
  <c r="R70" i="1"/>
  <c r="O70" i="1"/>
  <c r="K70" i="1"/>
  <c r="R69" i="1"/>
  <c r="O69" i="1"/>
  <c r="K69" i="1"/>
  <c r="R68" i="1"/>
  <c r="O68" i="1"/>
  <c r="K68" i="1"/>
  <c r="AO67" i="1"/>
  <c r="AM67" i="1"/>
  <c r="AK67" i="1"/>
  <c r="AI67" i="1"/>
  <c r="R67" i="1"/>
  <c r="O67" i="1"/>
  <c r="K67" i="1"/>
  <c r="R66" i="1"/>
  <c r="O66" i="1"/>
  <c r="K66" i="1"/>
  <c r="R65" i="1"/>
  <c r="O65" i="1"/>
  <c r="K65" i="1"/>
  <c r="R64" i="1"/>
  <c r="O64" i="1"/>
  <c r="K64" i="1"/>
  <c r="R63" i="1"/>
  <c r="O63" i="1"/>
  <c r="K63" i="1"/>
  <c r="AO62" i="1"/>
  <c r="AM62" i="1"/>
  <c r="AK62" i="1"/>
  <c r="R62" i="1"/>
  <c r="O62" i="1"/>
  <c r="K62" i="1"/>
  <c r="R61" i="1"/>
  <c r="O61" i="1"/>
  <c r="K61" i="1"/>
  <c r="R60" i="1"/>
  <c r="O60" i="1"/>
  <c r="K60" i="1"/>
  <c r="R59" i="1"/>
  <c r="O59" i="1"/>
  <c r="K59" i="1"/>
  <c r="R58" i="1"/>
  <c r="O58" i="1"/>
  <c r="K58" i="1"/>
  <c r="R57" i="1"/>
  <c r="O57" i="1"/>
  <c r="K57" i="1"/>
  <c r="R56" i="1"/>
  <c r="O56" i="1"/>
  <c r="K56" i="1"/>
  <c r="R55" i="1"/>
  <c r="O55" i="1"/>
  <c r="K55" i="1"/>
  <c r="R54" i="1"/>
  <c r="O54" i="1"/>
  <c r="K54" i="1"/>
  <c r="R53" i="1"/>
  <c r="O53" i="1"/>
  <c r="K53" i="1"/>
  <c r="R52" i="1"/>
  <c r="O52" i="1"/>
  <c r="K52" i="1"/>
  <c r="R51" i="1"/>
  <c r="O51" i="1"/>
  <c r="K51" i="1"/>
  <c r="R50" i="1"/>
  <c r="O50" i="1"/>
  <c r="K50" i="1"/>
  <c r="R49" i="1"/>
  <c r="O49" i="1"/>
  <c r="K49" i="1"/>
  <c r="R48" i="1"/>
  <c r="O48" i="1"/>
  <c r="K48" i="1"/>
  <c r="R47" i="1"/>
  <c r="O47" i="1"/>
  <c r="K47" i="1"/>
  <c r="R46" i="1"/>
  <c r="O46" i="1"/>
  <c r="K46" i="1"/>
  <c r="R45" i="1"/>
  <c r="O45" i="1"/>
  <c r="K45" i="1"/>
  <c r="R44" i="1"/>
  <c r="O44" i="1"/>
  <c r="K44" i="1"/>
  <c r="R43" i="1"/>
  <c r="O43" i="1"/>
  <c r="K43" i="1"/>
  <c r="R42" i="1"/>
  <c r="O42" i="1"/>
  <c r="K42" i="1"/>
  <c r="R41" i="1"/>
  <c r="O41" i="1"/>
  <c r="K41" i="1"/>
  <c r="R40" i="1"/>
  <c r="O40" i="1"/>
  <c r="K40" i="1"/>
  <c r="R39" i="1"/>
  <c r="O39" i="1"/>
  <c r="K39" i="1"/>
  <c r="R38" i="1"/>
  <c r="O38" i="1"/>
  <c r="K38" i="1"/>
  <c r="R37" i="1"/>
  <c r="O37" i="1"/>
  <c r="K37" i="1"/>
  <c r="R36" i="1"/>
  <c r="O36" i="1"/>
  <c r="K36" i="1"/>
  <c r="R35" i="1"/>
  <c r="O35" i="1"/>
  <c r="K35" i="1"/>
  <c r="R34" i="1"/>
  <c r="O34" i="1"/>
  <c r="K34" i="1"/>
  <c r="R33" i="1"/>
  <c r="O33" i="1"/>
  <c r="K33" i="1"/>
  <c r="R32" i="1"/>
  <c r="O32" i="1"/>
  <c r="K32" i="1"/>
  <c r="R31" i="1"/>
  <c r="O31" i="1"/>
  <c r="K31" i="1"/>
  <c r="R30" i="1"/>
  <c r="O30" i="1"/>
  <c r="K30" i="1"/>
  <c r="R29" i="1"/>
  <c r="O29" i="1"/>
  <c r="K29" i="1"/>
  <c r="R28" i="1"/>
  <c r="O28" i="1"/>
  <c r="K28" i="1"/>
  <c r="R27" i="1"/>
  <c r="O27" i="1"/>
  <c r="K27" i="1"/>
  <c r="R26" i="1"/>
  <c r="O26" i="1"/>
  <c r="K26" i="1"/>
  <c r="R25" i="1"/>
  <c r="O25" i="1"/>
  <c r="K25" i="1"/>
  <c r="R24" i="1"/>
  <c r="O24" i="1"/>
  <c r="K24" i="1"/>
  <c r="R23" i="1"/>
  <c r="O23" i="1"/>
  <c r="K23" i="1"/>
  <c r="R22" i="1"/>
  <c r="O22" i="1"/>
  <c r="K22" i="1"/>
  <c r="R21" i="1"/>
  <c r="O21" i="1"/>
  <c r="K21" i="1"/>
  <c r="R20" i="1"/>
  <c r="O20" i="1"/>
  <c r="K20" i="1"/>
  <c r="R19" i="1"/>
  <c r="O19" i="1"/>
  <c r="K19" i="1"/>
  <c r="R18" i="1"/>
  <c r="O18" i="1"/>
  <c r="K18" i="1"/>
  <c r="R17" i="1"/>
  <c r="O17" i="1"/>
  <c r="K17" i="1"/>
  <c r="R16" i="1"/>
  <c r="O16" i="1"/>
  <c r="K16" i="1"/>
  <c r="R15" i="1"/>
  <c r="O15" i="1"/>
  <c r="K15" i="1"/>
  <c r="R14" i="1"/>
  <c r="O14" i="1"/>
  <c r="K14" i="1"/>
  <c r="R13" i="1"/>
  <c r="O13" i="1"/>
  <c r="K13" i="1"/>
  <c r="R12" i="1"/>
  <c r="O12" i="1"/>
  <c r="K12" i="1"/>
  <c r="R11" i="1"/>
  <c r="K11" i="1"/>
  <c r="AF10" i="1"/>
  <c r="G10" i="1"/>
  <c r="J10" i="1"/>
  <c r="AY10" i="1"/>
  <c r="AV10" i="1"/>
  <c r="T10" i="1"/>
  <c r="Z10" i="1"/>
  <c r="AX10" i="1"/>
  <c r="AW10" i="1"/>
  <c r="AN10" i="1"/>
  <c r="AL10" i="1"/>
  <c r="AH10" i="1"/>
  <c r="AJ10" i="1"/>
  <c r="AB10" i="1"/>
  <c r="AD10" i="1"/>
  <c r="AE192" i="1" l="1"/>
  <c r="AE172" i="1"/>
  <c r="AE160" i="1"/>
  <c r="AE144" i="1"/>
  <c r="AE140" i="1"/>
  <c r="AE124" i="1"/>
  <c r="AE120" i="1"/>
  <c r="AE116" i="1"/>
  <c r="AE197" i="1"/>
  <c r="AE193" i="1"/>
  <c r="AE189" i="1"/>
  <c r="AE169" i="1"/>
  <c r="AE157" i="1"/>
  <c r="AE133" i="1"/>
  <c r="AE125" i="1"/>
  <c r="AE190" i="1"/>
  <c r="AE170" i="1"/>
  <c r="AE154" i="1"/>
  <c r="AE146" i="1"/>
  <c r="AE138" i="1"/>
  <c r="AE130" i="1"/>
  <c r="AE122" i="1"/>
  <c r="AE195" i="1"/>
  <c r="AE187" i="1"/>
  <c r="AE183" i="1"/>
  <c r="AE167" i="1"/>
  <c r="AE163" i="1"/>
  <c r="AE159" i="1"/>
  <c r="AE127" i="1"/>
  <c r="AE107" i="1"/>
  <c r="AE103" i="1"/>
  <c r="AE99" i="1"/>
  <c r="AE95" i="1"/>
  <c r="AE87" i="1"/>
  <c r="AE108" i="1"/>
  <c r="AE100" i="1"/>
  <c r="AE96" i="1"/>
  <c r="AE92" i="1"/>
  <c r="AE88" i="1"/>
  <c r="AE76" i="1"/>
  <c r="AE101" i="1"/>
  <c r="AE97" i="1"/>
  <c r="AE93" i="1"/>
  <c r="AE81" i="1"/>
  <c r="AE106" i="1"/>
  <c r="AE98" i="1"/>
  <c r="AE94" i="1"/>
  <c r="AE82" i="1"/>
  <c r="AE78" i="1"/>
  <c r="AI190" i="1"/>
  <c r="AI170" i="1"/>
  <c r="AI166" i="1"/>
  <c r="AI158" i="1"/>
  <c r="AI154" i="1"/>
  <c r="AI146" i="1"/>
  <c r="AI138" i="1"/>
  <c r="AI130" i="1"/>
  <c r="AI126" i="1"/>
  <c r="AI122" i="1"/>
  <c r="AI195" i="1"/>
  <c r="AI187" i="1"/>
  <c r="AI183" i="1"/>
  <c r="AI167" i="1"/>
  <c r="AI163" i="1"/>
  <c r="AI159" i="1"/>
  <c r="AI127" i="1"/>
  <c r="AI115" i="1"/>
  <c r="AI192" i="1"/>
  <c r="AI160" i="1"/>
  <c r="AI144" i="1"/>
  <c r="AI140" i="1"/>
  <c r="AI120" i="1"/>
  <c r="AI116" i="1"/>
  <c r="AI197" i="1"/>
  <c r="AI189" i="1"/>
  <c r="AI169" i="1"/>
  <c r="AI157" i="1"/>
  <c r="AI125" i="1"/>
  <c r="AI101" i="1"/>
  <c r="AI97" i="1"/>
  <c r="AI93" i="1"/>
  <c r="AI85" i="1"/>
  <c r="AI81" i="1"/>
  <c r="AI106" i="1"/>
  <c r="AI98" i="1"/>
  <c r="AI94" i="1"/>
  <c r="AI82" i="1"/>
  <c r="AI78" i="1"/>
  <c r="AI111" i="1"/>
  <c r="AI107" i="1"/>
  <c r="AI103" i="1"/>
  <c r="AI99" i="1"/>
  <c r="AI95" i="1"/>
  <c r="AI87" i="1"/>
  <c r="AI108" i="1"/>
  <c r="AI100" i="1"/>
  <c r="AI96" i="1"/>
  <c r="AI92" i="1"/>
  <c r="AI88" i="1"/>
  <c r="AI76" i="1"/>
  <c r="AA202" i="1"/>
  <c r="AA190" i="1"/>
  <c r="AA170" i="1"/>
  <c r="AA166" i="1"/>
  <c r="AA158" i="1"/>
  <c r="AA154" i="1"/>
  <c r="AA146" i="1"/>
  <c r="AA138" i="1"/>
  <c r="AA134" i="1"/>
  <c r="AA130" i="1"/>
  <c r="AA122" i="1"/>
  <c r="AA195" i="1"/>
  <c r="AA187" i="1"/>
  <c r="AA183" i="1"/>
  <c r="AA167" i="1"/>
  <c r="AA163" i="1"/>
  <c r="AA159" i="1"/>
  <c r="AA127" i="1"/>
  <c r="AA115" i="1"/>
  <c r="AA192" i="1"/>
  <c r="AA172" i="1"/>
  <c r="AA160" i="1"/>
  <c r="AA144" i="1"/>
  <c r="AA140" i="1"/>
  <c r="AA124" i="1"/>
  <c r="AA120" i="1"/>
  <c r="AA116" i="1"/>
  <c r="AA197" i="1"/>
  <c r="AA189" i="1"/>
  <c r="AA173" i="1"/>
  <c r="AA169" i="1"/>
  <c r="AA157" i="1"/>
  <c r="AA133" i="1"/>
  <c r="AA125" i="1"/>
  <c r="AA101" i="1"/>
  <c r="AA97" i="1"/>
  <c r="AA93" i="1"/>
  <c r="AA85" i="1"/>
  <c r="AA81" i="1"/>
  <c r="AA106" i="1"/>
  <c r="AA98" i="1"/>
  <c r="AA94" i="1"/>
  <c r="AA82" i="1"/>
  <c r="AA78" i="1"/>
  <c r="AA107" i="1"/>
  <c r="AA103" i="1"/>
  <c r="AA99" i="1"/>
  <c r="AA95" i="1"/>
  <c r="AA100" i="1"/>
  <c r="AA96" i="1"/>
  <c r="AA92" i="1"/>
  <c r="AA88" i="1"/>
  <c r="AA76" i="1"/>
  <c r="AM192" i="1"/>
  <c r="AM160" i="1"/>
  <c r="AM152" i="1"/>
  <c r="AM144" i="1"/>
  <c r="AM140" i="1"/>
  <c r="AM124" i="1"/>
  <c r="AM120" i="1"/>
  <c r="AM116" i="1"/>
  <c r="AM189" i="1"/>
  <c r="AM173" i="1"/>
  <c r="AM169" i="1"/>
  <c r="AM157" i="1"/>
  <c r="AM125" i="1"/>
  <c r="AM170" i="1"/>
  <c r="AM166" i="1"/>
  <c r="AM158" i="1"/>
  <c r="AM154" i="1"/>
  <c r="AM146" i="1"/>
  <c r="AM138" i="1"/>
  <c r="AM134" i="1"/>
  <c r="AM130" i="1"/>
  <c r="AM126" i="1"/>
  <c r="AM122" i="1"/>
  <c r="AM195" i="1"/>
  <c r="AM187" i="1"/>
  <c r="AM183" i="1"/>
  <c r="AM167" i="1"/>
  <c r="AM163" i="1"/>
  <c r="AM159" i="1"/>
  <c r="AM127" i="1"/>
  <c r="AM115" i="1"/>
  <c r="AM107" i="1"/>
  <c r="AM103" i="1"/>
  <c r="AM99" i="1"/>
  <c r="AM95" i="1"/>
  <c r="AM87" i="1"/>
  <c r="AM108" i="1"/>
  <c r="AM100" i="1"/>
  <c r="AM96" i="1"/>
  <c r="AM92" i="1"/>
  <c r="AM88" i="1"/>
  <c r="AM76" i="1"/>
  <c r="AM101" i="1"/>
  <c r="AM93" i="1"/>
  <c r="AM85" i="1"/>
  <c r="AM81" i="1"/>
  <c r="AM106" i="1"/>
  <c r="AM94" i="1"/>
  <c r="AM82" i="1"/>
  <c r="AM78" i="1"/>
  <c r="U195" i="1"/>
  <c r="U187" i="1"/>
  <c r="U183" i="1"/>
  <c r="U167" i="1"/>
  <c r="U163" i="1"/>
  <c r="U159" i="1"/>
  <c r="U127" i="1"/>
  <c r="U172" i="1"/>
  <c r="U160" i="1"/>
  <c r="U144" i="1"/>
  <c r="U140" i="1"/>
  <c r="U120" i="1"/>
  <c r="U116" i="1"/>
  <c r="U197" i="1"/>
  <c r="U189" i="1"/>
  <c r="U169" i="1"/>
  <c r="U157" i="1"/>
  <c r="U133" i="1"/>
  <c r="U125" i="1"/>
  <c r="U170" i="1"/>
  <c r="U154" i="1"/>
  <c r="U146" i="1"/>
  <c r="U138" i="1"/>
  <c r="U130" i="1"/>
  <c r="U106" i="1"/>
  <c r="U94" i="1"/>
  <c r="U82" i="1"/>
  <c r="U107" i="1"/>
  <c r="U103" i="1"/>
  <c r="U99" i="1"/>
  <c r="U87" i="1"/>
  <c r="U100" i="1"/>
  <c r="U96" i="1"/>
  <c r="U92" i="1"/>
  <c r="U88" i="1"/>
  <c r="U101" i="1"/>
  <c r="U97" i="1"/>
  <c r="U93" i="1"/>
  <c r="U81" i="1"/>
  <c r="AC195" i="1"/>
  <c r="AC187" i="1"/>
  <c r="AC183" i="1"/>
  <c r="AC167" i="1"/>
  <c r="AC163" i="1"/>
  <c r="AC159" i="1"/>
  <c r="AC127" i="1"/>
  <c r="AC192" i="1"/>
  <c r="AC172" i="1"/>
  <c r="AC160" i="1"/>
  <c r="AC152" i="1"/>
  <c r="AC144" i="1"/>
  <c r="AC140" i="1"/>
  <c r="AC124" i="1"/>
  <c r="AC120" i="1"/>
  <c r="AC116" i="1"/>
  <c r="AC197" i="1"/>
  <c r="AC189" i="1"/>
  <c r="AC169" i="1"/>
  <c r="AC157" i="1"/>
  <c r="AC133" i="1"/>
  <c r="AC125" i="1"/>
  <c r="AC190" i="1"/>
  <c r="AC170" i="1"/>
  <c r="AC166" i="1"/>
  <c r="AC158" i="1"/>
  <c r="AC154" i="1"/>
  <c r="AC146" i="1"/>
  <c r="AC138" i="1"/>
  <c r="AC130" i="1"/>
  <c r="AC122" i="1"/>
  <c r="AC106" i="1"/>
  <c r="AC98" i="1"/>
  <c r="AC94" i="1"/>
  <c r="AC82" i="1"/>
  <c r="AC78" i="1"/>
  <c r="AC107" i="1"/>
  <c r="AC103" i="1"/>
  <c r="AC99" i="1"/>
  <c r="AC95" i="1"/>
  <c r="AC87" i="1"/>
  <c r="AC100" i="1"/>
  <c r="AC96" i="1"/>
  <c r="AC92" i="1"/>
  <c r="AC88" i="1"/>
  <c r="AC115" i="1"/>
  <c r="AC101" i="1"/>
  <c r="AC97" i="1"/>
  <c r="AC93" i="1"/>
  <c r="AC85" i="1"/>
  <c r="AC81" i="1"/>
  <c r="AK195" i="1"/>
  <c r="AK187" i="1"/>
  <c r="AK183" i="1"/>
  <c r="AK167" i="1"/>
  <c r="AK163" i="1"/>
  <c r="AK159" i="1"/>
  <c r="AK127" i="1"/>
  <c r="AK115" i="1"/>
  <c r="AK192" i="1"/>
  <c r="AK160" i="1"/>
  <c r="AK152" i="1"/>
  <c r="AK144" i="1"/>
  <c r="AK140" i="1"/>
  <c r="AK124" i="1"/>
  <c r="AK120" i="1"/>
  <c r="AK116" i="1"/>
  <c r="AK197" i="1"/>
  <c r="AK193" i="1"/>
  <c r="AK189" i="1"/>
  <c r="AK173" i="1"/>
  <c r="AK169" i="1"/>
  <c r="AK157" i="1"/>
  <c r="AK125" i="1"/>
  <c r="AK202" i="1"/>
  <c r="AK170" i="1"/>
  <c r="AK166" i="1"/>
  <c r="AK158" i="1"/>
  <c r="AK154" i="1"/>
  <c r="AK146" i="1"/>
  <c r="AK138" i="1"/>
  <c r="AK126" i="1"/>
  <c r="AK122" i="1"/>
  <c r="AK106" i="1"/>
  <c r="AK94" i="1"/>
  <c r="AK82" i="1"/>
  <c r="AK78" i="1"/>
  <c r="AK107" i="1"/>
  <c r="AK103" i="1"/>
  <c r="AK99" i="1"/>
  <c r="AK95" i="1"/>
  <c r="AK87" i="1"/>
  <c r="AK108" i="1"/>
  <c r="AK100" i="1"/>
  <c r="AK96" i="1"/>
  <c r="AK92" i="1"/>
  <c r="AK88" i="1"/>
  <c r="AK76" i="1"/>
  <c r="AK101" i="1"/>
  <c r="AK97" i="1"/>
  <c r="AK93" i="1"/>
  <c r="AK85" i="1"/>
  <c r="AK81" i="1"/>
  <c r="AG197" i="1"/>
  <c r="AG193" i="1"/>
  <c r="AG189" i="1"/>
  <c r="AG169" i="1"/>
  <c r="AG157" i="1"/>
  <c r="AG133" i="1"/>
  <c r="AG125" i="1"/>
  <c r="AG190" i="1"/>
  <c r="AG170" i="1"/>
  <c r="AG166" i="1"/>
  <c r="AG154" i="1"/>
  <c r="AG146" i="1"/>
  <c r="AG138" i="1"/>
  <c r="AG134" i="1"/>
  <c r="AG130" i="1"/>
  <c r="AG126" i="1"/>
  <c r="AG122" i="1"/>
  <c r="AG195" i="1"/>
  <c r="AG187" i="1"/>
  <c r="AG183" i="1"/>
  <c r="AG167" i="1"/>
  <c r="AG163" i="1"/>
  <c r="AG159" i="1"/>
  <c r="AG127" i="1"/>
  <c r="AG115" i="1"/>
  <c r="AG192" i="1"/>
  <c r="AG172" i="1"/>
  <c r="AG152" i="1"/>
  <c r="AG144" i="1"/>
  <c r="AG140" i="1"/>
  <c r="AG124" i="1"/>
  <c r="AG120" i="1"/>
  <c r="AG116" i="1"/>
  <c r="AG108" i="1"/>
  <c r="AG100" i="1"/>
  <c r="AG96" i="1"/>
  <c r="AG92" i="1"/>
  <c r="AG88" i="1"/>
  <c r="AG76" i="1"/>
  <c r="AG101" i="1"/>
  <c r="AG97" i="1"/>
  <c r="AG93" i="1"/>
  <c r="AG81" i="1"/>
  <c r="AG106" i="1"/>
  <c r="AG98" i="1"/>
  <c r="AG94" i="1"/>
  <c r="AG82" i="1"/>
  <c r="AG78" i="1"/>
  <c r="AG107" i="1"/>
  <c r="AG103" i="1"/>
  <c r="AG99" i="1"/>
  <c r="AG95" i="1"/>
  <c r="AG87" i="1"/>
  <c r="W192" i="1"/>
  <c r="W172" i="1"/>
  <c r="W160" i="1"/>
  <c r="W144" i="1"/>
  <c r="W140" i="1"/>
  <c r="W124" i="1"/>
  <c r="W120" i="1"/>
  <c r="W116" i="1"/>
  <c r="W197" i="1"/>
  <c r="W189" i="1"/>
  <c r="W173" i="1"/>
  <c r="W169" i="1"/>
  <c r="W157" i="1"/>
  <c r="W133" i="1"/>
  <c r="W125" i="1"/>
  <c r="W190" i="1"/>
  <c r="W170" i="1"/>
  <c r="W158" i="1"/>
  <c r="W154" i="1"/>
  <c r="W146" i="1"/>
  <c r="W138" i="1"/>
  <c r="W122" i="1"/>
  <c r="W195" i="1"/>
  <c r="W187" i="1"/>
  <c r="W183" i="1"/>
  <c r="W167" i="1"/>
  <c r="W163" i="1"/>
  <c r="W159" i="1"/>
  <c r="W127" i="1"/>
  <c r="W115" i="1"/>
  <c r="W107" i="1"/>
  <c r="W103" i="1"/>
  <c r="W99" i="1"/>
  <c r="W95" i="1"/>
  <c r="W87" i="1"/>
  <c r="W100" i="1"/>
  <c r="W96" i="1"/>
  <c r="W92" i="1"/>
  <c r="W88" i="1"/>
  <c r="W76" i="1"/>
  <c r="W101" i="1"/>
  <c r="W97" i="1"/>
  <c r="W93" i="1"/>
  <c r="W85" i="1"/>
  <c r="W81" i="1"/>
  <c r="W106" i="1"/>
  <c r="W98" i="1"/>
  <c r="W94" i="1"/>
  <c r="W82" i="1"/>
  <c r="W78" i="1"/>
  <c r="AO189" i="1"/>
  <c r="AO169" i="1"/>
  <c r="AO157" i="1"/>
  <c r="AO125" i="1"/>
  <c r="AO202" i="1"/>
  <c r="AO170" i="1"/>
  <c r="AO154" i="1"/>
  <c r="AO146" i="1"/>
  <c r="AO138" i="1"/>
  <c r="AO134" i="1"/>
  <c r="AO130" i="1"/>
  <c r="AO122" i="1"/>
  <c r="AO195" i="1"/>
  <c r="AO187" i="1"/>
  <c r="AO183" i="1"/>
  <c r="AO167" i="1"/>
  <c r="AO163" i="1"/>
  <c r="AO159" i="1"/>
  <c r="AO127" i="1"/>
  <c r="AO115" i="1"/>
  <c r="AO192" i="1"/>
  <c r="AO160" i="1"/>
  <c r="AO152" i="1"/>
  <c r="AO144" i="1"/>
  <c r="AO140" i="1"/>
  <c r="AO124" i="1"/>
  <c r="AO120" i="1"/>
  <c r="AO116" i="1"/>
  <c r="AO100" i="1"/>
  <c r="AO96" i="1"/>
  <c r="AO92" i="1"/>
  <c r="AO88" i="1"/>
  <c r="AO76" i="1"/>
  <c r="AO93" i="1"/>
  <c r="AO85" i="1"/>
  <c r="AO81" i="1"/>
  <c r="AO106" i="1"/>
  <c r="AO94" i="1"/>
  <c r="AO82" i="1"/>
  <c r="AO78" i="1"/>
  <c r="AO107" i="1"/>
  <c r="AO103" i="1"/>
  <c r="AO95" i="1"/>
  <c r="AO87" i="1"/>
  <c r="Y197" i="1"/>
  <c r="Y189" i="1"/>
  <c r="Y173" i="1"/>
  <c r="Y169" i="1"/>
  <c r="Y157" i="1"/>
  <c r="Y133" i="1"/>
  <c r="Y125" i="1"/>
  <c r="Y190" i="1"/>
  <c r="Y170" i="1"/>
  <c r="Y166" i="1"/>
  <c r="Y154" i="1"/>
  <c r="Y146" i="1"/>
  <c r="Y138" i="1"/>
  <c r="Y134" i="1"/>
  <c r="Y130" i="1"/>
  <c r="Y195" i="1"/>
  <c r="Y187" i="1"/>
  <c r="Y183" i="1"/>
  <c r="Y167" i="1"/>
  <c r="Y163" i="1"/>
  <c r="Y159" i="1"/>
  <c r="Y127" i="1"/>
  <c r="Y115" i="1"/>
  <c r="Y192" i="1"/>
  <c r="Y172" i="1"/>
  <c r="Y160" i="1"/>
  <c r="Y144" i="1"/>
  <c r="Y140" i="1"/>
  <c r="Y124" i="1"/>
  <c r="Y120" i="1"/>
  <c r="Y116" i="1"/>
  <c r="Y108" i="1"/>
  <c r="Y100" i="1"/>
  <c r="Y96" i="1"/>
  <c r="Y92" i="1"/>
  <c r="Y88" i="1"/>
  <c r="Y76" i="1"/>
  <c r="Y101" i="1"/>
  <c r="Y97" i="1"/>
  <c r="Y93" i="1"/>
  <c r="Y85" i="1"/>
  <c r="Y81" i="1"/>
  <c r="Y106" i="1"/>
  <c r="Y98" i="1"/>
  <c r="Y94" i="1"/>
  <c r="Y82" i="1"/>
  <c r="Y78" i="1"/>
  <c r="Y111" i="1"/>
  <c r="Y107" i="1"/>
  <c r="Y103" i="1"/>
  <c r="Y99" i="1"/>
  <c r="Y95" i="1"/>
  <c r="Y87" i="1"/>
  <c r="AO47" i="1"/>
  <c r="AO27" i="1"/>
  <c r="AO74" i="1"/>
  <c r="AI62" i="1"/>
  <c r="AG67" i="1"/>
  <c r="AO69" i="1"/>
  <c r="AO61" i="1"/>
  <c r="AO53" i="1"/>
  <c r="AO45" i="1"/>
  <c r="AO37" i="1"/>
  <c r="AO66" i="1"/>
  <c r="AO58" i="1"/>
  <c r="AO50" i="1"/>
  <c r="AO42" i="1"/>
  <c r="AO34" i="1"/>
  <c r="AO72" i="1"/>
  <c r="AO63" i="1"/>
  <c r="AO59" i="1"/>
  <c r="AO51" i="1"/>
  <c r="AO43" i="1"/>
  <c r="AO35" i="1"/>
  <c r="AO25" i="1"/>
  <c r="AO57" i="1"/>
  <c r="AO49" i="1"/>
  <c r="AO41" i="1"/>
  <c r="AO33" i="1"/>
  <c r="AO21" i="1"/>
  <c r="AO46" i="1"/>
  <c r="AO44" i="1"/>
  <c r="AO31" i="1"/>
  <c r="AO24" i="1"/>
  <c r="AO64" i="1"/>
  <c r="AO70" i="1"/>
  <c r="AO68" i="1"/>
  <c r="AO56" i="1"/>
  <c r="AO14" i="1"/>
  <c r="AO75" i="1"/>
  <c r="AO60" i="1"/>
  <c r="AO29" i="1"/>
  <c r="AO26" i="1"/>
  <c r="AO11" i="1"/>
  <c r="AO40" i="1"/>
  <c r="AO28" i="1"/>
  <c r="AO22" i="1"/>
  <c r="AO17" i="1"/>
  <c r="AO13" i="1"/>
  <c r="AO38" i="1"/>
  <c r="AO16" i="1"/>
  <c r="AO65" i="1"/>
  <c r="AO20" i="1"/>
  <c r="AO52" i="1"/>
  <c r="AO36" i="1"/>
  <c r="AO30" i="1"/>
  <c r="AO19" i="1"/>
  <c r="AO15" i="1"/>
  <c r="AO48" i="1"/>
  <c r="AO32" i="1"/>
  <c r="AO55" i="1"/>
  <c r="AO39" i="1"/>
  <c r="AO73" i="1"/>
  <c r="AO54" i="1"/>
  <c r="AO23" i="1"/>
  <c r="AO71" i="1"/>
  <c r="AO18" i="1"/>
  <c r="AO12" i="1"/>
  <c r="AG73" i="1"/>
  <c r="AG65" i="1"/>
  <c r="AG57" i="1"/>
  <c r="AG49" i="1"/>
  <c r="AG41" i="1"/>
  <c r="AG33" i="1"/>
  <c r="AG70" i="1"/>
  <c r="AG62" i="1"/>
  <c r="AG54" i="1"/>
  <c r="AG46" i="1"/>
  <c r="AG38" i="1"/>
  <c r="AG30" i="1"/>
  <c r="AG75" i="1"/>
  <c r="AG66" i="1"/>
  <c r="AG68" i="1"/>
  <c r="AG64" i="1"/>
  <c r="AG55" i="1"/>
  <c r="AG47" i="1"/>
  <c r="AG39" i="1"/>
  <c r="AG29" i="1"/>
  <c r="AG28" i="1"/>
  <c r="AG25" i="1"/>
  <c r="AG17" i="1"/>
  <c r="AG53" i="1"/>
  <c r="AG42" i="1"/>
  <c r="AG36" i="1"/>
  <c r="AG22" i="1"/>
  <c r="AG11" i="1"/>
  <c r="AG61" i="1"/>
  <c r="AG63" i="1"/>
  <c r="AG59" i="1"/>
  <c r="AG48" i="1"/>
  <c r="AG23" i="1"/>
  <c r="AG58" i="1"/>
  <c r="AG52" i="1"/>
  <c r="AG37" i="1"/>
  <c r="AG71" i="1"/>
  <c r="AG31" i="1"/>
  <c r="AG16" i="1"/>
  <c r="AG14" i="1"/>
  <c r="AG40" i="1"/>
  <c r="AG20" i="1"/>
  <c r="AG34" i="1"/>
  <c r="AG19" i="1"/>
  <c r="AG32" i="1"/>
  <c r="AG21" i="1"/>
  <c r="AG26" i="1"/>
  <c r="AG69" i="1"/>
  <c r="AG56" i="1"/>
  <c r="AG18" i="1"/>
  <c r="AG12" i="1"/>
  <c r="AG60" i="1"/>
  <c r="AG13" i="1"/>
  <c r="AG74" i="1"/>
  <c r="AG45" i="1"/>
  <c r="AG44" i="1"/>
  <c r="AG24" i="1"/>
  <c r="AG50" i="1"/>
  <c r="AG43" i="1"/>
  <c r="AG35" i="1"/>
  <c r="AG27" i="1"/>
  <c r="AG15" i="1"/>
  <c r="AG72" i="1"/>
  <c r="AG51" i="1"/>
  <c r="Y69" i="1"/>
  <c r="Y61" i="1"/>
  <c r="Y53" i="1"/>
  <c r="Y45" i="1"/>
  <c r="Y37" i="1"/>
  <c r="Y74" i="1"/>
  <c r="Y66" i="1"/>
  <c r="Y58" i="1"/>
  <c r="Y50" i="1"/>
  <c r="Y42" i="1"/>
  <c r="Y34" i="1"/>
  <c r="Y73" i="1"/>
  <c r="Y56" i="1"/>
  <c r="Y48" i="1"/>
  <c r="Y40" i="1"/>
  <c r="Y32" i="1"/>
  <c r="Y31" i="1"/>
  <c r="Y30" i="1"/>
  <c r="Y29" i="1"/>
  <c r="Y28" i="1"/>
  <c r="Y25" i="1"/>
  <c r="Y21" i="1"/>
  <c r="Y62" i="1"/>
  <c r="Y60" i="1"/>
  <c r="Y49" i="1"/>
  <c r="Y67" i="1"/>
  <c r="Y65" i="1"/>
  <c r="Y75" i="1"/>
  <c r="Y71" i="1"/>
  <c r="Y51" i="1"/>
  <c r="Y47" i="1"/>
  <c r="Y19" i="1"/>
  <c r="Y18" i="1"/>
  <c r="Y17" i="1"/>
  <c r="Y16" i="1"/>
  <c r="Y15" i="1"/>
  <c r="Y14" i="1"/>
  <c r="Y46" i="1"/>
  <c r="Y44" i="1"/>
  <c r="Y33" i="1"/>
  <c r="Y22" i="1"/>
  <c r="Y11" i="1"/>
  <c r="Y26" i="1"/>
  <c r="Y23" i="1"/>
  <c r="Y63" i="1"/>
  <c r="Y72" i="1"/>
  <c r="Y55" i="1"/>
  <c r="Y54" i="1"/>
  <c r="Y39" i="1"/>
  <c r="Y38" i="1"/>
  <c r="Y13" i="1"/>
  <c r="Y70" i="1"/>
  <c r="Y57" i="1"/>
  <c r="Y41" i="1"/>
  <c r="Y64" i="1"/>
  <c r="Y35" i="1"/>
  <c r="Y24" i="1"/>
  <c r="Y68" i="1"/>
  <c r="Y20" i="1"/>
  <c r="Y12" i="1"/>
  <c r="Y52" i="1"/>
  <c r="Y36" i="1"/>
  <c r="Y59" i="1"/>
  <c r="Y43" i="1"/>
  <c r="Y27" i="1"/>
  <c r="AK71" i="1"/>
  <c r="AK63" i="1"/>
  <c r="AK55" i="1"/>
  <c r="AK47" i="1"/>
  <c r="AK39" i="1"/>
  <c r="AK68" i="1"/>
  <c r="AK60" i="1"/>
  <c r="AK52" i="1"/>
  <c r="AK44" i="1"/>
  <c r="AK36" i="1"/>
  <c r="AK28" i="1"/>
  <c r="AK54" i="1"/>
  <c r="AK46" i="1"/>
  <c r="AK38" i="1"/>
  <c r="AK73" i="1"/>
  <c r="AK69" i="1"/>
  <c r="AK56" i="1"/>
  <c r="AK48" i="1"/>
  <c r="AK40" i="1"/>
  <c r="AK32" i="1"/>
  <c r="AK23" i="1"/>
  <c r="AK15" i="1"/>
  <c r="AK30" i="1"/>
  <c r="AK27" i="1"/>
  <c r="AK72" i="1"/>
  <c r="AK70" i="1"/>
  <c r="AK74" i="1"/>
  <c r="AK61" i="1"/>
  <c r="AK50" i="1"/>
  <c r="AK35" i="1"/>
  <c r="AK33" i="1"/>
  <c r="AK64" i="1"/>
  <c r="AK19" i="1"/>
  <c r="AK18" i="1"/>
  <c r="AK17" i="1"/>
  <c r="AK16" i="1"/>
  <c r="AK13" i="1"/>
  <c r="AK65" i="1"/>
  <c r="AK57" i="1"/>
  <c r="AK53" i="1"/>
  <c r="AK37" i="1"/>
  <c r="AK25" i="1"/>
  <c r="AK20" i="1"/>
  <c r="AK42" i="1"/>
  <c r="AK41" i="1"/>
  <c r="AK31" i="1"/>
  <c r="AK14" i="1"/>
  <c r="AK12" i="1"/>
  <c r="AK75" i="1"/>
  <c r="AK22" i="1"/>
  <c r="AK45" i="1"/>
  <c r="AK24" i="1"/>
  <c r="AK66" i="1"/>
  <c r="AK58" i="1"/>
  <c r="AK51" i="1"/>
  <c r="AK43" i="1"/>
  <c r="AK59" i="1"/>
  <c r="AK34" i="1"/>
  <c r="AK21" i="1"/>
  <c r="AK11" i="1"/>
  <c r="AK49" i="1"/>
  <c r="AK26" i="1"/>
  <c r="AK29" i="1"/>
  <c r="AC75" i="1"/>
  <c r="AC67" i="1"/>
  <c r="AC59" i="1"/>
  <c r="AC51" i="1"/>
  <c r="AC43" i="1"/>
  <c r="AC35" i="1"/>
  <c r="AC72" i="1"/>
  <c r="AC64" i="1"/>
  <c r="AC56" i="1"/>
  <c r="AC48" i="1"/>
  <c r="AC40" i="1"/>
  <c r="AC32" i="1"/>
  <c r="AC74" i="1"/>
  <c r="AC65" i="1"/>
  <c r="AC60" i="1"/>
  <c r="AC52" i="1"/>
  <c r="AC44" i="1"/>
  <c r="AC36" i="1"/>
  <c r="AC63" i="1"/>
  <c r="AC19" i="1"/>
  <c r="AC71" i="1"/>
  <c r="AC69" i="1"/>
  <c r="AC29" i="1"/>
  <c r="AC26" i="1"/>
  <c r="AC13" i="1"/>
  <c r="AC73" i="1"/>
  <c r="AC57" i="1"/>
  <c r="AC55" i="1"/>
  <c r="AC53" i="1"/>
  <c r="AC42" i="1"/>
  <c r="AC38" i="1"/>
  <c r="AC21" i="1"/>
  <c r="AC20" i="1"/>
  <c r="AC12" i="1"/>
  <c r="AC70" i="1"/>
  <c r="AC31" i="1"/>
  <c r="AC41" i="1"/>
  <c r="AC68" i="1"/>
  <c r="AC46" i="1"/>
  <c r="AC25" i="1"/>
  <c r="AC16" i="1"/>
  <c r="AC50" i="1"/>
  <c r="AC27" i="1"/>
  <c r="AC58" i="1"/>
  <c r="AC34" i="1"/>
  <c r="AC49" i="1"/>
  <c r="AC23" i="1"/>
  <c r="AC37" i="1"/>
  <c r="AC47" i="1"/>
  <c r="AC18" i="1"/>
  <c r="AC14" i="1"/>
  <c r="AC28" i="1"/>
  <c r="AC22" i="1"/>
  <c r="AC61" i="1"/>
  <c r="AC45" i="1"/>
  <c r="AC30" i="1"/>
  <c r="AC24" i="1"/>
  <c r="AC62" i="1"/>
  <c r="AC39" i="1"/>
  <c r="AC66" i="1"/>
  <c r="AC54" i="1"/>
  <c r="AC33" i="1"/>
  <c r="AC17" i="1"/>
  <c r="AC15" i="1"/>
  <c r="AC11" i="1"/>
  <c r="U71" i="1"/>
  <c r="U63" i="1"/>
  <c r="U55" i="1"/>
  <c r="U47" i="1"/>
  <c r="U39" i="1"/>
  <c r="U68" i="1"/>
  <c r="U60" i="1"/>
  <c r="U52" i="1"/>
  <c r="U44" i="1"/>
  <c r="U36" i="1"/>
  <c r="U28" i="1"/>
  <c r="U72" i="1"/>
  <c r="U27" i="1"/>
  <c r="U75" i="1"/>
  <c r="U70" i="1"/>
  <c r="U66" i="1"/>
  <c r="U61" i="1"/>
  <c r="U57" i="1"/>
  <c r="U53" i="1"/>
  <c r="U49" i="1"/>
  <c r="U45" i="1"/>
  <c r="U41" i="1"/>
  <c r="U37" i="1"/>
  <c r="U33" i="1"/>
  <c r="U23" i="1"/>
  <c r="U15" i="1"/>
  <c r="U64" i="1"/>
  <c r="U43" i="1"/>
  <c r="U24" i="1"/>
  <c r="U69" i="1"/>
  <c r="U62" i="1"/>
  <c r="U34" i="1"/>
  <c r="U32" i="1"/>
  <c r="U25" i="1"/>
  <c r="U65" i="1"/>
  <c r="U59" i="1"/>
  <c r="U21" i="1"/>
  <c r="U20" i="1"/>
  <c r="U13" i="1"/>
  <c r="U58" i="1"/>
  <c r="U54" i="1"/>
  <c r="U48" i="1"/>
  <c r="U38" i="1"/>
  <c r="U19" i="1"/>
  <c r="U17" i="1"/>
  <c r="U50" i="1"/>
  <c r="U30" i="1"/>
  <c r="U73" i="1"/>
  <c r="U42" i="1"/>
  <c r="U29" i="1"/>
  <c r="U26" i="1"/>
  <c r="U11" i="1"/>
  <c r="U74" i="1"/>
  <c r="U46" i="1"/>
  <c r="U31" i="1"/>
  <c r="U56" i="1"/>
  <c r="U40" i="1"/>
  <c r="U18" i="1"/>
  <c r="U16" i="1"/>
  <c r="U14" i="1"/>
  <c r="U12" i="1"/>
  <c r="U22" i="1"/>
  <c r="U67" i="1"/>
  <c r="U51" i="1"/>
  <c r="U35" i="1"/>
  <c r="AA68" i="1"/>
  <c r="AA60" i="1"/>
  <c r="AA52" i="1"/>
  <c r="AA44" i="1"/>
  <c r="AA36" i="1"/>
  <c r="AA73" i="1"/>
  <c r="AA65" i="1"/>
  <c r="AA57" i="1"/>
  <c r="AA49" i="1"/>
  <c r="AA41" i="1"/>
  <c r="AA33" i="1"/>
  <c r="AA69" i="1"/>
  <c r="AA24" i="1"/>
  <c r="AA71" i="1"/>
  <c r="AA67" i="1"/>
  <c r="AA62" i="1"/>
  <c r="AA54" i="1"/>
  <c r="AA46" i="1"/>
  <c r="AA38" i="1"/>
  <c r="AA20" i="1"/>
  <c r="AA75" i="1"/>
  <c r="AA51" i="1"/>
  <c r="AA47" i="1"/>
  <c r="AA45" i="1"/>
  <c r="AA34" i="1"/>
  <c r="AA19" i="1"/>
  <c r="AA18" i="1"/>
  <c r="AA17" i="1"/>
  <c r="AA16" i="1"/>
  <c r="AA15" i="1"/>
  <c r="AA14" i="1"/>
  <c r="AA63" i="1"/>
  <c r="AA40" i="1"/>
  <c r="AA29" i="1"/>
  <c r="AA26" i="1"/>
  <c r="AA13" i="1"/>
  <c r="AA74" i="1"/>
  <c r="AA72" i="1"/>
  <c r="AA61" i="1"/>
  <c r="AA50" i="1"/>
  <c r="AA35" i="1"/>
  <c r="AA27" i="1"/>
  <c r="AA23" i="1"/>
  <c r="AA70" i="1"/>
  <c r="AA32" i="1"/>
  <c r="AA56" i="1"/>
  <c r="AA37" i="1"/>
  <c r="AA12" i="1"/>
  <c r="AA66" i="1"/>
  <c r="AA58" i="1"/>
  <c r="AA48" i="1"/>
  <c r="AA21" i="1"/>
  <c r="AA11" i="1"/>
  <c r="AA64" i="1"/>
  <c r="AA53" i="1"/>
  <c r="AA31" i="1"/>
  <c r="AA55" i="1"/>
  <c r="AA25" i="1"/>
  <c r="AA28" i="1"/>
  <c r="AA22" i="1"/>
  <c r="AA59" i="1"/>
  <c r="AA43" i="1"/>
  <c r="AA30" i="1"/>
  <c r="AA42" i="1"/>
  <c r="AA39" i="1"/>
  <c r="W70" i="1"/>
  <c r="W62" i="1"/>
  <c r="W54" i="1"/>
  <c r="W46" i="1"/>
  <c r="W38" i="1"/>
  <c r="W75" i="1"/>
  <c r="W67" i="1"/>
  <c r="W59" i="1"/>
  <c r="W51" i="1"/>
  <c r="W43" i="1"/>
  <c r="W35" i="1"/>
  <c r="W27" i="1"/>
  <c r="W68" i="1"/>
  <c r="W64" i="1"/>
  <c r="W55" i="1"/>
  <c r="W47" i="1"/>
  <c r="W39" i="1"/>
  <c r="W26" i="1"/>
  <c r="W58" i="1"/>
  <c r="W50" i="1"/>
  <c r="W42" i="1"/>
  <c r="W34" i="1"/>
  <c r="W22" i="1"/>
  <c r="W32" i="1"/>
  <c r="W28" i="1"/>
  <c r="W25" i="1"/>
  <c r="W73" i="1"/>
  <c r="W71" i="1"/>
  <c r="W69" i="1"/>
  <c r="W60" i="1"/>
  <c r="W49" i="1"/>
  <c r="W45" i="1"/>
  <c r="W63" i="1"/>
  <c r="W48" i="1"/>
  <c r="W30" i="1"/>
  <c r="W12" i="1"/>
  <c r="W66" i="1"/>
  <c r="W29" i="1"/>
  <c r="W21" i="1"/>
  <c r="W13" i="1"/>
  <c r="W11" i="1"/>
  <c r="W57" i="1"/>
  <c r="W53" i="1"/>
  <c r="W41" i="1"/>
  <c r="W61" i="1"/>
  <c r="W72" i="1"/>
  <c r="W33" i="1"/>
  <c r="W19" i="1"/>
  <c r="W17" i="1"/>
  <c r="W15" i="1"/>
  <c r="W65" i="1"/>
  <c r="W23" i="1"/>
  <c r="W31" i="1"/>
  <c r="W52" i="1"/>
  <c r="W44" i="1"/>
  <c r="W56" i="1"/>
  <c r="W40" i="1"/>
  <c r="W37" i="1"/>
  <c r="W18" i="1"/>
  <c r="W16" i="1"/>
  <c r="W14" i="1"/>
  <c r="W74" i="1"/>
  <c r="W20" i="1"/>
  <c r="W36" i="1"/>
  <c r="W24" i="1"/>
  <c r="AM70" i="1"/>
  <c r="AM54" i="1"/>
  <c r="AM46" i="1"/>
  <c r="AM38" i="1"/>
  <c r="AM75" i="1"/>
  <c r="AM59" i="1"/>
  <c r="AM51" i="1"/>
  <c r="AM43" i="1"/>
  <c r="AM35" i="1"/>
  <c r="AM27" i="1"/>
  <c r="AM71" i="1"/>
  <c r="AM26" i="1"/>
  <c r="AM74" i="1"/>
  <c r="AM65" i="1"/>
  <c r="AM60" i="1"/>
  <c r="AM52" i="1"/>
  <c r="AM44" i="1"/>
  <c r="AM36" i="1"/>
  <c r="AM22" i="1"/>
  <c r="AM61" i="1"/>
  <c r="AM50" i="1"/>
  <c r="AM48" i="1"/>
  <c r="AM33" i="1"/>
  <c r="AM68" i="1"/>
  <c r="AM66" i="1"/>
  <c r="AM72" i="1"/>
  <c r="AM31" i="1"/>
  <c r="AM24" i="1"/>
  <c r="AM49" i="1"/>
  <c r="AM45" i="1"/>
  <c r="AM34" i="1"/>
  <c r="AM32" i="1"/>
  <c r="AM21" i="1"/>
  <c r="AM20" i="1"/>
  <c r="AM12" i="1"/>
  <c r="AM69" i="1"/>
  <c r="AM56" i="1"/>
  <c r="AM47" i="1"/>
  <c r="AM73" i="1"/>
  <c r="AM41" i="1"/>
  <c r="AM14" i="1"/>
  <c r="AM64" i="1"/>
  <c r="AM57" i="1"/>
  <c r="AM53" i="1"/>
  <c r="AM37" i="1"/>
  <c r="AM25" i="1"/>
  <c r="AM18" i="1"/>
  <c r="AM16" i="1"/>
  <c r="AM63" i="1"/>
  <c r="AM40" i="1"/>
  <c r="AM28" i="1"/>
  <c r="AM30" i="1"/>
  <c r="AM19" i="1"/>
  <c r="AM17" i="1"/>
  <c r="AM15" i="1"/>
  <c r="AM13" i="1"/>
  <c r="AM11" i="1"/>
  <c r="AM58" i="1"/>
  <c r="AM55" i="1"/>
  <c r="AM42" i="1"/>
  <c r="AM39" i="1"/>
  <c r="AM29" i="1"/>
  <c r="AM23" i="1"/>
  <c r="AI72" i="1"/>
  <c r="AI64" i="1"/>
  <c r="AI56" i="1"/>
  <c r="AI48" i="1"/>
  <c r="AI40" i="1"/>
  <c r="AI32" i="1"/>
  <c r="AI69" i="1"/>
  <c r="AI61" i="1"/>
  <c r="AI53" i="1"/>
  <c r="AI45" i="1"/>
  <c r="AI37" i="1"/>
  <c r="AI29" i="1"/>
  <c r="AI58" i="1"/>
  <c r="AI50" i="1"/>
  <c r="AI42" i="1"/>
  <c r="AI34" i="1"/>
  <c r="AI31" i="1"/>
  <c r="AI30" i="1"/>
  <c r="AI24" i="1"/>
  <c r="AI16" i="1"/>
  <c r="AI65" i="1"/>
  <c r="AI63" i="1"/>
  <c r="AI59" i="1"/>
  <c r="AI57" i="1"/>
  <c r="AI55" i="1"/>
  <c r="AI23" i="1"/>
  <c r="AI74" i="1"/>
  <c r="AI46" i="1"/>
  <c r="AI44" i="1"/>
  <c r="AI27" i="1"/>
  <c r="AI66" i="1"/>
  <c r="AI43" i="1"/>
  <c r="AI41" i="1"/>
  <c r="AI39" i="1"/>
  <c r="AI28" i="1"/>
  <c r="AI25" i="1"/>
  <c r="AI15" i="1"/>
  <c r="AI14" i="1"/>
  <c r="AI18" i="1"/>
  <c r="AI12" i="1"/>
  <c r="AI54" i="1"/>
  <c r="AI38" i="1"/>
  <c r="AI71" i="1"/>
  <c r="AI70" i="1"/>
  <c r="AI68" i="1"/>
  <c r="AI47" i="1"/>
  <c r="AI20" i="1"/>
  <c r="AI75" i="1"/>
  <c r="AI52" i="1"/>
  <c r="AI22" i="1"/>
  <c r="AI21" i="1"/>
  <c r="AI11" i="1"/>
  <c r="AI36" i="1"/>
  <c r="AI35" i="1"/>
  <c r="AI60" i="1"/>
  <c r="AI51" i="1"/>
  <c r="AI19" i="1"/>
  <c r="AI17" i="1"/>
  <c r="AI13" i="1"/>
  <c r="AI33" i="1"/>
  <c r="AI73" i="1"/>
  <c r="AI49" i="1"/>
  <c r="AI26" i="1"/>
  <c r="AE74" i="1"/>
  <c r="AE66" i="1"/>
  <c r="AE58" i="1"/>
  <c r="AE50" i="1"/>
  <c r="AE42" i="1"/>
  <c r="AE34" i="1"/>
  <c r="AE71" i="1"/>
  <c r="AE63" i="1"/>
  <c r="AE55" i="1"/>
  <c r="AE47" i="1"/>
  <c r="AE39" i="1"/>
  <c r="AE31" i="1"/>
  <c r="AE70" i="1"/>
  <c r="AE61" i="1"/>
  <c r="AE57" i="1"/>
  <c r="AE53" i="1"/>
  <c r="AE49" i="1"/>
  <c r="AE45" i="1"/>
  <c r="AE41" i="1"/>
  <c r="AE37" i="1"/>
  <c r="AE33" i="1"/>
  <c r="AE72" i="1"/>
  <c r="AE59" i="1"/>
  <c r="AE51" i="1"/>
  <c r="AE43" i="1"/>
  <c r="AE35" i="1"/>
  <c r="AE27" i="1"/>
  <c r="AE26" i="1"/>
  <c r="AE18" i="1"/>
  <c r="AE73" i="1"/>
  <c r="AE40" i="1"/>
  <c r="AE38" i="1"/>
  <c r="AE21" i="1"/>
  <c r="AE20" i="1"/>
  <c r="AE12" i="1"/>
  <c r="AE67" i="1"/>
  <c r="AE65" i="1"/>
  <c r="AE36" i="1"/>
  <c r="AE30" i="1"/>
  <c r="AE22" i="1"/>
  <c r="AE11" i="1"/>
  <c r="AE68" i="1"/>
  <c r="AE56" i="1"/>
  <c r="AE54" i="1"/>
  <c r="AE24" i="1"/>
  <c r="AE64" i="1"/>
  <c r="AE28" i="1"/>
  <c r="AE60" i="1"/>
  <c r="AE48" i="1"/>
  <c r="AE23" i="1"/>
  <c r="AE19" i="1"/>
  <c r="AE13" i="1"/>
  <c r="AE32" i="1"/>
  <c r="AE29" i="1"/>
  <c r="AE46" i="1"/>
  <c r="AE25" i="1"/>
  <c r="AE16" i="1"/>
  <c r="AE14" i="1"/>
  <c r="AE69" i="1"/>
  <c r="AE75" i="1"/>
  <c r="AE52" i="1"/>
  <c r="AE62" i="1"/>
  <c r="AE44" i="1"/>
  <c r="AE17" i="1"/>
  <c r="AE15" i="1"/>
  <c r="X9" i="1"/>
</calcChain>
</file>

<file path=xl/sharedStrings.xml><?xml version="1.0" encoding="utf-8"?>
<sst xmlns="http://schemas.openxmlformats.org/spreadsheetml/2006/main" count="1436" uniqueCount="923">
  <si>
    <t>Thousands</t>
  </si>
  <si>
    <t>12M</t>
  </si>
  <si>
    <t>1M</t>
  </si>
  <si>
    <t>3M</t>
  </si>
  <si>
    <t>6M</t>
  </si>
  <si>
    <t>24M</t>
  </si>
  <si>
    <t>36M</t>
  </si>
  <si>
    <t>48M</t>
  </si>
  <si>
    <t>60M</t>
  </si>
  <si>
    <t>▲ BMK (p.p)</t>
  </si>
  <si>
    <t>AFPCAPITAL&lt;XSGO&gt;</t>
  </si>
  <si>
    <t>CUPRUM&lt;XSGO&gt;</t>
  </si>
  <si>
    <t>HABITAT&lt;XSGO&gt;</t>
  </si>
  <si>
    <t>PLANVITAL&lt;XSGO&gt;</t>
  </si>
  <si>
    <t>PROVIDA&lt;XSGO&gt;</t>
  </si>
  <si>
    <t>AESGENER&lt;XSGO&gt;</t>
  </si>
  <si>
    <t>AGUNSA&lt;XSGO&gt;</t>
  </si>
  <si>
    <t>ANASAC&lt;XSGO&gt;</t>
  </si>
  <si>
    <t>AGUAS-A&lt;XSGO&gt;</t>
  </si>
  <si>
    <t>AGUAS-B&lt;XSGO&gt;</t>
  </si>
  <si>
    <t>ALMENDRAL&lt;XSGO&gt;</t>
  </si>
  <si>
    <t>ANDACOR&lt;XSGO&gt;</t>
  </si>
  <si>
    <t>ANTARCHILE&lt;XSGO&gt;</t>
  </si>
  <si>
    <t>AUSTRALIS&lt;XSGO&gt;</t>
  </si>
  <si>
    <t>ATSA&lt;XSGO&gt;</t>
  </si>
  <si>
    <t>AXXION&lt;XSGO&gt;</t>
  </si>
  <si>
    <t>AZUL AZUL&lt;XSGO&gt;</t>
  </si>
  <si>
    <t>CHILE&lt;XSGO&gt;</t>
  </si>
  <si>
    <t>BCI&lt;XSGO&gt;</t>
  </si>
  <si>
    <t>BINT&lt;XSGO&gt;</t>
  </si>
  <si>
    <t>ITAUCORP&lt;XSGO&gt;</t>
  </si>
  <si>
    <t>BSANTANDER&lt;XSGO&gt;</t>
  </si>
  <si>
    <t>BANMEDICA&lt;XSGO&gt;</t>
  </si>
  <si>
    <t>BANVIDA&lt;XSGO&gt;</t>
  </si>
  <si>
    <t>BESALCO&lt;XSGO&gt;</t>
  </si>
  <si>
    <t>BETLAN DOS&lt;XSGO&gt;</t>
  </si>
  <si>
    <t>BICECORP&lt;XSGO&gt;</t>
  </si>
  <si>
    <t>COLO COLO&lt;XSGO&gt;</t>
  </si>
  <si>
    <t>BLUMAR&lt;XSGO&gt;</t>
  </si>
  <si>
    <t>BOLSASTGO&lt;XSGO&gt;</t>
  </si>
  <si>
    <t>CAP&lt;XSGO&gt;</t>
  </si>
  <si>
    <t>CAROZZI&lt;XSGO&gt;</t>
  </si>
  <si>
    <t>CEM&lt;XSGO&gt;</t>
  </si>
  <si>
    <t>POLPAICO&lt;XSGO&gt;</t>
  </si>
  <si>
    <t>CEMENTOS&lt;XSGO&gt;</t>
  </si>
  <si>
    <t>CENCOSUD&lt;XSGO&gt;</t>
  </si>
  <si>
    <t>CENCOSHOPP&lt;XSGO&gt;</t>
  </si>
  <si>
    <t>CGEGAS&lt;XSGO&gt;</t>
  </si>
  <si>
    <t>CONSOGRAL&lt;XSGO&gt;</t>
  </si>
  <si>
    <t>CINTAC&lt;XSGO&gt;</t>
  </si>
  <si>
    <t>LAS CONDES&lt;XSGO&gt;</t>
  </si>
  <si>
    <t>POLO&lt;XSGO&gt;</t>
  </si>
  <si>
    <t>ESPANOLVAL&lt;XSGO&gt;</t>
  </si>
  <si>
    <t>HIPICO&lt;XSGO&gt;</t>
  </si>
  <si>
    <t>EMBONOR-A&lt;XSGO&gt;</t>
  </si>
  <si>
    <t>EMBONOR-B&lt;XSGO&gt;</t>
  </si>
  <si>
    <t>COLBUN&lt;XSGO&gt;</t>
  </si>
  <si>
    <t>MARGARET'S&lt;XSGO&gt;</t>
  </si>
  <si>
    <t>MAISONNETT&lt;XSGO&gt;</t>
  </si>
  <si>
    <t>UNESPA&lt;XSGO&gt;</t>
  </si>
  <si>
    <t>COPEVAL&lt;XSGO&gt;</t>
  </si>
  <si>
    <t>CCU&lt;XSGO&gt;</t>
  </si>
  <si>
    <t>FOSFOROS&lt;XSGO&gt;</t>
  </si>
  <si>
    <t>ESPANOLA&lt;XSGO&gt;</t>
  </si>
  <si>
    <t>LITORAL&lt;XSGO&gt;</t>
  </si>
  <si>
    <t>ELECMETAL&lt;XSGO&gt;</t>
  </si>
  <si>
    <t>CGE&lt;XSGO&gt;</t>
  </si>
  <si>
    <t>VOLCAN&lt;XSGO&gt;</t>
  </si>
  <si>
    <t>INTEROCEAN&lt;XSGO&gt;</t>
  </si>
  <si>
    <t>CAMANCHACA&lt;XSGO&gt;</t>
  </si>
  <si>
    <t>VAPORES&lt;XSGO&gt;</t>
  </si>
  <si>
    <t>CIC&lt;XSGO&gt;</t>
  </si>
  <si>
    <t>CVA&lt;XSGO&gt;</t>
  </si>
  <si>
    <t>CRISTALES&lt;XSGO&gt;</t>
  </si>
  <si>
    <t>CRUZADOS&lt;XSGO&gt;</t>
  </si>
  <si>
    <t>DUNCANFOX&lt;XSGO&gt;</t>
  </si>
  <si>
    <t>EISA&lt;XSGO&gt;</t>
  </si>
  <si>
    <t>PUNTILLA&lt;XSGO&gt;</t>
  </si>
  <si>
    <t>ELUXSA&lt;XSGO&gt;</t>
  </si>
  <si>
    <t>ANDINA-A&lt;XSGO&gt;</t>
  </si>
  <si>
    <t>ANDINA-B&lt;XSGO&gt;</t>
  </si>
  <si>
    <t>ESSAL-A&lt;XSGO&gt;</t>
  </si>
  <si>
    <t>ESSAL-B&lt;XSGO&gt;</t>
  </si>
  <si>
    <t>MOLLER&lt;XSGO&gt;</t>
  </si>
  <si>
    <t>EDELMAG&lt;XSGO&gt;</t>
  </si>
  <si>
    <t>PEHUENCHE&lt;XSGO&gt;</t>
  </si>
  <si>
    <t>ENTEL&lt;XSGO&gt;</t>
  </si>
  <si>
    <t>EPERVA&lt;XSGO&gt;</t>
  </si>
  <si>
    <t>AQUACHILE&lt;XSGO&gt;</t>
  </si>
  <si>
    <t>HORNOS&lt;XSGO&gt;</t>
  </si>
  <si>
    <t>CMPC&lt;XSGO&gt;</t>
  </si>
  <si>
    <t>COPEC&lt;XSGO&gt;</t>
  </si>
  <si>
    <t>HITES&lt;XSGO&gt;</t>
  </si>
  <si>
    <t>IANSA&lt;XSGO&gt;</t>
  </si>
  <si>
    <t>NUEVAPOLAR&lt;XSGO&gt;</t>
  </si>
  <si>
    <t>LIPIGAS&lt;XSGO&gt;</t>
  </si>
  <si>
    <t>TRICOT&lt;XSGO&gt;</t>
  </si>
  <si>
    <t>ENAEX&lt;XSGO&gt;</t>
  </si>
  <si>
    <t>ENELAM&lt;XSGO&gt;</t>
  </si>
  <si>
    <t>ENELCHILE&lt;XSGO&gt;</t>
  </si>
  <si>
    <t>ENELDXCH&lt;XSGO&gt;</t>
  </si>
  <si>
    <t>ENELGXCH&lt;XSGO&gt;</t>
  </si>
  <si>
    <t>CASABLANCA&lt;XSGO&gt;</t>
  </si>
  <si>
    <t>ENLASA&lt;XSGO&gt;</t>
  </si>
  <si>
    <t>ECL&lt;XSGO&gt;</t>
  </si>
  <si>
    <t>Enjoy&lt;XSGO&gt;</t>
  </si>
  <si>
    <t>EDELPA&lt;XSGO&gt;</t>
  </si>
  <si>
    <t>ESSBIO-A&lt;XSGO&gt;</t>
  </si>
  <si>
    <t>ESSBIO-B&lt;XSGO&gt;</t>
  </si>
  <si>
    <t>ESSBIO-C&lt;XSGO&gt;</t>
  </si>
  <si>
    <t>OXIQUIM&lt;XSGO&gt;</t>
  </si>
  <si>
    <t>ESVAL-A&lt;XSGO&gt;</t>
  </si>
  <si>
    <t>ESVAL-B&lt;XSGO&gt;</t>
  </si>
  <si>
    <t>ESVAL-C&lt;XSGO&gt;</t>
  </si>
  <si>
    <t>FALABELLA&lt;XSGO&gt;</t>
  </si>
  <si>
    <t>FERIAOSOR&lt;XSGO&gt;</t>
  </si>
  <si>
    <t>FEPASA&lt;XSGO&gt;</t>
  </si>
  <si>
    <t>PASUR&lt;XSGO&gt;</t>
  </si>
  <si>
    <t>FORUS&lt;XSGO&gt;</t>
  </si>
  <si>
    <t>VICONTO&lt;XSGO&gt;</t>
  </si>
  <si>
    <t>GASCO&lt;XSGO&gt;</t>
  </si>
  <si>
    <t>GRANADILLA&lt;XSGO&gt;</t>
  </si>
  <si>
    <t>NAVIERA&lt;XSGO&gt;</t>
  </si>
  <si>
    <t>SECURITY&lt;XSGO&gt;</t>
  </si>
  <si>
    <t>HIPERMARC&lt;XSGO&gt;</t>
  </si>
  <si>
    <t>HF&lt;XSGO&gt;</t>
  </si>
  <si>
    <t>HWM&lt;XSGO&gt;</t>
  </si>
  <si>
    <t>INFODEMA&lt;XSGO&gt;</t>
  </si>
  <si>
    <t>INGEVEC&lt;XSGO&gt;</t>
  </si>
  <si>
    <t>ESTACIONAM&lt;XSGO&gt;</t>
  </si>
  <si>
    <t>CLUBCAMPO&lt;XSGO&gt;</t>
  </si>
  <si>
    <t>MANQUEHUE&lt;XSGO&gt;</t>
  </si>
  <si>
    <t>ISANPA&lt;XSGO&gt;</t>
  </si>
  <si>
    <t>SIXTERRA&lt;XSGO&gt;</t>
  </si>
  <si>
    <t>STADITALIA&lt;XSGO&gt;</t>
  </si>
  <si>
    <t>YUGOSLAVA&lt;XSGO&gt;</t>
  </si>
  <si>
    <t>INDISA&lt;XSGO&gt;</t>
  </si>
  <si>
    <t>INTASA&lt;XSGO&gt;</t>
  </si>
  <si>
    <t>INVERCAP&lt;XSGO&gt;</t>
  </si>
  <si>
    <t>INVERMAR&lt;XSGO&gt;</t>
  </si>
  <si>
    <t>INVERNOVA&lt;XSGO&gt;</t>
  </si>
  <si>
    <t>IACSA&lt;XSGO&gt;</t>
  </si>
  <si>
    <t>IAM&lt;XSGO&gt;</t>
  </si>
  <si>
    <t>COVADONGA&lt;XSGO&gt;</t>
  </si>
  <si>
    <t>ILC&lt;XSGO&gt;</t>
  </si>
  <si>
    <t>NUEVAREG&lt;XSGO&gt;</t>
  </si>
  <si>
    <t>SIEMEL&lt;XSGO&gt;</t>
  </si>
  <si>
    <t>TRICAHUE&lt;XSGO&gt;</t>
  </si>
  <si>
    <t>INVIESPA&lt;XSGO&gt;</t>
  </si>
  <si>
    <t>INVERFOODS&lt;XSGO&gt;</t>
  </si>
  <si>
    <t>INVEXANS&lt;XSGO&gt;</t>
  </si>
  <si>
    <t>IPAL&lt;XSGO&gt;</t>
  </si>
  <si>
    <t>LTM&lt;XSGO&gt;</t>
  </si>
  <si>
    <t>MARBELLACC&lt;XSGO&gt;</t>
  </si>
  <si>
    <t>MARINSA&lt;XSGO&gt;</t>
  </si>
  <si>
    <t>MASISA&lt;XSGO&gt;</t>
  </si>
  <si>
    <t>MELON&lt;XSGO&gt;</t>
  </si>
  <si>
    <t>MINERA&lt;XSGO&gt;</t>
  </si>
  <si>
    <t>MOLYMET&lt;XSGO&gt;</t>
  </si>
  <si>
    <t>MS&lt;XSGO&gt;</t>
  </si>
  <si>
    <t>MUELLES&lt;XSGO&gt;</t>
  </si>
  <si>
    <t>MULTIFOODS&lt;XSGO&gt;</t>
  </si>
  <si>
    <t>NAVARINO&lt;XSGO&gt;</t>
  </si>
  <si>
    <t>NIBSA&lt;XSGO&gt;</t>
  </si>
  <si>
    <t>NITRATOS&lt;XSGO&gt;</t>
  </si>
  <si>
    <t>NORTEGRAN&lt;XSGO&gt;</t>
  </si>
  <si>
    <t>OLDBOYS&lt;XSGO&gt;</t>
  </si>
  <si>
    <t>PARAUCO&lt;XSGO&gt;</t>
  </si>
  <si>
    <t>PAZ&lt;XSGO&gt;</t>
  </si>
  <si>
    <t>PPXCL&lt;XSGO&gt;</t>
  </si>
  <si>
    <t>MALLPLAZA&lt;XSGO&gt;</t>
  </si>
  <si>
    <t>FROWARD&lt;XSGO&gt;</t>
  </si>
  <si>
    <t>POTASIOS-A&lt;XSGO&gt;</t>
  </si>
  <si>
    <t>POTASIOS-B&lt;XSGO&gt;</t>
  </si>
  <si>
    <t>COUNTRY-A&lt;XSGO&gt;</t>
  </si>
  <si>
    <t>COUNTRY-B&lt;XSGO&gt;</t>
  </si>
  <si>
    <t>COUNTRY-P&lt;XSGO&gt;</t>
  </si>
  <si>
    <t>VENTANAS&lt;XSGO&gt;</t>
  </si>
  <si>
    <t>PUERTO&lt;XSGO&gt;</t>
  </si>
  <si>
    <t>QUEMCHI&lt;XSGO&gt;</t>
  </si>
  <si>
    <t>QUILICURA&lt;XSGO&gt;</t>
  </si>
  <si>
    <t>QUINENCO&lt;XSGO&gt;</t>
  </si>
  <si>
    <t>RTX&lt;XSGO&gt;</t>
  </si>
  <si>
    <t>REBRISA-A&lt;XSGO&gt;</t>
  </si>
  <si>
    <t>REBRISA-B&lt;XSGO&gt;</t>
  </si>
  <si>
    <t>RIPLEY&lt;XSGO&gt;</t>
  </si>
  <si>
    <t>SPORTFRAN&lt;XSGO&gt;</t>
  </si>
  <si>
    <t>SALFACORP&lt;XSGO&gt;</t>
  </si>
  <si>
    <t>SALMOCAM&lt;XSGO&gt;</t>
  </si>
  <si>
    <t>SANTANA&lt;XSGO&gt;</t>
  </si>
  <si>
    <t>SCHWAGER&lt;XSGO&gt;</t>
  </si>
  <si>
    <t>SCOTIABKCL&lt;XSGO&gt;</t>
  </si>
  <si>
    <t>PREVISION&lt;XSGO&gt;</t>
  </si>
  <si>
    <t>SK&lt;XSGO&gt;</t>
  </si>
  <si>
    <t>SIPSA&lt;XSGO&gt;</t>
  </si>
  <si>
    <t>SMU&lt;XSGO&gt;</t>
  </si>
  <si>
    <t>GOLF&lt;XSGO&gt;</t>
  </si>
  <si>
    <t>CANALISTAS&lt;XSGO&gt;</t>
  </si>
  <si>
    <t>SOFRUCO&lt;XSGO&gt;</t>
  </si>
  <si>
    <t>SANTA RITA&lt;XSGO&gt;</t>
  </si>
  <si>
    <t>CAMPOS&lt;XSGO&gt;</t>
  </si>
  <si>
    <t>ORO BLANCO&lt;XSGO&gt;</t>
  </si>
  <si>
    <t>CALICHERAA&lt;XSGO&gt;</t>
  </si>
  <si>
    <t>CALICHERAB&lt;XSGO&gt;</t>
  </si>
  <si>
    <t>HIPODROMOA&lt;XSGO&gt;</t>
  </si>
  <si>
    <t>HIPODROMOB&lt;XSGO&gt;</t>
  </si>
  <si>
    <t>INMOBVINA&lt;XSGO&gt;</t>
  </si>
  <si>
    <t>SMSAAM&lt;XSGO&gt;</t>
  </si>
  <si>
    <t>COLOSO&lt;XSGO&gt;</t>
  </si>
  <si>
    <t>PUCOBRE&lt;XSGO&gt;</t>
  </si>
  <si>
    <t>SQM-A&lt;XSGO&gt;</t>
  </si>
  <si>
    <t>SQM-B&lt;XSGO&gt;</t>
  </si>
  <si>
    <t>SOCOVESA&lt;XSGO&gt;</t>
  </si>
  <si>
    <t>SONDA&lt;XSGO&gt;</t>
  </si>
  <si>
    <t>SOPROCAL&lt;XSGO&gt;</t>
  </si>
  <si>
    <t>SOQUICOM&lt;XSGO&gt;</t>
  </si>
  <si>
    <t>CTC&lt;XSGO&gt;</t>
  </si>
  <si>
    <t>UNION GOLF&lt;XSGO&gt;</t>
  </si>
  <si>
    <t>CLUBUNION&lt;XSGO&gt;</t>
  </si>
  <si>
    <t>SPORTING&lt;XSGO&gt;</t>
  </si>
  <si>
    <t>CONCHATORO&lt;XSGO&gt;</t>
  </si>
  <si>
    <t>VSPT&lt;XSGO&gt;</t>
  </si>
  <si>
    <t>EMILIANA&lt;XSGO&gt;</t>
  </si>
  <si>
    <t>VCMBC1&lt;XSGO&gt;</t>
  </si>
  <si>
    <t>VCMAC1&lt;XSGO&gt;</t>
  </si>
  <si>
    <t>WATTS&lt;XSGO&gt;</t>
  </si>
  <si>
    <t>ZOFRI&lt;XSGO&gt;</t>
  </si>
  <si>
    <t>-</t>
  </si>
  <si>
    <t>A.F.P. Capital S.A.</t>
  </si>
  <si>
    <t>A.F.P. Cuprum S.A.</t>
  </si>
  <si>
    <t>A.F.P. Habitat S.A.</t>
  </si>
  <si>
    <t>A.F.P. Planvital S.A.</t>
  </si>
  <si>
    <t>A.F.P. Provida S.A.</t>
  </si>
  <si>
    <t>Aes Gener S.A.</t>
  </si>
  <si>
    <t>Agencias Universales S.A.</t>
  </si>
  <si>
    <t>Agricola Nacional S.A.C. E I.</t>
  </si>
  <si>
    <t>Aguas Andinas S.A.</t>
  </si>
  <si>
    <t>Almendral S.A.</t>
  </si>
  <si>
    <t>Andacor S.A.</t>
  </si>
  <si>
    <t>Antarchile S.A.</t>
  </si>
  <si>
    <t>Australis Seafoods S.A.</t>
  </si>
  <si>
    <t>Automovilismo Y Turismo S.A.</t>
  </si>
  <si>
    <t>Axxion S.A.</t>
  </si>
  <si>
    <t>Azul Azul S.A.</t>
  </si>
  <si>
    <t>Banco De Chile</t>
  </si>
  <si>
    <t>Banco De Credito E Inversiones</t>
  </si>
  <si>
    <t>Banco Internacional</t>
  </si>
  <si>
    <t>Banco Itau Corpbanca</t>
  </si>
  <si>
    <t>Banco Santander-Chile</t>
  </si>
  <si>
    <t>Banmedica S.A.</t>
  </si>
  <si>
    <t>Banvida S.A.</t>
  </si>
  <si>
    <t>Besalco S.A.</t>
  </si>
  <si>
    <t>Betlan Dos S.A.</t>
  </si>
  <si>
    <t>Bicecorp S.A.</t>
  </si>
  <si>
    <t>Blanco Y Negro S.A.</t>
  </si>
  <si>
    <t>Blumar S.A.</t>
  </si>
  <si>
    <t>Bolsa De Comercio De Santiago - Bolsa De Valores</t>
  </si>
  <si>
    <t>Cap S.A.</t>
  </si>
  <si>
    <t>Carozzi S.A.</t>
  </si>
  <si>
    <t>Cem S.A.</t>
  </si>
  <si>
    <t>Cemento Polpaico S.A.</t>
  </si>
  <si>
    <t>Cementos Bio Bio S.A.</t>
  </si>
  <si>
    <t>Cencosud S.A.</t>
  </si>
  <si>
    <t>Cencosud Shopping S.A.</t>
  </si>
  <si>
    <t>Cge Gas Natural S.A.</t>
  </si>
  <si>
    <t>Chilena Consolidada Seguros Generales S.A.</t>
  </si>
  <si>
    <t>Cintac S.A.</t>
  </si>
  <si>
    <t>Clinica Las Condes S.A.</t>
  </si>
  <si>
    <t>Club De Polo Y Equitacion San Cristobal S.A.</t>
  </si>
  <si>
    <t>Club Español De Valparaiso S.A.</t>
  </si>
  <si>
    <t>Club Hipico De Santiago S.A.</t>
  </si>
  <si>
    <t>Coca Cola Embonor S.A.</t>
  </si>
  <si>
    <t>Colbun S.A.</t>
  </si>
  <si>
    <t>Colegio Britanico St. Margaret</t>
  </si>
  <si>
    <t>Colegio La Maisonnette S.A.</t>
  </si>
  <si>
    <t>Comp Nac. De Seguros Generales Union Española S.A.</t>
  </si>
  <si>
    <t>Compañia Agropecuaria Copeval S.A.</t>
  </si>
  <si>
    <t>Compañia Cervecerias Unidas S.A.</t>
  </si>
  <si>
    <t>Compañia Chilena De Fosforos S.A.</t>
  </si>
  <si>
    <t>Compañia De Inversiones La Española S.A.</t>
  </si>
  <si>
    <t>Compañia Electrica Del Litoral S.A.</t>
  </si>
  <si>
    <t>Compañia Electro Metalurgica S.A.</t>
  </si>
  <si>
    <t>Compañia General De Electricidad S.A.</t>
  </si>
  <si>
    <t>Compañia Industrial El Volcan S.A.</t>
  </si>
  <si>
    <t>Compañia Maritima Chilena S.A.</t>
  </si>
  <si>
    <t>Compañia Pesquera Camanchaca S.A.</t>
  </si>
  <si>
    <t>Compañia Sud Americana De Vapores S.A.</t>
  </si>
  <si>
    <t>Compañias Cic S.A.</t>
  </si>
  <si>
    <t>Costa Verde Aeronautica S.A.</t>
  </si>
  <si>
    <t>Cristalerias De Chile S.A.</t>
  </si>
  <si>
    <t>Cruzados S.A.D.P.</t>
  </si>
  <si>
    <t>Duncan Fox S.A.</t>
  </si>
  <si>
    <t>Echeverria, Izquierdo S.A.</t>
  </si>
  <si>
    <t>Electrica Puntilla S.A.</t>
  </si>
  <si>
    <t>Electrolux De Chile S.A.</t>
  </si>
  <si>
    <t>Embotelladora Andina S.A.</t>
  </si>
  <si>
    <t>Emp. De Serv. Sanitarios De Los Lagos S.A.</t>
  </si>
  <si>
    <t>Empresa Const Moller Y Perez Cotapos S.A.</t>
  </si>
  <si>
    <t>Empresa Electrica De Magallanes S.A.</t>
  </si>
  <si>
    <t>Empresa Electrica Pehuenche S.A.</t>
  </si>
  <si>
    <t>Empresa Nacional De Telecomunicaciones S.A.</t>
  </si>
  <si>
    <t>Empresa Pesquera Eperva S.A.</t>
  </si>
  <si>
    <t>Empresas Aquachile S.A.</t>
  </si>
  <si>
    <t>Empresas Cabo De Hornos S.A.</t>
  </si>
  <si>
    <t>Empresas Cmpc S.A.</t>
  </si>
  <si>
    <t>Empresas Copec S.A.</t>
  </si>
  <si>
    <t>Empresas Hites S.A.</t>
  </si>
  <si>
    <t>Empresas Iansa S.A.</t>
  </si>
  <si>
    <t>Empresas La Polar S.A.</t>
  </si>
  <si>
    <t>Empresas Lipigas S.A.</t>
  </si>
  <si>
    <t>Empresas Tricot S.A.</t>
  </si>
  <si>
    <t>Enaex S.A.</t>
  </si>
  <si>
    <t>Enel Americas S.A.</t>
  </si>
  <si>
    <t>Enel Chile S.A.</t>
  </si>
  <si>
    <t>Enel Distribucion Chile S.A.</t>
  </si>
  <si>
    <t>Enel Generacion Chile S.A.</t>
  </si>
  <si>
    <t>Energia De Casablanca S.A.</t>
  </si>
  <si>
    <t>Energia Latina S.A.</t>
  </si>
  <si>
    <t>Engie Energia Chile S.A.</t>
  </si>
  <si>
    <t>Enjoy S.A.</t>
  </si>
  <si>
    <t>Envases Del Pacifico S.A.</t>
  </si>
  <si>
    <t>Essbio S.A.</t>
  </si>
  <si>
    <t>Estab Industriales Quimicos Oxiquim S.A.</t>
  </si>
  <si>
    <t>Esval S.A.</t>
  </si>
  <si>
    <t>Falabella S.A.</t>
  </si>
  <si>
    <t>Feria De Osorno S.A.</t>
  </si>
  <si>
    <t>Ferrocarril Del Pacifico S.A.</t>
  </si>
  <si>
    <t>Forestal Const. Y Com. Del Pacifico Sur S.A.</t>
  </si>
  <si>
    <t>Forus S.A.</t>
  </si>
  <si>
    <t>Fruticola Viconto S.A.</t>
  </si>
  <si>
    <t>Gasco S.A.</t>
  </si>
  <si>
    <t>Granadilla Country Club S.A.</t>
  </si>
  <si>
    <t>Grupo Empresas Navieras S.A.</t>
  </si>
  <si>
    <t>Grupo Security S.A.</t>
  </si>
  <si>
    <t>Hipermarc S.A.</t>
  </si>
  <si>
    <t>Hortifrut S.A.</t>
  </si>
  <si>
    <t>Howmet Aerospace Inc.</t>
  </si>
  <si>
    <t>Infodema S. A.</t>
  </si>
  <si>
    <t>Ingevec S.A.</t>
  </si>
  <si>
    <t>Inmob. Central De Estacionamientos Agustinas S.A.</t>
  </si>
  <si>
    <t>Inmobiliaria Club De Campo S.A.</t>
  </si>
  <si>
    <t>Inmobiliaria Manquehue S.A.</t>
  </si>
  <si>
    <t>Inmobiliaria San Patricio S.A.</t>
  </si>
  <si>
    <t>Inmobiliaria Sixterra S.A.</t>
  </si>
  <si>
    <t>Inmobiliaria Stadio Italiano S.A.</t>
  </si>
  <si>
    <t>Inmobiliaria Yugoslava Sociedad Anonima</t>
  </si>
  <si>
    <t>Instituto De Diagnostico S.A.</t>
  </si>
  <si>
    <t>Intasa S.A.</t>
  </si>
  <si>
    <t>Invercap S.A.</t>
  </si>
  <si>
    <t>Invermar S.A.</t>
  </si>
  <si>
    <t>Invernova S.A.</t>
  </si>
  <si>
    <t>Inversiones Agricolas Y Comerciales S.A.</t>
  </si>
  <si>
    <t>Inversiones Aguas Metropolitanas S.A.</t>
  </si>
  <si>
    <t>Inversiones Covadonga S.A.</t>
  </si>
  <si>
    <t>Inversiones La Construccion S.A.</t>
  </si>
  <si>
    <t>Inversiones Nueva Region S.A.</t>
  </si>
  <si>
    <t>Inversiones Siemel S.A.</t>
  </si>
  <si>
    <t>Inversiones Tricahue S.A.</t>
  </si>
  <si>
    <t>Inversiones Union Española S.A.</t>
  </si>
  <si>
    <t>Invertec Foods S.A.</t>
  </si>
  <si>
    <t>Invexans S.A.</t>
  </si>
  <si>
    <t>Ipal S.A.</t>
  </si>
  <si>
    <t>Latam Airlines Group S.A.</t>
  </si>
  <si>
    <t>Marbella Country Club S.A.</t>
  </si>
  <si>
    <t>Maritima De Inversiones S.A.</t>
  </si>
  <si>
    <t>Masisa S.A.</t>
  </si>
  <si>
    <t>Melon S.A.</t>
  </si>
  <si>
    <t>Minera Valparaiso S.A.</t>
  </si>
  <si>
    <t>Molibdenos Y Metales S. A.</t>
  </si>
  <si>
    <t>Morgan Stanley</t>
  </si>
  <si>
    <t>Muelles De Penco S.A.</t>
  </si>
  <si>
    <t>Multiexport Foods S.A.</t>
  </si>
  <si>
    <t>Navarino S.A.</t>
  </si>
  <si>
    <t>Nibsa S.A.</t>
  </si>
  <si>
    <t>Nitratos De Chile S.A.</t>
  </si>
  <si>
    <t>Norte Grande S.A.</t>
  </si>
  <si>
    <t>Old Grangonian Club S.A.</t>
  </si>
  <si>
    <t>Parque Arauco S.A.</t>
  </si>
  <si>
    <t>Paz Corp S.A.</t>
  </si>
  <si>
    <t>Peruvian Precious Metals Corp</t>
  </si>
  <si>
    <t>Plaza S.A.</t>
  </si>
  <si>
    <t>Portuaria Cabo Froward S.A.</t>
  </si>
  <si>
    <t>Potasios De Chile S.A.</t>
  </si>
  <si>
    <t>Prince Of Wales Country Club S.A. Inmobiliaria</t>
  </si>
  <si>
    <t>Puerto Ventanas S.A.</t>
  </si>
  <si>
    <t>Puertos Y Logistica S.A.</t>
  </si>
  <si>
    <t>Quemchi S.A.</t>
  </si>
  <si>
    <t>Quilicura S.A.</t>
  </si>
  <si>
    <t>Quiñenco S.A.</t>
  </si>
  <si>
    <t>Raytheon Technologies Corp.</t>
  </si>
  <si>
    <t>Rebrisa S.A.</t>
  </si>
  <si>
    <t>Ripley Corp S.A.</t>
  </si>
  <si>
    <t>S. A. Inmobiliaria Sport Francais</t>
  </si>
  <si>
    <t>Salfacorp S.A.</t>
  </si>
  <si>
    <t>Salmones Camanchaca S.A.</t>
  </si>
  <si>
    <t>Santana S.A.</t>
  </si>
  <si>
    <t>Schwager Energy S.A.</t>
  </si>
  <si>
    <t>Scotiabank Chile</t>
  </si>
  <si>
    <t>Seguros Vida Security Prevision S.A.</t>
  </si>
  <si>
    <t>Sigdo Koppers S.A.</t>
  </si>
  <si>
    <t>Sipsa Sociedad Anonima</t>
  </si>
  <si>
    <t>Smu S.A.</t>
  </si>
  <si>
    <t>Soc. Anonima De Deportes, Club De Golf Santiago</t>
  </si>
  <si>
    <t>Soc. De Canalistas La Foresta De Apoquindo S.A.</t>
  </si>
  <si>
    <t>Sociedad Agricola La Rosa Sofruco S.A.</t>
  </si>
  <si>
    <t>Sociedad Anonima Viña Santa Rita</t>
  </si>
  <si>
    <t>Sociedad De Inversiones Campos Chilenos S.A.</t>
  </si>
  <si>
    <t>Sociedad De Inversiones Oro Blanco S.A.</t>
  </si>
  <si>
    <t>Sociedad De Inversiones Pampa Calichera S.A.</t>
  </si>
  <si>
    <t>Sociedad Hipodromo Chile S.A.</t>
  </si>
  <si>
    <t>Sociedad Inmobiliaria Viña Del Mar S.A.</t>
  </si>
  <si>
    <t>Sociedad Matriz Saam S.A.</t>
  </si>
  <si>
    <t>Sociedad Pesquera Coloso S.A.</t>
  </si>
  <si>
    <t>Sociedad Punta Del Cobre S.A.</t>
  </si>
  <si>
    <t>Sociedad Quimica Y Minera De Chile S.A.</t>
  </si>
  <si>
    <t>Socovesa S.A.</t>
  </si>
  <si>
    <t>Sonda S.A.</t>
  </si>
  <si>
    <t>Soprocal Calerias E Industrias S.A.</t>
  </si>
  <si>
    <t>Soquimich Comercial S.A.</t>
  </si>
  <si>
    <t>Telefonica Chile S.A.</t>
  </si>
  <si>
    <t>Union El Golf S.A.</t>
  </si>
  <si>
    <t>Union Inmobiliaria S.A.</t>
  </si>
  <si>
    <t>Valparaiso Sporting Club S.A.</t>
  </si>
  <si>
    <t>Viña Concha Y Toro S.A.</t>
  </si>
  <si>
    <t>Viña San Pedro Tarapaca S.A.</t>
  </si>
  <si>
    <t>Viñedos Emiliana S.A.</t>
  </si>
  <si>
    <t>Volcan Compania Minera S.A.A., Clase B</t>
  </si>
  <si>
    <t>Watts S.A.</t>
  </si>
  <si>
    <t>Zona Franca De Iquique S.A.</t>
  </si>
  <si>
    <t>AFPCAPITAL</t>
  </si>
  <si>
    <t>CUPRUM</t>
  </si>
  <si>
    <t>HABITAT</t>
  </si>
  <si>
    <t>PLANVITAL</t>
  </si>
  <si>
    <t>PROVIDA</t>
  </si>
  <si>
    <t>AESGENER</t>
  </si>
  <si>
    <t>AGUNSA</t>
  </si>
  <si>
    <t>ANASAC</t>
  </si>
  <si>
    <t>AGUAS-A</t>
  </si>
  <si>
    <t>AGUAS-B</t>
  </si>
  <si>
    <t>ALMENDRAL</t>
  </si>
  <si>
    <t>ANDACOR</t>
  </si>
  <si>
    <t>ANTARCHILE</t>
  </si>
  <si>
    <t>AUSTRALIS</t>
  </si>
  <si>
    <t>ATSA</t>
  </si>
  <si>
    <t>AXXION</t>
  </si>
  <si>
    <t>AZUL AZUL</t>
  </si>
  <si>
    <t>CHILE</t>
  </si>
  <si>
    <t>BCI</t>
  </si>
  <si>
    <t>BINT</t>
  </si>
  <si>
    <t>ITAUCORP</t>
  </si>
  <si>
    <t>BSANTANDER</t>
  </si>
  <si>
    <t>BANMEDICA</t>
  </si>
  <si>
    <t>BANVIDA</t>
  </si>
  <si>
    <t>BESALCO</t>
  </si>
  <si>
    <t>BETLAN DOS</t>
  </si>
  <si>
    <t>BICECORP</t>
  </si>
  <si>
    <t>COLO COLO</t>
  </si>
  <si>
    <t>BLUMAR</t>
  </si>
  <si>
    <t>BOLSASTGO</t>
  </si>
  <si>
    <t>CAP</t>
  </si>
  <si>
    <t>CAROZZI</t>
  </si>
  <si>
    <t>CEM</t>
  </si>
  <si>
    <t>POLPAICO</t>
  </si>
  <si>
    <t>CEMENTOS</t>
  </si>
  <si>
    <t>CENCOSUD</t>
  </si>
  <si>
    <t>CENCOSHOPP</t>
  </si>
  <si>
    <t>CGEGAS</t>
  </si>
  <si>
    <t>CONSOGRAL</t>
  </si>
  <si>
    <t>CINTAC</t>
  </si>
  <si>
    <t>LAS CONDES</t>
  </si>
  <si>
    <t>POLO</t>
  </si>
  <si>
    <t>ESPANOLVAL</t>
  </si>
  <si>
    <t>HIPICO</t>
  </si>
  <si>
    <t>EMBONOR-A</t>
  </si>
  <si>
    <t>EMBONOR-B</t>
  </si>
  <si>
    <t>COLBUN</t>
  </si>
  <si>
    <t>MARGARET'S</t>
  </si>
  <si>
    <t>MAISONNETT</t>
  </si>
  <si>
    <t>UNESPA</t>
  </si>
  <si>
    <t>COPEVAL</t>
  </si>
  <si>
    <t>CCU</t>
  </si>
  <si>
    <t>FOSFOROS</t>
  </si>
  <si>
    <t>ESPANOLA</t>
  </si>
  <si>
    <t>LITORAL</t>
  </si>
  <si>
    <t>ELECMETAL</t>
  </si>
  <si>
    <t>CGE</t>
  </si>
  <si>
    <t>VOLCAN</t>
  </si>
  <si>
    <t>INTEROCEAN</t>
  </si>
  <si>
    <t>CAMANCHACA</t>
  </si>
  <si>
    <t>VAPORES</t>
  </si>
  <si>
    <t>CIC</t>
  </si>
  <si>
    <t>CVA</t>
  </si>
  <si>
    <t>CRISTALES</t>
  </si>
  <si>
    <t>CRUZADOS</t>
  </si>
  <si>
    <t>DUNCANFOX</t>
  </si>
  <si>
    <t>EISA</t>
  </si>
  <si>
    <t>PUNTILLA</t>
  </si>
  <si>
    <t>ELUXSA</t>
  </si>
  <si>
    <t>ANDINA-A</t>
  </si>
  <si>
    <t>ANDINA-B</t>
  </si>
  <si>
    <t>ESSAL-A</t>
  </si>
  <si>
    <t>ESSAL-B</t>
  </si>
  <si>
    <t>MOLLER</t>
  </si>
  <si>
    <t>EDELMAG</t>
  </si>
  <si>
    <t>PEHUENCHE</t>
  </si>
  <si>
    <t>ENTEL</t>
  </si>
  <si>
    <t>EPERVA</t>
  </si>
  <si>
    <t>AQUACHILE</t>
  </si>
  <si>
    <t>HORNOS</t>
  </si>
  <si>
    <t>CMPC</t>
  </si>
  <si>
    <t>COPEC</t>
  </si>
  <si>
    <t>HITES</t>
  </si>
  <si>
    <t>IANSA</t>
  </si>
  <si>
    <t>NUEVAPOLAR</t>
  </si>
  <si>
    <t>LIPIGAS</t>
  </si>
  <si>
    <t>TRICOT</t>
  </si>
  <si>
    <t>ENAEX</t>
  </si>
  <si>
    <t>ENELAM</t>
  </si>
  <si>
    <t>ENELCHILE</t>
  </si>
  <si>
    <t>ENELDXCH</t>
  </si>
  <si>
    <t>ENELGXCH</t>
  </si>
  <si>
    <t>CASABLANCA</t>
  </si>
  <si>
    <t>ENLASA</t>
  </si>
  <si>
    <t>ECL</t>
  </si>
  <si>
    <t>Enjoy</t>
  </si>
  <si>
    <t>EDELPA</t>
  </si>
  <si>
    <t>ESSBIO-A</t>
  </si>
  <si>
    <t>ESSBIO-B</t>
  </si>
  <si>
    <t>ESSBIO-C</t>
  </si>
  <si>
    <t>OXIQUIM</t>
  </si>
  <si>
    <t>ESVAL-A</t>
  </si>
  <si>
    <t>ESVAL-B</t>
  </si>
  <si>
    <t>ESVAL-C</t>
  </si>
  <si>
    <t>FALABELLA</t>
  </si>
  <si>
    <t>FERIAOSOR</t>
  </si>
  <si>
    <t>FEPASA</t>
  </si>
  <si>
    <t>PASUR</t>
  </si>
  <si>
    <t>FORUS</t>
  </si>
  <si>
    <t>VICONTO</t>
  </si>
  <si>
    <t>GASCO</t>
  </si>
  <si>
    <t>GRANADILLA</t>
  </si>
  <si>
    <t>NAVIERA</t>
  </si>
  <si>
    <t>SECURITY</t>
  </si>
  <si>
    <t>HIPERMARC</t>
  </si>
  <si>
    <t>HF</t>
  </si>
  <si>
    <t>HWM</t>
  </si>
  <si>
    <t>INFODEMA</t>
  </si>
  <si>
    <t>INGEVEC</t>
  </si>
  <si>
    <t>ESTACIONAM</t>
  </si>
  <si>
    <t>CLUBCAMPO</t>
  </si>
  <si>
    <t>MANQUEHUE</t>
  </si>
  <si>
    <t>ISANPA</t>
  </si>
  <si>
    <t>SIXTERRA</t>
  </si>
  <si>
    <t>STADITALIA</t>
  </si>
  <si>
    <t>YUGOSLAVA</t>
  </si>
  <si>
    <t>INDISA</t>
  </si>
  <si>
    <t>INTASA</t>
  </si>
  <si>
    <t>INVERCAP</t>
  </si>
  <si>
    <t>INVERMAR</t>
  </si>
  <si>
    <t>INVERNOVA</t>
  </si>
  <si>
    <t>IACSA</t>
  </si>
  <si>
    <t>IAM</t>
  </si>
  <si>
    <t>COVADONGA</t>
  </si>
  <si>
    <t>ILC</t>
  </si>
  <si>
    <t>NUEVAREG</t>
  </si>
  <si>
    <t>SIEMEL</t>
  </si>
  <si>
    <t>TRICAHUE</t>
  </si>
  <si>
    <t>INVIESPA</t>
  </si>
  <si>
    <t>INVERFOODS</t>
  </si>
  <si>
    <t>INVEXANS</t>
  </si>
  <si>
    <t>IPAL</t>
  </si>
  <si>
    <t>LTM</t>
  </si>
  <si>
    <t>MARBELLACC</t>
  </si>
  <si>
    <t>MARINSA</t>
  </si>
  <si>
    <t>MASISA</t>
  </si>
  <si>
    <t>MELON</t>
  </si>
  <si>
    <t>MINERA</t>
  </si>
  <si>
    <t>MOLYMET</t>
  </si>
  <si>
    <t>MS</t>
  </si>
  <si>
    <t>MUELLES</t>
  </si>
  <si>
    <t>MULTIFOODS</t>
  </si>
  <si>
    <t>NAVARINO</t>
  </si>
  <si>
    <t>NIBSA</t>
  </si>
  <si>
    <t>NITRATOS</t>
  </si>
  <si>
    <t>NORTEGRAN</t>
  </si>
  <si>
    <t>OLDBOYS</t>
  </si>
  <si>
    <t>PARAUCO</t>
  </si>
  <si>
    <t>PAZ</t>
  </si>
  <si>
    <t>PPXCL</t>
  </si>
  <si>
    <t>MALLPLAZA</t>
  </si>
  <si>
    <t>FROWARD</t>
  </si>
  <si>
    <t>POTASIOS-A</t>
  </si>
  <si>
    <t>POTASIOS-B</t>
  </si>
  <si>
    <t>COUNTRY-A</t>
  </si>
  <si>
    <t>COUNTRY-B</t>
  </si>
  <si>
    <t>COUNTRY-P</t>
  </si>
  <si>
    <t>VENTANAS</t>
  </si>
  <si>
    <t>PUERTO</t>
  </si>
  <si>
    <t>QUEMCHI</t>
  </si>
  <si>
    <t>QUILICURA</t>
  </si>
  <si>
    <t>QUINENCO</t>
  </si>
  <si>
    <t>RTX</t>
  </si>
  <si>
    <t>REBRISA-A</t>
  </si>
  <si>
    <t>REBRISA-B</t>
  </si>
  <si>
    <t>RIPLEY</t>
  </si>
  <si>
    <t>SPORTFRAN</t>
  </si>
  <si>
    <t>SALFACORP</t>
  </si>
  <si>
    <t>SALMOCAM</t>
  </si>
  <si>
    <t>SANTANA</t>
  </si>
  <si>
    <t>SCHWAGER</t>
  </si>
  <si>
    <t>SCOTIABKCL</t>
  </si>
  <si>
    <t>PREVISION</t>
  </si>
  <si>
    <t>SK</t>
  </si>
  <si>
    <t>SIPSA</t>
  </si>
  <si>
    <t>SMU</t>
  </si>
  <si>
    <t>GOLF</t>
  </si>
  <si>
    <t>CANALISTAS</t>
  </si>
  <si>
    <t>SOFRUCO</t>
  </si>
  <si>
    <t>SANTA RITA</t>
  </si>
  <si>
    <t>CAMPOS</t>
  </si>
  <si>
    <t>ORO BLANCO</t>
  </si>
  <si>
    <t>CALICHERAA</t>
  </si>
  <si>
    <t>CALICHERAB</t>
  </si>
  <si>
    <t>HIPODROMOA</t>
  </si>
  <si>
    <t>HIPODROMOB</t>
  </si>
  <si>
    <t>INMOBVINA</t>
  </si>
  <si>
    <t>SMSAAM</t>
  </si>
  <si>
    <t>COLOSO</t>
  </si>
  <si>
    <t>PUCOBRE</t>
  </si>
  <si>
    <t>SQM-A</t>
  </si>
  <si>
    <t>SQM-B</t>
  </si>
  <si>
    <t>SOCOVESA</t>
  </si>
  <si>
    <t>SONDA</t>
  </si>
  <si>
    <t>SOPROCAL</t>
  </si>
  <si>
    <t>SOQUICOM</t>
  </si>
  <si>
    <t>CTC</t>
  </si>
  <si>
    <t>UNION GOLF</t>
  </si>
  <si>
    <t>CLUBUNION</t>
  </si>
  <si>
    <t>SPORTING</t>
  </si>
  <si>
    <t>CONCHATORO</t>
  </si>
  <si>
    <t>VSPT</t>
  </si>
  <si>
    <t>EMILIANA</t>
  </si>
  <si>
    <t>VCMBC1</t>
  </si>
  <si>
    <t>VCMAC1</t>
  </si>
  <si>
    <t>WATTS</t>
  </si>
  <si>
    <t>ZOFRI</t>
  </si>
  <si>
    <t>% de Máximo</t>
  </si>
  <si>
    <t>% de Volumen Promedio</t>
  </si>
  <si>
    <t>% Promedio de Operaciones</t>
  </si>
  <si>
    <t>COTIZACIONES</t>
  </si>
  <si>
    <t>PERIODO</t>
  </si>
  <si>
    <t>SP IPSA</t>
  </si>
  <si>
    <t>SPCLXIGPA</t>
  </si>
  <si>
    <t>DIARIO</t>
  </si>
  <si>
    <t>RETORNOS EN RELACIÓN AL BENCHMARK</t>
  </si>
  <si>
    <t>ESTADÍSTICOS</t>
  </si>
  <si>
    <t xml:space="preserve">  </t>
  </si>
  <si>
    <t>Enel Spa</t>
  </si>
  <si>
    <t>Sura S.A.</t>
  </si>
  <si>
    <t>Principal Chile Limitada</t>
  </si>
  <si>
    <t>Inversiones Previsionales Dos S.A.</t>
  </si>
  <si>
    <t>Asesorias E Inversiones Los Olmos S.A.</t>
  </si>
  <si>
    <t>Inversiones Metlife Holdco Dos Limitada</t>
  </si>
  <si>
    <t>Inversiones Cachagua Ltda.</t>
  </si>
  <si>
    <t>Empresas Navieras S.A.</t>
  </si>
  <si>
    <t>Inversiones Y Comercializadora N Y S Ltda</t>
  </si>
  <si>
    <t>Inv.Aguas Metropolitana Ltda.</t>
  </si>
  <si>
    <t>Inversiones Teval S.A.</t>
  </si>
  <si>
    <t>Inversiones Cururo Y Cia.</t>
  </si>
  <si>
    <t>British American Tobacco Holdings (1814)</t>
  </si>
  <si>
    <t>Food Investment Spa</t>
  </si>
  <si>
    <t>Automovil Club De Chile</t>
  </si>
  <si>
    <t>Inversiones Betlan Limitada</t>
  </si>
  <si>
    <t>Sociedad De Inversiones Los Alpes Ltda.</t>
  </si>
  <si>
    <t>Soc.Adm.De La Oblig.Subordinada</t>
  </si>
  <si>
    <t>Empresas Juan Yarur S.A.C.</t>
  </si>
  <si>
    <t>Ilc Holdco Spa</t>
  </si>
  <si>
    <t>Corp Group Banking S.A.</t>
  </si>
  <si>
    <t>Santander Chile Holding S.A.</t>
  </si>
  <si>
    <t>Bordeaux Holding Spa</t>
  </si>
  <si>
    <t>Tora Construcciones S.A.</t>
  </si>
  <si>
    <t>Bethia S.A.</t>
  </si>
  <si>
    <t>Servicios Y Consultoria Ltda.</t>
  </si>
  <si>
    <t>Santander Investment S.A. C.De Bolsa</t>
  </si>
  <si>
    <t>Soc. De Inversiones Petrohue S.A.</t>
  </si>
  <si>
    <t>Bm&amp;F Bovespa S.A. Bolsa De Valores, Merc</t>
  </si>
  <si>
    <t>Principado De Asturias S.A.</t>
  </si>
  <si>
    <t>Rheem Us Holding, Inc.</t>
  </si>
  <si>
    <t>Gamma Cementos Sa</t>
  </si>
  <si>
    <t>Inversiones Cementeras Limitada</t>
  </si>
  <si>
    <t>Quinchamalí S.A.</t>
  </si>
  <si>
    <t>Gas Natural Fenosa Internacional S.A., A</t>
  </si>
  <si>
    <t>Inversiones Suizo Chilena S.A.</t>
  </si>
  <si>
    <t>Novacero S.A.</t>
  </si>
  <si>
    <t>Lucec Tres S.A.</t>
  </si>
  <si>
    <t>Club De Polo Y Equitacion San Cristobal</t>
  </si>
  <si>
    <t>Club Union Espanola</t>
  </si>
  <si>
    <t>Inversiones Auguri Ltda.</t>
  </si>
  <si>
    <t>Libra Inversiones Limitada</t>
  </si>
  <si>
    <t>British Council</t>
  </si>
  <si>
    <t>Inversiones Guallatiri Ltda.</t>
  </si>
  <si>
    <t>Comercial Huechuraba Ltda.</t>
  </si>
  <si>
    <t>Inversiones Y Rentas S.A.</t>
  </si>
  <si>
    <t>Inversiones San Martin S.A.</t>
  </si>
  <si>
    <t>Inversiones Cristobal Colon S.A.</t>
  </si>
  <si>
    <t>Chilquinta Energia S.A.</t>
  </si>
  <si>
    <t>Productos Agricolas Pucalan S.A.</t>
  </si>
  <si>
    <t>Forestal Peumo Ltda.</t>
  </si>
  <si>
    <t>Inversiones Hfg Ltda.</t>
  </si>
  <si>
    <t>Inversiones Rio Bravo Ltda.</t>
  </si>
  <si>
    <t>Larrain Vial S.A. C. De Bolsa</t>
  </si>
  <si>
    <t>Inversiones Costa Verde Ltda.</t>
  </si>
  <si>
    <t>Cia. Electro Metalurgica S.A.</t>
  </si>
  <si>
    <t>Im Trust &amp; Co S.A. C. De Bolsa</t>
  </si>
  <si>
    <t>Inversiones Galileo S.A.</t>
  </si>
  <si>
    <t>Inmobiliaria E Inv.Vegas Negras Dos</t>
  </si>
  <si>
    <t>Asoc.De Canalistas Del Canal Maipo</t>
  </si>
  <si>
    <t>Inversiones Infinity Spa</t>
  </si>
  <si>
    <t>Inversiones Cabildo Spa</t>
  </si>
  <si>
    <t>Inversiones Iberaguas Limitada</t>
  </si>
  <si>
    <t>Inversiones 957 Spa</t>
  </si>
  <si>
    <t>Cia.Nac.De F.Electri.Magallanes S.A</t>
  </si>
  <si>
    <t>Empresa Nacional De Electricidad S.</t>
  </si>
  <si>
    <t>Inversiones Altel Ltda.</t>
  </si>
  <si>
    <t>Agrosuper Sa</t>
  </si>
  <si>
    <t>Inversiones Playa Tongoy S.A.</t>
  </si>
  <si>
    <t>Forestal Cominco S.A.</t>
  </si>
  <si>
    <t>Btg Pactual Chile S A C. De B.</t>
  </si>
  <si>
    <t>E D &amp; F Man Chile Holdings Spa</t>
  </si>
  <si>
    <t>El Condor Combustible S.A.</t>
  </si>
  <si>
    <t>Inversiones Retail Chile S.A</t>
  </si>
  <si>
    <t>Enersis Chile Sa</t>
  </si>
  <si>
    <t>Inversiones Mardos S.A.</t>
  </si>
  <si>
    <t>Suez Energy Andino Sa</t>
  </si>
  <si>
    <t>Entretenciones Consolidadas Spa</t>
  </si>
  <si>
    <t>Inversiones Cabildo S.A.</t>
  </si>
  <si>
    <t>Inversiones Otppb Chile Ii Limitada</t>
  </si>
  <si>
    <t>Banchile Corredores De Bolsa S.A.</t>
  </si>
  <si>
    <t>Corp.De Fomento De La Prod.(Corfo)</t>
  </si>
  <si>
    <t>Inversiones Mc Y Mc Ltda.</t>
  </si>
  <si>
    <t>Ventanas Ord</t>
  </si>
  <si>
    <t>Forestal O'Higgins S.A.</t>
  </si>
  <si>
    <t>Inversiones Costanera S.A.</t>
  </si>
  <si>
    <t>Rentas Santa Barbara S.A.</t>
  </si>
  <si>
    <t>Inmobiliaria Liguai S.A.</t>
  </si>
  <si>
    <t>Inversiones Tongoy S.A.</t>
  </si>
  <si>
    <t>Soc. Agricola Ganadera Y Forest. Las Cru</t>
  </si>
  <si>
    <t>Talsa Chile Iii Spa</t>
  </si>
  <si>
    <t>Comercial E Inversiones Holz S.A.</t>
  </si>
  <si>
    <t>Inversiones Santo Domingo Ltda.</t>
  </si>
  <si>
    <t>Compass Small Cap Chile Fondo De Inversion</t>
  </si>
  <si>
    <t>Inversiones Cordillera Del Sur Iii Ltda.</t>
  </si>
  <si>
    <t>Inmob. Del Trabajo De Valpo S.A.</t>
  </si>
  <si>
    <t>Inversiones Hierro Viejo Limitada</t>
  </si>
  <si>
    <t>Alimentos Marinos Sa</t>
  </si>
  <si>
    <t>P&amp;S S.A.</t>
  </si>
  <si>
    <t>Inversiones Aguas Del Gran Santiago</t>
  </si>
  <si>
    <t>Camara Chilena De La Construccion A.G.</t>
  </si>
  <si>
    <t>Kauak Garabit Alejandro</t>
  </si>
  <si>
    <t>Inversiones Y Tecnología Limitada</t>
  </si>
  <si>
    <t>Quinenco S.A.</t>
  </si>
  <si>
    <t>Inmobil. E Inv. San Juan De Luz Ltd</t>
  </si>
  <si>
    <t>Marbella Chile S.A. Para Fdo.De Inv.Marbe</t>
  </si>
  <si>
    <t>Gn Holding Sa</t>
  </si>
  <si>
    <t>Inversiones Cordillera Del Sur Limitada</t>
  </si>
  <si>
    <t>Forestal Bureo S.A.</t>
  </si>
  <si>
    <t>Plansee Limitada</t>
  </si>
  <si>
    <t>Cia.De Inversiones Transoceanica</t>
  </si>
  <si>
    <t>Multiexport Dos S.A.</t>
  </si>
  <si>
    <t>Inversiones García Ortiz Ltda.</t>
  </si>
  <si>
    <t>Inversiones S Q Y A S.A.</t>
  </si>
  <si>
    <t>Fundacion Educacional John Jackson</t>
  </si>
  <si>
    <t>Inmobiliaria Atlantis S.A.</t>
  </si>
  <si>
    <t>Btg Pactual Celfin Small Cap Chile Fondo De Inversion</t>
  </si>
  <si>
    <t>Desarrollos Inmobiliarios Spa</t>
  </si>
  <si>
    <t>Inversiones Principe De Gales</t>
  </si>
  <si>
    <t>S.K. Inversiones Portuarias S.A.</t>
  </si>
  <si>
    <t>Dp World Holding Uk Limited</t>
  </si>
  <si>
    <t>S.A.Jahuel De Aguas Miner.Y Balnea</t>
  </si>
  <si>
    <t>Andsberg Inversiones Limitada</t>
  </si>
  <si>
    <t>Inmobiliaria E Inversiones Los Boldos S.A.</t>
  </si>
  <si>
    <t>Inversiones R S.A.</t>
  </si>
  <si>
    <t>Pagola Hollemart Nicole</t>
  </si>
  <si>
    <t>Nova Scotia Inversiones Ltda.</t>
  </si>
  <si>
    <t>Inversiones Seguros Security Ltda.</t>
  </si>
  <si>
    <t>Inversiones Kaizen Ltda.</t>
  </si>
  <si>
    <t>Inversiones La Araucana S.A.</t>
  </si>
  <si>
    <t>Inversiones Sams Spa</t>
  </si>
  <si>
    <t>Fiduciaria La Foresta Ltda.</t>
  </si>
  <si>
    <t>Cia.Inv.Mob.E Inmob.Mar Del Plata S</t>
  </si>
  <si>
    <t>Soc. De Inversiones Oro Blanco S.A.</t>
  </si>
  <si>
    <t>Sociedad Inv.Y Rentas Liguria Ltda.</t>
  </si>
  <si>
    <t>Corp.Club Vina Del Mar</t>
  </si>
  <si>
    <t>Alimentos Y Frutos S.A.</t>
  </si>
  <si>
    <t>Inversiones Lota Green Spa</t>
  </si>
  <si>
    <t>Inversiones Tlc Spa</t>
  </si>
  <si>
    <t>Inversiones San Miguel Ltda.</t>
  </si>
  <si>
    <t>Indico Sa</t>
  </si>
  <si>
    <t>Inversiones La Tirana Ltda.</t>
  </si>
  <si>
    <t>Sqm Industrial S.A.</t>
  </si>
  <si>
    <t>Inversiones Telefonica Moviles Holding S</t>
  </si>
  <si>
    <t>Corporacion Club El Golf 50</t>
  </si>
  <si>
    <t>Deltek Merchant Inv. Y Ases. Ltda.</t>
  </si>
  <si>
    <t>Caso Y Cia. S.A.C.</t>
  </si>
  <si>
    <t>Inversiones Totihue S.A.</t>
  </si>
  <si>
    <t>Ccu Inversiones S.A.</t>
  </si>
  <si>
    <t>Chacabuco S.A.</t>
  </si>
  <si>
    <t>CANTIDAD DE ACCIONES</t>
  </si>
  <si>
    <t>Fecha de la última cotización</t>
  </si>
  <si>
    <t>Índice</t>
  </si>
  <si>
    <t>Unidades</t>
  </si>
  <si>
    <t>Benchmark</t>
  </si>
  <si>
    <t>DJSCLCP&lt;XSGO&gt;</t>
  </si>
  <si>
    <t>SPCLXIGPA&lt;XSGO&gt;</t>
  </si>
  <si>
    <t>SPCLXIN10&lt;XSGO&gt;</t>
  </si>
  <si>
    <t>SP IPSA&lt;XSGO&gt;</t>
  </si>
  <si>
    <t>SPMILA&lt;XSGO&gt;</t>
  </si>
  <si>
    <t>SPCLX MSCP&lt;XSGO&gt;</t>
  </si>
  <si>
    <t>SPCLCRCP&lt;XSGO&gt;</t>
  </si>
  <si>
    <t>SPCLFBCP&lt;XSGO&gt;</t>
  </si>
  <si>
    <t>SPCLFECP&lt;XSGO&gt;</t>
  </si>
  <si>
    <t>SPCLITCP&lt;XSGO&gt;</t>
  </si>
  <si>
    <t>SPCLNRCP&lt;XSGO&gt;</t>
  </si>
  <si>
    <t>SPCLUTCP&lt;XSGO&gt;</t>
  </si>
  <si>
    <t>SPCLX DISCRET&lt;XSGO&gt;</t>
  </si>
  <si>
    <t>SPCLX ENERGY&lt;XSGO&gt;</t>
  </si>
  <si>
    <t>SPCLX FINANCLS&lt;XSGO&gt;</t>
  </si>
  <si>
    <t>SPCLX HLTHCR&lt;XSGO&gt;</t>
  </si>
  <si>
    <t>SPCLX INDS&lt;XSGO&gt;</t>
  </si>
  <si>
    <t>SPCLX IT&lt;XSGO&gt;</t>
  </si>
  <si>
    <t>SPCLX MATERLS&lt;XSGO&gt;</t>
  </si>
  <si>
    <t>SPCLX RE&lt;XSGO&gt;</t>
  </si>
  <si>
    <t>SPCLX STAPLES&lt;XSGO&gt;</t>
  </si>
  <si>
    <t>SPCLX TELECOS&lt;XSGO&gt;</t>
  </si>
  <si>
    <t>SPCLX UTILS&lt;XSGO&gt;</t>
  </si>
  <si>
    <t>SPCLXBCP&lt;XSGO&gt;</t>
  </si>
  <si>
    <t>SPCLXDCP&lt;XSGO&gt;</t>
  </si>
  <si>
    <t>SPCLXIGL&lt;XSGO&gt;</t>
  </si>
  <si>
    <t>SPCLXIGM&lt;XSGO&gt;</t>
  </si>
  <si>
    <t>SPCLXIGS&lt;XSGO&gt;</t>
  </si>
  <si>
    <t>SPCLXRCP&lt;XSGO&gt;</t>
  </si>
  <si>
    <t>Djsi Chile</t>
  </si>
  <si>
    <t>Igpa</t>
  </si>
  <si>
    <t>Inter-10</t>
  </si>
  <si>
    <t>Ipsa</t>
  </si>
  <si>
    <t>S&amp;P Mila Pacific Alliance Select</t>
  </si>
  <si>
    <t>S&amp;P/Clx Igpa Midsmallcap</t>
  </si>
  <si>
    <t>Spclcrcp</t>
  </si>
  <si>
    <t>Spclfbcp</t>
  </si>
  <si>
    <t>Spclfecp</t>
  </si>
  <si>
    <t>Spclitcp</t>
  </si>
  <si>
    <t>Spclnrcp</t>
  </si>
  <si>
    <t>Spclutcp</t>
  </si>
  <si>
    <t>Spclx Discret</t>
  </si>
  <si>
    <t>Spclx Energy</t>
  </si>
  <si>
    <t>Spclx Financls</t>
  </si>
  <si>
    <t>Spclx Hlthcr</t>
  </si>
  <si>
    <t>Spclx Inds</t>
  </si>
  <si>
    <t>Spclx It</t>
  </si>
  <si>
    <t>Spclx Materls</t>
  </si>
  <si>
    <t>Spclx Re</t>
  </si>
  <si>
    <t>Spclx Staples</t>
  </si>
  <si>
    <t>Spclx Telecos</t>
  </si>
  <si>
    <t>Spclx Utils</t>
  </si>
  <si>
    <t>Spclxbcp</t>
  </si>
  <si>
    <t>Spclxdcp</t>
  </si>
  <si>
    <t>Spclxigl</t>
  </si>
  <si>
    <t>Spclxigm</t>
  </si>
  <si>
    <t>Spclxigs</t>
  </si>
  <si>
    <t>Spclxrcp</t>
  </si>
  <si>
    <t>DJSCLCP</t>
  </si>
  <si>
    <t>SPCLXIN10</t>
  </si>
  <si>
    <t>SPMILA</t>
  </si>
  <si>
    <t>SPCLX MSCP</t>
  </si>
  <si>
    <t>SPCLCRCP</t>
  </si>
  <si>
    <t>SPCLFBCP</t>
  </si>
  <si>
    <t>SPCLFECP</t>
  </si>
  <si>
    <t>SPCLITCP</t>
  </si>
  <si>
    <t>SPCLNRCP</t>
  </si>
  <si>
    <t>SPCLUTCP</t>
  </si>
  <si>
    <t>SPCLX DISCRET</t>
  </si>
  <si>
    <t>SPCLX ENERGY</t>
  </si>
  <si>
    <t>SPCLX FINANCLS</t>
  </si>
  <si>
    <t>SPCLX HLTHCR</t>
  </si>
  <si>
    <t>SPCLX INDS</t>
  </si>
  <si>
    <t>SPCLX IT</t>
  </si>
  <si>
    <t>SPCLX MATERLS</t>
  </si>
  <si>
    <t>SPCLX RE</t>
  </si>
  <si>
    <t>SPCLX STAPLES</t>
  </si>
  <si>
    <t>SPCLX TELECOS</t>
  </si>
  <si>
    <t>SPCLX UTILS</t>
  </si>
  <si>
    <t>SPCLXBCP</t>
  </si>
  <si>
    <t>SPCLXDCP</t>
  </si>
  <si>
    <t>SPCLXIGL</t>
  </si>
  <si>
    <t>SPCLXIGM</t>
  </si>
  <si>
    <t>SPCLXIGS</t>
  </si>
  <si>
    <t>SPCLXRCP</t>
  </si>
  <si>
    <t>Inversiones Los Tuliperos Limitada</t>
  </si>
  <si>
    <t>Inmobiliaria Casablanca Spa</t>
  </si>
  <si>
    <t>Delta Air Lines, Inc</t>
  </si>
  <si>
    <t>Fecha de Preferencia</t>
  </si>
  <si>
    <t>NO MODIFICAR</t>
  </si>
  <si>
    <t>INGRESE UNA FECHA DE PREFERENCIA. SI DESEA TRABAJAR CON LA FECHA DE LA ULT. COTIZACIÓN, DEJE ESTA CELDA EN BLANCO</t>
  </si>
  <si>
    <t>SELECCIONE UN BENCHMARK</t>
  </si>
  <si>
    <t>SELECCIONE LAS UNIDADES</t>
  </si>
  <si>
    <t>SELECCIONE EL PERIODO DE LOS DATOS</t>
  </si>
  <si>
    <t>Servicios financieros y de seguros</t>
  </si>
  <si>
    <t>Empresas de electricidad, gas y agua</t>
  </si>
  <si>
    <t>Transportes, correos y almacenamiento</t>
  </si>
  <si>
    <t>Agricultura, ganadería, aprovechamiento forestal, pesca y caza</t>
  </si>
  <si>
    <t>Servicios de esparcimiento culturales y deportivos, y otros servicios recreativos</t>
  </si>
  <si>
    <t>Servicios de salud y de asistencia social</t>
  </si>
  <si>
    <t>Construcción</t>
  </si>
  <si>
    <t>Industrias manufactureras</t>
  </si>
  <si>
    <t>Comercio al por mayor</t>
  </si>
  <si>
    <t>Comercio al por menor</t>
  </si>
  <si>
    <t>Servicios inmobiliarios y de alquiler de bienes muebles e intangibles</t>
  </si>
  <si>
    <t>Servicios educativos</t>
  </si>
  <si>
    <t>Información en medios masivos</t>
  </si>
  <si>
    <t>Corporativos</t>
  </si>
  <si>
    <t>Servicios profesionales, científicos y técnicos</t>
  </si>
  <si>
    <t>Otros servicios excepto actividades gubernamentales</t>
  </si>
  <si>
    <t>Minería, explotación de canteras y extracción de petróleo y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</si>
</sst>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 &quot;$&quot;* #,##0_ ;_ &quot;$&quot;* \-#,##0_ ;_ &quot;$&quot;* &quot;-&quot;_ ;_ @_ "/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mmmm"/>
    <numFmt numFmtId="167" formatCode="yyyy"/>
    <numFmt numFmtId="168" formatCode="#,##0.00%;[Red]\-#,##0.00%"/>
    <numFmt numFmtId="169" formatCode="0.00\ &quot;%&quot;"/>
    <numFmt numFmtId="170" formatCode="#,##0_ ;[Red]\-#,##0\ "/>
    <numFmt numFmtId="171" formatCode="_-&quot;R$&quot;\ * #,##0_-;\-&quot;R$&quot;\ * #,##0_-;_-&quot;R$&quot;\ * &quot;-&quot;??_-;_-@_-"/>
    <numFmt numFmtId="172" formatCode="0.00\ &quot;x&quot;"/>
    <numFmt numFmtId="173" formatCode="0.00\ &quot;% DEBT&quot;"/>
    <numFmt numFmtId="174" formatCode="[$-416]mmm\-yy;@"/>
    <numFmt numFmtId="175" formatCode="dd\-mm\-yyyy"/>
    <numFmt numFmtId="176" formatCode="_ &quot;$&quot;* #,##0.00_ ;_ &quot;$&quot;* \-#,##0.00_ ;_ &quot;$&quot;* &quot;-&quot;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004384"/>
      <name val="Calibri"/>
      <family val="2"/>
      <scheme val="minor"/>
    </font>
    <font>
      <b/>
      <sz val="11"/>
      <color rgb="FF006B66"/>
      <name val="Calibri"/>
      <family val="2"/>
      <scheme val="minor"/>
    </font>
    <font>
      <sz val="10"/>
      <color rgb="FF006B66"/>
      <name val="Calibri"/>
      <family val="2"/>
      <scheme val="minor"/>
    </font>
    <font>
      <sz val="11"/>
      <color rgb="FF006B66"/>
      <name val="Calibri"/>
      <family val="2"/>
      <scheme val="minor"/>
    </font>
    <font>
      <b/>
      <sz val="10"/>
      <color rgb="FFC59C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0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6B66"/>
        <bgColor indexed="64"/>
      </patternFill>
    </fill>
    <fill>
      <patternFill patternType="solid">
        <fgColor rgb="FFDAE2D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rgb="FF006B66"/>
      </top>
      <bottom style="medium">
        <color rgb="FF006B66"/>
      </bottom>
      <diagonal/>
    </border>
    <border>
      <left style="thin">
        <color theme="0"/>
      </left>
      <right/>
      <top style="medium">
        <color rgb="FF006B66"/>
      </top>
      <bottom style="medium">
        <color rgb="FF006B66"/>
      </bottom>
      <diagonal/>
    </border>
    <border>
      <left/>
      <right style="thin">
        <color theme="0"/>
      </right>
      <top style="medium">
        <color rgb="FF006B66"/>
      </top>
      <bottom style="medium">
        <color rgb="FF006B66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006B66"/>
      </left>
      <right style="medium">
        <color rgb="FF006B66"/>
      </right>
      <top style="medium">
        <color rgb="FF006B66"/>
      </top>
      <bottom style="medium">
        <color rgb="FF006B66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42" fontId="1" fillId="0" borderId="0" applyFont="0" applyFill="0" applyBorder="0" applyAlignment="0" applyProtection="0"/>
  </cellStyleXfs>
  <cellXfs count="10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10" fontId="3" fillId="0" borderId="0" xfId="3" applyNumberFormat="1" applyFont="1" applyAlignment="1">
      <alignment horizontal="center" vertical="center"/>
    </xf>
    <xf numFmtId="10" fontId="11" fillId="0" borderId="0" xfId="3" applyNumberFormat="1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0" fillId="0" borderId="2" xfId="0" applyBorder="1"/>
    <xf numFmtId="0" fontId="3" fillId="4" borderId="2" xfId="4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10" fontId="4" fillId="0" borderId="0" xfId="3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" fontId="4" fillId="0" borderId="0" xfId="2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169" fontId="4" fillId="0" borderId="0" xfId="0" applyNumberFormat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 vertical="center"/>
    </xf>
    <xf numFmtId="170" fontId="4" fillId="0" borderId="0" xfId="1" applyNumberFormat="1" applyFont="1" applyAlignment="1">
      <alignment horizontal="center" vertical="center"/>
    </xf>
    <xf numFmtId="10" fontId="5" fillId="0" borderId="0" xfId="3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14" fontId="5" fillId="0" borderId="0" xfId="1" applyNumberFormat="1" applyFont="1" applyAlignment="1">
      <alignment horizontal="center" vertical="center"/>
    </xf>
    <xf numFmtId="170" fontId="5" fillId="0" borderId="0" xfId="1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169" fontId="5" fillId="0" borderId="0" xfId="0" applyNumberFormat="1" applyFont="1" applyAlignment="1">
      <alignment vertical="center"/>
    </xf>
    <xf numFmtId="171" fontId="5" fillId="0" borderId="0" xfId="2" applyNumberFormat="1" applyFont="1" applyAlignment="1">
      <alignment horizontal="center" vertical="center"/>
    </xf>
    <xf numFmtId="172" fontId="5" fillId="0" borderId="0" xfId="0" applyNumberFormat="1" applyFont="1" applyAlignment="1">
      <alignment horizontal="center" vertical="center"/>
    </xf>
    <xf numFmtId="173" fontId="5" fillId="0" borderId="0" xfId="0" applyNumberFormat="1" applyFont="1" applyAlignment="1">
      <alignment horizontal="center" vertical="center"/>
    </xf>
    <xf numFmtId="174" fontId="5" fillId="0" borderId="0" xfId="0" applyNumberFormat="1" applyFont="1" applyAlignment="1">
      <alignment horizontal="center" vertical="center"/>
    </xf>
    <xf numFmtId="171" fontId="5" fillId="0" borderId="0" xfId="1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0" fontId="5" fillId="0" borderId="0" xfId="0" applyFont="1"/>
    <xf numFmtId="0" fontId="14" fillId="0" borderId="0" xfId="0" applyFont="1"/>
    <xf numFmtId="0" fontId="3" fillId="4" borderId="3" xfId="4" applyFont="1" applyFill="1" applyBorder="1" applyAlignment="1">
      <alignment horizontal="center" vertical="center" wrapText="1"/>
    </xf>
    <xf numFmtId="176" fontId="5" fillId="0" borderId="0" xfId="5" applyNumberFormat="1" applyFont="1" applyAlignment="1">
      <alignment horizontal="center" vertical="center"/>
    </xf>
    <xf numFmtId="176" fontId="5" fillId="0" borderId="0" xfId="5" applyNumberFormat="1" applyFont="1" applyAlignment="1">
      <alignment vertical="center"/>
    </xf>
    <xf numFmtId="176" fontId="9" fillId="0" borderId="0" xfId="5" applyNumberFormat="1" applyFont="1" applyAlignment="1">
      <alignment vertical="center"/>
    </xf>
    <xf numFmtId="176" fontId="3" fillId="4" borderId="3" xfId="5" applyNumberFormat="1" applyFont="1" applyFill="1" applyBorder="1" applyAlignment="1">
      <alignment horizontal="center" vertical="center" wrapText="1"/>
    </xf>
    <xf numFmtId="176" fontId="4" fillId="0" borderId="0" xfId="5" applyNumberFormat="1" applyFont="1" applyAlignment="1">
      <alignment horizontal="center" vertical="center"/>
    </xf>
    <xf numFmtId="176" fontId="0" fillId="0" borderId="0" xfId="5" applyNumberFormat="1" applyFont="1" applyAlignment="1">
      <alignment horizontal="center" vertical="center"/>
    </xf>
    <xf numFmtId="176" fontId="9" fillId="0" borderId="0" xfId="5" applyNumberFormat="1" applyFont="1" applyAlignment="1">
      <alignment horizontal="center" vertical="center"/>
    </xf>
    <xf numFmtId="0" fontId="3" fillId="6" borderId="4" xfId="0" applyFont="1" applyFill="1" applyBorder="1" applyAlignment="1">
      <alignment vertical="center"/>
    </xf>
    <xf numFmtId="0" fontId="8" fillId="5" borderId="5" xfId="0" applyFont="1" applyFill="1" applyBorder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3" fontId="0" fillId="0" borderId="0" xfId="0" applyNumberFormat="1"/>
    <xf numFmtId="3" fontId="9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4" fillId="0" borderId="0" xfId="1" applyNumberFormat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10" fontId="0" fillId="0" borderId="0" xfId="3" applyNumberFormat="1" applyFont="1"/>
    <xf numFmtId="10" fontId="9" fillId="0" borderId="0" xfId="3" applyNumberFormat="1" applyFont="1" applyAlignment="1">
      <alignment horizontal="center" vertical="center"/>
    </xf>
    <xf numFmtId="10" fontId="5" fillId="0" borderId="0" xfId="3" applyNumberFormat="1" applyFont="1" applyAlignment="1">
      <alignment vertical="center"/>
    </xf>
    <xf numFmtId="170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70" fontId="4" fillId="0" borderId="0" xfId="0" applyNumberFormat="1" applyFont="1" applyAlignment="1">
      <alignment horizontal="left" vertical="center"/>
    </xf>
    <xf numFmtId="3" fontId="5" fillId="0" borderId="0" xfId="3" applyNumberFormat="1" applyFont="1" applyAlignment="1">
      <alignment horizontal="center" vertical="center"/>
    </xf>
    <xf numFmtId="3" fontId="4" fillId="0" borderId="0" xfId="3" applyNumberFormat="1" applyFont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 wrapText="1"/>
    </xf>
    <xf numFmtId="10" fontId="3" fillId="4" borderId="3" xfId="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5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10" fillId="5" borderId="8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left"/>
    </xf>
    <xf numFmtId="0" fontId="15" fillId="0" borderId="0" xfId="0" applyFont="1" applyAlignment="1">
      <alignment vertical="center"/>
    </xf>
    <xf numFmtId="0" fontId="15" fillId="0" borderId="0" xfId="0" applyFont="1" applyFill="1" applyBorder="1" applyAlignment="1">
      <alignment vertical="center"/>
    </xf>
    <xf numFmtId="0" fontId="5" fillId="0" borderId="0" xfId="0" applyFont="1" applyAlignment="1">
      <alignment vertical="top" wrapText="1"/>
    </xf>
    <xf numFmtId="0" fontId="15" fillId="0" borderId="0" xfId="0" applyFont="1" applyAlignment="1">
      <alignment horizontal="right" vertical="center"/>
    </xf>
    <xf numFmtId="42" fontId="4" fillId="0" borderId="0" xfId="5" applyFont="1" applyAlignment="1">
      <alignment horizontal="center" vertical="center"/>
    </xf>
    <xf numFmtId="42" fontId="5" fillId="0" borderId="0" xfId="5" applyFont="1" applyAlignment="1">
      <alignment horizontal="center" vertical="center"/>
    </xf>
    <xf numFmtId="42" fontId="7" fillId="0" borderId="0" xfId="5" applyFont="1" applyAlignment="1">
      <alignment horizontal="center" vertical="center"/>
    </xf>
    <xf numFmtId="42" fontId="9" fillId="0" borderId="0" xfId="5" applyFont="1" applyAlignment="1">
      <alignment horizontal="center" vertical="center"/>
    </xf>
    <xf numFmtId="42" fontId="3" fillId="4" borderId="2" xfId="5" applyFont="1" applyFill="1" applyBorder="1" applyAlignment="1">
      <alignment horizontal="center" vertical="center" wrapText="1"/>
    </xf>
    <xf numFmtId="176" fontId="8" fillId="5" borderId="5" xfId="5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171" fontId="3" fillId="5" borderId="6" xfId="2" applyNumberFormat="1" applyFont="1" applyFill="1" applyBorder="1" applyAlignment="1">
      <alignment horizontal="center" vertical="center"/>
    </xf>
    <xf numFmtId="171" fontId="3" fillId="5" borderId="5" xfId="2" applyNumberFormat="1" applyFont="1" applyFill="1" applyBorder="1" applyAlignment="1">
      <alignment horizontal="center" vertical="center"/>
    </xf>
    <xf numFmtId="171" fontId="3" fillId="5" borderId="7" xfId="2" applyNumberFormat="1" applyFont="1" applyFill="1" applyBorder="1" applyAlignment="1">
      <alignment horizontal="center" vertical="center"/>
    </xf>
    <xf numFmtId="3" fontId="3" fillId="5" borderId="6" xfId="0" applyNumberFormat="1" applyFont="1" applyFill="1" applyBorder="1" applyAlignment="1">
      <alignment horizontal="center" vertical="center"/>
    </xf>
    <xf numFmtId="3" fontId="3" fillId="5" borderId="5" xfId="0" applyNumberFormat="1" applyFont="1" applyFill="1" applyBorder="1" applyAlignment="1">
      <alignment horizontal="center" vertical="center"/>
    </xf>
    <xf numFmtId="166" fontId="12" fillId="3" borderId="2" xfId="0" applyNumberFormat="1" applyFont="1" applyFill="1" applyBorder="1" applyAlignment="1">
      <alignment horizontal="center" vertical="center"/>
    </xf>
    <xf numFmtId="167" fontId="12" fillId="3" borderId="2" xfId="0" applyNumberFormat="1" applyFont="1" applyFill="1" applyBorder="1" applyAlignment="1">
      <alignment horizontal="center" vertical="center"/>
    </xf>
  </cellXfs>
  <cellStyles count="6">
    <cellStyle name="Cálculo" xfId="4" builtinId="22"/>
    <cellStyle name="Millares" xfId="1" builtinId="3"/>
    <cellStyle name="Moneda" xfId="2" builtinId="4"/>
    <cellStyle name="Moneda [0]" xfId="5" builtinId="7"/>
    <cellStyle name="Normal" xfId="0" builtinId="0"/>
    <cellStyle name="Porcentaje" xfId="3" builtinId="5"/>
  </cellStyles>
  <dxfs count="10">
    <dxf>
      <font>
        <color rgb="FFFF0000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FF0000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FF0000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FF0000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FF0000"/>
      </font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colors>
    <mruColors>
      <color rgb="FF006B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8ca47633dd4444cdbc6f408c3eddc979">
      <tp t="e">
        <v>#N/A</v>
        <stp/>
        <stp>b62338d3-be25-42bc-bb8d-6553838d7a76</stp>
        <stp>1</stp>
        <tr r="AL10" s="1"/>
      </tp>
      <tp t="e">
        <v>#N/A</v>
        <stp/>
        <stp>3c55dd3b-e029-4379-8e49-ed62ec79900f</stp>
        <stp>1</stp>
        <tr r="X8" s="1"/>
      </tp>
    </main>
    <main first="rtdsrv.8ca47633dd4444cdbc6f408c3eddc979">
      <tp t="e">
        <v>#N/A</v>
        <stp/>
        <stp>3be53153-ddd9-4d9f-baee-661b5f3e499a</stp>
        <stp>1</stp>
        <tr r="G10" s="1"/>
      </tp>
      <tp t="e">
        <v>#N/A</v>
        <stp/>
        <stp>593e6546-72ed-470f-b751-9c5570fb89c6</stp>
        <stp>1</stp>
        <tr r="AY10" s="1"/>
      </tp>
    </main>
    <main first="rtdsrv.8ca47633dd4444cdbc6f408c3eddc979">
      <tp t="e">
        <v>#N/A</v>
        <stp/>
        <stp>255fb996-cc2c-45d1-8028-6358d0d5c86c</stp>
        <stp>1</stp>
        <tr r="AS10" s="1"/>
      </tp>
      <tp t="e">
        <v>#N/A</v>
        <stp/>
        <stp>e7b0971d-7526-4a36-a0ea-66bd886597d6</stp>
        <stp>1</stp>
        <tr r="V10" s="1"/>
      </tp>
      <tp t="e">
        <v>#N/A</v>
        <stp/>
        <stp>755abf4e-714b-429d-b5a4-c27ecd8bcebf</stp>
        <stp>1</stp>
        <tr r="AB8" s="1"/>
      </tp>
      <tp t="e">
        <v>#N/A</v>
        <stp/>
        <stp>504c9e6d-26e9-4e4f-a572-c5bff0e98a88</stp>
        <stp>1</stp>
        <tr r="AF10" s="1"/>
      </tp>
    </main>
    <main first="rtdsrv.8ca47633dd4444cdbc6f408c3eddc979">
      <tp t="e">
        <v>#N/A</v>
        <stp/>
        <stp>29943a5e-fc19-44c3-9e40-ea69170fe602</stp>
        <stp>1</stp>
        <tr r="BI10" s="1"/>
      </tp>
    </main>
    <main first="rtdsrv.8ca47633dd4444cdbc6f408c3eddc979">
      <tp t="e">
        <v>#N/A</v>
        <stp/>
        <stp>c80b045d-54cf-44a3-bbef-cbd84e0731d8</stp>
        <stp>1</stp>
        <tr r="E6" s="1"/>
      </tp>
      <tp t="e">
        <v>#N/A</v>
        <stp/>
        <stp>50df859e-205b-4d95-ab79-de4051206f37</stp>
        <stp>1</stp>
        <tr r="D10" s="1"/>
      </tp>
      <tp t="e">
        <v>#N/A</v>
        <stp/>
        <stp>6827c48c-5fa5-40c0-b944-a8bf55af6bdc</stp>
        <stp>1</stp>
        <tr r="T10" s="1"/>
      </tp>
    </main>
    <main first="rtdsrv.8ca47633dd4444cdbc6f408c3eddc979">
      <tp t="e">
        <v>#N/A</v>
        <stp/>
        <stp>7c149bfd-3abe-4c06-93b9-e61c8cd76c67</stp>
        <stp>1</stp>
        <tr r="AH10" s="1"/>
      </tp>
      <tp t="e">
        <v>#N/A</v>
        <stp/>
        <stp>44a91918-f09b-448b-a088-8a2ea0b2ec40</stp>
        <stp>1</stp>
        <tr r="X10" s="1"/>
      </tp>
      <tp t="e">
        <v>#N/A</v>
        <stp/>
        <stp>3dd7f174-8a67-4dd9-bb35-2faac1ca1f89</stp>
        <stp>1</stp>
        <tr r="AD10" s="1"/>
      </tp>
      <tp t="e">
        <v>#N/A</v>
        <stp/>
        <stp>b97ccbe4-99f2-44a9-9dc7-be0dd700525b</stp>
        <stp>1</stp>
        <tr r="BD10" s="1"/>
      </tp>
      <tp t="e">
        <v>#N/A</v>
        <stp/>
        <stp>7b07435d-581f-408a-b3a1-9acc3e592dac</stp>
        <stp>1</stp>
        <tr r="AX10" s="1"/>
      </tp>
      <tp t="e">
        <v>#N/A</v>
        <stp/>
        <stp>094a08c7-2f3c-445b-b7be-08d053d23c78</stp>
        <stp>1</stp>
        <tr r="AN8" s="1"/>
      </tp>
    </main>
    <main first="rtdsrv.8ca47633dd4444cdbc6f408c3eddc979">
      <tp t="e">
        <v>#N/A</v>
        <stp/>
        <stp>7bcaa606-0b00-433a-8da6-61f0b4b4b27a</stp>
        <stp>1</stp>
        <tr r="J10" s="1"/>
      </tp>
      <tp t="e">
        <v>#N/A</v>
        <stp/>
        <stp>955f6400-c3fd-4919-8d1c-7709a9bf837f</stp>
        <stp>1</stp>
        <tr r="AB10" s="1"/>
      </tp>
    </main>
    <main first="rtdsrv.8ca47633dd4444cdbc6f408c3eddc979">
      <tp t="e">
        <v>#N/A</v>
        <stp/>
        <stp>11db0763-fbe5-4aef-a5a8-d9d9d150cc05</stp>
        <stp>1</stp>
        <tr r="T8" s="1"/>
      </tp>
    </main>
    <main first="rtdsrv.8ca47633dd4444cdbc6f408c3eddc979">
      <tp t="e">
        <v>#N/A</v>
        <stp/>
        <stp>9f60b58c-6332-4f4d-99e3-29454fe3a741</stp>
        <stp>1</stp>
        <tr r="AP8" s="1"/>
      </tp>
    </main>
    <main first="rtdsrv.8ca47633dd4444cdbc6f408c3eddc979">
      <tp t="e">
        <v>#N/A</v>
        <stp/>
        <stp>0a8b919a-38e5-4297-8ab7-702fec338f06</stp>
        <stp>1</stp>
        <tr r="F10" s="1"/>
      </tp>
    </main>
    <main first="rtdsrv.8ca47633dd4444cdbc6f408c3eddc979">
      <tp t="e">
        <v>#N/A</v>
        <stp/>
        <stp>ff1b21cd-78e9-4353-8e46-06509e3ac9c7</stp>
        <stp>1</stp>
        <tr r="I10" s="1"/>
      </tp>
      <tp t="e">
        <v>#N/A</v>
        <stp/>
        <stp>eb8ae67b-73ba-4485-9225-6c34c5b7faaa</stp>
        <stp>1</stp>
        <tr r="AW10" s="1"/>
      </tp>
    </main>
    <main first="rtdsrv.8ca47633dd4444cdbc6f408c3eddc979">
      <tp t="e">
        <v>#N/A</v>
        <stp/>
        <stp>83a60395-d92d-4578-9dad-48f2788e64dd</stp>
        <stp>1</stp>
        <tr r="AR10" s="1"/>
      </tp>
      <tp t="e">
        <v>#N/A</v>
        <stp/>
        <stp>691695bd-5008-4a67-9936-e0926e164513</stp>
        <stp>1</stp>
        <tr r="P10" s="1"/>
      </tp>
      <tp t="e">
        <v>#N/A</v>
        <stp/>
        <stp>efbe66f4-fa33-4b30-8f79-4480f8caf16d</stp>
        <stp>1</stp>
        <tr r="BH10" s="1"/>
      </tp>
    </main>
    <main first="rtdsrv.8ca47633dd4444cdbc6f408c3eddc979">
      <tp t="e">
        <v>#N/A</v>
        <stp/>
        <stp>6f280365-1774-4ed2-9f51-9c4662de2e48</stp>
        <stp>1</stp>
        <tr r="AV10" s="1"/>
      </tp>
    </main>
    <main first="rtdsrv.8ca47633dd4444cdbc6f408c3eddc979">
      <tp t="e">
        <v>#N/A</v>
        <stp/>
        <stp>d2221798-63a1-4109-b54b-810329b4f1b3</stp>
        <stp>1</stp>
        <tr r="B10" s="1"/>
      </tp>
    </main>
    <main first="rtdsrv.8ca47633dd4444cdbc6f408c3eddc979">
      <tp t="e">
        <v>#N/A</v>
        <stp/>
        <stp>3c487fec-77fc-4664-9fac-4cf299e1ef7b</stp>
        <stp>1</stp>
        <tr r="AJ8" s="1"/>
      </tp>
      <tp t="e">
        <v>#N/A</v>
        <stp/>
        <stp>9fc82f07-e33d-48ef-9dcf-1ad810ef38b0</stp>
        <stp>1</stp>
        <tr r="AP10" s="1"/>
      </tp>
      <tp t="e">
        <v>#N/A</v>
        <stp/>
        <stp>9669fca5-e0c4-46c8-bef8-7ebe2515d318</stp>
        <stp>1</stp>
        <tr r="Z8" s="1"/>
      </tp>
    </main>
    <main first="rtdsrv.8ca47633dd4444cdbc6f408c3eddc979">
      <tp t="e">
        <v>#N/A</v>
        <stp/>
        <stp>91765e6b-3105-4276-a19f-0e10900758bb</stp>
        <stp>1</stp>
        <tr r="E3" s="1"/>
      </tp>
    </main>
    <main first="rtdsrv.8ca47633dd4444cdbc6f408c3eddc979">
      <tp t="e">
        <v>#N/A</v>
        <stp/>
        <stp>a10bbd97-b859-4226-a9bc-549071a1282c</stp>
        <stp>1</stp>
        <tr r="AH8" s="1"/>
      </tp>
      <tp t="e">
        <v>#N/A</v>
        <stp/>
        <stp>1ffe88d4-bf7a-4315-86b2-a295c979c5b0</stp>
        <stp>1</stp>
        <tr r="AJ10" s="1"/>
      </tp>
    </main>
    <main first="rtdsrv.8ca47633dd4444cdbc6f408c3eddc979">
      <tp t="e">
        <v>#N/A</v>
        <stp/>
        <stp>160c365f-7f2a-4fef-b8f3-9f2f503384b7</stp>
        <stp>1</stp>
        <tr r="D2" s="2"/>
      </tp>
      <tp t="e">
        <v>#N/A</v>
        <stp/>
        <stp>3859e662-3f17-45c7-b2e8-ef32d6468b68</stp>
        <stp>1</stp>
        <tr r="BF10" s="1"/>
      </tp>
    </main>
    <main first="rtdsrv.8ca47633dd4444cdbc6f408c3eddc979">
      <tp t="e">
        <v>#N/A</v>
        <stp/>
        <stp>afffa7a4-9e21-43d2-bd62-f95f52ad170d</stp>
        <stp>1</stp>
        <tr r="BB10" s="1"/>
      </tp>
      <tp t="e">
        <v>#N/A</v>
        <stp/>
        <stp>f669c801-4d04-498b-8021-c9ec39e56ff8</stp>
        <stp>1</stp>
        <tr r="H10" s="1"/>
      </tp>
    </main>
    <main first="rtdsrv.8ca47633dd4444cdbc6f408c3eddc979">
      <tp t="e">
        <v>#N/A</v>
        <stp/>
        <stp>b6d6fbfb-bef5-49bc-a16a-65660b82b4c9</stp>
        <stp>1</stp>
        <tr r="C2" s="2"/>
      </tp>
      <tp t="e">
        <v>#N/A</v>
        <stp/>
        <stp>ded8fd5b-a97f-47d4-94e1-48ab4eea3f77</stp>
        <stp>1</stp>
        <tr r="L10" s="1"/>
      </tp>
      <tp t="e">
        <v>#N/A</v>
        <stp/>
        <stp>a8779dd5-914e-4d3b-b23f-497a8e7ec02b</stp>
        <stp>1</stp>
        <tr r="Q10" s="1"/>
      </tp>
    </main>
    <main first="rtdsrv.8ca47633dd4444cdbc6f408c3eddc979">
      <tp t="e">
        <v>#N/A</v>
        <stp/>
        <stp>57e8620f-b90f-42ed-98a1-e9be729f60e2</stp>
        <stp>1</stp>
        <tr r="AN10" s="1"/>
      </tp>
      <tp t="e">
        <v>#N/A</v>
        <stp/>
        <stp>5a974e6c-192e-4c14-b918-aaa47e1df45c</stp>
        <stp>1</stp>
        <tr r="AD8" s="1"/>
      </tp>
    </main>
    <main first="rtdsrv.8ca47633dd4444cdbc6f408c3eddc979">
      <tp t="e">
        <v>#N/A</v>
        <stp/>
        <stp>a53f4908-f45c-42df-b839-642e922598c0</stp>
        <stp>1</stp>
        <tr r="C10" s="1"/>
      </tp>
    </main>
    <main first="rtdsrv.8ca47633dd4444cdbc6f408c3eddc979">
      <tp t="e">
        <v>#N/A</v>
        <stp/>
        <stp>a5cb936f-3fb0-4e13-b1b4-a5b2ff903b19</stp>
        <stp>1</stp>
        <tr r="Z10" s="1"/>
      </tp>
    </main>
    <main first="rtdsrv.8ca47633dd4444cdbc6f408c3eddc979">
      <tp t="e">
        <v>#N/A</v>
        <stp/>
        <stp>8d2f5d92-27e9-4af0-9169-052cd0ec7183</stp>
        <stp>1</stp>
        <tr r="V8" s="1"/>
      </tp>
    </main>
    <main first="rtdsrv.8ca47633dd4444cdbc6f408c3eddc979">
      <tp t="e">
        <v>#N/A</v>
        <stp/>
        <stp>78290f1e-bc3c-4a92-b0ea-debcede3d40f</stp>
        <stp>1</stp>
        <tr r="AL8" s="1"/>
      </tp>
    </main>
    <main first="rtdsrv.8ca47633dd4444cdbc6f408c3eddc979">
      <tp t="e">
        <v>#N/A</v>
        <stp/>
        <stp>aaf2770e-4778-4c88-9025-b06e674e71bc</stp>
        <stp>1</stp>
        <tr r="BE10" s="1"/>
      </tp>
      <tp t="e">
        <v>#N/A</v>
        <stp/>
        <stp>95b388b5-8b3f-424c-9e0e-48921455a91a</stp>
        <stp>1</stp>
        <tr r="AZ10" s="1"/>
      </tp>
      <tp t="e">
        <v>#N/A</v>
        <stp/>
        <stp>ac583260-c256-48a8-a839-fdb907341a61</stp>
        <stp>1</stp>
        <tr r="AF8" s="1"/>
      </tp>
    </main>
    <main first="rtdsrv.8ca47633dd4444cdbc6f408c3eddc979">
      <tp t="e">
        <v>#N/A</v>
        <stp/>
        <stp>ca17ebc8-0551-49c8-9c64-59737b65835c</stp>
        <stp>1</stp>
        <tr r="BA10" s="1"/>
      </tp>
      <tp t="e">
        <v>#N/A</v>
        <stp/>
        <stp>3ed1ded7-5205-4e19-b2d3-f31484587feb</stp>
        <stp>1</stp>
        <tr r="AT10" s="1"/>
      </tp>
      <tp t="e">
        <v>#N/A</v>
        <stp/>
        <stp>daa3c61d-f6a2-4331-86e4-d62edf42d9b4</stp>
        <stp>1</stp>
        <tr r="E10" s="1"/>
      </tp>
      <tp t="e">
        <v>#N/A</v>
        <stp/>
        <stp>9d5959ac-0609-465e-bdb6-3d470145d84b</stp>
        <stp>1</stp>
        <tr r="M10" s="1"/>
      </tp>
    </main>
    <main first="rtdsrv.8ca47633dd4444cdbc6f408c3eddc979">
      <tp t="e">
        <v>#N/A</v>
        <stp/>
        <stp>fb70c494-ae8f-4047-abc4-5effab377cca</stp>
        <stp>1</stp>
        <tr r="BG10" s="1"/>
      </tp>
      <tp t="e">
        <v>#N/A</v>
        <stp/>
        <stp>9091cf77-0cb4-4bac-936d-e17b6d4a48aa</stp>
        <stp>1</stp>
        <tr r="N10" s="1"/>
      </tp>
    </main>
    <main first="rtdsrv.8ca47633dd4444cdbc6f408c3eddc979">
      <tp t="e">
        <v>#N/A</v>
        <stp/>
        <stp>f128ab03-80eb-45b8-ba50-b1ddac77bce6</stp>
        <stp>1</stp>
        <tr r="AU10" s="1"/>
      </tp>
      <tp t="e">
        <v>#N/A</v>
        <stp/>
        <stp>b714df06-10aa-4e09-84dd-9646752af625</stp>
        <stp>1</stp>
        <tr r="B2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933451</xdr:colOff>
      <xdr:row>0</xdr:row>
      <xdr:rowOff>9525</xdr:rowOff>
    </xdr:from>
    <xdr:to>
      <xdr:col>7</xdr:col>
      <xdr:colOff>603249</xdr:colOff>
      <xdr:row>1</xdr:row>
      <xdr:rowOff>2380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6E44070-F8E4-4A70-95D3-A0B349F08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195889" y="-4138613"/>
          <a:ext cx="790574" cy="9086849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0</xdr:row>
      <xdr:rowOff>133350</xdr:rowOff>
    </xdr:from>
    <xdr:to>
      <xdr:col>3</xdr:col>
      <xdr:colOff>717550</xdr:colOff>
      <xdr:row>0</xdr:row>
      <xdr:rowOff>571500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4A8BCB9-2FFB-41B4-B64C-788888CFF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1876425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0</xdr:row>
      <xdr:rowOff>190500</xdr:rowOff>
    </xdr:from>
    <xdr:to>
      <xdr:col>2</xdr:col>
      <xdr:colOff>40376</xdr:colOff>
      <xdr:row>0</xdr:row>
      <xdr:rowOff>861060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A54337-17E8-42F3-AC15-33F0D2274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" y="190500"/>
          <a:ext cx="1335776" cy="670560"/>
        </a:xfrm>
        <a:prstGeom prst="rect">
          <a:avLst/>
        </a:prstGeom>
      </xdr:spPr>
    </xdr:pic>
    <xdr:clientData/>
  </xdr:twoCellAnchor>
  <xdr:twoCellAnchor>
    <xdr:from>
      <xdr:col>2</xdr:col>
      <xdr:colOff>807720</xdr:colOff>
      <xdr:row>0</xdr:row>
      <xdr:rowOff>373380</xdr:rowOff>
    </xdr:from>
    <xdr:to>
      <xdr:col>3</xdr:col>
      <xdr:colOff>1508760</xdr:colOff>
      <xdr:row>0</xdr:row>
      <xdr:rowOff>830580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3C0DAC0-F8A7-4089-A494-F96764F60B34}"/>
            </a:ext>
          </a:extLst>
        </xdr:cNvPr>
        <xdr:cNvSpPr txBox="1"/>
      </xdr:nvSpPr>
      <xdr:spPr>
        <a:xfrm>
          <a:off x="2316480" y="373380"/>
          <a:ext cx="3177540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L" sz="1100">
              <a:solidFill>
                <a:srgbClr val="006B66"/>
              </a:solidFill>
            </a:rPr>
            <a:t>Ocupe</a:t>
          </a:r>
          <a:r>
            <a:rPr lang="es-CL" sz="1100" baseline="0">
              <a:solidFill>
                <a:srgbClr val="006B66"/>
              </a:solidFill>
            </a:rPr>
            <a:t> esta hoja como referencia de los benchmark. Si desea modificar el país en análisis; contáctenos.</a:t>
          </a:r>
          <a:endParaRPr lang="es-CL" sz="1100">
            <a:solidFill>
              <a:srgbClr val="006B66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1:BI241"/>
  <sheetViews>
    <sheetView showGridLines="0" tabSelected="1" zoomScale="60" zoomScaleNormal="60" workbookViewId="0">
      <pane xSplit="8" ySplit="10" topLeftCell="I11" activePane="bottomRight" state="frozen"/>
      <selection pane="topRight" activeCell="H1" sqref="H1"/>
      <selection pane="bottomLeft" activeCell="A10" sqref="A10"/>
      <selection pane="bottomRight" activeCell="C11" sqref="C11"/>
    </sheetView>
  </sheetViews>
  <sheetFormatPr baseColWidth="10" defaultColWidth="21.85546875" defaultRowHeight="15" x14ac:dyDescent="0.25"/>
  <cols>
    <col min="1" max="1" width="1.7109375" customWidth="1"/>
    <col min="2" max="2" width="15.28515625" style="34" hidden="1" customWidth="1"/>
    <col min="3" max="3" width="19" style="34" bestFit="1" customWidth="1"/>
    <col min="4" max="4" width="42" style="1" customWidth="1"/>
    <col min="5" max="5" width="13.7109375" style="1" customWidth="1"/>
    <col min="6" max="6" width="32.5703125" style="1" customWidth="1"/>
    <col min="7" max="7" width="16.28515625" style="87" customWidth="1"/>
    <col min="8" max="8" width="12.85546875" style="2" customWidth="1"/>
    <col min="9" max="9" width="14.5703125" style="45" customWidth="1"/>
    <col min="10" max="10" width="14.28515625" style="45" bestFit="1" customWidth="1"/>
    <col min="11" max="11" width="10" style="2" bestFit="1" customWidth="1"/>
    <col min="12" max="12" width="13.42578125" style="2" bestFit="1" customWidth="1"/>
    <col min="13" max="13" width="15" style="45" bestFit="1" customWidth="1"/>
    <col min="14" max="14" width="13.7109375" style="45" customWidth="1"/>
    <col min="15" max="15" width="13.5703125" style="1" customWidth="1"/>
    <col min="16" max="16" width="10.5703125" style="2" bestFit="1" customWidth="1"/>
    <col min="17" max="17" width="10.5703125" style="1" bestFit="1" customWidth="1"/>
    <col min="18" max="18" width="13.5703125" style="1" customWidth="1"/>
    <col min="19" max="19" width="1.7109375" customWidth="1"/>
    <col min="20" max="20" width="10.7109375" style="1" bestFit="1" customWidth="1"/>
    <col min="21" max="21" width="10.42578125" style="35" bestFit="1" customWidth="1"/>
    <col min="22" max="22" width="10.7109375" style="35" bestFit="1" customWidth="1"/>
    <col min="23" max="23" width="10.42578125" style="35" bestFit="1" customWidth="1"/>
    <col min="24" max="24" width="10.7109375" style="35" bestFit="1" customWidth="1"/>
    <col min="25" max="25" width="10.42578125" style="35" bestFit="1" customWidth="1"/>
    <col min="26" max="26" width="10.7109375" style="35" bestFit="1" customWidth="1"/>
    <col min="27" max="27" width="10.42578125" style="35" bestFit="1" customWidth="1"/>
    <col min="28" max="28" width="10.7109375" style="35" bestFit="1" customWidth="1"/>
    <col min="29" max="29" width="10.42578125" style="35" bestFit="1" customWidth="1"/>
    <col min="30" max="30" width="10.7109375" style="35" bestFit="1" customWidth="1"/>
    <col min="31" max="31" width="10.42578125" style="35" bestFit="1" customWidth="1"/>
    <col min="32" max="32" width="10.7109375" style="35" bestFit="1" customWidth="1"/>
    <col min="33" max="33" width="10.42578125" style="35" bestFit="1" customWidth="1"/>
    <col min="34" max="41" width="11.7109375" style="35" bestFit="1" customWidth="1"/>
    <col min="42" max="42" width="13.28515625" style="35" customWidth="1"/>
    <col min="43" max="43" width="1.7109375" customWidth="1"/>
    <col min="44" max="44" width="14.28515625" style="36" bestFit="1" customWidth="1"/>
    <col min="45" max="45" width="14.85546875" style="36" bestFit="1" customWidth="1"/>
    <col min="46" max="46" width="14.28515625" style="37" bestFit="1" customWidth="1"/>
    <col min="47" max="47" width="14.85546875" style="37" bestFit="1" customWidth="1"/>
    <col min="48" max="48" width="10.7109375" style="37" bestFit="1" customWidth="1"/>
    <col min="49" max="49" width="11.140625" style="38" bestFit="1" customWidth="1"/>
    <col min="50" max="50" width="10.7109375" style="39" bestFit="1" customWidth="1"/>
    <col min="51" max="51" width="10.7109375" style="2" bestFit="1" customWidth="1"/>
    <col min="52" max="52" width="14.7109375" style="40" bestFit="1" customWidth="1"/>
    <col min="53" max="53" width="13.42578125" style="41" bestFit="1" customWidth="1"/>
    <col min="54" max="54" width="14.140625" style="58" bestFit="1" customWidth="1"/>
    <col min="55" max="55" width="1.7109375" customWidth="1"/>
    <col min="56" max="56" width="15" style="64" bestFit="1" customWidth="1"/>
    <col min="57" max="57" width="16.140625" style="25" bestFit="1" customWidth="1"/>
    <col min="58" max="58" width="17.28515625" style="33" bestFit="1" customWidth="1"/>
    <col min="59" max="59" width="12.42578125" style="25" bestFit="1" customWidth="1"/>
    <col min="60" max="60" width="12.42578125" style="72" bestFit="1" customWidth="1"/>
    <col min="61" max="61" width="42.7109375" style="68" bestFit="1" customWidth="1"/>
  </cols>
  <sheetData>
    <row r="1" spans="2:61" ht="63" customHeight="1" x14ac:dyDescent="0.25">
      <c r="AZ1"/>
      <c r="BA1"/>
      <c r="BB1" s="55"/>
      <c r="BD1" s="60"/>
      <c r="BE1" s="65"/>
      <c r="BF1"/>
    </row>
    <row r="2" spans="2:61" ht="17.45" customHeight="1" x14ac:dyDescent="0.25">
      <c r="N2" s="3"/>
      <c r="O2" s="3"/>
      <c r="AZ2"/>
      <c r="BA2"/>
      <c r="BB2" s="55"/>
      <c r="BD2" s="60"/>
      <c r="BE2" s="65"/>
      <c r="BF2"/>
    </row>
    <row r="3" spans="2:61" ht="18" customHeight="1" thickBot="1" x14ac:dyDescent="0.3">
      <c r="D3" s="79" t="s">
        <v>808</v>
      </c>
      <c r="E3" s="77">
        <f>IF(E4="",_xll.ECONOMATICA("SP IPSA","Date of Last Quote"),E4)</f>
        <v>43999</v>
      </c>
      <c r="F3" s="82" t="s">
        <v>901</v>
      </c>
      <c r="I3" s="46"/>
      <c r="J3" s="46"/>
      <c r="K3" s="1"/>
      <c r="L3" s="1"/>
      <c r="U3" s="1"/>
      <c r="V3" s="1"/>
      <c r="W3" s="1"/>
      <c r="X3" s="1" t="s">
        <v>656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2"/>
      <c r="AS3" s="2"/>
      <c r="AT3" s="2"/>
      <c r="AU3" s="2"/>
      <c r="AV3" s="2"/>
      <c r="AW3" s="2"/>
      <c r="AX3" s="2"/>
      <c r="AZ3"/>
      <c r="BA3"/>
      <c r="BB3" s="55"/>
      <c r="BD3" s="60"/>
      <c r="BE3" s="65"/>
      <c r="BF3"/>
      <c r="BG3" s="1"/>
      <c r="BH3" s="62"/>
      <c r="BI3" s="69"/>
    </row>
    <row r="4" spans="2:61" ht="18" customHeight="1" thickBot="1" x14ac:dyDescent="0.3">
      <c r="D4" s="79" t="s">
        <v>900</v>
      </c>
      <c r="E4" s="80"/>
      <c r="F4" s="82" t="s">
        <v>902</v>
      </c>
      <c r="G4" s="88"/>
      <c r="I4" s="46"/>
      <c r="J4" s="46"/>
      <c r="K4" s="1"/>
      <c r="L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2"/>
      <c r="AS4" s="2"/>
      <c r="AT4" s="2"/>
      <c r="AU4" s="2"/>
      <c r="AV4" s="2"/>
      <c r="AW4" s="2"/>
      <c r="AX4" s="2"/>
      <c r="AZ4"/>
      <c r="BA4"/>
      <c r="BB4" s="55"/>
      <c r="BD4" s="60"/>
      <c r="BE4" s="65"/>
      <c r="BF4"/>
      <c r="BG4" s="1"/>
      <c r="BH4" s="62"/>
      <c r="BI4" s="69"/>
    </row>
    <row r="5" spans="2:61" ht="18" customHeight="1" thickBot="1" x14ac:dyDescent="0.3">
      <c r="D5" s="76" t="s">
        <v>811</v>
      </c>
      <c r="E5" s="80" t="s">
        <v>651</v>
      </c>
      <c r="F5" s="82" t="s">
        <v>903</v>
      </c>
      <c r="G5" s="88"/>
      <c r="I5" s="46"/>
      <c r="J5" s="46"/>
      <c r="K5" s="1"/>
      <c r="L5" s="1"/>
      <c r="Q5" s="84"/>
      <c r="R5" s="84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2"/>
      <c r="AS5" s="2"/>
      <c r="AT5" s="2"/>
      <c r="AU5" s="2"/>
      <c r="AV5" s="2"/>
      <c r="AW5" s="2"/>
      <c r="AX5" s="2"/>
      <c r="AZ5"/>
      <c r="BA5"/>
      <c r="BB5" s="55"/>
      <c r="BD5" s="60"/>
      <c r="BE5" s="60"/>
      <c r="BF5" s="60"/>
      <c r="BG5" s="60"/>
      <c r="BH5" s="60"/>
      <c r="BI5" s="60"/>
    </row>
    <row r="6" spans="2:61" ht="18" customHeight="1" thickBot="1" x14ac:dyDescent="0.3">
      <c r="D6" s="76" t="s">
        <v>809</v>
      </c>
      <c r="E6" s="78" t="str">
        <f>+_xll.ECONOMATICA(E5,"name")</f>
        <v>Ipsa</v>
      </c>
      <c r="F6" s="82" t="s">
        <v>901</v>
      </c>
      <c r="Q6" s="84"/>
      <c r="R6" s="84"/>
      <c r="T6" s="53" t="s">
        <v>654</v>
      </c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R6" s="2"/>
      <c r="AS6" s="2"/>
      <c r="AT6" s="2"/>
      <c r="AU6" s="2"/>
      <c r="AV6" s="2"/>
      <c r="AW6" s="2"/>
      <c r="AX6" s="2"/>
      <c r="AZ6" s="2"/>
      <c r="BA6" s="2"/>
      <c r="BB6" s="2"/>
      <c r="BD6" s="60"/>
      <c r="BE6" s="60"/>
      <c r="BF6" s="60"/>
      <c r="BG6" s="60"/>
      <c r="BH6" s="60"/>
      <c r="BI6" s="60"/>
    </row>
    <row r="7" spans="2:61" s="5" customFormat="1" ht="18" customHeight="1" thickBot="1" x14ac:dyDescent="0.3">
      <c r="B7" s="3"/>
      <c r="C7" s="3"/>
      <c r="D7" s="76" t="s">
        <v>810</v>
      </c>
      <c r="E7" s="80" t="s">
        <v>0</v>
      </c>
      <c r="F7" s="83" t="s">
        <v>904</v>
      </c>
      <c r="G7" s="89"/>
      <c r="H7" s="4"/>
      <c r="I7" s="47"/>
      <c r="J7" s="47"/>
      <c r="K7" s="3"/>
      <c r="L7" s="3"/>
      <c r="M7" s="51"/>
      <c r="N7" s="51"/>
      <c r="O7" s="3"/>
      <c r="P7" s="3"/>
      <c r="Q7" s="84"/>
      <c r="R7" s="84"/>
      <c r="S7"/>
      <c r="AR7" s="4"/>
      <c r="AS7" s="4"/>
      <c r="AT7" s="4"/>
      <c r="AU7" s="4"/>
      <c r="AV7" s="4"/>
      <c r="AW7" s="4"/>
      <c r="AX7" s="4"/>
      <c r="AY7" s="4"/>
      <c r="AZ7" s="4"/>
      <c r="BA7" s="4"/>
      <c r="BB7" s="56"/>
      <c r="BD7" s="61"/>
      <c r="BE7" s="66"/>
      <c r="BF7" s="4"/>
      <c r="BG7" s="4"/>
      <c r="BH7" s="61"/>
      <c r="BI7" s="70"/>
    </row>
    <row r="8" spans="2:61" ht="20.100000000000001" customHeight="1" thickBot="1" x14ac:dyDescent="0.3">
      <c r="B8"/>
      <c r="C8"/>
      <c r="D8"/>
      <c r="E8"/>
      <c r="F8"/>
      <c r="P8" s="1"/>
      <c r="Q8" s="82"/>
      <c r="R8" s="85" t="s">
        <v>905</v>
      </c>
      <c r="T8" s="8">
        <f>_xll.ECONOMATICA(E5,"RETURN","1D",$E$3,,,,"DECIMAL")</f>
        <v>1.41224009094003E-2</v>
      </c>
      <c r="U8" s="9" t="str">
        <f>E5</f>
        <v>SP IPSA</v>
      </c>
      <c r="V8" s="8">
        <f>_xll.ECONOMATICA(E5,"RETURN","IN THE MONTH",$E$3,,,,"DECIMAL")</f>
        <v>9.5372299594600904E-2</v>
      </c>
      <c r="W8" s="9" t="str">
        <f>E5</f>
        <v>SP IPSA</v>
      </c>
      <c r="X8" s="8">
        <f>_xll.ECONOMATICA(E5,"RETURN","IN THE YEAR",$E$3,,,,"DECIMAL")</f>
        <v>-0.14476097924402001</v>
      </c>
      <c r="Y8" s="9" t="str">
        <f>E5</f>
        <v>SP IPSA</v>
      </c>
      <c r="Z8" s="8">
        <f>_xll.ECONOMATICA(E5,"RETURN",Z9,$E$3,,,,"DECIMAL")</f>
        <v>0.102742864082829</v>
      </c>
      <c r="AA8" s="9" t="str">
        <f>E5</f>
        <v>SP IPSA</v>
      </c>
      <c r="AB8" s="8">
        <f>_xll.ECONOMATICA(E5,"RETURN",AB9,$E$3,,,,"DECIMAL")</f>
        <v>0.221160987446783</v>
      </c>
      <c r="AC8" s="9" t="str">
        <f>E5</f>
        <v>SP IPSA</v>
      </c>
      <c r="AD8" s="8">
        <f>_xll.ECONOMATICA(E5,"RETURN",AD9,$E$3,,,,"DECIMAL")</f>
        <v>-0.17014630255755001</v>
      </c>
      <c r="AE8" s="9" t="str">
        <f>E5</f>
        <v>SP IPSA</v>
      </c>
      <c r="AF8" s="8">
        <f>_xll.ECONOMATICA(E5,"RETURN",AF9,$E$3,,,,"DECIMAL")</f>
        <v>-0.20490808289469001</v>
      </c>
      <c r="AG8" s="9" t="str">
        <f>E5</f>
        <v>SP IPSA</v>
      </c>
      <c r="AH8" s="8">
        <f>_xll.ECONOMATICA(E5,"RETURN",AH9,$E$3,,,,"DECIMAL")</f>
        <v>-0.269607948519406</v>
      </c>
      <c r="AI8" s="9" t="str">
        <f>E5</f>
        <v>SP IPSA</v>
      </c>
      <c r="AJ8" s="8">
        <f>_xll.ECONOMATICA(E5,"RETURN",AJ9,$E$3,,,,"DECIMAL")</f>
        <v>-0.17384419179696101</v>
      </c>
      <c r="AK8" s="9" t="str">
        <f>E5</f>
        <v>SP IPSA</v>
      </c>
      <c r="AL8" s="8">
        <f>_xll.ECONOMATICA(E5,"RETURN",AL9,$E$3,,,,"DECIMAL")</f>
        <v>4.6807974449620798E-3</v>
      </c>
      <c r="AM8" s="9" t="str">
        <f>E5</f>
        <v>SP IPSA</v>
      </c>
      <c r="AN8" s="8">
        <f>_xll.ECONOMATICA(E5,"RETURN",AN9,$E$3,,,,"DECIMAL")</f>
        <v>1.12820972317422E-2</v>
      </c>
      <c r="AO8" s="9" t="str">
        <f>E5</f>
        <v>SP IPSA</v>
      </c>
      <c r="AP8" s="8">
        <f>_xll.ECONOMATICA(E5,"VOLATILITY",AP9,$E$3,,,,"DECIMAL")</f>
        <v>0.34745051192760001</v>
      </c>
      <c r="AR8" s="6"/>
      <c r="AS8" s="7"/>
      <c r="AT8" s="7"/>
      <c r="AU8" s="7"/>
      <c r="AV8" s="7"/>
      <c r="AW8" s="7"/>
      <c r="AX8" s="7"/>
      <c r="AY8" s="7"/>
      <c r="AZ8" s="7"/>
      <c r="BA8" s="7"/>
      <c r="BB8" s="85" t="s">
        <v>905</v>
      </c>
      <c r="BD8" s="62"/>
      <c r="BE8" s="67"/>
      <c r="BF8" s="1"/>
      <c r="BG8" s="1"/>
      <c r="BH8" s="62"/>
      <c r="BI8" s="69"/>
    </row>
    <row r="9" spans="2:61" ht="20.100000000000001" customHeight="1" thickBot="1" x14ac:dyDescent="0.3">
      <c r="B9" s="1"/>
      <c r="C9" s="1"/>
      <c r="I9" s="91" t="s">
        <v>649</v>
      </c>
      <c r="J9" s="91"/>
      <c r="K9" s="91"/>
      <c r="L9" s="91"/>
      <c r="M9" s="91"/>
      <c r="N9" s="91"/>
      <c r="O9" s="91"/>
      <c r="P9" s="91"/>
      <c r="Q9" s="54" t="s">
        <v>650</v>
      </c>
      <c r="R9" s="52" t="s">
        <v>1</v>
      </c>
      <c r="T9" s="98" t="s">
        <v>653</v>
      </c>
      <c r="U9" s="98"/>
      <c r="V9" s="98">
        <f>$E$3</f>
        <v>43999</v>
      </c>
      <c r="W9" s="98"/>
      <c r="X9" s="99">
        <f>$E$3</f>
        <v>43999</v>
      </c>
      <c r="Y9" s="99"/>
      <c r="Z9" s="92" t="s">
        <v>2</v>
      </c>
      <c r="AA9" s="92"/>
      <c r="AB9" s="92" t="s">
        <v>3</v>
      </c>
      <c r="AC9" s="92"/>
      <c r="AD9" s="92" t="s">
        <v>4</v>
      </c>
      <c r="AE9" s="92"/>
      <c r="AF9" s="92" t="s">
        <v>1</v>
      </c>
      <c r="AG9" s="92"/>
      <c r="AH9" s="92" t="s">
        <v>5</v>
      </c>
      <c r="AI9" s="92"/>
      <c r="AJ9" s="92" t="s">
        <v>6</v>
      </c>
      <c r="AK9" s="92"/>
      <c r="AL9" s="92" t="s">
        <v>7</v>
      </c>
      <c r="AM9" s="92"/>
      <c r="AN9" s="92" t="s">
        <v>8</v>
      </c>
      <c r="AO9" s="92"/>
      <c r="AP9" s="10" t="s">
        <v>1</v>
      </c>
      <c r="AQ9" s="11"/>
      <c r="AR9" s="93" t="s">
        <v>655</v>
      </c>
      <c r="AS9" s="94"/>
      <c r="AT9" s="94"/>
      <c r="AU9" s="94"/>
      <c r="AV9" s="94"/>
      <c r="AW9" s="94"/>
      <c r="AX9" s="94"/>
      <c r="AY9" s="94"/>
      <c r="AZ9" s="95"/>
      <c r="BA9" s="54" t="s">
        <v>650</v>
      </c>
      <c r="BB9" s="52" t="s">
        <v>4</v>
      </c>
      <c r="BC9" s="11"/>
      <c r="BD9" s="96" t="s">
        <v>807</v>
      </c>
      <c r="BE9" s="97"/>
      <c r="BF9" s="97"/>
      <c r="BG9" s="97"/>
      <c r="BH9" s="97"/>
      <c r="BI9" s="97"/>
    </row>
    <row r="10" spans="2:61" ht="38.25" x14ac:dyDescent="0.25">
      <c r="B10" s="12" t="str">
        <f>_xll.ECOSECURITIES("stock","active",,"chl","xsgo","true","Código Economatica")</f>
        <v>Código Economatica</v>
      </c>
      <c r="C10" s="12" t="str">
        <f>+_xll.ECONOMATICA(B11:B400,"TICKER",,,,,,,,,"Codigo")</f>
        <v>Codigo</v>
      </c>
      <c r="D10" s="12" t="str">
        <f>_xll.ECONOMATICA($B$11:$B$253,"name",,,,,,,,"true","Nombre")</f>
        <v>Nombre</v>
      </c>
      <c r="E10" s="12" t="str">
        <f>_xll.ECONOMATICA($B$11:$B$253,"ticker",,,,,,,,"true","Código")</f>
        <v>Código</v>
      </c>
      <c r="F10" s="12" t="str">
        <f>_xll.ECONOMATICA($B$11:$B$253,"Sector NAICS",,,,,,,,"true","Sector Naics (Nivel 1)",{"nivnaics=1"})</f>
        <v>Sector Naics (Nivel 1)</v>
      </c>
      <c r="G10" s="90" t="str">
        <f>_xll.ECONOMATICA($B$11:$B$253,"MarketCapitaliz",,$E$3,,,,E7,,,"Mkt Cap ("&amp;E7&amp;")")</f>
        <v>Mkt Cap (Thousands)</v>
      </c>
      <c r="H10" s="12" t="str">
        <f>_xll.ECONOMATICA($B$11:$B$253,"date of last quote",,,,,,,,,"Última Cotización")</f>
        <v>Última Cotización</v>
      </c>
      <c r="I10" s="48" t="str">
        <f>_xll.ECONOMATICA($B$11:$B$253,"Close",,$E$3,,,,,,,"Cierre")</f>
        <v>Cierre</v>
      </c>
      <c r="J10" s="48" t="str">
        <f>_xll.ECONOMATICA($B$11:$B$253,"Max of the Serie",$R$9,$E$3,,,,,,,"Máximo",)</f>
        <v>Máximo</v>
      </c>
      <c r="K10" s="44" t="s">
        <v>646</v>
      </c>
      <c r="L10" s="44" t="str">
        <f>_xll.ECONOMATICA($B$11:$B$253,"Max of the Serie",$R$9,$E$3,,,,,,,"Fecha del Máximo",{"std.tec.cals=0";"std.tec.dtovlr=true"})</f>
        <v>Fecha del Máximo</v>
      </c>
      <c r="M10" s="48" t="str">
        <f>_xll.ECONOMATICA($B$11:$B$253,"Volume$","1d",$E$3,,,,$E$7,,,"Volumen ("&amp;E7&amp;")")</f>
        <v>Volumen (Thousands)</v>
      </c>
      <c r="N10" s="48" t="str">
        <f>_xll.ECONOMATICA($B$11:$B$253,"Hist Average",$R$9,$E$3,,,,$E$7,,,"Volumen Promedio ("&amp;E7&amp;")",{"std.tec.cals=7"})</f>
        <v>Volumen Promedio (Thousands)</v>
      </c>
      <c r="O10" s="44" t="s">
        <v>647</v>
      </c>
      <c r="P10" s="44" t="str">
        <f>_xll.ECONOMATICA($B$11:$B$253,"#Trades","1d",$E$3,,,,,,,"Número de Operaciones")</f>
        <v>Número de Operaciones</v>
      </c>
      <c r="Q10" s="44" t="str">
        <f>_xll.ECONOMATICA($B$11:$B$253,"Hist Average",$R$9,$E$3,,,,,,,"Operaciones Promedio",{"std.tec.cals=5"})</f>
        <v>Operaciones Promedio</v>
      </c>
      <c r="R10" s="44" t="s">
        <v>648</v>
      </c>
      <c r="S10" s="11"/>
      <c r="T10" s="12" t="str">
        <f>_xll.ECONOMATICA($B$11:$B$253,"RETURN","1D",$E$3,,,,"DECIMAL",,,"% Retorno 1D")</f>
        <v>% Retorno 1D</v>
      </c>
      <c r="U10" s="12" t="s">
        <v>9</v>
      </c>
      <c r="V10" s="12" t="str">
        <f>_xll.ECONOMATICA($B$11:$B$253,"RETURN","IN THE MONTH",$E$3,,,,"DECIMAL",,,"% Retorno en el mes")</f>
        <v>% Retorno en el mes</v>
      </c>
      <c r="W10" s="12" t="s">
        <v>9</v>
      </c>
      <c r="X10" s="12" t="str">
        <f>_xll.ECONOMATICA($B$11:$B$253,"RETURN","IN THE YEAR",$E$3,,,,"DECIMAL",,,"% Retorno en el año")</f>
        <v>% Retorno en el año</v>
      </c>
      <c r="Y10" s="12" t="s">
        <v>9</v>
      </c>
      <c r="Z10" s="12" t="str">
        <f>_xll.ECONOMATICA($B$11:$B$253,"RETURN",Z9,$E$3,,,,"DECIMAL",,,"% Retorno 1M")</f>
        <v>% Retorno 1M</v>
      </c>
      <c r="AA10" s="12" t="s">
        <v>9</v>
      </c>
      <c r="AB10" s="12" t="str">
        <f>_xll.ECONOMATICA($B$11:$B$253,"RETURN",AB9,$E$3,,,,"DECIMAL",,,"% Retorno 3M")</f>
        <v>% Retorno 3M</v>
      </c>
      <c r="AC10" s="12" t="s">
        <v>9</v>
      </c>
      <c r="AD10" s="12" t="str">
        <f>_xll.ECONOMATICA($B$11:$B$253,"RETURN",AD9,$E$3,,,,"DECIMAL",,,"% Retorno 6M")</f>
        <v>% Retorno 6M</v>
      </c>
      <c r="AE10" s="12" t="s">
        <v>9</v>
      </c>
      <c r="AF10" s="12" t="str">
        <f>_xll.ECONOMATICA($B$11:$B$253,"RETURN",AF9,$E$3,,,,"DECIMAL",,,"% Retorno 12M")</f>
        <v>% Retorno 12M</v>
      </c>
      <c r="AG10" s="12" t="s">
        <v>9</v>
      </c>
      <c r="AH10" s="12" t="str">
        <f>_xll.ECONOMATICA($B$11:$B$253,"RETURN",AH9,$E$3,,,,"DECIMAL",,,"% Retorno 24M")</f>
        <v>% Retorno 24M</v>
      </c>
      <c r="AI10" s="12" t="s">
        <v>9</v>
      </c>
      <c r="AJ10" s="12" t="str">
        <f>_xll.ECONOMATICA($B$11:$B$253,"RETURN",AJ9,$E$3,,,,"DECIMAL",,,"% Retorno 36M")</f>
        <v>% Retorno 36M</v>
      </c>
      <c r="AK10" s="12" t="s">
        <v>9</v>
      </c>
      <c r="AL10" s="12" t="str">
        <f>_xll.ECONOMATICA($B$11:$B$253,"RETURN",AL9,$E$3,,,,"DECIMAL",,,"% Retorno 48M")</f>
        <v>% Retorno 48M</v>
      </c>
      <c r="AM10" s="12" t="s">
        <v>9</v>
      </c>
      <c r="AN10" s="12" t="str">
        <f>_xll.ECONOMATICA($B$11:$B$253,"RETURN",AN9,$E$3,,,,"DECIMAL",,,"% Retorno 60M")</f>
        <v>% Retorno 60M</v>
      </c>
      <c r="AO10" s="12" t="s">
        <v>9</v>
      </c>
      <c r="AP10" s="12" t="str">
        <f>_xll.ECONOMATICA($B$11:$B$253,"volatility",$AP$9,$E$3,,,,,,,"Volatilidad")</f>
        <v>Volatilidad</v>
      </c>
      <c r="AQ10" s="11"/>
      <c r="AR10" s="59" t="str">
        <f>_xll.ECONOMATICA($B$11:$B$253,"Return M",$BB$9,$E$3,,,,"decimal",,,"Mayor Retorno Diario",{"jtc.per=0";"std.tec.dret.per=0"})</f>
        <v>Mayor Retorno Diario</v>
      </c>
      <c r="AS10" s="59" t="str">
        <f>_xll.ECONOMATICA($B$11:$B$253,"Return M",$BB$9,$E$3,,,,"decimal",,,"Menor Retorno Diario",{"jtc.per=0";"std.tec.dret.per=0";"std.tec.dret.mom=true"})</f>
        <v>Menor Retorno Diario</v>
      </c>
      <c r="AT10" s="59" t="str">
        <f>_xll.ECONOMATICA($B$11:$B$253,"Return M",$BB$9,$E$3,,,,"decimal",,,"Mayor Retorno Mensual",)</f>
        <v>Mayor Retorno Mensual</v>
      </c>
      <c r="AU10" s="59" t="str">
        <f>_xll.ECONOMATICA($B$11:$B$253,"Return M",$BB$9,$E$3,,,,"decimal",,,"Menor Retorno Mensual",{"std.tec.dret.mom=true"})</f>
        <v>Menor Retorno Mensual</v>
      </c>
      <c r="AV10" s="59" t="str">
        <f>_xll.ECONOMATICA($B$11:$B$253,"Number Return",$BB$9,$E$3,,,,,,,"Meses Positivos",{"std.tec.dret.noprc=true"})</f>
        <v>Meses Positivos</v>
      </c>
      <c r="AW10" s="59" t="str">
        <f>_xll.ECONOMATICA($B$11:$B$253,"Number Return",$BB$9,$E$3,,,,,,,"Meses Negativos",{"std.tec.dret.cmp=-1";"std.tec.dret.noprc=true"})</f>
        <v>Meses Negativos</v>
      </c>
      <c r="AX10" s="59" t="str">
        <f>_xll.ECONOMATICA($B$11:$B$253,"Sharpe",$BB$9,$E$3,,,,,,,"Sharpe")</f>
        <v>Sharpe</v>
      </c>
      <c r="AY10" s="59" t="str">
        <f>_xll.ECONOMATICA($B$11:$B$253,"VAR %",$BB$9,$E$3,,,,"decimal",,,"VaR 95%")</f>
        <v>VaR 95%</v>
      </c>
      <c r="AZ10" s="59" t="str">
        <f>_xll.ECONOMATICA($B$11:$B$253,"MaxLoss",$BB$9,$E$3,,,,"decimal",,,"Pérdida Máxima")</f>
        <v>Pérdida Máxima</v>
      </c>
      <c r="BA10" s="13" t="str">
        <f>_xll.ECONOMATICA($B$11:$B$253,"MaxLoss",$BB$9,$E$3,,,,,,,"Fecha de Pérdida Máxima",{"std.tec.tpmdd=2"})</f>
        <v>Fecha de Pérdida Máxima</v>
      </c>
      <c r="BB10" s="57" t="str">
        <f>_xll.ECONOMATICA($B$11:$B$253,"Beta",$BB$9,$E$3,,,,,,,"Beta")</f>
        <v>Beta</v>
      </c>
      <c r="BC10" s="11"/>
      <c r="BD10" s="74" t="str">
        <f>_xll.ECONOMATICA($B$11:$B$253,"Num of Shares",,$E$3,,,,$E$7,,,"Cantidad de Acciones  ("&amp;E7&amp;")",{"std.bac.clsoemp=true"})</f>
        <v>Cantidad de Acciones  (Thousands)</v>
      </c>
      <c r="BE10" s="75" t="str">
        <f>_xll.ECONOMATICA($B$11:$B$253,"ShrsHold",,"LATEST",,,,"decimal","false","true","Acciones Poseídas - Accionista Núm. 1",{"std.cac.ccacq=2";"std.cac.fam=1"})</f>
        <v>Acciones Poseídas - Accionista Núm. 1</v>
      </c>
      <c r="BF10" s="75" t="str">
        <f>_xll.ECONOMATICA($B$11:$B$253,"ShrsHold",,"LATEST",,,,"THOUSANDS","false","true","Acciones Poseídas - Accionista Núm. 1 (miles)",{"std.cac.naop=true";"std.cac.ccacq=2"})</f>
        <v>Acciones Poseídas - Accionista Núm. 1 (miles)</v>
      </c>
      <c r="BG10" s="59" t="str">
        <f>_xll.ECONOMATICA($B$11:$B$253,"ShrsHold",,"LATEST",,,,"decimal","false","true","Free Float %",{"std.cac.ccacq=7";"std.cac.nm=0"})</f>
        <v>Free Float %</v>
      </c>
      <c r="BH10" s="74" t="str">
        <f>_xll.ECONOMATICA($B$11:$B$253,"ShrsHold",,"LATEST",,,,"THOUSANDS","false","true","Free Float (miles)",{"std.cac.naop=true";"std.cac.ccacq=7";"std.cac.nm=0"})</f>
        <v>Free Float (miles)</v>
      </c>
      <c r="BI10" s="59" t="str">
        <f>_xll.ECONOMATICA($B$11:$B$253,"MainShHol",,"LATEST",,,,,"false","true","Principal Accionista",{"std.cac.en=1";"std.cac.fam=1"})</f>
        <v>Principal Accionista</v>
      </c>
    </row>
    <row r="11" spans="2:61" x14ac:dyDescent="0.25">
      <c r="B11" s="14" t="s">
        <v>10</v>
      </c>
      <c r="C11" s="14" t="s">
        <v>429</v>
      </c>
      <c r="D11" s="15" t="s">
        <v>228</v>
      </c>
      <c r="E11" s="15" t="s">
        <v>429</v>
      </c>
      <c r="F11" s="15" t="s">
        <v>906</v>
      </c>
      <c r="G11" s="86">
        <v>859036063.04999995</v>
      </c>
      <c r="H11" s="17">
        <v>43986</v>
      </c>
      <c r="I11" s="49"/>
      <c r="J11" s="49">
        <v>275</v>
      </c>
      <c r="K11" s="16">
        <f t="shared" ref="K11:K74" si="0">IFERROR(I11/J11,"")</f>
        <v>0</v>
      </c>
      <c r="L11" s="17">
        <v>43986</v>
      </c>
      <c r="M11" s="49">
        <v>0</v>
      </c>
      <c r="N11" s="49">
        <v>79.619807228922795</v>
      </c>
      <c r="O11" s="16">
        <f>IFERROR(M11/N11,"")</f>
        <v>0</v>
      </c>
      <c r="P11" s="18">
        <v>0</v>
      </c>
      <c r="Q11" s="18"/>
      <c r="R11" s="16" t="str">
        <f t="shared" ref="R11:R74" si="1">IFERROR(P11/Q11,"")</f>
        <v/>
      </c>
      <c r="T11" s="19"/>
      <c r="U11" s="19" t="str">
        <f t="shared" ref="U11:U74" si="2">IF(T11="","",T11-T$8)</f>
        <v/>
      </c>
      <c r="V11" s="19"/>
      <c r="W11" s="19" t="str">
        <f t="shared" ref="W11:W74" si="3">IF(V11="","",V11-V$8)</f>
        <v/>
      </c>
      <c r="X11" s="19"/>
      <c r="Y11" s="19" t="str">
        <f t="shared" ref="Y11:Y74" si="4">IF(X11="","",X11-X$8)</f>
        <v/>
      </c>
      <c r="Z11" s="19"/>
      <c r="AA11" s="19" t="str">
        <f t="shared" ref="AA11:AA74" si="5">IF(Z11="","",Z11-Z$8)</f>
        <v/>
      </c>
      <c r="AB11" s="19"/>
      <c r="AC11" s="19" t="str">
        <f t="shared" ref="AC11:AC74" si="6">IF(AB11="","",AB11-AB$8)</f>
        <v/>
      </c>
      <c r="AD11" s="19"/>
      <c r="AE11" s="19" t="str">
        <f t="shared" ref="AE11:AE74" si="7">IF(AD11="","",AD11-AD$8)</f>
        <v/>
      </c>
      <c r="AF11" s="19"/>
      <c r="AG11" s="19" t="str">
        <f t="shared" ref="AG11:AG74" si="8">IF(AF11="","",AF11-AF$8)</f>
        <v/>
      </c>
      <c r="AH11" s="19"/>
      <c r="AI11" s="19" t="str">
        <f t="shared" ref="AI11:AI74" si="9">IF(AH11="","",AH11-AH$8)</f>
        <v/>
      </c>
      <c r="AJ11" s="19"/>
      <c r="AK11" s="19" t="str">
        <f t="shared" ref="AK11:AK74" si="10">IF(AJ11="","",AJ11-AJ$8)</f>
        <v/>
      </c>
      <c r="AL11" s="19"/>
      <c r="AM11" s="19" t="str">
        <f t="shared" ref="AM11:AM74" si="11">IF(AL11="","",AL11-AL$8)</f>
        <v/>
      </c>
      <c r="AN11" s="19"/>
      <c r="AO11" s="19" t="str">
        <f t="shared" ref="AO11:AO74" si="12">IF(AN11="","",AN11-AN$8)</f>
        <v/>
      </c>
      <c r="AP11" s="20"/>
      <c r="AR11" s="16">
        <v>0</v>
      </c>
      <c r="AS11" s="16">
        <v>0</v>
      </c>
      <c r="AT11" s="16">
        <v>3.1353135313111097E-2</v>
      </c>
      <c r="AU11" s="16">
        <v>0</v>
      </c>
      <c r="AV11" s="21"/>
      <c r="AW11" s="21"/>
      <c r="AX11" s="22"/>
      <c r="AY11" s="16"/>
      <c r="AZ11" s="16">
        <v>0</v>
      </c>
      <c r="BA11" s="23">
        <v>43986</v>
      </c>
      <c r="BB11" s="22"/>
      <c r="BD11" s="63">
        <v>3123767.5019999999</v>
      </c>
      <c r="BE11" s="16">
        <v>0.99710000000079202</v>
      </c>
      <c r="BF11" s="24">
        <v>3114708.5762460898</v>
      </c>
      <c r="BG11" s="16"/>
      <c r="BH11" s="73"/>
      <c r="BI11" s="71" t="s">
        <v>658</v>
      </c>
    </row>
    <row r="12" spans="2:61" x14ac:dyDescent="0.25">
      <c r="B12" s="14" t="s">
        <v>11</v>
      </c>
      <c r="C12" s="14" t="s">
        <v>430</v>
      </c>
      <c r="D12" s="15" t="s">
        <v>229</v>
      </c>
      <c r="E12" s="15" t="s">
        <v>430</v>
      </c>
      <c r="F12" s="15" t="s">
        <v>906</v>
      </c>
      <c r="G12" s="86">
        <v>383107775.04000002</v>
      </c>
      <c r="H12" s="17">
        <v>43999</v>
      </c>
      <c r="I12" s="49">
        <v>30</v>
      </c>
      <c r="J12" s="49">
        <v>47.867300543468403</v>
      </c>
      <c r="K12" s="16">
        <f t="shared" si="0"/>
        <v>0.62673264753580438</v>
      </c>
      <c r="L12" s="17">
        <v>43637</v>
      </c>
      <c r="M12" s="49">
        <v>61127.663</v>
      </c>
      <c r="N12" s="49">
        <v>3027.4501004028298</v>
      </c>
      <c r="O12" s="16">
        <f t="shared" ref="O12:O74" si="13">IFERROR(M12/N12,"")</f>
        <v>20.191138077508331</v>
      </c>
      <c r="P12" s="18">
        <v>44</v>
      </c>
      <c r="Q12" s="18"/>
      <c r="R12" s="16" t="str">
        <f t="shared" si="1"/>
        <v/>
      </c>
      <c r="T12" s="19">
        <v>-6.25E-2</v>
      </c>
      <c r="U12" s="19">
        <f t="shared" si="2"/>
        <v>-7.6622400909400298E-2</v>
      </c>
      <c r="V12" s="19">
        <v>-9.2009685229713797E-2</v>
      </c>
      <c r="W12" s="19">
        <f t="shared" si="3"/>
        <v>-0.1873819848243147</v>
      </c>
      <c r="X12" s="19">
        <v>-0.34782608695677503</v>
      </c>
      <c r="Y12" s="19">
        <f t="shared" si="4"/>
        <v>-0.20306510771275502</v>
      </c>
      <c r="Z12" s="19">
        <v>-9.2009685229713797E-2</v>
      </c>
      <c r="AA12" s="19">
        <f t="shared" si="5"/>
        <v>-0.19475254931254279</v>
      </c>
      <c r="AB12" s="19">
        <v>-0.33333333333313903</v>
      </c>
      <c r="AC12" s="19">
        <f t="shared" si="6"/>
        <v>-0.554494320779922</v>
      </c>
      <c r="AD12" s="19">
        <v>-0.30650670087925402</v>
      </c>
      <c r="AE12" s="19">
        <f t="shared" si="7"/>
        <v>-0.13636039832170402</v>
      </c>
      <c r="AF12" s="19">
        <v>-0.37351351611141598</v>
      </c>
      <c r="AG12" s="19">
        <f t="shared" si="8"/>
        <v>-0.16860543321672597</v>
      </c>
      <c r="AH12" s="19">
        <v>-0.43234695817343899</v>
      </c>
      <c r="AI12" s="19">
        <f t="shared" si="9"/>
        <v>-0.16273900965403298</v>
      </c>
      <c r="AJ12" s="19">
        <v>-0.30586954865342703</v>
      </c>
      <c r="AK12" s="19">
        <f t="shared" si="10"/>
        <v>-0.13202535685646602</v>
      </c>
      <c r="AL12" s="19">
        <v>-0.13717324406665299</v>
      </c>
      <c r="AM12" s="19">
        <f t="shared" si="11"/>
        <v>-0.14185404151161507</v>
      </c>
      <c r="AN12" s="19">
        <v>9.5051996966503793E-2</v>
      </c>
      <c r="AO12" s="19">
        <f t="shared" si="12"/>
        <v>8.3769899734761594E-2</v>
      </c>
      <c r="AP12" s="20"/>
      <c r="AR12" s="16">
        <v>5.6730273336143E-3</v>
      </c>
      <c r="AS12" s="16">
        <v>-6.5316943841025904E-2</v>
      </c>
      <c r="AT12" s="16">
        <v>0</v>
      </c>
      <c r="AU12" s="16">
        <v>-0.26577777777856698</v>
      </c>
      <c r="AV12" s="21">
        <v>0</v>
      </c>
      <c r="AW12" s="21">
        <v>3</v>
      </c>
      <c r="AX12" s="22"/>
      <c r="AY12" s="16"/>
      <c r="AZ12" s="16">
        <v>-0.34782608695677503</v>
      </c>
      <c r="BA12" s="23">
        <v>43825</v>
      </c>
      <c r="BB12" s="22">
        <v>-0.88132939159186197</v>
      </c>
      <c r="BD12" s="63">
        <v>12770259.168</v>
      </c>
      <c r="BE12" s="16">
        <v>0.97970000000088497</v>
      </c>
      <c r="BF12" s="24">
        <v>12511022.906890601</v>
      </c>
      <c r="BG12" s="16"/>
      <c r="BH12" s="73"/>
      <c r="BI12" s="71" t="s">
        <v>659</v>
      </c>
    </row>
    <row r="13" spans="2:61" x14ac:dyDescent="0.25">
      <c r="B13" s="14" t="s">
        <v>12</v>
      </c>
      <c r="C13" s="14" t="s">
        <v>431</v>
      </c>
      <c r="D13" s="15" t="s">
        <v>230</v>
      </c>
      <c r="E13" s="15" t="s">
        <v>431</v>
      </c>
      <c r="F13" s="15" t="s">
        <v>906</v>
      </c>
      <c r="G13" s="86">
        <v>561960000</v>
      </c>
      <c r="H13" s="17">
        <v>43999</v>
      </c>
      <c r="I13" s="49">
        <v>561.95999999996297</v>
      </c>
      <c r="J13" s="49">
        <v>939.93001140561</v>
      </c>
      <c r="K13" s="16">
        <f t="shared" si="0"/>
        <v>0.59787430253406304</v>
      </c>
      <c r="L13" s="17">
        <v>43753</v>
      </c>
      <c r="M13" s="49">
        <v>17194.77</v>
      </c>
      <c r="N13" s="49">
        <v>69696.8053374023</v>
      </c>
      <c r="O13" s="16">
        <f t="shared" si="13"/>
        <v>0.2467081513529939</v>
      </c>
      <c r="P13" s="18">
        <v>29</v>
      </c>
      <c r="Q13" s="18">
        <v>13.650602409645201</v>
      </c>
      <c r="R13" s="16">
        <f t="shared" si="1"/>
        <v>2.1244483671657792</v>
      </c>
      <c r="T13" s="19">
        <v>-5.3453219588846003E-3</v>
      </c>
      <c r="U13" s="19">
        <f t="shared" si="2"/>
        <v>-1.9467722868284902E-2</v>
      </c>
      <c r="V13" s="19">
        <v>-4.7832054085156402E-2</v>
      </c>
      <c r="W13" s="19">
        <f t="shared" si="3"/>
        <v>-0.14320435367975731</v>
      </c>
      <c r="X13" s="19">
        <v>-0.116696704593778</v>
      </c>
      <c r="Y13" s="19">
        <f t="shared" si="4"/>
        <v>2.8064274650242013E-2</v>
      </c>
      <c r="Z13" s="19">
        <v>5.4325175551639404E-4</v>
      </c>
      <c r="AA13" s="19">
        <f t="shared" si="5"/>
        <v>-0.1021996123273126</v>
      </c>
      <c r="AB13" s="19">
        <v>9.9836255007248798E-2</v>
      </c>
      <c r="AC13" s="19">
        <f t="shared" si="6"/>
        <v>-0.12132473243953421</v>
      </c>
      <c r="AD13" s="19">
        <v>-0.14133791035972501</v>
      </c>
      <c r="AE13" s="19">
        <f t="shared" si="7"/>
        <v>2.8808392197824995E-2</v>
      </c>
      <c r="AF13" s="19">
        <v>-0.36830884365306699</v>
      </c>
      <c r="AG13" s="19">
        <f t="shared" si="8"/>
        <v>-0.16340076075837698</v>
      </c>
      <c r="AH13" s="19">
        <v>-0.32549495661165601</v>
      </c>
      <c r="AI13" s="19">
        <f t="shared" si="9"/>
        <v>-5.5887008092250001E-2</v>
      </c>
      <c r="AJ13" s="19">
        <v>-0.174339946584951</v>
      </c>
      <c r="AK13" s="19">
        <f t="shared" si="10"/>
        <v>-4.9575478798999373E-4</v>
      </c>
      <c r="AL13" s="19">
        <v>-0.15181034094537599</v>
      </c>
      <c r="AM13" s="19">
        <f t="shared" si="11"/>
        <v>-0.15649113839033807</v>
      </c>
      <c r="AN13" s="19">
        <v>-0.10234804892388601</v>
      </c>
      <c r="AO13" s="19">
        <f t="shared" si="12"/>
        <v>-0.11363014615562821</v>
      </c>
      <c r="AP13" s="20">
        <v>31.117178961052598</v>
      </c>
      <c r="AR13" s="16">
        <v>6.0980000000199701E-2</v>
      </c>
      <c r="AS13" s="16">
        <v>-5.7044171843736002E-2</v>
      </c>
      <c r="AT13" s="16">
        <v>0.19825999999913599</v>
      </c>
      <c r="AU13" s="16">
        <v>-0.12357581069314599</v>
      </c>
      <c r="AV13" s="21">
        <v>2</v>
      </c>
      <c r="AW13" s="21">
        <v>4</v>
      </c>
      <c r="AX13" s="22">
        <v>-1.09018685966294</v>
      </c>
      <c r="AY13" s="16">
        <v>2.5195904824904601E-2</v>
      </c>
      <c r="AZ13" s="16">
        <v>-0.261382900263125</v>
      </c>
      <c r="BA13" s="23">
        <v>43843</v>
      </c>
      <c r="BB13" s="22">
        <v>0.63959104942114198</v>
      </c>
      <c r="BD13" s="63">
        <v>1000000</v>
      </c>
      <c r="BE13" s="16">
        <v>0.40289999999978998</v>
      </c>
      <c r="BF13" s="24">
        <v>402900</v>
      </c>
      <c r="BG13" s="16">
        <v>0.19100000000005801</v>
      </c>
      <c r="BH13" s="73">
        <v>191000</v>
      </c>
      <c r="BI13" s="71" t="s">
        <v>660</v>
      </c>
    </row>
    <row r="14" spans="2:61" x14ac:dyDescent="0.25">
      <c r="B14" s="14" t="s">
        <v>13</v>
      </c>
      <c r="C14" s="14" t="s">
        <v>432</v>
      </c>
      <c r="D14" s="15" t="s">
        <v>231</v>
      </c>
      <c r="E14" s="15" t="s">
        <v>432</v>
      </c>
      <c r="F14" s="15" t="s">
        <v>906</v>
      </c>
      <c r="G14" s="86">
        <v>120164740.208</v>
      </c>
      <c r="H14" s="17">
        <v>43999</v>
      </c>
      <c r="I14" s="49">
        <v>59</v>
      </c>
      <c r="J14" s="49">
        <v>80.097628457704602</v>
      </c>
      <c r="K14" s="16">
        <f t="shared" si="0"/>
        <v>0.73660108465202356</v>
      </c>
      <c r="L14" s="17">
        <v>43634</v>
      </c>
      <c r="M14" s="49">
        <v>503.43299999999999</v>
      </c>
      <c r="N14" s="49">
        <v>555.90998393535597</v>
      </c>
      <c r="O14" s="16">
        <f t="shared" si="13"/>
        <v>0.90560165233251455</v>
      </c>
      <c r="P14" s="18"/>
      <c r="Q14" s="18"/>
      <c r="R14" s="16" t="str">
        <f t="shared" si="1"/>
        <v/>
      </c>
      <c r="T14" s="19">
        <v>0</v>
      </c>
      <c r="U14" s="19">
        <f t="shared" si="2"/>
        <v>-1.41224009094003E-2</v>
      </c>
      <c r="V14" s="19"/>
      <c r="W14" s="19" t="str">
        <f t="shared" si="3"/>
        <v/>
      </c>
      <c r="X14" s="19"/>
      <c r="Y14" s="19" t="str">
        <f t="shared" si="4"/>
        <v/>
      </c>
      <c r="Z14" s="19"/>
      <c r="AA14" s="19" t="str">
        <f t="shared" si="5"/>
        <v/>
      </c>
      <c r="AB14" s="19"/>
      <c r="AC14" s="19" t="str">
        <f t="shared" si="6"/>
        <v/>
      </c>
      <c r="AD14" s="19"/>
      <c r="AE14" s="19" t="str">
        <f t="shared" si="7"/>
        <v/>
      </c>
      <c r="AF14" s="19">
        <v>-0.26339891534822502</v>
      </c>
      <c r="AG14" s="19">
        <f t="shared" si="8"/>
        <v>-5.8490832453535008E-2</v>
      </c>
      <c r="AH14" s="19"/>
      <c r="AI14" s="19" t="str">
        <f t="shared" si="9"/>
        <v/>
      </c>
      <c r="AJ14" s="19"/>
      <c r="AK14" s="19" t="str">
        <f t="shared" si="10"/>
        <v/>
      </c>
      <c r="AL14" s="19"/>
      <c r="AM14" s="19" t="str">
        <f t="shared" si="11"/>
        <v/>
      </c>
      <c r="AN14" s="19"/>
      <c r="AO14" s="19" t="str">
        <f t="shared" si="12"/>
        <v/>
      </c>
      <c r="AP14" s="20"/>
      <c r="AR14" s="16">
        <v>0</v>
      </c>
      <c r="AS14" s="16">
        <v>0</v>
      </c>
      <c r="AT14" s="16">
        <v>0</v>
      </c>
      <c r="AU14" s="16">
        <v>-0.11825737768318501</v>
      </c>
      <c r="AV14" s="21"/>
      <c r="AW14" s="21"/>
      <c r="AX14" s="22"/>
      <c r="AY14" s="16"/>
      <c r="AZ14" s="16">
        <v>-0.118257377682894</v>
      </c>
      <c r="BA14" s="23">
        <v>43875</v>
      </c>
      <c r="BB14" s="22"/>
      <c r="BD14" s="63">
        <v>2036690.5120000001</v>
      </c>
      <c r="BE14" s="16">
        <v>0.86109999999985998</v>
      </c>
      <c r="BF14" s="24">
        <v>1753794.19988281</v>
      </c>
      <c r="BG14" s="16"/>
      <c r="BH14" s="73"/>
      <c r="BI14" s="71" t="s">
        <v>661</v>
      </c>
    </row>
    <row r="15" spans="2:61" x14ac:dyDescent="0.25">
      <c r="B15" s="14" t="s">
        <v>14</v>
      </c>
      <c r="C15" s="14" t="s">
        <v>433</v>
      </c>
      <c r="D15" s="15" t="s">
        <v>232</v>
      </c>
      <c r="E15" s="15" t="s">
        <v>433</v>
      </c>
      <c r="F15" s="15" t="s">
        <v>906</v>
      </c>
      <c r="G15" s="86">
        <v>885642282</v>
      </c>
      <c r="H15" s="17">
        <v>43998</v>
      </c>
      <c r="I15" s="49"/>
      <c r="J15" s="49">
        <v>2794.67777777836</v>
      </c>
      <c r="K15" s="16">
        <f t="shared" si="0"/>
        <v>0</v>
      </c>
      <c r="L15" s="17">
        <v>43759</v>
      </c>
      <c r="M15" s="49">
        <v>0</v>
      </c>
      <c r="N15" s="49">
        <v>18930.341244995099</v>
      </c>
      <c r="O15" s="16">
        <f t="shared" si="13"/>
        <v>0</v>
      </c>
      <c r="P15" s="18">
        <v>0</v>
      </c>
      <c r="Q15" s="18">
        <v>1.8875502008031599</v>
      </c>
      <c r="R15" s="16">
        <f t="shared" si="1"/>
        <v>0</v>
      </c>
      <c r="T15" s="19"/>
      <c r="U15" s="19" t="str">
        <f t="shared" si="2"/>
        <v/>
      </c>
      <c r="V15" s="19"/>
      <c r="W15" s="19" t="str">
        <f t="shared" si="3"/>
        <v/>
      </c>
      <c r="X15" s="19">
        <v>5.1979550613396E-2</v>
      </c>
      <c r="Y15" s="19">
        <f t="shared" si="4"/>
        <v>0.19674052985741602</v>
      </c>
      <c r="Z15" s="19">
        <v>6.0911452459549799E-2</v>
      </c>
      <c r="AA15" s="19">
        <f t="shared" si="5"/>
        <v>-4.1831411623279198E-2</v>
      </c>
      <c r="AB15" s="19">
        <v>6.0911452459549799E-2</v>
      </c>
      <c r="AC15" s="19">
        <f t="shared" si="6"/>
        <v>-0.16024953498723321</v>
      </c>
      <c r="AD15" s="19">
        <v>4.7082066672373898E-2</v>
      </c>
      <c r="AE15" s="19">
        <f t="shared" si="7"/>
        <v>0.21722836922992389</v>
      </c>
      <c r="AF15" s="19">
        <v>2.01441812168923E-2</v>
      </c>
      <c r="AG15" s="19">
        <f t="shared" si="8"/>
        <v>0.2250522641115823</v>
      </c>
      <c r="AH15" s="19">
        <v>-7.04979638467194E-2</v>
      </c>
      <c r="AI15" s="19">
        <f t="shared" si="9"/>
        <v>0.19910998467268659</v>
      </c>
      <c r="AJ15" s="19">
        <v>-2.55657163224896E-2</v>
      </c>
      <c r="AK15" s="19">
        <f t="shared" si="10"/>
        <v>0.1482784754744714</v>
      </c>
      <c r="AL15" s="19">
        <v>5.2400481832592001E-2</v>
      </c>
      <c r="AM15" s="19">
        <f t="shared" si="11"/>
        <v>4.771968438762992E-2</v>
      </c>
      <c r="AN15" s="19">
        <v>0.29232934752508299</v>
      </c>
      <c r="AO15" s="19">
        <f t="shared" si="12"/>
        <v>0.28104725029334077</v>
      </c>
      <c r="AP15" s="20"/>
      <c r="AR15" s="16">
        <v>3.7453184631886001E-5</v>
      </c>
      <c r="AS15" s="16">
        <v>-7.4906367044604797E-3</v>
      </c>
      <c r="AT15" s="16">
        <v>4.1264944080467103E-2</v>
      </c>
      <c r="AU15" s="16">
        <v>-7.4906367044604797E-3</v>
      </c>
      <c r="AV15" s="21">
        <v>2</v>
      </c>
      <c r="AW15" s="21">
        <v>2</v>
      </c>
      <c r="AX15" s="22"/>
      <c r="AY15" s="16"/>
      <c r="AZ15" s="16">
        <v>-1.6796394921111599E-2</v>
      </c>
      <c r="BA15" s="23">
        <v>43819</v>
      </c>
      <c r="BB15" s="22">
        <v>6.8433870573244293E-2</v>
      </c>
      <c r="BD15" s="63">
        <v>328015.65999999997</v>
      </c>
      <c r="BE15" s="16">
        <v>0.42380000000004697</v>
      </c>
      <c r="BF15" s="24">
        <v>139013.036708008</v>
      </c>
      <c r="BG15" s="16"/>
      <c r="BH15" s="73"/>
      <c r="BI15" s="71" t="s">
        <v>662</v>
      </c>
    </row>
    <row r="16" spans="2:61" x14ac:dyDescent="0.25">
      <c r="B16" s="14" t="s">
        <v>15</v>
      </c>
      <c r="C16" s="14" t="s">
        <v>434</v>
      </c>
      <c r="D16" s="15" t="s">
        <v>233</v>
      </c>
      <c r="E16" s="15" t="s">
        <v>434</v>
      </c>
      <c r="F16" s="15" t="s">
        <v>907</v>
      </c>
      <c r="G16" s="86">
        <v>1053651998.499</v>
      </c>
      <c r="H16" s="17">
        <v>43999</v>
      </c>
      <c r="I16" s="49">
        <v>125.430000000051</v>
      </c>
      <c r="J16" s="49">
        <v>165.250325409928</v>
      </c>
      <c r="K16" s="16">
        <f t="shared" si="0"/>
        <v>0.7590302753649848</v>
      </c>
      <c r="L16" s="17">
        <v>43810</v>
      </c>
      <c r="M16" s="49">
        <v>2345058.855</v>
      </c>
      <c r="N16" s="49">
        <v>1265177.35826563</v>
      </c>
      <c r="O16" s="16">
        <f t="shared" si="13"/>
        <v>1.853541592156476</v>
      </c>
      <c r="P16" s="18">
        <v>599</v>
      </c>
      <c r="Q16" s="18">
        <v>468.763052208815</v>
      </c>
      <c r="R16" s="16">
        <f t="shared" si="1"/>
        <v>1.27783108582792</v>
      </c>
      <c r="T16" s="19">
        <v>3.6611570249078802E-2</v>
      </c>
      <c r="U16" s="19">
        <f t="shared" si="2"/>
        <v>2.2489169339678504E-2</v>
      </c>
      <c r="V16" s="19">
        <v>0.140480087289761</v>
      </c>
      <c r="W16" s="19">
        <f t="shared" si="3"/>
        <v>4.5107787695160093E-2</v>
      </c>
      <c r="X16" s="19">
        <v>-0.20837333244067799</v>
      </c>
      <c r="Y16" s="19">
        <f t="shared" si="4"/>
        <v>-6.3612353196657978E-2</v>
      </c>
      <c r="Z16" s="19">
        <v>0.14027272727253101</v>
      </c>
      <c r="AA16" s="19">
        <f t="shared" si="5"/>
        <v>3.7529863189702015E-2</v>
      </c>
      <c r="AB16" s="19">
        <v>0.12704294534167301</v>
      </c>
      <c r="AC16" s="19">
        <f t="shared" si="6"/>
        <v>-9.4118042105109989E-2</v>
      </c>
      <c r="AD16" s="19">
        <v>-0.21796880719921299</v>
      </c>
      <c r="AE16" s="19">
        <f t="shared" si="7"/>
        <v>-4.7822504641662988E-2</v>
      </c>
      <c r="AF16" s="19">
        <v>-7.9334316054882906E-2</v>
      </c>
      <c r="AG16" s="19">
        <f t="shared" si="8"/>
        <v>0.12557376683980709</v>
      </c>
      <c r="AH16" s="19">
        <v>9.9360069305548707E-2</v>
      </c>
      <c r="AI16" s="19">
        <f t="shared" si="9"/>
        <v>0.3689680178249547</v>
      </c>
      <c r="AJ16" s="19">
        <v>-0.210004246409808</v>
      </c>
      <c r="AK16" s="19">
        <f t="shared" si="10"/>
        <v>-3.6160054612846992E-2</v>
      </c>
      <c r="AL16" s="19">
        <v>-0.34341917453799398</v>
      </c>
      <c r="AM16" s="19">
        <f t="shared" si="11"/>
        <v>-0.34809997198295606</v>
      </c>
      <c r="AN16" s="19">
        <v>-0.38930191389052199</v>
      </c>
      <c r="AO16" s="19">
        <f t="shared" si="12"/>
        <v>-0.40058401112226416</v>
      </c>
      <c r="AP16" s="20">
        <v>46.128231420996599</v>
      </c>
      <c r="AR16" s="16">
        <v>7.8173913043428897E-2</v>
      </c>
      <c r="AS16" s="16">
        <v>-0.153975835909514</v>
      </c>
      <c r="AT16" s="16">
        <v>0.18288461538584699</v>
      </c>
      <c r="AU16" s="16">
        <v>-0.191134989925486</v>
      </c>
      <c r="AV16" s="21">
        <v>2</v>
      </c>
      <c r="AW16" s="21">
        <v>4</v>
      </c>
      <c r="AX16" s="22">
        <v>-0.760715319875089</v>
      </c>
      <c r="AY16" s="16">
        <v>5.3439572236093198E-2</v>
      </c>
      <c r="AZ16" s="16">
        <v>-0.39743744711799101</v>
      </c>
      <c r="BA16" s="23">
        <v>43837</v>
      </c>
      <c r="BB16" s="22">
        <v>1.2274667748952199</v>
      </c>
      <c r="BD16" s="63">
        <v>8400318.8910000008</v>
      </c>
      <c r="BE16" s="16">
        <v>0.66700000000069803</v>
      </c>
      <c r="BF16" s="24">
        <v>5603012.7002968797</v>
      </c>
      <c r="BG16" s="16">
        <v>0.33300000000046598</v>
      </c>
      <c r="BH16" s="73">
        <v>2797306.1907031299</v>
      </c>
      <c r="BI16" s="71" t="s">
        <v>663</v>
      </c>
    </row>
    <row r="17" spans="2:61" x14ac:dyDescent="0.25">
      <c r="B17" s="14" t="s">
        <v>16</v>
      </c>
      <c r="C17" s="14" t="s">
        <v>435</v>
      </c>
      <c r="D17" s="15" t="s">
        <v>234</v>
      </c>
      <c r="E17" s="15" t="s">
        <v>435</v>
      </c>
      <c r="F17" s="15" t="s">
        <v>908</v>
      </c>
      <c r="G17" s="86">
        <v>155259906.185</v>
      </c>
      <c r="H17" s="17">
        <v>43971</v>
      </c>
      <c r="I17" s="49"/>
      <c r="J17" s="49">
        <v>182.73647535382801</v>
      </c>
      <c r="K17" s="16">
        <f t="shared" si="0"/>
        <v>0</v>
      </c>
      <c r="L17" s="17">
        <v>43713</v>
      </c>
      <c r="M17" s="49">
        <v>0</v>
      </c>
      <c r="N17" s="49">
        <v>114338.639863403</v>
      </c>
      <c r="O17" s="16">
        <f t="shared" si="13"/>
        <v>0</v>
      </c>
      <c r="P17" s="18">
        <v>0</v>
      </c>
      <c r="Q17" s="18">
        <v>0.22891566265070701</v>
      </c>
      <c r="R17" s="16">
        <f t="shared" si="1"/>
        <v>0</v>
      </c>
      <c r="T17" s="19"/>
      <c r="U17" s="19" t="str">
        <f t="shared" si="2"/>
        <v/>
      </c>
      <c r="V17" s="19"/>
      <c r="W17" s="19" t="str">
        <f t="shared" si="3"/>
        <v/>
      </c>
      <c r="X17" s="19"/>
      <c r="Y17" s="19" t="str">
        <f t="shared" si="4"/>
        <v/>
      </c>
      <c r="Z17" s="19"/>
      <c r="AA17" s="19" t="str">
        <f t="shared" si="5"/>
        <v/>
      </c>
      <c r="AB17" s="19"/>
      <c r="AC17" s="19" t="str">
        <f t="shared" si="6"/>
        <v/>
      </c>
      <c r="AD17" s="19"/>
      <c r="AE17" s="19" t="str">
        <f t="shared" si="7"/>
        <v/>
      </c>
      <c r="AF17" s="19"/>
      <c r="AG17" s="19" t="str">
        <f t="shared" si="8"/>
        <v/>
      </c>
      <c r="AH17" s="19"/>
      <c r="AI17" s="19" t="str">
        <f t="shared" si="9"/>
        <v/>
      </c>
      <c r="AJ17" s="19"/>
      <c r="AK17" s="19" t="str">
        <f t="shared" si="10"/>
        <v/>
      </c>
      <c r="AL17" s="19"/>
      <c r="AM17" s="19" t="str">
        <f t="shared" si="11"/>
        <v/>
      </c>
      <c r="AN17" s="19"/>
      <c r="AO17" s="19" t="str">
        <f t="shared" si="12"/>
        <v/>
      </c>
      <c r="AP17" s="20"/>
      <c r="AR17" s="16"/>
      <c r="AS17" s="16"/>
      <c r="AT17" s="16">
        <v>1.43575418987893E-2</v>
      </c>
      <c r="AU17" s="16">
        <v>1.43575418987893E-2</v>
      </c>
      <c r="AV17" s="21"/>
      <c r="AW17" s="21"/>
      <c r="AX17" s="22"/>
      <c r="AY17" s="16"/>
      <c r="AZ17" s="16">
        <v>0</v>
      </c>
      <c r="BA17" s="23">
        <v>43971</v>
      </c>
      <c r="BB17" s="22"/>
      <c r="BD17" s="63">
        <v>855096.69099999999</v>
      </c>
      <c r="BE17" s="16">
        <v>0.98129999999888196</v>
      </c>
      <c r="BF17" s="24">
        <v>839106.38287792995</v>
      </c>
      <c r="BG17" s="16"/>
      <c r="BH17" s="73"/>
      <c r="BI17" s="71" t="s">
        <v>664</v>
      </c>
    </row>
    <row r="18" spans="2:61" x14ac:dyDescent="0.25">
      <c r="B18" s="14" t="s">
        <v>17</v>
      </c>
      <c r="C18" s="14" t="s">
        <v>436</v>
      </c>
      <c r="D18" s="15" t="s">
        <v>235</v>
      </c>
      <c r="E18" s="15" t="s">
        <v>436</v>
      </c>
      <c r="F18" s="15" t="s">
        <v>909</v>
      </c>
      <c r="G18" s="86"/>
      <c r="H18" s="17">
        <v>42842</v>
      </c>
      <c r="I18" s="49"/>
      <c r="J18" s="49"/>
      <c r="K18" s="16" t="str">
        <f t="shared" si="0"/>
        <v/>
      </c>
      <c r="L18" s="17"/>
      <c r="M18" s="49">
        <v>0</v>
      </c>
      <c r="N18" s="49">
        <v>0</v>
      </c>
      <c r="O18" s="16" t="str">
        <f t="shared" si="13"/>
        <v/>
      </c>
      <c r="P18" s="18">
        <v>0</v>
      </c>
      <c r="Q18" s="18">
        <v>0</v>
      </c>
      <c r="R18" s="16" t="str">
        <f t="shared" si="1"/>
        <v/>
      </c>
      <c r="T18" s="19"/>
      <c r="U18" s="19" t="str">
        <f t="shared" si="2"/>
        <v/>
      </c>
      <c r="V18" s="19"/>
      <c r="W18" s="19" t="str">
        <f t="shared" si="3"/>
        <v/>
      </c>
      <c r="X18" s="19"/>
      <c r="Y18" s="19" t="str">
        <f t="shared" si="4"/>
        <v/>
      </c>
      <c r="Z18" s="19"/>
      <c r="AA18" s="19" t="str">
        <f t="shared" si="5"/>
        <v/>
      </c>
      <c r="AB18" s="19"/>
      <c r="AC18" s="19" t="str">
        <f t="shared" si="6"/>
        <v/>
      </c>
      <c r="AD18" s="19"/>
      <c r="AE18" s="19" t="str">
        <f t="shared" si="7"/>
        <v/>
      </c>
      <c r="AF18" s="19"/>
      <c r="AG18" s="19" t="str">
        <f t="shared" si="8"/>
        <v/>
      </c>
      <c r="AH18" s="19"/>
      <c r="AI18" s="19" t="str">
        <f t="shared" si="9"/>
        <v/>
      </c>
      <c r="AJ18" s="19"/>
      <c r="AK18" s="19" t="str">
        <f t="shared" si="10"/>
        <v/>
      </c>
      <c r="AL18" s="19"/>
      <c r="AM18" s="19" t="str">
        <f t="shared" si="11"/>
        <v/>
      </c>
      <c r="AN18" s="19"/>
      <c r="AO18" s="19" t="str">
        <f t="shared" si="12"/>
        <v/>
      </c>
      <c r="AP18" s="20"/>
      <c r="AR18" s="16"/>
      <c r="AS18" s="16"/>
      <c r="AT18" s="16"/>
      <c r="AU18" s="16"/>
      <c r="AV18" s="21"/>
      <c r="AW18" s="21"/>
      <c r="AX18" s="22"/>
      <c r="AY18" s="16"/>
      <c r="AZ18" s="16"/>
      <c r="BA18" s="23"/>
      <c r="BB18" s="22"/>
      <c r="BD18" s="63">
        <v>22000</v>
      </c>
      <c r="BE18" s="16">
        <v>0.25140000000014001</v>
      </c>
      <c r="BF18" s="24">
        <v>5530.8</v>
      </c>
      <c r="BG18" s="16"/>
      <c r="BH18" s="73"/>
      <c r="BI18" s="71" t="s">
        <v>665</v>
      </c>
    </row>
    <row r="19" spans="2:61" x14ac:dyDescent="0.25">
      <c r="B19" s="14" t="s">
        <v>18</v>
      </c>
      <c r="C19" s="14" t="s">
        <v>437</v>
      </c>
      <c r="D19" s="15" t="s">
        <v>236</v>
      </c>
      <c r="E19" s="15" t="s">
        <v>437</v>
      </c>
      <c r="F19" s="15" t="s">
        <v>907</v>
      </c>
      <c r="G19" s="86">
        <v>1653344386.234</v>
      </c>
      <c r="H19" s="17">
        <v>43999</v>
      </c>
      <c r="I19" s="49">
        <v>270.20000000018598</v>
      </c>
      <c r="J19" s="49">
        <v>403.25159599957999</v>
      </c>
      <c r="K19" s="16">
        <f t="shared" si="0"/>
        <v>0.67005314468852695</v>
      </c>
      <c r="L19" s="17">
        <v>43725</v>
      </c>
      <c r="M19" s="49">
        <v>2972887.2820000001</v>
      </c>
      <c r="N19" s="49">
        <v>2787889.2923906199</v>
      </c>
      <c r="O19" s="16">
        <f t="shared" si="13"/>
        <v>1.0663577245030216</v>
      </c>
      <c r="P19" s="18">
        <v>1583</v>
      </c>
      <c r="Q19" s="18">
        <v>947.714859438129</v>
      </c>
      <c r="R19" s="16">
        <f t="shared" si="1"/>
        <v>1.670333628554175</v>
      </c>
      <c r="T19" s="19">
        <v>-2.4548736461838399E-2</v>
      </c>
      <c r="U19" s="19">
        <f t="shared" si="2"/>
        <v>-3.8671137371238701E-2</v>
      </c>
      <c r="V19" s="19">
        <v>0.149298170990805</v>
      </c>
      <c r="W19" s="19">
        <f t="shared" si="3"/>
        <v>5.3925871396204098E-2</v>
      </c>
      <c r="X19" s="19">
        <v>-0.13460220811437501</v>
      </c>
      <c r="Y19" s="19">
        <f t="shared" si="4"/>
        <v>1.0158771129645E-2</v>
      </c>
      <c r="Z19" s="19">
        <v>0.114088978683867</v>
      </c>
      <c r="AA19" s="19">
        <f t="shared" si="5"/>
        <v>1.1346114601038002E-2</v>
      </c>
      <c r="AB19" s="19">
        <v>0.16974760812270701</v>
      </c>
      <c r="AC19" s="19">
        <f t="shared" si="6"/>
        <v>-5.1413379324075997E-2</v>
      </c>
      <c r="AD19" s="19">
        <v>-0.19982059243018699</v>
      </c>
      <c r="AE19" s="19">
        <f t="shared" si="7"/>
        <v>-2.9674289872636983E-2</v>
      </c>
      <c r="AF19" s="19">
        <v>-0.311823767638998</v>
      </c>
      <c r="AG19" s="19">
        <f t="shared" si="8"/>
        <v>-0.10691568474430799</v>
      </c>
      <c r="AH19" s="19">
        <v>-0.225287395259365</v>
      </c>
      <c r="AI19" s="19">
        <f t="shared" si="9"/>
        <v>4.4320553260041001E-2</v>
      </c>
      <c r="AJ19" s="19">
        <v>-0.20810828441986801</v>
      </c>
      <c r="AK19" s="19">
        <f t="shared" si="10"/>
        <v>-3.4264092622907E-2</v>
      </c>
      <c r="AL19" s="19">
        <v>-0.14626453031640299</v>
      </c>
      <c r="AM19" s="19">
        <f t="shared" si="11"/>
        <v>-0.15094532776136507</v>
      </c>
      <c r="AN19" s="19">
        <v>-3.4574278040963698E-2</v>
      </c>
      <c r="AO19" s="19">
        <f t="shared" si="12"/>
        <v>-4.5856375272705897E-2</v>
      </c>
      <c r="AP19" s="20">
        <v>44.688255016691997</v>
      </c>
      <c r="AR19" s="16">
        <v>0.18456410256476399</v>
      </c>
      <c r="AS19" s="16">
        <v>-0.17021276595740301</v>
      </c>
      <c r="AT19" s="16">
        <v>0.149298170990805</v>
      </c>
      <c r="AU19" s="16">
        <v>-0.16035714285680999</v>
      </c>
      <c r="AV19" s="21">
        <v>2</v>
      </c>
      <c r="AW19" s="21">
        <v>4</v>
      </c>
      <c r="AX19" s="22">
        <v>-0.48516900684308001</v>
      </c>
      <c r="AY19" s="16">
        <v>5.6154383959510598E-2</v>
      </c>
      <c r="AZ19" s="16">
        <v>-0.41745480233163101</v>
      </c>
      <c r="BA19" s="23">
        <v>43838</v>
      </c>
      <c r="BB19" s="22">
        <v>0.93199337878650101</v>
      </c>
      <c r="BD19" s="63">
        <v>5811028.1710000001</v>
      </c>
      <c r="BE19" s="16">
        <v>0.50099999999976697</v>
      </c>
      <c r="BF19" s="24">
        <v>3065601.5451601599</v>
      </c>
      <c r="BG19" s="16">
        <v>0.49900000000023298</v>
      </c>
      <c r="BH19" s="73">
        <v>3053363.6148398402</v>
      </c>
      <c r="BI19" s="71" t="s">
        <v>666</v>
      </c>
    </row>
    <row r="20" spans="2:61" x14ac:dyDescent="0.25">
      <c r="B20" s="14" t="s">
        <v>19</v>
      </c>
      <c r="C20" s="14" t="s">
        <v>438</v>
      </c>
      <c r="D20" s="15" t="s">
        <v>236</v>
      </c>
      <c r="E20" s="15" t="s">
        <v>438</v>
      </c>
      <c r="F20" s="15" t="s">
        <v>907</v>
      </c>
      <c r="G20" s="86">
        <v>1653344386.234</v>
      </c>
      <c r="H20" s="17">
        <v>40934</v>
      </c>
      <c r="I20" s="49"/>
      <c r="J20" s="49"/>
      <c r="K20" s="16" t="str">
        <f t="shared" si="0"/>
        <v/>
      </c>
      <c r="L20" s="17"/>
      <c r="M20" s="49">
        <v>0</v>
      </c>
      <c r="N20" s="49">
        <v>0</v>
      </c>
      <c r="O20" s="16" t="str">
        <f t="shared" si="13"/>
        <v/>
      </c>
      <c r="P20" s="18">
        <v>0</v>
      </c>
      <c r="Q20" s="18">
        <v>0</v>
      </c>
      <c r="R20" s="16" t="str">
        <f t="shared" si="1"/>
        <v/>
      </c>
      <c r="T20" s="19"/>
      <c r="U20" s="19" t="str">
        <f t="shared" si="2"/>
        <v/>
      </c>
      <c r="V20" s="19"/>
      <c r="W20" s="19" t="str">
        <f t="shared" si="3"/>
        <v/>
      </c>
      <c r="X20" s="19"/>
      <c r="Y20" s="19" t="str">
        <f t="shared" si="4"/>
        <v/>
      </c>
      <c r="Z20" s="19"/>
      <c r="AA20" s="19" t="str">
        <f t="shared" si="5"/>
        <v/>
      </c>
      <c r="AB20" s="19"/>
      <c r="AC20" s="19" t="str">
        <f t="shared" si="6"/>
        <v/>
      </c>
      <c r="AD20" s="19"/>
      <c r="AE20" s="19" t="str">
        <f t="shared" si="7"/>
        <v/>
      </c>
      <c r="AF20" s="19"/>
      <c r="AG20" s="19" t="str">
        <f t="shared" si="8"/>
        <v/>
      </c>
      <c r="AH20" s="19"/>
      <c r="AI20" s="19" t="str">
        <f t="shared" si="9"/>
        <v/>
      </c>
      <c r="AJ20" s="19"/>
      <c r="AK20" s="19" t="str">
        <f t="shared" si="10"/>
        <v/>
      </c>
      <c r="AL20" s="19"/>
      <c r="AM20" s="19" t="str">
        <f t="shared" si="11"/>
        <v/>
      </c>
      <c r="AN20" s="19"/>
      <c r="AO20" s="19" t="str">
        <f t="shared" si="12"/>
        <v/>
      </c>
      <c r="AP20" s="20"/>
      <c r="AR20" s="16"/>
      <c r="AS20" s="16"/>
      <c r="AT20" s="16"/>
      <c r="AU20" s="16"/>
      <c r="AV20" s="21"/>
      <c r="AW20" s="21"/>
      <c r="AX20" s="22"/>
      <c r="AY20" s="16"/>
      <c r="AZ20" s="16"/>
      <c r="BA20" s="23"/>
      <c r="BB20" s="22"/>
      <c r="BD20" s="63">
        <v>307936.989</v>
      </c>
      <c r="BE20" s="16">
        <v>0.50099999999976697</v>
      </c>
      <c r="BF20" s="24">
        <v>3065601.5451601599</v>
      </c>
      <c r="BG20" s="16">
        <v>0.49900000000023298</v>
      </c>
      <c r="BH20" s="73">
        <v>3053363.6148398402</v>
      </c>
      <c r="BI20" s="71" t="s">
        <v>666</v>
      </c>
    </row>
    <row r="21" spans="2:61" x14ac:dyDescent="0.25">
      <c r="B21" s="14" t="s">
        <v>20</v>
      </c>
      <c r="C21" s="14" t="s">
        <v>439</v>
      </c>
      <c r="D21" s="15" t="s">
        <v>237</v>
      </c>
      <c r="E21" s="15" t="s">
        <v>439</v>
      </c>
      <c r="F21" s="15" t="s">
        <v>906</v>
      </c>
      <c r="G21" s="86">
        <v>720703165.24000001</v>
      </c>
      <c r="H21" s="17">
        <v>43999</v>
      </c>
      <c r="I21" s="49">
        <v>40</v>
      </c>
      <c r="J21" s="49">
        <v>47.554846153827398</v>
      </c>
      <c r="K21" s="16">
        <f t="shared" si="0"/>
        <v>0.84113404279787884</v>
      </c>
      <c r="L21" s="17">
        <v>43643</v>
      </c>
      <c r="M21" s="49">
        <v>89235.95</v>
      </c>
      <c r="N21" s="49">
        <v>28407.539546173099</v>
      </c>
      <c r="O21" s="16">
        <f t="shared" si="13"/>
        <v>3.1412769787738042</v>
      </c>
      <c r="P21" s="18">
        <v>18</v>
      </c>
      <c r="Q21" s="18"/>
      <c r="R21" s="16" t="str">
        <f t="shared" si="1"/>
        <v/>
      </c>
      <c r="T21" s="19">
        <v>0</v>
      </c>
      <c r="U21" s="19">
        <f t="shared" si="2"/>
        <v>-1.41224009094003E-2</v>
      </c>
      <c r="V21" s="19">
        <v>7.7586206896739895E-2</v>
      </c>
      <c r="W21" s="19">
        <f t="shared" si="3"/>
        <v>-1.7786092697861008E-2</v>
      </c>
      <c r="X21" s="19">
        <v>-2.5076165923565E-2</v>
      </c>
      <c r="Y21" s="19">
        <f t="shared" si="4"/>
        <v>0.11968481332045501</v>
      </c>
      <c r="Z21" s="19">
        <v>0.12807685674488301</v>
      </c>
      <c r="AA21" s="19">
        <f t="shared" si="5"/>
        <v>2.5333992662054008E-2</v>
      </c>
      <c r="AB21" s="19">
        <v>0.186888082162186</v>
      </c>
      <c r="AC21" s="19">
        <f t="shared" si="6"/>
        <v>-3.4272905284597005E-2</v>
      </c>
      <c r="AD21" s="19">
        <v>3.1216101249810901E-2</v>
      </c>
      <c r="AE21" s="19">
        <f t="shared" si="7"/>
        <v>0.2013624038073609</v>
      </c>
      <c r="AF21" s="19">
        <v>-0.148844228671805</v>
      </c>
      <c r="AG21" s="19">
        <f t="shared" si="8"/>
        <v>5.6063854222885012E-2</v>
      </c>
      <c r="AH21" s="19">
        <v>-0.19545120488881401</v>
      </c>
      <c r="AI21" s="19">
        <f t="shared" si="9"/>
        <v>7.4156743630591992E-2</v>
      </c>
      <c r="AJ21" s="19">
        <v>-0.195607397627027</v>
      </c>
      <c r="AK21" s="19">
        <f t="shared" si="10"/>
        <v>-2.1763205830065996E-2</v>
      </c>
      <c r="AL21" s="19">
        <v>6.9782238057086901E-2</v>
      </c>
      <c r="AM21" s="19">
        <f t="shared" si="11"/>
        <v>6.510144061212482E-2</v>
      </c>
      <c r="AN21" s="19">
        <v>-0.176932303859794</v>
      </c>
      <c r="AO21" s="19">
        <f t="shared" si="12"/>
        <v>-0.1882144010915362</v>
      </c>
      <c r="AP21" s="20"/>
      <c r="AR21" s="16">
        <v>9.4339622641273296E-2</v>
      </c>
      <c r="AS21" s="16">
        <v>-8.3357204238418497E-2</v>
      </c>
      <c r="AT21" s="16">
        <v>0.203606557377498</v>
      </c>
      <c r="AU21" s="16">
        <v>-0.20840903192409299</v>
      </c>
      <c r="AV21" s="21">
        <v>4</v>
      </c>
      <c r="AW21" s="21">
        <v>2</v>
      </c>
      <c r="AX21" s="22"/>
      <c r="AY21" s="16"/>
      <c r="AZ21" s="16">
        <v>-0.40045248868758798</v>
      </c>
      <c r="BA21" s="23">
        <v>43845</v>
      </c>
      <c r="BB21" s="22">
        <v>1.1239424416126</v>
      </c>
      <c r="BD21" s="63">
        <v>18017579.131000001</v>
      </c>
      <c r="BE21" s="16">
        <v>9.6499999999941799E-2</v>
      </c>
      <c r="BF21" s="24">
        <v>1738696.3861406201</v>
      </c>
      <c r="BG21" s="16">
        <v>0.218000000000175</v>
      </c>
      <c r="BH21" s="73">
        <v>3927832.2505585901</v>
      </c>
      <c r="BI21" s="71" t="s">
        <v>667</v>
      </c>
    </row>
    <row r="22" spans="2:61" x14ac:dyDescent="0.25">
      <c r="B22" s="14" t="s">
        <v>21</v>
      </c>
      <c r="C22" s="14" t="s">
        <v>440</v>
      </c>
      <c r="D22" s="15" t="s">
        <v>238</v>
      </c>
      <c r="E22" s="15" t="s">
        <v>440</v>
      </c>
      <c r="F22" s="15" t="s">
        <v>910</v>
      </c>
      <c r="G22" s="86"/>
      <c r="H22" s="17">
        <v>41838</v>
      </c>
      <c r="I22" s="49"/>
      <c r="J22" s="49"/>
      <c r="K22" s="16" t="str">
        <f t="shared" si="0"/>
        <v/>
      </c>
      <c r="L22" s="17"/>
      <c r="M22" s="49">
        <v>0</v>
      </c>
      <c r="N22" s="49">
        <v>0</v>
      </c>
      <c r="O22" s="16" t="str">
        <f t="shared" si="13"/>
        <v/>
      </c>
      <c r="P22" s="18">
        <v>0</v>
      </c>
      <c r="Q22" s="18">
        <v>0</v>
      </c>
      <c r="R22" s="16" t="str">
        <f t="shared" si="1"/>
        <v/>
      </c>
      <c r="T22" s="19"/>
      <c r="U22" s="19" t="str">
        <f t="shared" si="2"/>
        <v/>
      </c>
      <c r="V22" s="19"/>
      <c r="W22" s="19" t="str">
        <f t="shared" si="3"/>
        <v/>
      </c>
      <c r="X22" s="19"/>
      <c r="Y22" s="19" t="str">
        <f t="shared" si="4"/>
        <v/>
      </c>
      <c r="Z22" s="19"/>
      <c r="AA22" s="19" t="str">
        <f t="shared" si="5"/>
        <v/>
      </c>
      <c r="AB22" s="19"/>
      <c r="AC22" s="19" t="str">
        <f t="shared" si="6"/>
        <v/>
      </c>
      <c r="AD22" s="19"/>
      <c r="AE22" s="19" t="str">
        <f t="shared" si="7"/>
        <v/>
      </c>
      <c r="AF22" s="19"/>
      <c r="AG22" s="19" t="str">
        <f t="shared" si="8"/>
        <v/>
      </c>
      <c r="AH22" s="19"/>
      <c r="AI22" s="19" t="str">
        <f t="shared" si="9"/>
        <v/>
      </c>
      <c r="AJ22" s="19"/>
      <c r="AK22" s="19" t="str">
        <f t="shared" si="10"/>
        <v/>
      </c>
      <c r="AL22" s="19"/>
      <c r="AM22" s="19" t="str">
        <f t="shared" si="11"/>
        <v/>
      </c>
      <c r="AN22" s="19"/>
      <c r="AO22" s="19" t="str">
        <f t="shared" si="12"/>
        <v/>
      </c>
      <c r="AP22" s="20"/>
      <c r="AR22" s="16"/>
      <c r="AS22" s="16"/>
      <c r="AT22" s="16"/>
      <c r="AU22" s="16"/>
      <c r="AV22" s="21"/>
      <c r="AW22" s="21"/>
      <c r="AX22" s="22"/>
      <c r="AY22" s="16"/>
      <c r="AZ22" s="16"/>
      <c r="BA22" s="23"/>
      <c r="BB22" s="22"/>
      <c r="BD22" s="63">
        <v>1474.5</v>
      </c>
      <c r="BE22" s="16">
        <v>0.45849999999976698</v>
      </c>
      <c r="BF22" s="24">
        <v>676.05825000000004</v>
      </c>
      <c r="BG22" s="16"/>
      <c r="BH22" s="73"/>
      <c r="BI22" s="71" t="s">
        <v>668</v>
      </c>
    </row>
    <row r="23" spans="2:61" x14ac:dyDescent="0.25">
      <c r="B23" s="14" t="s">
        <v>22</v>
      </c>
      <c r="C23" s="14" t="s">
        <v>441</v>
      </c>
      <c r="D23" s="15" t="s">
        <v>239</v>
      </c>
      <c r="E23" s="15" t="s">
        <v>441</v>
      </c>
      <c r="F23" s="15" t="s">
        <v>906</v>
      </c>
      <c r="G23" s="86">
        <v>2773354249.5440001</v>
      </c>
      <c r="H23" s="17">
        <v>43999</v>
      </c>
      <c r="I23" s="49">
        <v>6076.8999999985099</v>
      </c>
      <c r="J23" s="49">
        <v>8115.3755852132999</v>
      </c>
      <c r="K23" s="16">
        <f t="shared" si="0"/>
        <v>0.74881315549596805</v>
      </c>
      <c r="L23" s="17">
        <v>43641</v>
      </c>
      <c r="M23" s="49">
        <v>37087.370000000003</v>
      </c>
      <c r="N23" s="49">
        <v>323946.70875488297</v>
      </c>
      <c r="O23" s="16">
        <f t="shared" si="13"/>
        <v>0.11448602192177997</v>
      </c>
      <c r="P23" s="18">
        <v>6</v>
      </c>
      <c r="Q23" s="18">
        <v>22.3935742971953</v>
      </c>
      <c r="R23" s="16">
        <f t="shared" si="1"/>
        <v>0.26793400286936214</v>
      </c>
      <c r="T23" s="19">
        <v>1.3796670113151799E-2</v>
      </c>
      <c r="U23" s="19">
        <f t="shared" si="2"/>
        <v>-3.2573079624850093E-4</v>
      </c>
      <c r="V23" s="19">
        <v>8.5160714285011596E-2</v>
      </c>
      <c r="W23" s="19">
        <f t="shared" si="3"/>
        <v>-1.0211585309589308E-2</v>
      </c>
      <c r="X23" s="19">
        <v>-0.154196241559548</v>
      </c>
      <c r="Y23" s="19">
        <f t="shared" si="4"/>
        <v>-9.4352623155279924E-3</v>
      </c>
      <c r="Z23" s="19">
        <v>7.8631143613165505E-2</v>
      </c>
      <c r="AA23" s="19">
        <f t="shared" si="5"/>
        <v>-2.4111720469663492E-2</v>
      </c>
      <c r="AB23" s="19">
        <v>2.5178244723065301E-2</v>
      </c>
      <c r="AC23" s="19">
        <f t="shared" si="6"/>
        <v>-0.19598274272371771</v>
      </c>
      <c r="AD23" s="19">
        <v>-0.14195360014316999</v>
      </c>
      <c r="AE23" s="19">
        <f t="shared" si="7"/>
        <v>2.8192702414380016E-2</v>
      </c>
      <c r="AF23" s="19">
        <v>-0.24034292065974999</v>
      </c>
      <c r="AG23" s="19">
        <f t="shared" si="8"/>
        <v>-3.5434837765059984E-2</v>
      </c>
      <c r="AH23" s="19">
        <v>-0.40141138346982203</v>
      </c>
      <c r="AI23" s="19">
        <f t="shared" si="9"/>
        <v>-0.13180343495041602</v>
      </c>
      <c r="AJ23" s="19">
        <v>-0.221041911899229</v>
      </c>
      <c r="AK23" s="19">
        <f t="shared" si="10"/>
        <v>-4.7197720102267998E-2</v>
      </c>
      <c r="AL23" s="19">
        <v>9.9328267095261297E-2</v>
      </c>
      <c r="AM23" s="19">
        <f t="shared" si="11"/>
        <v>9.4647469650299215E-2</v>
      </c>
      <c r="AN23" s="19">
        <v>-3.4757316958348397E-2</v>
      </c>
      <c r="AO23" s="19">
        <f t="shared" si="12"/>
        <v>-4.6039414190090597E-2</v>
      </c>
      <c r="AP23" s="20">
        <v>36.162606680707498</v>
      </c>
      <c r="AR23" s="16">
        <v>7.2727272725387607E-2</v>
      </c>
      <c r="AS23" s="16">
        <v>-8.3987271122168694E-2</v>
      </c>
      <c r="AT23" s="16">
        <v>8.5160714285011596E-2</v>
      </c>
      <c r="AU23" s="16">
        <v>-0.11090540540506499</v>
      </c>
      <c r="AV23" s="21">
        <v>2</v>
      </c>
      <c r="AW23" s="21">
        <v>4</v>
      </c>
      <c r="AX23" s="22">
        <v>-0.71438657684120699</v>
      </c>
      <c r="AY23" s="16">
        <v>3.81303254211161E-2</v>
      </c>
      <c r="AZ23" s="16">
        <v>-0.37332448074535901</v>
      </c>
      <c r="BA23" s="23">
        <v>43847</v>
      </c>
      <c r="BB23" s="22">
        <v>0.46296504334895899</v>
      </c>
      <c r="BD23" s="63">
        <v>456376.48300000001</v>
      </c>
      <c r="BE23" s="16">
        <v>0.63400000000023304</v>
      </c>
      <c r="BF23" s="24">
        <v>289342.69022216799</v>
      </c>
      <c r="BG23" s="16">
        <v>0.25989999999990698</v>
      </c>
      <c r="BH23" s="73">
        <v>118612.247931641</v>
      </c>
      <c r="BI23" s="71" t="s">
        <v>669</v>
      </c>
    </row>
    <row r="24" spans="2:61" x14ac:dyDescent="0.25">
      <c r="B24" s="14" t="s">
        <v>23</v>
      </c>
      <c r="C24" s="14" t="s">
        <v>442</v>
      </c>
      <c r="D24" s="15" t="s">
        <v>240</v>
      </c>
      <c r="E24" s="15" t="s">
        <v>442</v>
      </c>
      <c r="F24" s="15" t="s">
        <v>909</v>
      </c>
      <c r="G24" s="86">
        <v>660316979.14699996</v>
      </c>
      <c r="H24" s="17">
        <v>43997</v>
      </c>
      <c r="I24" s="49"/>
      <c r="J24" s="49">
        <v>96.739999999990701</v>
      </c>
      <c r="K24" s="16">
        <f t="shared" si="0"/>
        <v>0</v>
      </c>
      <c r="L24" s="17">
        <v>43997</v>
      </c>
      <c r="M24" s="49">
        <v>0</v>
      </c>
      <c r="N24" s="49">
        <v>13297.200895584099</v>
      </c>
      <c r="O24" s="16">
        <f t="shared" si="13"/>
        <v>0</v>
      </c>
      <c r="P24" s="18">
        <v>0</v>
      </c>
      <c r="Q24" s="18">
        <v>1.0281124497996601</v>
      </c>
      <c r="R24" s="16">
        <f t="shared" si="1"/>
        <v>0</v>
      </c>
      <c r="T24" s="19"/>
      <c r="U24" s="19" t="str">
        <f t="shared" si="2"/>
        <v/>
      </c>
      <c r="V24" s="19">
        <v>0</v>
      </c>
      <c r="W24" s="19">
        <f t="shared" si="3"/>
        <v>-9.5372299594600904E-2</v>
      </c>
      <c r="X24" s="19"/>
      <c r="Y24" s="19" t="str">
        <f t="shared" si="4"/>
        <v/>
      </c>
      <c r="Z24" s="19"/>
      <c r="AA24" s="19" t="str">
        <f t="shared" si="5"/>
        <v/>
      </c>
      <c r="AB24" s="19">
        <v>0</v>
      </c>
      <c r="AC24" s="19">
        <f t="shared" si="6"/>
        <v>-0.221160987446783</v>
      </c>
      <c r="AD24" s="19"/>
      <c r="AE24" s="19" t="str">
        <f t="shared" si="7"/>
        <v/>
      </c>
      <c r="AF24" s="19">
        <v>3.7982832618581597E-2</v>
      </c>
      <c r="AG24" s="19">
        <f t="shared" si="8"/>
        <v>0.2428909155132716</v>
      </c>
      <c r="AH24" s="19">
        <v>0.89723475191160096</v>
      </c>
      <c r="AI24" s="19">
        <f t="shared" si="9"/>
        <v>1.1668427004310069</v>
      </c>
      <c r="AJ24" s="19">
        <v>1.20615735461935</v>
      </c>
      <c r="AK24" s="19">
        <f t="shared" si="10"/>
        <v>1.3800015464163111</v>
      </c>
      <c r="AL24" s="19">
        <v>3.71902439024299</v>
      </c>
      <c r="AM24" s="19">
        <f t="shared" si="11"/>
        <v>3.7143435927980279</v>
      </c>
      <c r="AN24" s="19">
        <v>3.42278285879642</v>
      </c>
      <c r="AO24" s="19">
        <f t="shared" si="12"/>
        <v>3.4115007615646777</v>
      </c>
      <c r="AP24" s="20"/>
      <c r="AR24" s="16">
        <v>0</v>
      </c>
      <c r="AS24" s="16">
        <v>0</v>
      </c>
      <c r="AT24" s="16">
        <v>0</v>
      </c>
      <c r="AU24" s="16">
        <v>0</v>
      </c>
      <c r="AV24" s="21"/>
      <c r="AW24" s="21"/>
      <c r="AX24" s="22"/>
      <c r="AY24" s="16"/>
      <c r="AZ24" s="16">
        <v>0</v>
      </c>
      <c r="BA24" s="23">
        <v>43845</v>
      </c>
      <c r="BB24" s="22"/>
      <c r="BD24" s="63">
        <v>6825687.1940000001</v>
      </c>
      <c r="BE24" s="16">
        <v>0.99890000000014001</v>
      </c>
      <c r="BF24" s="24">
        <v>6818178.9380859397</v>
      </c>
      <c r="BG24" s="16"/>
      <c r="BH24" s="73"/>
      <c r="BI24" s="71" t="s">
        <v>670</v>
      </c>
    </row>
    <row r="25" spans="2:61" x14ac:dyDescent="0.25">
      <c r="B25" s="14" t="s">
        <v>24</v>
      </c>
      <c r="C25" s="14" t="s">
        <v>443</v>
      </c>
      <c r="D25" s="15" t="s">
        <v>241</v>
      </c>
      <c r="E25" s="15" t="s">
        <v>443</v>
      </c>
      <c r="F25" s="15" t="s">
        <v>910</v>
      </c>
      <c r="G25" s="86"/>
      <c r="H25" s="17">
        <v>35039</v>
      </c>
      <c r="I25" s="49"/>
      <c r="J25" s="49"/>
      <c r="K25" s="16" t="str">
        <f t="shared" si="0"/>
        <v/>
      </c>
      <c r="L25" s="17"/>
      <c r="M25" s="49">
        <v>0</v>
      </c>
      <c r="N25" s="49">
        <v>0</v>
      </c>
      <c r="O25" s="16" t="str">
        <f t="shared" si="13"/>
        <v/>
      </c>
      <c r="P25" s="18">
        <v>0</v>
      </c>
      <c r="Q25" s="18">
        <v>0</v>
      </c>
      <c r="R25" s="16" t="str">
        <f t="shared" si="1"/>
        <v/>
      </c>
      <c r="T25" s="19"/>
      <c r="U25" s="19" t="str">
        <f t="shared" si="2"/>
        <v/>
      </c>
      <c r="V25" s="19"/>
      <c r="W25" s="19" t="str">
        <f t="shared" si="3"/>
        <v/>
      </c>
      <c r="X25" s="19"/>
      <c r="Y25" s="19" t="str">
        <f t="shared" si="4"/>
        <v/>
      </c>
      <c r="Z25" s="19"/>
      <c r="AA25" s="19" t="str">
        <f t="shared" si="5"/>
        <v/>
      </c>
      <c r="AB25" s="19"/>
      <c r="AC25" s="19" t="str">
        <f t="shared" si="6"/>
        <v/>
      </c>
      <c r="AD25" s="19"/>
      <c r="AE25" s="19" t="str">
        <f t="shared" si="7"/>
        <v/>
      </c>
      <c r="AF25" s="19"/>
      <c r="AG25" s="19" t="str">
        <f t="shared" si="8"/>
        <v/>
      </c>
      <c r="AH25" s="19"/>
      <c r="AI25" s="19" t="str">
        <f t="shared" si="9"/>
        <v/>
      </c>
      <c r="AJ25" s="19"/>
      <c r="AK25" s="19" t="str">
        <f t="shared" si="10"/>
        <v/>
      </c>
      <c r="AL25" s="19"/>
      <c r="AM25" s="19" t="str">
        <f t="shared" si="11"/>
        <v/>
      </c>
      <c r="AN25" s="19"/>
      <c r="AO25" s="19" t="str">
        <f t="shared" si="12"/>
        <v/>
      </c>
      <c r="AP25" s="20"/>
      <c r="AR25" s="16"/>
      <c r="AS25" s="16"/>
      <c r="AT25" s="16"/>
      <c r="AU25" s="16"/>
      <c r="AV25" s="21"/>
      <c r="AW25" s="21"/>
      <c r="AX25" s="22"/>
      <c r="AY25" s="16"/>
      <c r="AZ25" s="16"/>
      <c r="BA25" s="23"/>
      <c r="BB25" s="22"/>
      <c r="BD25" s="63">
        <v>1400</v>
      </c>
      <c r="BE25" s="16">
        <v>0.68400000000023298</v>
      </c>
      <c r="BF25" s="24">
        <v>957.6</v>
      </c>
      <c r="BG25" s="16"/>
      <c r="BH25" s="73"/>
      <c r="BI25" s="71" t="s">
        <v>671</v>
      </c>
    </row>
    <row r="26" spans="2:61" x14ac:dyDescent="0.25">
      <c r="B26" s="14" t="s">
        <v>25</v>
      </c>
      <c r="C26" s="14" t="s">
        <v>444</v>
      </c>
      <c r="D26" s="15" t="s">
        <v>242</v>
      </c>
      <c r="E26" s="15" t="s">
        <v>444</v>
      </c>
      <c r="F26" s="15" t="s">
        <v>906</v>
      </c>
      <c r="G26" s="86">
        <v>90034909.637250006</v>
      </c>
      <c r="H26" s="17">
        <v>43998</v>
      </c>
      <c r="I26" s="49"/>
      <c r="J26" s="49">
        <v>2.2000000000007298</v>
      </c>
      <c r="K26" s="16">
        <f t="shared" si="0"/>
        <v>0</v>
      </c>
      <c r="L26" s="17">
        <v>43998</v>
      </c>
      <c r="M26" s="49">
        <v>0</v>
      </c>
      <c r="N26" s="49">
        <v>27.142208835333602</v>
      </c>
      <c r="O26" s="16">
        <f t="shared" si="13"/>
        <v>0</v>
      </c>
      <c r="P26" s="18">
        <v>0</v>
      </c>
      <c r="Q26" s="18">
        <v>8.0321285140598803E-2</v>
      </c>
      <c r="R26" s="16">
        <f t="shared" si="1"/>
        <v>0</v>
      </c>
      <c r="T26" s="19"/>
      <c r="U26" s="19" t="str">
        <f t="shared" si="2"/>
        <v/>
      </c>
      <c r="V26" s="19">
        <v>0</v>
      </c>
      <c r="W26" s="19">
        <f t="shared" si="3"/>
        <v>-9.5372299594600904E-2</v>
      </c>
      <c r="X26" s="19">
        <v>6.2925170066591804E-2</v>
      </c>
      <c r="Y26" s="19">
        <f t="shared" si="4"/>
        <v>0.2076861493106118</v>
      </c>
      <c r="Z26" s="19"/>
      <c r="AA26" s="19" t="str">
        <f t="shared" si="5"/>
        <v/>
      </c>
      <c r="AB26" s="19">
        <v>6.2925170066591804E-2</v>
      </c>
      <c r="AC26" s="19">
        <f t="shared" si="6"/>
        <v>-0.15823581738019121</v>
      </c>
      <c r="AD26" s="19">
        <v>6.2925170066591804E-2</v>
      </c>
      <c r="AE26" s="19">
        <f t="shared" si="7"/>
        <v>0.2330714726241418</v>
      </c>
      <c r="AF26" s="19"/>
      <c r="AG26" s="19" t="str">
        <f t="shared" si="8"/>
        <v/>
      </c>
      <c r="AH26" s="19"/>
      <c r="AI26" s="19" t="str">
        <f t="shared" si="9"/>
        <v/>
      </c>
      <c r="AJ26" s="19"/>
      <c r="AK26" s="19" t="str">
        <f t="shared" si="10"/>
        <v/>
      </c>
      <c r="AL26" s="19"/>
      <c r="AM26" s="19" t="str">
        <f t="shared" si="11"/>
        <v/>
      </c>
      <c r="AN26" s="19">
        <v>0.94869614512193901</v>
      </c>
      <c r="AO26" s="19">
        <f t="shared" si="12"/>
        <v>0.93741404789019678</v>
      </c>
      <c r="AP26" s="20"/>
      <c r="AR26" s="16">
        <v>0</v>
      </c>
      <c r="AS26" s="16">
        <v>0</v>
      </c>
      <c r="AT26" s="16">
        <v>6.2925170066591804E-2</v>
      </c>
      <c r="AU26" s="16">
        <v>0</v>
      </c>
      <c r="AV26" s="21">
        <v>1</v>
      </c>
      <c r="AW26" s="21">
        <v>0</v>
      </c>
      <c r="AX26" s="22"/>
      <c r="AY26" s="16"/>
      <c r="AZ26" s="16">
        <v>0</v>
      </c>
      <c r="BA26" s="23">
        <v>43971</v>
      </c>
      <c r="BB26" s="22">
        <v>-5.4191692620349799E-2</v>
      </c>
      <c r="BD26" s="63">
        <v>40924958.925999999</v>
      </c>
      <c r="BE26" s="16">
        <v>0.99859999999986004</v>
      </c>
      <c r="BF26" s="24">
        <v>40867663.983499996</v>
      </c>
      <c r="BG26" s="16"/>
      <c r="BH26" s="73"/>
      <c r="BI26" s="71" t="s">
        <v>672</v>
      </c>
    </row>
    <row r="27" spans="2:61" x14ac:dyDescent="0.25">
      <c r="B27" s="14" t="s">
        <v>26</v>
      </c>
      <c r="C27" s="14" t="s">
        <v>445</v>
      </c>
      <c r="D27" s="15" t="s">
        <v>243</v>
      </c>
      <c r="E27" s="15" t="s">
        <v>445</v>
      </c>
      <c r="F27" s="15" t="s">
        <v>910</v>
      </c>
      <c r="G27" s="86">
        <v>26949111.75</v>
      </c>
      <c r="H27" s="17">
        <v>43998</v>
      </c>
      <c r="I27" s="49"/>
      <c r="J27" s="49">
        <v>727.99000000022397</v>
      </c>
      <c r="K27" s="16">
        <f t="shared" si="0"/>
        <v>0</v>
      </c>
      <c r="L27" s="17">
        <v>43637</v>
      </c>
      <c r="M27" s="49">
        <v>0</v>
      </c>
      <c r="N27" s="49">
        <v>316.07496787166599</v>
      </c>
      <c r="O27" s="16">
        <f t="shared" si="13"/>
        <v>0</v>
      </c>
      <c r="P27" s="18">
        <v>0</v>
      </c>
      <c r="Q27" s="18"/>
      <c r="R27" s="16" t="str">
        <f t="shared" si="1"/>
        <v/>
      </c>
      <c r="T27" s="19"/>
      <c r="U27" s="19" t="str">
        <f t="shared" si="2"/>
        <v/>
      </c>
      <c r="V27" s="19">
        <v>0</v>
      </c>
      <c r="W27" s="19">
        <f t="shared" si="3"/>
        <v>-9.5372299594600904E-2</v>
      </c>
      <c r="X27" s="19">
        <v>0</v>
      </c>
      <c r="Y27" s="19">
        <f t="shared" si="4"/>
        <v>0.14476097924402001</v>
      </c>
      <c r="Z27" s="19">
        <v>0</v>
      </c>
      <c r="AA27" s="19">
        <f t="shared" si="5"/>
        <v>-0.102742864082829</v>
      </c>
      <c r="AB27" s="19">
        <v>0</v>
      </c>
      <c r="AC27" s="19">
        <f t="shared" si="6"/>
        <v>-0.221160987446783</v>
      </c>
      <c r="AD27" s="19">
        <v>0</v>
      </c>
      <c r="AE27" s="19">
        <f t="shared" si="7"/>
        <v>0.17014630255755001</v>
      </c>
      <c r="AF27" s="19">
        <v>-0.18405472602636999</v>
      </c>
      <c r="AG27" s="19">
        <f t="shared" si="8"/>
        <v>2.0853356868320017E-2</v>
      </c>
      <c r="AH27" s="19">
        <v>-0.28691476590669501</v>
      </c>
      <c r="AI27" s="19">
        <f t="shared" si="9"/>
        <v>-1.7306817387289009E-2</v>
      </c>
      <c r="AJ27" s="19">
        <v>-0.30526315789495101</v>
      </c>
      <c r="AK27" s="19">
        <f t="shared" si="10"/>
        <v>-0.13141896609799</v>
      </c>
      <c r="AL27" s="19">
        <v>-0.266715326685808</v>
      </c>
      <c r="AM27" s="19">
        <f t="shared" si="11"/>
        <v>-0.27139612413077008</v>
      </c>
      <c r="AN27" s="19">
        <v>-0.34004379401623702</v>
      </c>
      <c r="AO27" s="19">
        <f t="shared" si="12"/>
        <v>-0.35132589124797919</v>
      </c>
      <c r="AP27" s="20"/>
      <c r="AR27" s="16">
        <v>0</v>
      </c>
      <c r="AS27" s="16">
        <v>0</v>
      </c>
      <c r="AT27" s="16">
        <v>0</v>
      </c>
      <c r="AU27" s="16">
        <v>0</v>
      </c>
      <c r="AV27" s="21">
        <v>0</v>
      </c>
      <c r="AW27" s="21">
        <v>0</v>
      </c>
      <c r="AX27" s="22"/>
      <c r="AY27" s="16"/>
      <c r="AZ27" s="16">
        <v>0</v>
      </c>
      <c r="BA27" s="23">
        <v>43817</v>
      </c>
      <c r="BB27" s="22">
        <v>0</v>
      </c>
      <c r="BD27" s="63">
        <v>45368.875</v>
      </c>
      <c r="BE27" s="16">
        <v>0.63070000000006998</v>
      </c>
      <c r="BF27" s="24">
        <v>28614.149462493901</v>
      </c>
      <c r="BG27" s="16"/>
      <c r="BH27" s="73"/>
      <c r="BI27" s="71" t="s">
        <v>673</v>
      </c>
    </row>
    <row r="28" spans="2:61" x14ac:dyDescent="0.25">
      <c r="B28" s="14" t="s">
        <v>27</v>
      </c>
      <c r="C28" s="14" t="s">
        <v>446</v>
      </c>
      <c r="D28" s="15" t="s">
        <v>244</v>
      </c>
      <c r="E28" s="15" t="s">
        <v>446</v>
      </c>
      <c r="F28" s="15" t="s">
        <v>906</v>
      </c>
      <c r="G28" s="86">
        <v>7627799794.9200001</v>
      </c>
      <c r="H28" s="17">
        <v>43999</v>
      </c>
      <c r="I28" s="49">
        <v>75.510000000009299</v>
      </c>
      <c r="J28" s="49">
        <v>94.505864771199398</v>
      </c>
      <c r="K28" s="16">
        <f t="shared" si="0"/>
        <v>0.79899803237418687</v>
      </c>
      <c r="L28" s="17">
        <v>43724</v>
      </c>
      <c r="M28" s="49">
        <v>7174907.767</v>
      </c>
      <c r="N28" s="49">
        <v>9732179.1195156295</v>
      </c>
      <c r="O28" s="16">
        <f t="shared" si="13"/>
        <v>0.73723548229937375</v>
      </c>
      <c r="P28" s="18">
        <v>1749</v>
      </c>
      <c r="Q28" s="18">
        <v>1388.8634538147601</v>
      </c>
      <c r="R28" s="16">
        <f t="shared" si="1"/>
        <v>1.2593030619360464</v>
      </c>
      <c r="T28" s="19">
        <v>9.4919786097307206E-3</v>
      </c>
      <c r="U28" s="19">
        <f t="shared" si="2"/>
        <v>-4.6304222996695794E-3</v>
      </c>
      <c r="V28" s="19">
        <v>0.110277900308574</v>
      </c>
      <c r="W28" s="19">
        <f t="shared" si="3"/>
        <v>1.4905600713973094E-2</v>
      </c>
      <c r="X28" s="19">
        <v>5.25320378801553E-2</v>
      </c>
      <c r="Y28" s="19">
        <f t="shared" si="4"/>
        <v>0.1972930171241753</v>
      </c>
      <c r="Z28" s="19">
        <v>0.13548872180399499</v>
      </c>
      <c r="AA28" s="19">
        <f t="shared" si="5"/>
        <v>3.2745857721165991E-2</v>
      </c>
      <c r="AB28" s="19">
        <v>0.273713990571268</v>
      </c>
      <c r="AC28" s="19">
        <f t="shared" si="6"/>
        <v>5.2553003124484993E-2</v>
      </c>
      <c r="AD28" s="19">
        <v>-5.0195300809718901E-3</v>
      </c>
      <c r="AE28" s="19">
        <f t="shared" si="7"/>
        <v>0.16512677247657812</v>
      </c>
      <c r="AF28" s="19">
        <v>-0.14930733780507599</v>
      </c>
      <c r="AG28" s="19">
        <f t="shared" si="8"/>
        <v>5.5600745089614018E-2</v>
      </c>
      <c r="AH28" s="19">
        <v>-0.13734355816355701</v>
      </c>
      <c r="AI28" s="19">
        <f t="shared" si="9"/>
        <v>0.132264390355849</v>
      </c>
      <c r="AJ28" s="19">
        <v>4.9350523990142399E-2</v>
      </c>
      <c r="AK28" s="19">
        <f t="shared" si="10"/>
        <v>0.2231947157871034</v>
      </c>
      <c r="AL28" s="19">
        <v>0.38846825809392599</v>
      </c>
      <c r="AM28" s="19">
        <f t="shared" si="11"/>
        <v>0.38378746064896391</v>
      </c>
      <c r="AN28" s="19">
        <v>0.48858839573746099</v>
      </c>
      <c r="AO28" s="19">
        <f t="shared" si="12"/>
        <v>0.47730629850571882</v>
      </c>
      <c r="AP28" s="20">
        <v>40.711760994978199</v>
      </c>
      <c r="AR28" s="16">
        <v>0.168896321070788</v>
      </c>
      <c r="AS28" s="16">
        <v>-9.3655589123954996E-2</v>
      </c>
      <c r="AT28" s="16">
        <v>0.110277900308574</v>
      </c>
      <c r="AU28" s="16">
        <v>-8.5659898477460999E-2</v>
      </c>
      <c r="AV28" s="21">
        <v>3</v>
      </c>
      <c r="AW28" s="21">
        <v>3</v>
      </c>
      <c r="AX28" s="22">
        <v>8.0330719203288894E-2</v>
      </c>
      <c r="AY28" s="16">
        <v>5.2785137299215398E-2</v>
      </c>
      <c r="AZ28" s="16">
        <v>-0.32429378531116498</v>
      </c>
      <c r="BA28" s="23">
        <v>43840</v>
      </c>
      <c r="BB28" s="22">
        <v>0.36528801065151101</v>
      </c>
      <c r="BD28" s="63">
        <v>101017081.11399999</v>
      </c>
      <c r="BE28" s="16">
        <v>0.28309999999997698</v>
      </c>
      <c r="BF28" s="24">
        <v>28597935.663375001</v>
      </c>
      <c r="BG28" s="16">
        <v>0.319599999999919</v>
      </c>
      <c r="BH28" s="73">
        <v>32285059.124031201</v>
      </c>
      <c r="BI28" s="71" t="s">
        <v>674</v>
      </c>
    </row>
    <row r="29" spans="2:61" x14ac:dyDescent="0.25">
      <c r="B29" s="14" t="s">
        <v>28</v>
      </c>
      <c r="C29" s="14" t="s">
        <v>447</v>
      </c>
      <c r="D29" s="15" t="s">
        <v>245</v>
      </c>
      <c r="E29" s="15" t="s">
        <v>447</v>
      </c>
      <c r="F29" s="15" t="s">
        <v>906</v>
      </c>
      <c r="G29" s="86">
        <v>3979562709.3080001</v>
      </c>
      <c r="H29" s="17">
        <v>43999</v>
      </c>
      <c r="I29" s="49">
        <v>28101</v>
      </c>
      <c r="J29" s="49">
        <v>43605.460750877901</v>
      </c>
      <c r="K29" s="16">
        <f t="shared" si="0"/>
        <v>0.64443763501419371</v>
      </c>
      <c r="L29" s="17">
        <v>43724</v>
      </c>
      <c r="M29" s="49">
        <v>4189932.7319999998</v>
      </c>
      <c r="N29" s="49">
        <v>3018723.30452734</v>
      </c>
      <c r="O29" s="16">
        <f t="shared" si="13"/>
        <v>1.3879817092597175</v>
      </c>
      <c r="P29" s="18">
        <v>776</v>
      </c>
      <c r="Q29" s="18">
        <v>692.51807228941504</v>
      </c>
      <c r="R29" s="16">
        <f t="shared" si="1"/>
        <v>1.1205483741884161</v>
      </c>
      <c r="T29" s="19">
        <v>6.8434252953011301E-3</v>
      </c>
      <c r="U29" s="19">
        <f t="shared" si="2"/>
        <v>-7.27897561409917E-3</v>
      </c>
      <c r="V29" s="19">
        <v>3.6937269373083802E-2</v>
      </c>
      <c r="W29" s="19">
        <f t="shared" si="3"/>
        <v>-5.8435030221517102E-2</v>
      </c>
      <c r="X29" s="19">
        <v>-0.115551867487811</v>
      </c>
      <c r="Y29" s="19">
        <f t="shared" si="4"/>
        <v>2.9209111756209008E-2</v>
      </c>
      <c r="Z29" s="19">
        <v>5.1999101528053898E-2</v>
      </c>
      <c r="AA29" s="19">
        <f t="shared" si="5"/>
        <v>-5.0743762554775099E-2</v>
      </c>
      <c r="AB29" s="19">
        <v>0.133822605965252</v>
      </c>
      <c r="AC29" s="19">
        <f t="shared" si="6"/>
        <v>-8.7338381481531002E-2</v>
      </c>
      <c r="AD29" s="19">
        <v>-0.16106588821538001</v>
      </c>
      <c r="AE29" s="19">
        <f t="shared" si="7"/>
        <v>9.0804143421699957E-3</v>
      </c>
      <c r="AF29" s="19">
        <v>-0.33198890496452799</v>
      </c>
      <c r="AG29" s="19">
        <f t="shared" si="8"/>
        <v>-0.12708082206983798</v>
      </c>
      <c r="AH29" s="19">
        <v>-0.26146031285141402</v>
      </c>
      <c r="AI29" s="19">
        <f t="shared" si="9"/>
        <v>8.1476356679919815E-3</v>
      </c>
      <c r="AJ29" s="19">
        <v>-0.104069154658646</v>
      </c>
      <c r="AK29" s="19">
        <f t="shared" si="10"/>
        <v>6.977503713831501E-2</v>
      </c>
      <c r="AL29" s="19">
        <v>0.239035356296808</v>
      </c>
      <c r="AM29" s="19">
        <f t="shared" si="11"/>
        <v>0.23435455885184592</v>
      </c>
      <c r="AN29" s="19">
        <v>0.31925090416014401</v>
      </c>
      <c r="AO29" s="19">
        <f t="shared" si="12"/>
        <v>0.30796880692840178</v>
      </c>
      <c r="AP29" s="20">
        <v>39.976600636495299</v>
      </c>
      <c r="AR29" s="16">
        <v>8.3558182364940906E-2</v>
      </c>
      <c r="AS29" s="16">
        <v>-0.112744360902143</v>
      </c>
      <c r="AT29" s="16">
        <v>0.14720399141151599</v>
      </c>
      <c r="AU29" s="16">
        <v>-0.12575004838989101</v>
      </c>
      <c r="AV29" s="21">
        <v>2</v>
      </c>
      <c r="AW29" s="21">
        <v>4</v>
      </c>
      <c r="AX29" s="22">
        <v>-0.50324365695723805</v>
      </c>
      <c r="AY29" s="16">
        <v>4.90619163346128E-2</v>
      </c>
      <c r="AZ29" s="16">
        <v>-0.376528704940574</v>
      </c>
      <c r="BA29" s="23">
        <v>43843</v>
      </c>
      <c r="BB29" s="22">
        <v>0.70578693780407797</v>
      </c>
      <c r="BD29" s="63">
        <v>141616.40900000001</v>
      </c>
      <c r="BE29" s="16">
        <v>0.55179999999993001</v>
      </c>
      <c r="BF29" s="24">
        <v>78143.934486206097</v>
      </c>
      <c r="BG29" s="16">
        <v>0.40690000000002302</v>
      </c>
      <c r="BH29" s="73">
        <v>57623.716822082497</v>
      </c>
      <c r="BI29" s="71" t="s">
        <v>675</v>
      </c>
    </row>
    <row r="30" spans="2:61" x14ac:dyDescent="0.25">
      <c r="B30" s="14" t="s">
        <v>29</v>
      </c>
      <c r="C30" s="14" t="s">
        <v>448</v>
      </c>
      <c r="D30" s="15" t="s">
        <v>246</v>
      </c>
      <c r="E30" s="15" t="s">
        <v>448</v>
      </c>
      <c r="F30" s="15" t="s">
        <v>906</v>
      </c>
      <c r="G30" s="86">
        <v>202303812.23124999</v>
      </c>
      <c r="H30" s="17">
        <v>43994</v>
      </c>
      <c r="I30" s="49"/>
      <c r="J30" s="49">
        <v>74.489553375169606</v>
      </c>
      <c r="K30" s="16">
        <f t="shared" si="0"/>
        <v>0</v>
      </c>
      <c r="L30" s="17">
        <v>43763</v>
      </c>
      <c r="M30" s="49">
        <v>0</v>
      </c>
      <c r="N30" s="49">
        <v>854.28844578266103</v>
      </c>
      <c r="O30" s="16">
        <f t="shared" si="13"/>
        <v>0</v>
      </c>
      <c r="P30" s="18">
        <v>0</v>
      </c>
      <c r="Q30" s="18">
        <v>0.212851405622587</v>
      </c>
      <c r="R30" s="16">
        <f t="shared" si="1"/>
        <v>0</v>
      </c>
      <c r="T30" s="19"/>
      <c r="U30" s="19" t="str">
        <f t="shared" si="2"/>
        <v/>
      </c>
      <c r="V30" s="19"/>
      <c r="W30" s="19" t="str">
        <f t="shared" si="3"/>
        <v/>
      </c>
      <c r="X30" s="19"/>
      <c r="Y30" s="19" t="str">
        <f t="shared" si="4"/>
        <v/>
      </c>
      <c r="Z30" s="19">
        <v>0</v>
      </c>
      <c r="AA30" s="19">
        <f t="shared" si="5"/>
        <v>-0.102742864082829</v>
      </c>
      <c r="AB30" s="19"/>
      <c r="AC30" s="19" t="str">
        <f t="shared" si="6"/>
        <v/>
      </c>
      <c r="AD30" s="19"/>
      <c r="AE30" s="19" t="str">
        <f t="shared" si="7"/>
        <v/>
      </c>
      <c r="AF30" s="19"/>
      <c r="AG30" s="19" t="str">
        <f t="shared" si="8"/>
        <v/>
      </c>
      <c r="AH30" s="19"/>
      <c r="AI30" s="19" t="str">
        <f t="shared" si="9"/>
        <v/>
      </c>
      <c r="AJ30" s="19"/>
      <c r="AK30" s="19" t="str">
        <f t="shared" si="10"/>
        <v/>
      </c>
      <c r="AL30" s="19"/>
      <c r="AM30" s="19" t="str">
        <f t="shared" si="11"/>
        <v/>
      </c>
      <c r="AN30" s="19"/>
      <c r="AO30" s="19" t="str">
        <f t="shared" si="12"/>
        <v/>
      </c>
      <c r="AP30" s="20"/>
      <c r="AR30" s="16">
        <v>0</v>
      </c>
      <c r="AS30" s="16">
        <v>0</v>
      </c>
      <c r="AT30" s="16">
        <v>0</v>
      </c>
      <c r="AU30" s="16">
        <v>-2.9590948651275501E-2</v>
      </c>
      <c r="AV30" s="21"/>
      <c r="AW30" s="21"/>
      <c r="AX30" s="22"/>
      <c r="AY30" s="16"/>
      <c r="AZ30" s="16">
        <v>-2.95909486509481E-2</v>
      </c>
      <c r="BA30" s="23">
        <v>43843</v>
      </c>
      <c r="BB30" s="22"/>
      <c r="BD30" s="63">
        <v>3023973.2769999998</v>
      </c>
      <c r="BE30" s="16">
        <v>0.50909999999974398</v>
      </c>
      <c r="BF30" s="24">
        <v>1539504.7953203099</v>
      </c>
      <c r="BG30" s="16"/>
      <c r="BH30" s="73"/>
      <c r="BI30" s="71" t="s">
        <v>676</v>
      </c>
    </row>
    <row r="31" spans="2:61" x14ac:dyDescent="0.25">
      <c r="B31" s="14" t="s">
        <v>30</v>
      </c>
      <c r="C31" s="14" t="s">
        <v>449</v>
      </c>
      <c r="D31" s="15" t="s">
        <v>247</v>
      </c>
      <c r="E31" s="15" t="s">
        <v>449</v>
      </c>
      <c r="F31" s="15" t="s">
        <v>906</v>
      </c>
      <c r="G31" s="86">
        <v>1152402803.444</v>
      </c>
      <c r="H31" s="17">
        <v>43999</v>
      </c>
      <c r="I31" s="49">
        <v>2.2489999999997998</v>
      </c>
      <c r="J31" s="49">
        <v>5.27941089108936</v>
      </c>
      <c r="K31" s="16">
        <f t="shared" si="0"/>
        <v>0.42599449946123408</v>
      </c>
      <c r="L31" s="17">
        <v>43643</v>
      </c>
      <c r="M31" s="49">
        <v>2624324.2960000001</v>
      </c>
      <c r="N31" s="49">
        <v>1521720.7872324199</v>
      </c>
      <c r="O31" s="16">
        <f t="shared" si="13"/>
        <v>1.7245767541711146</v>
      </c>
      <c r="P31" s="18">
        <v>1556</v>
      </c>
      <c r="Q31" s="18">
        <v>700.93975903652597</v>
      </c>
      <c r="R31" s="16">
        <f t="shared" si="1"/>
        <v>2.2198769294222855</v>
      </c>
      <c r="T31" s="19">
        <v>-2.2173913042934101E-2</v>
      </c>
      <c r="U31" s="19">
        <f t="shared" si="2"/>
        <v>-3.6296313952334402E-2</v>
      </c>
      <c r="V31" s="19">
        <v>0.20913978494529101</v>
      </c>
      <c r="W31" s="19">
        <f t="shared" si="3"/>
        <v>0.1137674853506901</v>
      </c>
      <c r="X31" s="19">
        <v>-0.43819532754540003</v>
      </c>
      <c r="Y31" s="19">
        <f t="shared" si="4"/>
        <v>-0.29343434830138004</v>
      </c>
      <c r="Z31" s="19">
        <v>0.12225548902104499</v>
      </c>
      <c r="AA31" s="19">
        <f t="shared" si="5"/>
        <v>1.9512624938215997E-2</v>
      </c>
      <c r="AB31" s="19">
        <v>-0.16703703703766201</v>
      </c>
      <c r="AC31" s="19">
        <f t="shared" si="6"/>
        <v>-0.38819802448444501</v>
      </c>
      <c r="AD31" s="19">
        <v>-0.43948092176113301</v>
      </c>
      <c r="AE31" s="19">
        <f t="shared" si="7"/>
        <v>-0.26933461920358304</v>
      </c>
      <c r="AF31" s="19">
        <v>-0.56646577488456396</v>
      </c>
      <c r="AG31" s="19">
        <f t="shared" si="8"/>
        <v>-0.36155769198987397</v>
      </c>
      <c r="AH31" s="19">
        <v>-0.61619847079622603</v>
      </c>
      <c r="AI31" s="19">
        <f t="shared" si="9"/>
        <v>-0.34659052227682002</v>
      </c>
      <c r="AJ31" s="19">
        <v>-0.58757153571350496</v>
      </c>
      <c r="AK31" s="19">
        <f t="shared" si="10"/>
        <v>-0.41372734391654398</v>
      </c>
      <c r="AL31" s="19">
        <v>-0.52733514336228804</v>
      </c>
      <c r="AM31" s="19">
        <f t="shared" si="11"/>
        <v>-0.53201594080725012</v>
      </c>
      <c r="AN31" s="19">
        <v>-0.57871452673687596</v>
      </c>
      <c r="AO31" s="19">
        <f t="shared" si="12"/>
        <v>-0.58999662396861818</v>
      </c>
      <c r="AP31" s="20">
        <v>53.858976975083401</v>
      </c>
      <c r="AR31" s="16">
        <v>0.191135734072304</v>
      </c>
      <c r="AS31" s="16">
        <v>-0.18518518518511001</v>
      </c>
      <c r="AT31" s="16">
        <v>0.20913978494529101</v>
      </c>
      <c r="AU31" s="16">
        <v>-0.22853470436995801</v>
      </c>
      <c r="AV31" s="21">
        <v>2</v>
      </c>
      <c r="AW31" s="21">
        <v>4</v>
      </c>
      <c r="AX31" s="22">
        <v>-0.83586687472325105</v>
      </c>
      <c r="AY31" s="16">
        <v>6.9652012935039198E-2</v>
      </c>
      <c r="AZ31" s="16">
        <v>-0.56888340126955905</v>
      </c>
      <c r="BA31" s="23">
        <v>43833</v>
      </c>
      <c r="BB31" s="22">
        <v>1.42007578498124</v>
      </c>
      <c r="BD31" s="63">
        <v>512406760.09100002</v>
      </c>
      <c r="BE31" s="16">
        <v>0.26919999999983701</v>
      </c>
      <c r="BF31" s="24">
        <v>137939899.81650001</v>
      </c>
      <c r="BG31" s="16">
        <v>0.50629999999946496</v>
      </c>
      <c r="BH31" s="73">
        <v>259431542.634</v>
      </c>
      <c r="BI31" s="71" t="s">
        <v>677</v>
      </c>
    </row>
    <row r="32" spans="2:61" x14ac:dyDescent="0.25">
      <c r="B32" s="14" t="s">
        <v>31</v>
      </c>
      <c r="C32" s="14" t="s">
        <v>450</v>
      </c>
      <c r="D32" s="15" t="s">
        <v>248</v>
      </c>
      <c r="E32" s="15" t="s">
        <v>450</v>
      </c>
      <c r="F32" s="15" t="s">
        <v>906</v>
      </c>
      <c r="G32" s="86">
        <v>6633303663.1520004</v>
      </c>
      <c r="H32" s="17">
        <v>43999</v>
      </c>
      <c r="I32" s="50">
        <v>35.200000000011599</v>
      </c>
      <c r="J32" s="49">
        <v>50.8096981660347</v>
      </c>
      <c r="K32" s="16">
        <f t="shared" si="0"/>
        <v>0.69278112782693357</v>
      </c>
      <c r="L32" s="17">
        <v>43724</v>
      </c>
      <c r="M32" s="49">
        <v>5221271.2970000003</v>
      </c>
      <c r="N32" s="49">
        <v>5924893.5813124999</v>
      </c>
      <c r="O32" s="16">
        <f t="shared" si="13"/>
        <v>0.88124305109347956</v>
      </c>
      <c r="P32" s="18">
        <v>1278</v>
      </c>
      <c r="Q32" s="18">
        <v>1070.67068273015</v>
      </c>
      <c r="R32" s="16">
        <f t="shared" si="1"/>
        <v>1.1936443395845788</v>
      </c>
      <c r="T32" s="19">
        <v>2.5641025640652501E-2</v>
      </c>
      <c r="U32" s="19">
        <f t="shared" si="2"/>
        <v>1.1518624731252201E-2</v>
      </c>
      <c r="V32" s="19">
        <v>7.9754601227250504E-2</v>
      </c>
      <c r="W32" s="19">
        <f t="shared" si="3"/>
        <v>-1.5617698367350399E-2</v>
      </c>
      <c r="X32" s="19">
        <v>-0.15883482130535401</v>
      </c>
      <c r="Y32" s="19">
        <f t="shared" si="4"/>
        <v>-1.4073842061333997E-2</v>
      </c>
      <c r="Z32" s="19">
        <v>0.121019108281034</v>
      </c>
      <c r="AA32" s="19">
        <f t="shared" si="5"/>
        <v>1.8276244198205005E-2</v>
      </c>
      <c r="AB32" s="19">
        <v>0.164898637162114</v>
      </c>
      <c r="AC32" s="19">
        <f t="shared" si="6"/>
        <v>-5.6262350284668999E-2</v>
      </c>
      <c r="AD32" s="19">
        <v>-0.18167188498133299</v>
      </c>
      <c r="AE32" s="19">
        <f t="shared" si="7"/>
        <v>-1.1525582423782987E-2</v>
      </c>
      <c r="AF32" s="19">
        <v>-0.28658574588102098</v>
      </c>
      <c r="AG32" s="19">
        <f t="shared" si="8"/>
        <v>-8.1677662986330973E-2</v>
      </c>
      <c r="AH32" s="19">
        <v>-0.25650881873298198</v>
      </c>
      <c r="AI32" s="19">
        <f t="shared" si="9"/>
        <v>1.3099129786424024E-2</v>
      </c>
      <c r="AJ32" s="19">
        <v>-7.1549902992046596E-2</v>
      </c>
      <c r="AK32" s="19">
        <f t="shared" si="10"/>
        <v>0.10229428880491441</v>
      </c>
      <c r="AL32" s="19">
        <v>0.27506276398518797</v>
      </c>
      <c r="AM32" s="19">
        <f t="shared" si="11"/>
        <v>0.27038196654022589</v>
      </c>
      <c r="AN32" s="19">
        <v>0.34648482891672799</v>
      </c>
      <c r="AO32" s="19">
        <f t="shared" si="12"/>
        <v>0.33520273168498582</v>
      </c>
      <c r="AP32" s="20">
        <v>43.044407596113203</v>
      </c>
      <c r="AR32" s="16">
        <v>0.105660377357708</v>
      </c>
      <c r="AS32" s="16">
        <v>-0.14653784218986399</v>
      </c>
      <c r="AT32" s="16">
        <v>0.116303530659934</v>
      </c>
      <c r="AU32" s="16">
        <v>-9.5642641819722499E-2</v>
      </c>
      <c r="AV32" s="21">
        <v>2</v>
      </c>
      <c r="AW32" s="21">
        <v>4</v>
      </c>
      <c r="AX32" s="22">
        <v>-0.54733116293209605</v>
      </c>
      <c r="AY32" s="16">
        <v>5.6450067236946802E-2</v>
      </c>
      <c r="AZ32" s="16">
        <v>-0.43242664382152701</v>
      </c>
      <c r="BA32" s="23">
        <v>43840</v>
      </c>
      <c r="BB32" s="22">
        <v>0.76604062264050299</v>
      </c>
      <c r="BD32" s="63">
        <v>188446126.794</v>
      </c>
      <c r="BE32" s="16">
        <v>0.35459999999962699</v>
      </c>
      <c r="BF32" s="24">
        <v>66822996.561125003</v>
      </c>
      <c r="BG32" s="16">
        <v>0.32820000000006999</v>
      </c>
      <c r="BH32" s="73">
        <v>61848018.813812502</v>
      </c>
      <c r="BI32" s="71" t="s">
        <v>678</v>
      </c>
    </row>
    <row r="33" spans="2:61" x14ac:dyDescent="0.25">
      <c r="B33" s="14" t="s">
        <v>32</v>
      </c>
      <c r="C33" s="14" t="s">
        <v>451</v>
      </c>
      <c r="D33" s="15" t="s">
        <v>249</v>
      </c>
      <c r="E33" s="15" t="s">
        <v>451</v>
      </c>
      <c r="F33" s="15" t="s">
        <v>911</v>
      </c>
      <c r="G33" s="86"/>
      <c r="H33" s="17">
        <v>43894</v>
      </c>
      <c r="I33" s="49"/>
      <c r="J33" s="49">
        <v>2111.1999999992499</v>
      </c>
      <c r="K33" s="16">
        <f t="shared" si="0"/>
        <v>0</v>
      </c>
      <c r="L33" s="17">
        <v>43894</v>
      </c>
      <c r="M33" s="49">
        <v>0</v>
      </c>
      <c r="N33" s="49">
        <v>17775.3205582275</v>
      </c>
      <c r="O33" s="16">
        <f t="shared" si="13"/>
        <v>0</v>
      </c>
      <c r="P33" s="18">
        <v>0</v>
      </c>
      <c r="Q33" s="18">
        <v>0.22489959839367701</v>
      </c>
      <c r="R33" s="16">
        <f t="shared" si="1"/>
        <v>0</v>
      </c>
      <c r="T33" s="19"/>
      <c r="U33" s="19" t="str">
        <f t="shared" si="2"/>
        <v/>
      </c>
      <c r="V33" s="19"/>
      <c r="W33" s="19" t="str">
        <f t="shared" si="3"/>
        <v/>
      </c>
      <c r="X33" s="19"/>
      <c r="Y33" s="19" t="str">
        <f t="shared" si="4"/>
        <v/>
      </c>
      <c r="Z33" s="19"/>
      <c r="AA33" s="19" t="str">
        <f t="shared" si="5"/>
        <v/>
      </c>
      <c r="AB33" s="19"/>
      <c r="AC33" s="19" t="str">
        <f t="shared" si="6"/>
        <v/>
      </c>
      <c r="AD33" s="19"/>
      <c r="AE33" s="19" t="str">
        <f t="shared" si="7"/>
        <v/>
      </c>
      <c r="AF33" s="19"/>
      <c r="AG33" s="19" t="str">
        <f t="shared" si="8"/>
        <v/>
      </c>
      <c r="AH33" s="19"/>
      <c r="AI33" s="19" t="str">
        <f t="shared" si="9"/>
        <v/>
      </c>
      <c r="AJ33" s="19"/>
      <c r="AK33" s="19" t="str">
        <f t="shared" si="10"/>
        <v/>
      </c>
      <c r="AL33" s="19"/>
      <c r="AM33" s="19" t="str">
        <f t="shared" si="11"/>
        <v/>
      </c>
      <c r="AN33" s="19"/>
      <c r="AO33" s="19" t="str">
        <f t="shared" si="12"/>
        <v/>
      </c>
      <c r="AP33" s="20"/>
      <c r="AR33" s="16"/>
      <c r="AS33" s="16"/>
      <c r="AT33" s="16">
        <v>0</v>
      </c>
      <c r="AU33" s="16">
        <v>0</v>
      </c>
      <c r="AV33" s="21"/>
      <c r="AW33" s="21"/>
      <c r="AX33" s="22"/>
      <c r="AY33" s="16"/>
      <c r="AZ33" s="16">
        <v>0</v>
      </c>
      <c r="BA33" s="23">
        <v>43823</v>
      </c>
      <c r="BB33" s="22"/>
      <c r="BD33" s="63">
        <v>804681.78300000005</v>
      </c>
      <c r="BE33" s="16">
        <v>0.98950000000069804</v>
      </c>
      <c r="BF33" s="24">
        <v>796232.62427832</v>
      </c>
      <c r="BG33" s="16"/>
      <c r="BH33" s="73"/>
      <c r="BI33" s="71" t="s">
        <v>679</v>
      </c>
    </row>
    <row r="34" spans="2:61" x14ac:dyDescent="0.25">
      <c r="B34" s="14" t="s">
        <v>33</v>
      </c>
      <c r="C34" s="14" t="s">
        <v>452</v>
      </c>
      <c r="D34" s="15" t="s">
        <v>250</v>
      </c>
      <c r="E34" s="15" t="s">
        <v>452</v>
      </c>
      <c r="F34" s="15" t="s">
        <v>906</v>
      </c>
      <c r="G34" s="86">
        <v>289603600</v>
      </c>
      <c r="H34" s="17">
        <v>43999</v>
      </c>
      <c r="I34" s="49">
        <v>202.520000000019</v>
      </c>
      <c r="J34" s="49">
        <v>364.58095612796001</v>
      </c>
      <c r="K34" s="16">
        <f t="shared" si="0"/>
        <v>0.55548705053299297</v>
      </c>
      <c r="L34" s="17">
        <v>43677</v>
      </c>
      <c r="M34" s="49">
        <v>1483.45</v>
      </c>
      <c r="N34" s="49">
        <v>22420.168265045198</v>
      </c>
      <c r="O34" s="16">
        <f t="shared" si="13"/>
        <v>6.616587272954659E-2</v>
      </c>
      <c r="P34" s="18"/>
      <c r="Q34" s="18"/>
      <c r="R34" s="16" t="str">
        <f t="shared" si="1"/>
        <v/>
      </c>
      <c r="T34" s="19">
        <v>0</v>
      </c>
      <c r="U34" s="19">
        <f t="shared" si="2"/>
        <v>-1.41224009094003E-2</v>
      </c>
      <c r="V34" s="19">
        <v>3.8510845597556902E-2</v>
      </c>
      <c r="W34" s="19">
        <f t="shared" si="3"/>
        <v>-5.6861453997044002E-2</v>
      </c>
      <c r="X34" s="19">
        <v>-0.116798831789347</v>
      </c>
      <c r="Y34" s="19">
        <f t="shared" si="4"/>
        <v>2.7962147454673014E-2</v>
      </c>
      <c r="Z34" s="19">
        <v>4.3164726486793398E-2</v>
      </c>
      <c r="AA34" s="19">
        <f t="shared" si="5"/>
        <v>-5.9578137596035599E-2</v>
      </c>
      <c r="AB34" s="19">
        <v>0.109805884345406</v>
      </c>
      <c r="AC34" s="19">
        <f t="shared" si="6"/>
        <v>-0.111355103101377</v>
      </c>
      <c r="AD34" s="19">
        <v>-0.120478836656694</v>
      </c>
      <c r="AE34" s="19">
        <f t="shared" si="7"/>
        <v>4.9667465900856009E-2</v>
      </c>
      <c r="AF34" s="19">
        <v>-0.405377393159433</v>
      </c>
      <c r="AG34" s="19">
        <f t="shared" si="8"/>
        <v>-0.20046931026474299</v>
      </c>
      <c r="AH34" s="19">
        <v>-0.50379040714760803</v>
      </c>
      <c r="AI34" s="19">
        <f t="shared" si="9"/>
        <v>-0.23418245862820203</v>
      </c>
      <c r="AJ34" s="19">
        <v>-0.34265356308140299</v>
      </c>
      <c r="AK34" s="19">
        <f t="shared" si="10"/>
        <v>-0.16880937128444198</v>
      </c>
      <c r="AL34" s="19">
        <v>0.116200524411397</v>
      </c>
      <c r="AM34" s="19">
        <f t="shared" si="11"/>
        <v>0.11151972696643492</v>
      </c>
      <c r="AN34" s="19">
        <v>0.51659894484851998</v>
      </c>
      <c r="AO34" s="19">
        <f t="shared" si="12"/>
        <v>0.50531684761677775</v>
      </c>
      <c r="AP34" s="20"/>
      <c r="AR34" s="16">
        <v>5.3595447490806698E-2</v>
      </c>
      <c r="AS34" s="16">
        <v>-4.7165532880171702E-2</v>
      </c>
      <c r="AT34" s="16">
        <v>0.13062336651273701</v>
      </c>
      <c r="AU34" s="16">
        <v>-0.13605572903994501</v>
      </c>
      <c r="AV34" s="21">
        <v>2</v>
      </c>
      <c r="AW34" s="21">
        <v>4</v>
      </c>
      <c r="AX34" s="22"/>
      <c r="AY34" s="16"/>
      <c r="AZ34" s="16">
        <v>-0.29814598296303302</v>
      </c>
      <c r="BA34" s="23">
        <v>43817</v>
      </c>
      <c r="BB34" s="22">
        <v>0.70628974865576299</v>
      </c>
      <c r="BD34" s="63">
        <v>1430000</v>
      </c>
      <c r="BE34" s="16">
        <v>0.80300000000046601</v>
      </c>
      <c r="BF34" s="24">
        <v>1148290</v>
      </c>
      <c r="BG34" s="16">
        <v>0.197000000000116</v>
      </c>
      <c r="BH34" s="73">
        <v>281710</v>
      </c>
      <c r="BI34" s="71" t="s">
        <v>667</v>
      </c>
    </row>
    <row r="35" spans="2:61" x14ac:dyDescent="0.25">
      <c r="B35" s="14" t="s">
        <v>34</v>
      </c>
      <c r="C35" s="14" t="s">
        <v>453</v>
      </c>
      <c r="D35" s="15" t="s">
        <v>251</v>
      </c>
      <c r="E35" s="15" t="s">
        <v>453</v>
      </c>
      <c r="F35" s="15" t="s">
        <v>912</v>
      </c>
      <c r="G35" s="86">
        <v>223727845.43099999</v>
      </c>
      <c r="H35" s="17">
        <v>43999</v>
      </c>
      <c r="I35" s="49">
        <v>388.29999999981402</v>
      </c>
      <c r="J35" s="49">
        <v>640.40859469305701</v>
      </c>
      <c r="K35" s="16">
        <f t="shared" si="0"/>
        <v>0.60633165016456914</v>
      </c>
      <c r="L35" s="17">
        <v>43640</v>
      </c>
      <c r="M35" s="49">
        <v>35433.663999999997</v>
      </c>
      <c r="N35" s="49">
        <v>170268.92044165</v>
      </c>
      <c r="O35" s="16">
        <f t="shared" si="13"/>
        <v>0.20810412087003788</v>
      </c>
      <c r="P35" s="18">
        <v>22</v>
      </c>
      <c r="Q35" s="18">
        <v>31.967871485947398</v>
      </c>
      <c r="R35" s="16">
        <f t="shared" si="1"/>
        <v>0.68819095477379133</v>
      </c>
      <c r="T35" s="19">
        <v>2.0043607322804701E-2</v>
      </c>
      <c r="U35" s="19">
        <f t="shared" si="2"/>
        <v>5.921206413404401E-3</v>
      </c>
      <c r="V35" s="19">
        <v>2.18421052632038E-2</v>
      </c>
      <c r="W35" s="19">
        <f t="shared" si="3"/>
        <v>-7.3530194331397097E-2</v>
      </c>
      <c r="X35" s="19">
        <v>-3.7902055169070102E-2</v>
      </c>
      <c r="Y35" s="19">
        <f t="shared" si="4"/>
        <v>0.1068589240749499</v>
      </c>
      <c r="Z35" s="19">
        <v>0.16257485029927901</v>
      </c>
      <c r="AA35" s="19">
        <f t="shared" si="5"/>
        <v>5.9831986216450014E-2</v>
      </c>
      <c r="AB35" s="19">
        <v>0.35077756879210897</v>
      </c>
      <c r="AC35" s="19">
        <f t="shared" si="6"/>
        <v>0.12961658134532597</v>
      </c>
      <c r="AD35" s="19">
        <v>-9.1499151778407395E-2</v>
      </c>
      <c r="AE35" s="19">
        <f t="shared" si="7"/>
        <v>7.8647150779142611E-2</v>
      </c>
      <c r="AF35" s="19">
        <v>-0.35968779402610401</v>
      </c>
      <c r="AG35" s="19">
        <f t="shared" si="8"/>
        <v>-0.15477971113141401</v>
      </c>
      <c r="AH35" s="19">
        <v>-0.39814647651102902</v>
      </c>
      <c r="AI35" s="19">
        <f t="shared" si="9"/>
        <v>-0.12853852799162302</v>
      </c>
      <c r="AJ35" s="19">
        <v>-0.12799983732387801</v>
      </c>
      <c r="AK35" s="19">
        <f t="shared" si="10"/>
        <v>4.5844354473082993E-2</v>
      </c>
      <c r="AL35" s="19">
        <v>0.75905970842577497</v>
      </c>
      <c r="AM35" s="19">
        <f t="shared" si="11"/>
        <v>0.75437891098081289</v>
      </c>
      <c r="AN35" s="19">
        <v>0.54169818661117497</v>
      </c>
      <c r="AO35" s="19">
        <f t="shared" si="12"/>
        <v>0.53041608937943274</v>
      </c>
      <c r="AP35" s="20">
        <v>43.624357344990102</v>
      </c>
      <c r="AR35" s="16">
        <v>7.5176328919042107E-2</v>
      </c>
      <c r="AS35" s="16">
        <v>-0.102557593451784</v>
      </c>
      <c r="AT35" s="16">
        <v>0.291848185966955</v>
      </c>
      <c r="AU35" s="16">
        <v>-0.168424247022776</v>
      </c>
      <c r="AV35" s="21">
        <v>3</v>
      </c>
      <c r="AW35" s="21">
        <v>3</v>
      </c>
      <c r="AX35" s="22">
        <v>-0.116060062440624</v>
      </c>
      <c r="AY35" s="16">
        <v>4.5653735992091202E-2</v>
      </c>
      <c r="AZ35" s="16">
        <v>-0.42025828535901399</v>
      </c>
      <c r="BA35" s="23">
        <v>43838</v>
      </c>
      <c r="BB35" s="22">
        <v>1.0870196006180799</v>
      </c>
      <c r="BD35" s="63">
        <v>576172.66399999999</v>
      </c>
      <c r="BE35" s="16">
        <v>8.0500000000029104E-2</v>
      </c>
      <c r="BF35" s="24">
        <v>46381.899452026402</v>
      </c>
      <c r="BG35" s="16">
        <v>0.41249999999999998</v>
      </c>
      <c r="BH35" s="73">
        <v>237671.22389990199</v>
      </c>
      <c r="BI35" s="71" t="s">
        <v>680</v>
      </c>
    </row>
    <row r="36" spans="2:61" x14ac:dyDescent="0.25">
      <c r="B36" s="14" t="s">
        <v>35</v>
      </c>
      <c r="C36" s="14" t="s">
        <v>454</v>
      </c>
      <c r="D36" s="15" t="s">
        <v>252</v>
      </c>
      <c r="E36" s="15" t="s">
        <v>454</v>
      </c>
      <c r="F36" s="15" t="s">
        <v>906</v>
      </c>
      <c r="G36" s="86">
        <v>81892182.313999996</v>
      </c>
      <c r="H36" s="17">
        <v>43991</v>
      </c>
      <c r="I36" s="49"/>
      <c r="J36" s="49">
        <v>2</v>
      </c>
      <c r="K36" s="16">
        <f t="shared" si="0"/>
        <v>0</v>
      </c>
      <c r="L36" s="17">
        <v>43991</v>
      </c>
      <c r="M36" s="49">
        <v>0</v>
      </c>
      <c r="N36" s="49">
        <v>7.9076184738948898</v>
      </c>
      <c r="O36" s="16">
        <f t="shared" si="13"/>
        <v>0</v>
      </c>
      <c r="P36" s="18">
        <v>0</v>
      </c>
      <c r="Q36" s="18">
        <v>6.8273092369509E-2</v>
      </c>
      <c r="R36" s="16">
        <f t="shared" si="1"/>
        <v>0</v>
      </c>
      <c r="T36" s="19"/>
      <c r="U36" s="19" t="str">
        <f t="shared" si="2"/>
        <v/>
      </c>
      <c r="V36" s="19"/>
      <c r="W36" s="19" t="str">
        <f t="shared" si="3"/>
        <v/>
      </c>
      <c r="X36" s="19"/>
      <c r="Y36" s="19" t="str">
        <f t="shared" si="4"/>
        <v/>
      </c>
      <c r="Z36" s="19"/>
      <c r="AA36" s="19" t="str">
        <f t="shared" si="5"/>
        <v/>
      </c>
      <c r="AB36" s="19"/>
      <c r="AC36" s="19" t="str">
        <f t="shared" si="6"/>
        <v/>
      </c>
      <c r="AD36" s="19"/>
      <c r="AE36" s="19" t="str">
        <f t="shared" si="7"/>
        <v/>
      </c>
      <c r="AF36" s="19"/>
      <c r="AG36" s="19" t="str">
        <f t="shared" si="8"/>
        <v/>
      </c>
      <c r="AH36" s="19"/>
      <c r="AI36" s="19" t="str">
        <f t="shared" si="9"/>
        <v/>
      </c>
      <c r="AJ36" s="19"/>
      <c r="AK36" s="19" t="str">
        <f t="shared" si="10"/>
        <v/>
      </c>
      <c r="AL36" s="19"/>
      <c r="AM36" s="19" t="str">
        <f t="shared" si="11"/>
        <v/>
      </c>
      <c r="AN36" s="19"/>
      <c r="AO36" s="19" t="str">
        <f t="shared" si="12"/>
        <v/>
      </c>
      <c r="AP36" s="20"/>
      <c r="AR36" s="16">
        <v>0</v>
      </c>
      <c r="AS36" s="16">
        <v>0</v>
      </c>
      <c r="AT36" s="16">
        <v>0.11429924506417601</v>
      </c>
      <c r="AU36" s="16">
        <v>0</v>
      </c>
      <c r="AV36" s="21"/>
      <c r="AW36" s="21"/>
      <c r="AX36" s="22"/>
      <c r="AY36" s="16"/>
      <c r="AZ36" s="16">
        <v>0</v>
      </c>
      <c r="BA36" s="23">
        <v>43901</v>
      </c>
      <c r="BB36" s="22"/>
      <c r="BD36" s="63">
        <v>40946091.156999998</v>
      </c>
      <c r="BE36" s="16">
        <v>0.99859999999986004</v>
      </c>
      <c r="BF36" s="24">
        <v>40888766.629375003</v>
      </c>
      <c r="BG36" s="16"/>
      <c r="BH36" s="73"/>
      <c r="BI36" s="71" t="s">
        <v>681</v>
      </c>
    </row>
    <row r="37" spans="2:61" x14ac:dyDescent="0.25">
      <c r="B37" s="14" t="s">
        <v>36</v>
      </c>
      <c r="C37" s="14" t="s">
        <v>455</v>
      </c>
      <c r="D37" s="15" t="s">
        <v>253</v>
      </c>
      <c r="E37" s="15" t="s">
        <v>455</v>
      </c>
      <c r="F37" s="15" t="s">
        <v>906</v>
      </c>
      <c r="G37" s="86"/>
      <c r="H37" s="17">
        <v>43936</v>
      </c>
      <c r="I37" s="49"/>
      <c r="J37" s="49">
        <v>15602.203076928899</v>
      </c>
      <c r="K37" s="16">
        <f t="shared" si="0"/>
        <v>0</v>
      </c>
      <c r="L37" s="17">
        <v>43703</v>
      </c>
      <c r="M37" s="49">
        <v>0</v>
      </c>
      <c r="N37" s="49">
        <v>88909.221321289093</v>
      </c>
      <c r="O37" s="16">
        <f t="shared" si="13"/>
        <v>0</v>
      </c>
      <c r="P37" s="18">
        <v>0</v>
      </c>
      <c r="Q37" s="18"/>
      <c r="R37" s="16" t="str">
        <f t="shared" si="1"/>
        <v/>
      </c>
      <c r="T37" s="19"/>
      <c r="U37" s="19" t="str">
        <f t="shared" si="2"/>
        <v/>
      </c>
      <c r="V37" s="19"/>
      <c r="W37" s="19" t="str">
        <f t="shared" si="3"/>
        <v/>
      </c>
      <c r="X37" s="19"/>
      <c r="Y37" s="19" t="str">
        <f t="shared" si="4"/>
        <v/>
      </c>
      <c r="Z37" s="19"/>
      <c r="AA37" s="19" t="str">
        <f t="shared" si="5"/>
        <v/>
      </c>
      <c r="AB37" s="19"/>
      <c r="AC37" s="19" t="str">
        <f t="shared" si="6"/>
        <v/>
      </c>
      <c r="AD37" s="19"/>
      <c r="AE37" s="19" t="str">
        <f t="shared" si="7"/>
        <v/>
      </c>
      <c r="AF37" s="19"/>
      <c r="AG37" s="19" t="str">
        <f t="shared" si="8"/>
        <v/>
      </c>
      <c r="AH37" s="19"/>
      <c r="AI37" s="19" t="str">
        <f t="shared" si="9"/>
        <v/>
      </c>
      <c r="AJ37" s="19"/>
      <c r="AK37" s="19" t="str">
        <f t="shared" si="10"/>
        <v/>
      </c>
      <c r="AL37" s="19"/>
      <c r="AM37" s="19" t="str">
        <f t="shared" si="11"/>
        <v/>
      </c>
      <c r="AN37" s="19"/>
      <c r="AO37" s="19" t="str">
        <f t="shared" si="12"/>
        <v/>
      </c>
      <c r="AP37" s="20"/>
      <c r="AR37" s="16">
        <v>3.1746031745569801E-2</v>
      </c>
      <c r="AS37" s="16">
        <v>3.1746031745569801E-2</v>
      </c>
      <c r="AT37" s="16">
        <v>4.0083206657072899E-2</v>
      </c>
      <c r="AU37" s="16">
        <v>4.0083206657072899E-2</v>
      </c>
      <c r="AV37" s="21"/>
      <c r="AW37" s="21"/>
      <c r="AX37" s="22"/>
      <c r="AY37" s="16"/>
      <c r="AZ37" s="16">
        <v>0</v>
      </c>
      <c r="BA37" s="23">
        <v>43860</v>
      </c>
      <c r="BB37" s="22"/>
      <c r="BD37" s="63">
        <v>85087.03</v>
      </c>
      <c r="BE37" s="16">
        <v>0.54599999999976701</v>
      </c>
      <c r="BF37" s="24">
        <v>46457.518380004898</v>
      </c>
      <c r="BG37" s="16"/>
      <c r="BH37" s="73"/>
      <c r="BI37" s="71" t="s">
        <v>682</v>
      </c>
    </row>
    <row r="38" spans="2:61" x14ac:dyDescent="0.25">
      <c r="B38" s="14" t="s">
        <v>37</v>
      </c>
      <c r="C38" s="14" t="s">
        <v>456</v>
      </c>
      <c r="D38" s="15" t="s">
        <v>254</v>
      </c>
      <c r="E38" s="15" t="s">
        <v>456</v>
      </c>
      <c r="F38" s="15" t="s">
        <v>910</v>
      </c>
      <c r="G38" s="86">
        <v>17798000</v>
      </c>
      <c r="H38" s="17">
        <v>43999</v>
      </c>
      <c r="I38" s="49">
        <v>177.979999999981</v>
      </c>
      <c r="J38" s="49">
        <v>239.90999999991601</v>
      </c>
      <c r="K38" s="16">
        <f t="shared" si="0"/>
        <v>0.74186153140779176</v>
      </c>
      <c r="L38" s="17">
        <v>43739</v>
      </c>
      <c r="M38" s="49">
        <v>89.6</v>
      </c>
      <c r="N38" s="49">
        <v>609.54539759063698</v>
      </c>
      <c r="O38" s="16">
        <f t="shared" si="13"/>
        <v>0.14699479374984015</v>
      </c>
      <c r="P38" s="18"/>
      <c r="Q38" s="18"/>
      <c r="R38" s="16" t="str">
        <f t="shared" si="1"/>
        <v/>
      </c>
      <c r="T38" s="19"/>
      <c r="U38" s="19" t="str">
        <f t="shared" si="2"/>
        <v/>
      </c>
      <c r="V38" s="19">
        <v>0</v>
      </c>
      <c r="W38" s="19">
        <f t="shared" si="3"/>
        <v>-9.5372299594600904E-2</v>
      </c>
      <c r="X38" s="19">
        <v>0</v>
      </c>
      <c r="Y38" s="19">
        <f t="shared" si="4"/>
        <v>0.14476097924402001</v>
      </c>
      <c r="Z38" s="19">
        <v>0</v>
      </c>
      <c r="AA38" s="19">
        <f t="shared" si="5"/>
        <v>-0.102742864082829</v>
      </c>
      <c r="AB38" s="19">
        <v>0</v>
      </c>
      <c r="AC38" s="19">
        <f t="shared" si="6"/>
        <v>-0.221160987446783</v>
      </c>
      <c r="AD38" s="19">
        <v>0</v>
      </c>
      <c r="AE38" s="19">
        <f t="shared" si="7"/>
        <v>0.17014630255755001</v>
      </c>
      <c r="AF38" s="19">
        <v>-0.25813846859178702</v>
      </c>
      <c r="AG38" s="19">
        <f t="shared" si="8"/>
        <v>-5.323038569709701E-2</v>
      </c>
      <c r="AH38" s="19">
        <v>-0.31546153846196801</v>
      </c>
      <c r="AI38" s="19">
        <f t="shared" si="9"/>
        <v>-4.5853589942562001E-2</v>
      </c>
      <c r="AJ38" s="19">
        <v>0.1865333333335</v>
      </c>
      <c r="AK38" s="19">
        <f t="shared" si="10"/>
        <v>0.36037752513046101</v>
      </c>
      <c r="AL38" s="19">
        <v>0.235972222222772</v>
      </c>
      <c r="AM38" s="19">
        <f t="shared" si="11"/>
        <v>0.23129142477780992</v>
      </c>
      <c r="AN38" s="19">
        <v>-0.17218604651134201</v>
      </c>
      <c r="AO38" s="19">
        <f t="shared" si="12"/>
        <v>-0.18346814374308421</v>
      </c>
      <c r="AP38" s="20"/>
      <c r="AR38" s="16">
        <v>0</v>
      </c>
      <c r="AS38" s="16">
        <v>0</v>
      </c>
      <c r="AT38" s="16">
        <v>0</v>
      </c>
      <c r="AU38" s="16">
        <v>0</v>
      </c>
      <c r="AV38" s="21">
        <v>0</v>
      </c>
      <c r="AW38" s="21">
        <v>0</v>
      </c>
      <c r="AX38" s="22"/>
      <c r="AY38" s="16"/>
      <c r="AZ38" s="16">
        <v>0</v>
      </c>
      <c r="BA38" s="23">
        <v>43818</v>
      </c>
      <c r="BB38" s="22">
        <v>0</v>
      </c>
      <c r="BD38" s="63">
        <v>100000</v>
      </c>
      <c r="BE38" s="16">
        <v>0.367299999999814</v>
      </c>
      <c r="BF38" s="24">
        <v>36730</v>
      </c>
      <c r="BG38" s="16"/>
      <c r="BH38" s="73"/>
      <c r="BI38" s="71" t="s">
        <v>683</v>
      </c>
    </row>
    <row r="39" spans="2:61" x14ac:dyDescent="0.25">
      <c r="B39" s="14" t="s">
        <v>38</v>
      </c>
      <c r="C39" s="14" t="s">
        <v>457</v>
      </c>
      <c r="D39" s="15" t="s">
        <v>255</v>
      </c>
      <c r="E39" s="15" t="s">
        <v>457</v>
      </c>
      <c r="F39" s="15" t="s">
        <v>909</v>
      </c>
      <c r="G39" s="86">
        <v>256484685.85350001</v>
      </c>
      <c r="H39" s="17">
        <v>43999</v>
      </c>
      <c r="I39" s="49">
        <v>182.14999999990701</v>
      </c>
      <c r="J39" s="49">
        <v>340.30760126560898</v>
      </c>
      <c r="K39" s="16">
        <f t="shared" si="0"/>
        <v>0.53525104735388951</v>
      </c>
      <c r="L39" s="17">
        <v>43672</v>
      </c>
      <c r="M39" s="49">
        <v>340.34</v>
      </c>
      <c r="N39" s="49">
        <v>59164.978012023901</v>
      </c>
      <c r="O39" s="16">
        <f t="shared" si="13"/>
        <v>5.752389529002002E-3</v>
      </c>
      <c r="P39" s="18"/>
      <c r="Q39" s="18"/>
      <c r="R39" s="16" t="str">
        <f t="shared" si="1"/>
        <v/>
      </c>
      <c r="T39" s="19">
        <v>0</v>
      </c>
      <c r="U39" s="19">
        <f t="shared" si="2"/>
        <v>-1.41224009094003E-2</v>
      </c>
      <c r="V39" s="19">
        <v>-6.1082474227077903E-2</v>
      </c>
      <c r="W39" s="19">
        <f t="shared" si="3"/>
        <v>-0.1564547738216788</v>
      </c>
      <c r="X39" s="19">
        <v>-0.32848376782727401</v>
      </c>
      <c r="Y39" s="19">
        <f t="shared" si="4"/>
        <v>-0.183722788583254</v>
      </c>
      <c r="Z39" s="19">
        <v>-4.1517575247780797E-2</v>
      </c>
      <c r="AA39" s="19">
        <f t="shared" si="5"/>
        <v>-0.14426043933060978</v>
      </c>
      <c r="AB39" s="19">
        <v>-7.4814810383977595E-2</v>
      </c>
      <c r="AC39" s="19">
        <f t="shared" si="6"/>
        <v>-0.29597579783076061</v>
      </c>
      <c r="AD39" s="19">
        <v>-0.24625729041872499</v>
      </c>
      <c r="AE39" s="19">
        <f t="shared" si="7"/>
        <v>-7.6110987861174983E-2</v>
      </c>
      <c r="AF39" s="19">
        <v>-0.448755331798457</v>
      </c>
      <c r="AG39" s="19">
        <f t="shared" si="8"/>
        <v>-0.24384724890376699</v>
      </c>
      <c r="AH39" s="19">
        <v>1.3943229514552499E-2</v>
      </c>
      <c r="AI39" s="19">
        <f t="shared" si="9"/>
        <v>0.28355117803395852</v>
      </c>
      <c r="AJ39" s="19">
        <v>6.6967616157853599E-2</v>
      </c>
      <c r="AK39" s="19">
        <f t="shared" si="10"/>
        <v>0.24081180795481461</v>
      </c>
      <c r="AL39" s="19"/>
      <c r="AM39" s="19" t="str">
        <f t="shared" si="11"/>
        <v/>
      </c>
      <c r="AN39" s="19"/>
      <c r="AO39" s="19" t="str">
        <f t="shared" si="12"/>
        <v/>
      </c>
      <c r="AP39" s="20"/>
      <c r="AR39" s="16">
        <v>5.2631578948421499E-2</v>
      </c>
      <c r="AS39" s="16">
        <v>-7.16279069765733E-2</v>
      </c>
      <c r="AT39" s="16">
        <v>4.60070634089789E-2</v>
      </c>
      <c r="AU39" s="16">
        <v>-0.13043478260806299</v>
      </c>
      <c r="AV39" s="21">
        <v>1</v>
      </c>
      <c r="AW39" s="21">
        <v>5</v>
      </c>
      <c r="AX39" s="22"/>
      <c r="AY39" s="16"/>
      <c r="AZ39" s="16">
        <v>-0.356669384282432</v>
      </c>
      <c r="BA39" s="23">
        <v>43844</v>
      </c>
      <c r="BB39" s="22">
        <v>0.148203726536622</v>
      </c>
      <c r="BD39" s="63">
        <v>1408095.997</v>
      </c>
      <c r="BE39" s="16">
        <v>0.29880000000004697</v>
      </c>
      <c r="BF39" s="24">
        <v>420739.08390380902</v>
      </c>
      <c r="BG39" s="16">
        <v>0.211899999999732</v>
      </c>
      <c r="BH39" s="73">
        <v>298375.54176415998</v>
      </c>
      <c r="BI39" s="71" t="s">
        <v>684</v>
      </c>
    </row>
    <row r="40" spans="2:61" x14ac:dyDescent="0.25">
      <c r="B40" s="14" t="s">
        <v>39</v>
      </c>
      <c r="C40" s="14" t="s">
        <v>458</v>
      </c>
      <c r="D40" s="15" t="s">
        <v>256</v>
      </c>
      <c r="E40" s="15" t="s">
        <v>458</v>
      </c>
      <c r="F40" s="15" t="s">
        <v>906</v>
      </c>
      <c r="G40" s="86">
        <v>110280000</v>
      </c>
      <c r="H40" s="17">
        <v>43992</v>
      </c>
      <c r="I40" s="49"/>
      <c r="J40" s="49">
        <v>2383.3984149955199</v>
      </c>
      <c r="K40" s="16">
        <f t="shared" si="0"/>
        <v>0</v>
      </c>
      <c r="L40" s="17">
        <v>43710</v>
      </c>
      <c r="M40" s="49">
        <v>0</v>
      </c>
      <c r="N40" s="49">
        <v>2917.3369357414199</v>
      </c>
      <c r="O40" s="16">
        <f t="shared" si="13"/>
        <v>0</v>
      </c>
      <c r="P40" s="18">
        <v>0</v>
      </c>
      <c r="Q40" s="18"/>
      <c r="R40" s="16" t="str">
        <f t="shared" si="1"/>
        <v/>
      </c>
      <c r="T40" s="19"/>
      <c r="U40" s="19" t="str">
        <f t="shared" si="2"/>
        <v/>
      </c>
      <c r="V40" s="19"/>
      <c r="W40" s="19" t="str">
        <f t="shared" si="3"/>
        <v/>
      </c>
      <c r="X40" s="19"/>
      <c r="Y40" s="19" t="str">
        <f t="shared" si="4"/>
        <v/>
      </c>
      <c r="Z40" s="19"/>
      <c r="AA40" s="19" t="str">
        <f t="shared" si="5"/>
        <v/>
      </c>
      <c r="AB40" s="19"/>
      <c r="AC40" s="19" t="str">
        <f t="shared" si="6"/>
        <v/>
      </c>
      <c r="AD40" s="19"/>
      <c r="AE40" s="19" t="str">
        <f t="shared" si="7"/>
        <v/>
      </c>
      <c r="AF40" s="19"/>
      <c r="AG40" s="19" t="str">
        <f t="shared" si="8"/>
        <v/>
      </c>
      <c r="AH40" s="19"/>
      <c r="AI40" s="19" t="str">
        <f t="shared" si="9"/>
        <v/>
      </c>
      <c r="AJ40" s="19"/>
      <c r="AK40" s="19" t="str">
        <f t="shared" si="10"/>
        <v/>
      </c>
      <c r="AL40" s="19"/>
      <c r="AM40" s="19" t="str">
        <f t="shared" si="11"/>
        <v/>
      </c>
      <c r="AN40" s="19"/>
      <c r="AO40" s="19" t="str">
        <f t="shared" si="12"/>
        <v/>
      </c>
      <c r="AP40" s="20"/>
      <c r="AR40" s="16">
        <v>3.5963644711955602E-2</v>
      </c>
      <c r="AS40" s="16">
        <v>-4.8442764401479502E-2</v>
      </c>
      <c r="AT40" s="16">
        <v>3.5963644711955602E-2</v>
      </c>
      <c r="AU40" s="16">
        <v>-4.8442764401479502E-2</v>
      </c>
      <c r="AV40" s="21">
        <v>3</v>
      </c>
      <c r="AW40" s="21">
        <v>2</v>
      </c>
      <c r="AX40" s="22"/>
      <c r="AY40" s="16"/>
      <c r="AZ40" s="16">
        <v>-5.4441613937233298E-2</v>
      </c>
      <c r="BA40" s="23">
        <v>43844</v>
      </c>
      <c r="BB40" s="22">
        <v>6.4815882630568894E-2</v>
      </c>
      <c r="BD40" s="63">
        <v>48000</v>
      </c>
      <c r="BE40" s="16">
        <v>0.104199999999983</v>
      </c>
      <c r="BF40" s="24">
        <v>5001.6000000000004</v>
      </c>
      <c r="BG40" s="16"/>
      <c r="BH40" s="73"/>
      <c r="BI40" s="71" t="s">
        <v>685</v>
      </c>
    </row>
    <row r="41" spans="2:61" x14ac:dyDescent="0.25">
      <c r="B41" s="14" t="s">
        <v>40</v>
      </c>
      <c r="C41" s="14" t="s">
        <v>459</v>
      </c>
      <c r="D41" s="15" t="s">
        <v>257</v>
      </c>
      <c r="E41" s="15" t="s">
        <v>459</v>
      </c>
      <c r="F41" s="15" t="s">
        <v>913</v>
      </c>
      <c r="G41" s="86">
        <v>793151020.00699997</v>
      </c>
      <c r="H41" s="17">
        <v>43999</v>
      </c>
      <c r="I41" s="49">
        <v>5307.2000000029802</v>
      </c>
      <c r="J41" s="49">
        <v>7923.7999999970198</v>
      </c>
      <c r="K41" s="16">
        <f t="shared" si="0"/>
        <v>0.66977965117809335</v>
      </c>
      <c r="L41" s="17">
        <v>43649</v>
      </c>
      <c r="M41" s="49">
        <v>845187.95799999998</v>
      </c>
      <c r="N41" s="49">
        <v>2342786.9783749999</v>
      </c>
      <c r="O41" s="16">
        <f t="shared" si="13"/>
        <v>0.36076176186801151</v>
      </c>
      <c r="P41" s="18">
        <v>406</v>
      </c>
      <c r="Q41" s="18">
        <v>585.52610441762999</v>
      </c>
      <c r="R41" s="16">
        <f t="shared" si="1"/>
        <v>0.6933935087382852</v>
      </c>
      <c r="T41" s="19">
        <v>5.1515151517378399E-3</v>
      </c>
      <c r="U41" s="19">
        <f t="shared" si="2"/>
        <v>-8.9708857576624602E-3</v>
      </c>
      <c r="V41" s="19">
        <v>1.9634966378362199E-2</v>
      </c>
      <c r="W41" s="19">
        <f t="shared" si="3"/>
        <v>-7.5737333216238711E-2</v>
      </c>
      <c r="X41" s="19">
        <v>-6.8421976478057298E-2</v>
      </c>
      <c r="Y41" s="19">
        <f t="shared" si="4"/>
        <v>7.6339002765962713E-2</v>
      </c>
      <c r="Z41" s="19">
        <v>0.32680000000051201</v>
      </c>
      <c r="AA41" s="19">
        <f t="shared" si="5"/>
        <v>0.224057135917683</v>
      </c>
      <c r="AB41" s="19">
        <v>0.53818508535565301</v>
      </c>
      <c r="AC41" s="19">
        <f t="shared" si="6"/>
        <v>0.31702409790886998</v>
      </c>
      <c r="AD41" s="19">
        <v>-6.0672566371067702E-2</v>
      </c>
      <c r="AE41" s="19">
        <f t="shared" si="7"/>
        <v>0.1094737361864823</v>
      </c>
      <c r="AF41" s="19">
        <v>-0.28037966101692302</v>
      </c>
      <c r="AG41" s="19">
        <f t="shared" si="8"/>
        <v>-7.5471578122233013E-2</v>
      </c>
      <c r="AH41" s="19">
        <v>-0.22082193211564999</v>
      </c>
      <c r="AI41" s="19">
        <f t="shared" si="9"/>
        <v>4.8786016403756016E-2</v>
      </c>
      <c r="AJ41" s="19">
        <v>9.7236076268018196E-2</v>
      </c>
      <c r="AK41" s="19">
        <f t="shared" si="10"/>
        <v>0.2710802680649792</v>
      </c>
      <c r="AL41" s="19">
        <v>1.55951483712532</v>
      </c>
      <c r="AM41" s="19">
        <f t="shared" si="11"/>
        <v>1.5548340396803579</v>
      </c>
      <c r="AN41" s="19">
        <v>1.6417335519357601</v>
      </c>
      <c r="AO41" s="19">
        <f t="shared" si="12"/>
        <v>1.6304514547040179</v>
      </c>
      <c r="AP41" s="20">
        <v>61.151696389249999</v>
      </c>
      <c r="AR41" s="16">
        <v>0.14289285714403399</v>
      </c>
      <c r="AS41" s="16">
        <v>-0.27510651247663198</v>
      </c>
      <c r="AT41" s="16">
        <v>0.27730061349750001</v>
      </c>
      <c r="AU41" s="16">
        <v>-0.207127429805987</v>
      </c>
      <c r="AV41" s="21">
        <v>3</v>
      </c>
      <c r="AW41" s="21">
        <v>3</v>
      </c>
      <c r="AX41" s="22">
        <v>0.17254261309403801</v>
      </c>
      <c r="AY41" s="16">
        <v>7.4273868613454405E-2</v>
      </c>
      <c r="AZ41" s="16">
        <v>-0.56886506240058199</v>
      </c>
      <c r="BA41" s="23">
        <v>43833</v>
      </c>
      <c r="BB41" s="22">
        <v>0.55800414913756002</v>
      </c>
      <c r="BD41" s="63">
        <v>149448.11199999999</v>
      </c>
      <c r="BE41" s="16">
        <v>0.31320000000036102</v>
      </c>
      <c r="BF41" s="24">
        <v>46807.1486784058</v>
      </c>
      <c r="BG41" s="16">
        <v>0.686800000000512</v>
      </c>
      <c r="BH41" s="73">
        <v>102640.963321655</v>
      </c>
      <c r="BI41" s="71" t="s">
        <v>348</v>
      </c>
    </row>
    <row r="42" spans="2:61" x14ac:dyDescent="0.25">
      <c r="B42" s="14" t="s">
        <v>41</v>
      </c>
      <c r="C42" s="14" t="s">
        <v>460</v>
      </c>
      <c r="D42" s="15" t="s">
        <v>258</v>
      </c>
      <c r="E42" s="15" t="s">
        <v>460</v>
      </c>
      <c r="F42" s="15" t="s">
        <v>913</v>
      </c>
      <c r="G42" s="86">
        <v>334594075.5</v>
      </c>
      <c r="H42" s="17">
        <v>43999</v>
      </c>
      <c r="I42" s="49">
        <v>1500</v>
      </c>
      <c r="J42" s="49">
        <v>1943.0303030293401</v>
      </c>
      <c r="K42" s="16">
        <f t="shared" si="0"/>
        <v>0.77199001871529216</v>
      </c>
      <c r="L42" s="17">
        <v>43748</v>
      </c>
      <c r="M42" s="49">
        <v>392.5</v>
      </c>
      <c r="N42" s="49">
        <v>3255.01283132553</v>
      </c>
      <c r="O42" s="16">
        <f t="shared" si="13"/>
        <v>0.12058324201449101</v>
      </c>
      <c r="P42" s="18"/>
      <c r="Q42" s="18"/>
      <c r="R42" s="16" t="str">
        <f t="shared" si="1"/>
        <v/>
      </c>
      <c r="T42" s="19">
        <v>0</v>
      </c>
      <c r="U42" s="19">
        <f t="shared" si="2"/>
        <v>-1.41224009094003E-2</v>
      </c>
      <c r="V42" s="19">
        <v>-9.0909090908971896E-2</v>
      </c>
      <c r="W42" s="19">
        <f t="shared" si="3"/>
        <v>-0.18628139050357279</v>
      </c>
      <c r="X42" s="19"/>
      <c r="Y42" s="19" t="str">
        <f t="shared" si="4"/>
        <v/>
      </c>
      <c r="Z42" s="19"/>
      <c r="AA42" s="19" t="str">
        <f t="shared" si="5"/>
        <v/>
      </c>
      <c r="AB42" s="19"/>
      <c r="AC42" s="19" t="str">
        <f t="shared" si="6"/>
        <v/>
      </c>
      <c r="AD42" s="19">
        <v>-6.4254522770206698E-2</v>
      </c>
      <c r="AE42" s="19">
        <f t="shared" si="7"/>
        <v>0.10589177978734331</v>
      </c>
      <c r="AF42" s="19">
        <v>-0.22800998128514</v>
      </c>
      <c r="AG42" s="19">
        <f t="shared" si="8"/>
        <v>-2.3101898390449987E-2</v>
      </c>
      <c r="AH42" s="19"/>
      <c r="AI42" s="19" t="str">
        <f t="shared" si="9"/>
        <v/>
      </c>
      <c r="AJ42" s="19"/>
      <c r="AK42" s="19" t="str">
        <f t="shared" si="10"/>
        <v/>
      </c>
      <c r="AL42" s="19"/>
      <c r="AM42" s="19" t="str">
        <f t="shared" si="11"/>
        <v/>
      </c>
      <c r="AN42" s="19"/>
      <c r="AO42" s="19" t="str">
        <f t="shared" si="12"/>
        <v/>
      </c>
      <c r="AP42" s="20"/>
      <c r="AR42" s="16">
        <v>0</v>
      </c>
      <c r="AS42" s="16">
        <v>-9.0909090908971896E-2</v>
      </c>
      <c r="AT42" s="16">
        <v>0</v>
      </c>
      <c r="AU42" s="16">
        <v>-9.0909090908971896E-2</v>
      </c>
      <c r="AV42" s="21"/>
      <c r="AW42" s="21"/>
      <c r="AX42" s="22"/>
      <c r="AY42" s="16"/>
      <c r="AZ42" s="16">
        <v>-9.0909090909117404E-2</v>
      </c>
      <c r="BA42" s="23">
        <v>43978</v>
      </c>
      <c r="BB42" s="22"/>
      <c r="BD42" s="63">
        <v>223062.717</v>
      </c>
      <c r="BE42" s="16">
        <v>0.63480000000039605</v>
      </c>
      <c r="BF42" s="24">
        <v>141600.21275170901</v>
      </c>
      <c r="BG42" s="16"/>
      <c r="BH42" s="73"/>
      <c r="BI42" s="71" t="s">
        <v>686</v>
      </c>
    </row>
    <row r="43" spans="2:61" x14ac:dyDescent="0.25">
      <c r="B43" s="14" t="s">
        <v>42</v>
      </c>
      <c r="C43" s="14" t="s">
        <v>461</v>
      </c>
      <c r="D43" s="15" t="s">
        <v>259</v>
      </c>
      <c r="E43" s="15" t="s">
        <v>461</v>
      </c>
      <c r="F43" s="15" t="s">
        <v>914</v>
      </c>
      <c r="G43" s="86"/>
      <c r="H43" s="17">
        <v>43811</v>
      </c>
      <c r="I43" s="49"/>
      <c r="J43" s="49">
        <v>98.438030000077603</v>
      </c>
      <c r="K43" s="16">
        <f t="shared" si="0"/>
        <v>0</v>
      </c>
      <c r="L43" s="17">
        <v>43811</v>
      </c>
      <c r="M43" s="49">
        <v>0</v>
      </c>
      <c r="N43" s="49">
        <v>11.306827309235899</v>
      </c>
      <c r="O43" s="16">
        <f t="shared" si="13"/>
        <v>0</v>
      </c>
      <c r="P43" s="18">
        <v>0</v>
      </c>
      <c r="Q43" s="18">
        <v>4.0160642570299401E-2</v>
      </c>
      <c r="R43" s="16">
        <f t="shared" si="1"/>
        <v>0</v>
      </c>
      <c r="T43" s="19"/>
      <c r="U43" s="19" t="str">
        <f t="shared" si="2"/>
        <v/>
      </c>
      <c r="V43" s="19"/>
      <c r="W43" s="19" t="str">
        <f t="shared" si="3"/>
        <v/>
      </c>
      <c r="X43" s="19"/>
      <c r="Y43" s="19" t="str">
        <f t="shared" si="4"/>
        <v/>
      </c>
      <c r="Z43" s="19"/>
      <c r="AA43" s="19" t="str">
        <f t="shared" si="5"/>
        <v/>
      </c>
      <c r="AB43" s="19"/>
      <c r="AC43" s="19" t="str">
        <f t="shared" si="6"/>
        <v/>
      </c>
      <c r="AD43" s="19"/>
      <c r="AE43" s="19" t="str">
        <f t="shared" si="7"/>
        <v/>
      </c>
      <c r="AF43" s="19"/>
      <c r="AG43" s="19" t="str">
        <f t="shared" si="8"/>
        <v/>
      </c>
      <c r="AH43" s="19"/>
      <c r="AI43" s="19" t="str">
        <f t="shared" si="9"/>
        <v/>
      </c>
      <c r="AJ43" s="19"/>
      <c r="AK43" s="19" t="str">
        <f t="shared" si="10"/>
        <v/>
      </c>
      <c r="AL43" s="19"/>
      <c r="AM43" s="19" t="str">
        <f t="shared" si="11"/>
        <v/>
      </c>
      <c r="AN43" s="19"/>
      <c r="AO43" s="19" t="str">
        <f t="shared" si="12"/>
        <v/>
      </c>
      <c r="AP43" s="20"/>
      <c r="AR43" s="16"/>
      <c r="AS43" s="16"/>
      <c r="AT43" s="16"/>
      <c r="AU43" s="16"/>
      <c r="AV43" s="21"/>
      <c r="AW43" s="21"/>
      <c r="AX43" s="22"/>
      <c r="AY43" s="16"/>
      <c r="AZ43" s="16"/>
      <c r="BA43" s="23"/>
      <c r="BB43" s="22"/>
      <c r="BD43" s="63">
        <v>311098.62400000001</v>
      </c>
      <c r="BE43" s="16">
        <v>0.99210000000079201</v>
      </c>
      <c r="BF43" s="24">
        <v>308640.94487060502</v>
      </c>
      <c r="BG43" s="16"/>
      <c r="BH43" s="73"/>
      <c r="BI43" s="71" t="s">
        <v>687</v>
      </c>
    </row>
    <row r="44" spans="2:61" x14ac:dyDescent="0.25">
      <c r="B44" s="14" t="s">
        <v>43</v>
      </c>
      <c r="C44" s="14" t="s">
        <v>462</v>
      </c>
      <c r="D44" s="15" t="s">
        <v>260</v>
      </c>
      <c r="E44" s="15" t="s">
        <v>462</v>
      </c>
      <c r="F44" s="15" t="s">
        <v>913</v>
      </c>
      <c r="G44" s="86"/>
      <c r="H44" s="17">
        <v>43902</v>
      </c>
      <c r="I44" s="49"/>
      <c r="J44" s="49">
        <v>7717.1908100023902</v>
      </c>
      <c r="K44" s="16">
        <f t="shared" si="0"/>
        <v>0</v>
      </c>
      <c r="L44" s="17">
        <v>43902</v>
      </c>
      <c r="M44" s="49">
        <v>0</v>
      </c>
      <c r="N44" s="49">
        <v>257.99036144566497</v>
      </c>
      <c r="O44" s="16">
        <f t="shared" si="13"/>
        <v>0</v>
      </c>
      <c r="P44" s="18">
        <v>0</v>
      </c>
      <c r="Q44" s="18">
        <v>7.2289156626538897E-2</v>
      </c>
      <c r="R44" s="16">
        <f t="shared" si="1"/>
        <v>0</v>
      </c>
      <c r="T44" s="19"/>
      <c r="U44" s="19" t="str">
        <f t="shared" si="2"/>
        <v/>
      </c>
      <c r="V44" s="19"/>
      <c r="W44" s="19" t="str">
        <f t="shared" si="3"/>
        <v/>
      </c>
      <c r="X44" s="19"/>
      <c r="Y44" s="19" t="str">
        <f t="shared" si="4"/>
        <v/>
      </c>
      <c r="Z44" s="19"/>
      <c r="AA44" s="19" t="str">
        <f t="shared" si="5"/>
        <v/>
      </c>
      <c r="AB44" s="19"/>
      <c r="AC44" s="19" t="str">
        <f t="shared" si="6"/>
        <v/>
      </c>
      <c r="AD44" s="19"/>
      <c r="AE44" s="19" t="str">
        <f t="shared" si="7"/>
        <v/>
      </c>
      <c r="AF44" s="19"/>
      <c r="AG44" s="19" t="str">
        <f t="shared" si="8"/>
        <v/>
      </c>
      <c r="AH44" s="19"/>
      <c r="AI44" s="19" t="str">
        <f t="shared" si="9"/>
        <v/>
      </c>
      <c r="AJ44" s="19"/>
      <c r="AK44" s="19" t="str">
        <f t="shared" si="10"/>
        <v/>
      </c>
      <c r="AL44" s="19"/>
      <c r="AM44" s="19" t="str">
        <f t="shared" si="11"/>
        <v/>
      </c>
      <c r="AN44" s="19"/>
      <c r="AO44" s="19" t="str">
        <f t="shared" si="12"/>
        <v/>
      </c>
      <c r="AP44" s="20"/>
      <c r="AR44" s="16"/>
      <c r="AS44" s="16"/>
      <c r="AT44" s="16">
        <v>0</v>
      </c>
      <c r="AU44" s="16">
        <v>0</v>
      </c>
      <c r="AV44" s="21"/>
      <c r="AW44" s="21"/>
      <c r="AX44" s="22"/>
      <c r="AY44" s="16"/>
      <c r="AZ44" s="16">
        <v>0</v>
      </c>
      <c r="BA44" s="23">
        <v>43818</v>
      </c>
      <c r="BB44" s="22"/>
      <c r="BD44" s="63">
        <v>17874.654999999999</v>
      </c>
      <c r="BE44" s="16">
        <v>0.59940000000002303</v>
      </c>
      <c r="BF44" s="24">
        <v>10714.068207000701</v>
      </c>
      <c r="BG44" s="16"/>
      <c r="BH44" s="73"/>
      <c r="BI44" s="71" t="s">
        <v>688</v>
      </c>
    </row>
    <row r="45" spans="2:61" x14ac:dyDescent="0.25">
      <c r="B45" s="14" t="s">
        <v>44</v>
      </c>
      <c r="C45" s="14" t="s">
        <v>463</v>
      </c>
      <c r="D45" s="15" t="s">
        <v>261</v>
      </c>
      <c r="E45" s="15" t="s">
        <v>463</v>
      </c>
      <c r="F45" s="15" t="s">
        <v>913</v>
      </c>
      <c r="G45" s="86">
        <v>185195141.11000001</v>
      </c>
      <c r="H45" s="17">
        <v>43999</v>
      </c>
      <c r="I45" s="49">
        <v>700.91000000014901</v>
      </c>
      <c r="J45" s="49">
        <v>918.77640106994704</v>
      </c>
      <c r="K45" s="16">
        <f t="shared" si="0"/>
        <v>0.76287331627577171</v>
      </c>
      <c r="L45" s="17">
        <v>43747</v>
      </c>
      <c r="M45" s="49">
        <v>35.045999999999999</v>
      </c>
      <c r="N45" s="49">
        <v>4372.2368755035404</v>
      </c>
      <c r="O45" s="16">
        <f t="shared" si="13"/>
        <v>8.015576694015196E-3</v>
      </c>
      <c r="P45" s="18"/>
      <c r="Q45" s="18"/>
      <c r="R45" s="16" t="str">
        <f t="shared" si="1"/>
        <v/>
      </c>
      <c r="T45" s="19"/>
      <c r="U45" s="19" t="str">
        <f t="shared" si="2"/>
        <v/>
      </c>
      <c r="V45" s="19">
        <v>2.3226277371577501E-2</v>
      </c>
      <c r="W45" s="19">
        <f t="shared" si="3"/>
        <v>-7.2146022223023409E-2</v>
      </c>
      <c r="X45" s="19">
        <v>-0.119459245822363</v>
      </c>
      <c r="Y45" s="19">
        <f t="shared" si="4"/>
        <v>2.5301733421657008E-2</v>
      </c>
      <c r="Z45" s="19"/>
      <c r="AA45" s="19" t="str">
        <f t="shared" si="5"/>
        <v/>
      </c>
      <c r="AB45" s="19">
        <v>2.6750972756417499E-3</v>
      </c>
      <c r="AC45" s="19">
        <f t="shared" si="6"/>
        <v>-0.21848589017114126</v>
      </c>
      <c r="AD45" s="19">
        <v>-0.10975558166232099</v>
      </c>
      <c r="AE45" s="19">
        <f t="shared" si="7"/>
        <v>6.0390720895229011E-2</v>
      </c>
      <c r="AF45" s="19">
        <v>-0.22382701481459699</v>
      </c>
      <c r="AG45" s="19">
        <f t="shared" si="8"/>
        <v>-1.8918931919906984E-2</v>
      </c>
      <c r="AH45" s="19">
        <v>-0.19172106392303201</v>
      </c>
      <c r="AI45" s="19">
        <f t="shared" si="9"/>
        <v>7.7886884596373995E-2</v>
      </c>
      <c r="AJ45" s="19">
        <v>-0.11604001212704999</v>
      </c>
      <c r="AK45" s="19">
        <f t="shared" si="10"/>
        <v>5.7804179669911013E-2</v>
      </c>
      <c r="AL45" s="19">
        <v>0.32135165776882801</v>
      </c>
      <c r="AM45" s="19">
        <f t="shared" si="11"/>
        <v>0.31667086032386593</v>
      </c>
      <c r="AN45" s="19">
        <v>0.711618779050186</v>
      </c>
      <c r="AO45" s="19">
        <f t="shared" si="12"/>
        <v>0.70033668181844377</v>
      </c>
      <c r="AP45" s="20"/>
      <c r="AR45" s="16">
        <v>1.9345238095411301E-2</v>
      </c>
      <c r="AS45" s="16">
        <v>-4.4084716038923902E-2</v>
      </c>
      <c r="AT45" s="16">
        <v>2.3226277371577501E-2</v>
      </c>
      <c r="AU45" s="16">
        <v>-0.15988448411648301</v>
      </c>
      <c r="AV45" s="21">
        <v>3</v>
      </c>
      <c r="AW45" s="21">
        <v>1</v>
      </c>
      <c r="AX45" s="22"/>
      <c r="AY45" s="16"/>
      <c r="AZ45" s="16">
        <v>-0.18468558569875301</v>
      </c>
      <c r="BA45" s="23">
        <v>43878</v>
      </c>
      <c r="BB45" s="22">
        <v>0.37799970564992702</v>
      </c>
      <c r="BD45" s="63">
        <v>264221</v>
      </c>
      <c r="BE45" s="16">
        <v>0.402199999999721</v>
      </c>
      <c r="BF45" s="24">
        <v>106269.686199951</v>
      </c>
      <c r="BG45" s="16">
        <v>0.42900000000023297</v>
      </c>
      <c r="BH45" s="73">
        <v>113350.80899999999</v>
      </c>
      <c r="BI45" s="71" t="s">
        <v>689</v>
      </c>
    </row>
    <row r="46" spans="2:61" x14ac:dyDescent="0.25">
      <c r="B46" s="14" t="s">
        <v>45</v>
      </c>
      <c r="C46" s="14" t="s">
        <v>464</v>
      </c>
      <c r="D46" s="15" t="s">
        <v>262</v>
      </c>
      <c r="E46" s="15" t="s">
        <v>464</v>
      </c>
      <c r="F46" s="15" t="s">
        <v>915</v>
      </c>
      <c r="G46" s="86">
        <v>3221020627.8759999</v>
      </c>
      <c r="H46" s="17">
        <v>43999</v>
      </c>
      <c r="I46" s="49">
        <v>1125</v>
      </c>
      <c r="J46" s="49">
        <v>1404.91976423748</v>
      </c>
      <c r="K46" s="16">
        <f t="shared" si="0"/>
        <v>0.80075747287290366</v>
      </c>
      <c r="L46" s="17">
        <v>43657</v>
      </c>
      <c r="M46" s="49">
        <v>7301666.9859999996</v>
      </c>
      <c r="N46" s="49">
        <v>4340115.5185390599</v>
      </c>
      <c r="O46" s="16">
        <f t="shared" si="13"/>
        <v>1.6823669680704345</v>
      </c>
      <c r="P46" s="18">
        <v>1577</v>
      </c>
      <c r="Q46" s="18">
        <v>1126.75100401603</v>
      </c>
      <c r="R46" s="16">
        <f t="shared" si="1"/>
        <v>1.3995993741111983</v>
      </c>
      <c r="T46" s="19">
        <v>3.8589364845393E-2</v>
      </c>
      <c r="U46" s="19">
        <f t="shared" si="2"/>
        <v>2.4466963935992701E-2</v>
      </c>
      <c r="V46" s="19">
        <v>0.20320855614962099</v>
      </c>
      <c r="W46" s="19">
        <f t="shared" si="3"/>
        <v>0.10783625655502009</v>
      </c>
      <c r="X46" s="19">
        <v>0.17201775575085801</v>
      </c>
      <c r="Y46" s="19">
        <f t="shared" si="4"/>
        <v>0.31677873499487802</v>
      </c>
      <c r="Z46" s="19">
        <v>0.113861386138597</v>
      </c>
      <c r="AA46" s="19">
        <f t="shared" si="5"/>
        <v>1.1118522055768007E-2</v>
      </c>
      <c r="AB46" s="19">
        <v>0.63422194111626595</v>
      </c>
      <c r="AC46" s="19">
        <f t="shared" si="6"/>
        <v>0.41306095366948292</v>
      </c>
      <c r="AD46" s="19">
        <v>0.14880948336038299</v>
      </c>
      <c r="AE46" s="19">
        <f t="shared" si="7"/>
        <v>0.318955785917933</v>
      </c>
      <c r="AF46" s="19">
        <v>-0.14558352121181101</v>
      </c>
      <c r="AG46" s="19">
        <f t="shared" si="8"/>
        <v>5.9324561682879001E-2</v>
      </c>
      <c r="AH46" s="19">
        <v>-0.32466199910617399</v>
      </c>
      <c r="AI46" s="19">
        <f t="shared" si="9"/>
        <v>-5.5054050586767989E-2</v>
      </c>
      <c r="AJ46" s="19">
        <v>-0.33969341773656198</v>
      </c>
      <c r="AK46" s="19">
        <f t="shared" si="10"/>
        <v>-0.16584922593960097</v>
      </c>
      <c r="AL46" s="19">
        <v>-0.345345669718226</v>
      </c>
      <c r="AM46" s="19">
        <f t="shared" si="11"/>
        <v>-0.35002646716318808</v>
      </c>
      <c r="AN46" s="19">
        <v>-0.193691725916287</v>
      </c>
      <c r="AO46" s="19">
        <f t="shared" si="12"/>
        <v>-0.2049738231480292</v>
      </c>
      <c r="AP46" s="20">
        <v>47.614736529183602</v>
      </c>
      <c r="AR46" s="16">
        <v>9.7546239210787505E-2</v>
      </c>
      <c r="AS46" s="16">
        <v>-0.154929577464791</v>
      </c>
      <c r="AT46" s="16">
        <v>0.20320855614962099</v>
      </c>
      <c r="AU46" s="16">
        <v>-7.2802083333081094E-2</v>
      </c>
      <c r="AV46" s="21">
        <v>2</v>
      </c>
      <c r="AW46" s="21">
        <v>3</v>
      </c>
      <c r="AX46" s="22">
        <v>0.59202140053093899</v>
      </c>
      <c r="AY46" s="16">
        <v>5.7561261643568298E-2</v>
      </c>
      <c r="AZ46" s="16">
        <v>-0.43513462624629001</v>
      </c>
      <c r="BA46" s="23">
        <v>43850</v>
      </c>
      <c r="BB46" s="22">
        <v>0.84270277931591397</v>
      </c>
      <c r="BD46" s="63">
        <v>2863129.4470000002</v>
      </c>
      <c r="BE46" s="16">
        <v>0.20040000000008101</v>
      </c>
      <c r="BF46" s="24">
        <v>573771.14117871097</v>
      </c>
      <c r="BG46" s="16">
        <v>0.46690000000002302</v>
      </c>
      <c r="BH46" s="73">
        <v>1336795.13880469</v>
      </c>
      <c r="BI46" s="71" t="s">
        <v>690</v>
      </c>
    </row>
    <row r="47" spans="2:61" x14ac:dyDescent="0.25">
      <c r="B47" s="14" t="s">
        <v>46</v>
      </c>
      <c r="C47" s="14" t="s">
        <v>465</v>
      </c>
      <c r="D47" s="15" t="s">
        <v>263</v>
      </c>
      <c r="E47" s="15" t="s">
        <v>465</v>
      </c>
      <c r="F47" s="15" t="s">
        <v>916</v>
      </c>
      <c r="G47" s="86">
        <v>2558746617</v>
      </c>
      <c r="H47" s="17">
        <v>43999</v>
      </c>
      <c r="I47" s="49">
        <v>1500</v>
      </c>
      <c r="J47" s="49"/>
      <c r="K47" s="16" t="str">
        <f t="shared" si="0"/>
        <v/>
      </c>
      <c r="L47" s="17"/>
      <c r="M47" s="49">
        <v>2725294.051</v>
      </c>
      <c r="N47" s="49"/>
      <c r="O47" s="16" t="str">
        <f t="shared" si="13"/>
        <v/>
      </c>
      <c r="P47" s="18">
        <v>503</v>
      </c>
      <c r="Q47" s="18"/>
      <c r="R47" s="16" t="str">
        <f t="shared" si="1"/>
        <v/>
      </c>
      <c r="T47" s="19">
        <v>1.3581998782683499E-2</v>
      </c>
      <c r="U47" s="19">
        <f t="shared" si="2"/>
        <v>-5.4040212671680084E-4</v>
      </c>
      <c r="V47" s="19">
        <v>9.0909090909990498E-2</v>
      </c>
      <c r="W47" s="19">
        <f t="shared" si="3"/>
        <v>-4.4632086846104063E-3</v>
      </c>
      <c r="X47" s="19">
        <v>-6.1475877341799802E-2</v>
      </c>
      <c r="Y47" s="19">
        <f t="shared" si="4"/>
        <v>8.3285101902220215E-2</v>
      </c>
      <c r="Z47" s="19">
        <v>7.1428571429350995E-2</v>
      </c>
      <c r="AA47" s="19">
        <f t="shared" si="5"/>
        <v>-3.1314292653478001E-2</v>
      </c>
      <c r="AB47" s="19">
        <v>0.56850015332573101</v>
      </c>
      <c r="AC47" s="19">
        <f t="shared" si="6"/>
        <v>0.34733916587894798</v>
      </c>
      <c r="AD47" s="19">
        <v>-3.8366956233403499E-2</v>
      </c>
      <c r="AE47" s="19">
        <f t="shared" si="7"/>
        <v>0.13177934632414651</v>
      </c>
      <c r="AF47" s="19"/>
      <c r="AG47" s="19" t="str">
        <f t="shared" si="8"/>
        <v/>
      </c>
      <c r="AH47" s="19"/>
      <c r="AI47" s="19" t="str">
        <f t="shared" si="9"/>
        <v/>
      </c>
      <c r="AJ47" s="19"/>
      <c r="AK47" s="19" t="str">
        <f t="shared" si="10"/>
        <v/>
      </c>
      <c r="AL47" s="19"/>
      <c r="AM47" s="19" t="str">
        <f t="shared" si="11"/>
        <v/>
      </c>
      <c r="AN47" s="19"/>
      <c r="AO47" s="19" t="str">
        <f t="shared" si="12"/>
        <v/>
      </c>
      <c r="AP47" s="20">
        <v>52.599285527539898</v>
      </c>
      <c r="AR47" s="16">
        <v>0.14174418214140999</v>
      </c>
      <c r="AS47" s="16">
        <v>-0.169226159263344</v>
      </c>
      <c r="AT47" s="16">
        <v>9.0909090909990498E-2</v>
      </c>
      <c r="AU47" s="16">
        <v>-0.109505065495759</v>
      </c>
      <c r="AV47" s="21">
        <v>2</v>
      </c>
      <c r="AW47" s="21">
        <v>4</v>
      </c>
      <c r="AX47" s="22">
        <v>6.5343002243935203E-2</v>
      </c>
      <c r="AY47" s="16">
        <v>6.6290615647667403E-2</v>
      </c>
      <c r="AZ47" s="16">
        <v>-0.52664524642808797</v>
      </c>
      <c r="BA47" s="23">
        <v>43838</v>
      </c>
      <c r="BB47" s="22">
        <v>0.64825721890883903</v>
      </c>
      <c r="BD47" s="63">
        <v>1705831.078</v>
      </c>
      <c r="BE47" s="16">
        <v>0.71640000000014004</v>
      </c>
      <c r="BF47" s="24">
        <v>1222057.3842793</v>
      </c>
      <c r="BG47" s="16">
        <v>1</v>
      </c>
      <c r="BH47" s="73">
        <v>1705831.078</v>
      </c>
      <c r="BI47" s="71" t="s">
        <v>262</v>
      </c>
    </row>
    <row r="48" spans="2:61" x14ac:dyDescent="0.25">
      <c r="B48" s="14" t="s">
        <v>47</v>
      </c>
      <c r="C48" s="14" t="s">
        <v>466</v>
      </c>
      <c r="D48" s="15" t="s">
        <v>264</v>
      </c>
      <c r="E48" s="15" t="s">
        <v>466</v>
      </c>
      <c r="F48" s="15" t="s">
        <v>907</v>
      </c>
      <c r="G48" s="86">
        <v>333179457.4605</v>
      </c>
      <c r="H48" s="17">
        <v>43999</v>
      </c>
      <c r="I48" s="49">
        <v>158.57000000006499</v>
      </c>
      <c r="J48" s="49">
        <v>215.34334955899999</v>
      </c>
      <c r="K48" s="16">
        <f t="shared" si="0"/>
        <v>0.73635893713364864</v>
      </c>
      <c r="L48" s="17">
        <v>43670</v>
      </c>
      <c r="M48" s="49">
        <v>640.22299999999996</v>
      </c>
      <c r="N48" s="49">
        <v>9536.7161445770307</v>
      </c>
      <c r="O48" s="16">
        <f t="shared" si="13"/>
        <v>6.7132437444314325E-2</v>
      </c>
      <c r="P48" s="18"/>
      <c r="Q48" s="18"/>
      <c r="R48" s="16" t="str">
        <f t="shared" si="1"/>
        <v/>
      </c>
      <c r="T48" s="19">
        <v>0</v>
      </c>
      <c r="U48" s="19">
        <f t="shared" si="2"/>
        <v>-1.41224009094003E-2</v>
      </c>
      <c r="V48" s="19">
        <v>0.114257606634055</v>
      </c>
      <c r="W48" s="19">
        <f t="shared" si="3"/>
        <v>1.8885307039454097E-2</v>
      </c>
      <c r="X48" s="19">
        <v>-0.119055555554951</v>
      </c>
      <c r="Y48" s="19">
        <f t="shared" si="4"/>
        <v>2.5705423689069015E-2</v>
      </c>
      <c r="Z48" s="19">
        <v>7.7241847826371696E-2</v>
      </c>
      <c r="AA48" s="19">
        <f t="shared" si="5"/>
        <v>-2.5501016256457301E-2</v>
      </c>
      <c r="AB48" s="19">
        <v>0.18238759227475401</v>
      </c>
      <c r="AC48" s="19">
        <f t="shared" si="6"/>
        <v>-3.877339517202899E-2</v>
      </c>
      <c r="AD48" s="19">
        <v>-0.15699096225405801</v>
      </c>
      <c r="AE48" s="19">
        <f t="shared" si="7"/>
        <v>1.3155340303491997E-2</v>
      </c>
      <c r="AF48" s="19">
        <v>-0.23723032232112001</v>
      </c>
      <c r="AG48" s="19">
        <f t="shared" si="8"/>
        <v>-3.2322239426430005E-2</v>
      </c>
      <c r="AH48" s="19">
        <v>-3.2192534891692E-2</v>
      </c>
      <c r="AI48" s="19">
        <f t="shared" si="9"/>
        <v>0.23741541362771401</v>
      </c>
      <c r="AJ48" s="19">
        <v>-0.32291526720451702</v>
      </c>
      <c r="AK48" s="19">
        <f t="shared" si="10"/>
        <v>-0.14907107540755601</v>
      </c>
      <c r="AL48" s="19"/>
      <c r="AM48" s="19" t="str">
        <f t="shared" si="11"/>
        <v/>
      </c>
      <c r="AN48" s="19"/>
      <c r="AO48" s="19" t="str">
        <f t="shared" si="12"/>
        <v/>
      </c>
      <c r="AP48" s="20"/>
      <c r="AR48" s="16">
        <v>6.2929396286563105E-2</v>
      </c>
      <c r="AS48" s="16">
        <v>-7.9694698479215703E-2</v>
      </c>
      <c r="AT48" s="16">
        <v>0.15728220652643399</v>
      </c>
      <c r="AU48" s="16">
        <v>-0.17276056501752499</v>
      </c>
      <c r="AV48" s="21">
        <v>2</v>
      </c>
      <c r="AW48" s="21">
        <v>4</v>
      </c>
      <c r="AX48" s="22"/>
      <c r="AY48" s="16"/>
      <c r="AZ48" s="16">
        <v>-0.33545986177574399</v>
      </c>
      <c r="BA48" s="23">
        <v>43818</v>
      </c>
      <c r="BB48" s="22">
        <v>0.99400994394181896</v>
      </c>
      <c r="BD48" s="63">
        <v>2101150.6430000002</v>
      </c>
      <c r="BE48" s="16">
        <v>0.92330000000074497</v>
      </c>
      <c r="BF48" s="24">
        <v>1939992.3886816399</v>
      </c>
      <c r="BG48" s="16">
        <v>1</v>
      </c>
      <c r="BH48" s="73">
        <v>2101150.6430000002</v>
      </c>
      <c r="BI48" s="71" t="s">
        <v>691</v>
      </c>
    </row>
    <row r="49" spans="2:61" x14ac:dyDescent="0.25">
      <c r="B49" s="14" t="s">
        <v>48</v>
      </c>
      <c r="C49" s="14" t="s">
        <v>467</v>
      </c>
      <c r="D49" s="15" t="s">
        <v>265</v>
      </c>
      <c r="E49" s="15" t="s">
        <v>467</v>
      </c>
      <c r="F49" s="15" t="s">
        <v>906</v>
      </c>
      <c r="G49" s="86"/>
      <c r="H49" s="17">
        <v>43857</v>
      </c>
      <c r="I49" s="49"/>
      <c r="J49" s="49">
        <v>464.87323528947297</v>
      </c>
      <c r="K49" s="16">
        <f t="shared" si="0"/>
        <v>0</v>
      </c>
      <c r="L49" s="17">
        <v>43857</v>
      </c>
      <c r="M49" s="49">
        <v>0</v>
      </c>
      <c r="N49" s="49">
        <v>1.75164658634551</v>
      </c>
      <c r="O49" s="16">
        <f t="shared" si="13"/>
        <v>0</v>
      </c>
      <c r="P49" s="18">
        <v>0</v>
      </c>
      <c r="Q49" s="18">
        <v>4.0160642570299396E-3</v>
      </c>
      <c r="R49" s="16">
        <f t="shared" si="1"/>
        <v>0</v>
      </c>
      <c r="T49" s="19"/>
      <c r="U49" s="19" t="str">
        <f t="shared" si="2"/>
        <v/>
      </c>
      <c r="V49" s="19"/>
      <c r="W49" s="19" t="str">
        <f t="shared" si="3"/>
        <v/>
      </c>
      <c r="X49" s="19"/>
      <c r="Y49" s="19" t="str">
        <f t="shared" si="4"/>
        <v/>
      </c>
      <c r="Z49" s="19"/>
      <c r="AA49" s="19" t="str">
        <f t="shared" si="5"/>
        <v/>
      </c>
      <c r="AB49" s="19"/>
      <c r="AC49" s="19" t="str">
        <f t="shared" si="6"/>
        <v/>
      </c>
      <c r="AD49" s="19"/>
      <c r="AE49" s="19" t="str">
        <f t="shared" si="7"/>
        <v/>
      </c>
      <c r="AF49" s="19"/>
      <c r="AG49" s="19" t="str">
        <f t="shared" si="8"/>
        <v/>
      </c>
      <c r="AH49" s="19"/>
      <c r="AI49" s="19" t="str">
        <f t="shared" si="9"/>
        <v/>
      </c>
      <c r="AJ49" s="19"/>
      <c r="AK49" s="19" t="str">
        <f t="shared" si="10"/>
        <v/>
      </c>
      <c r="AL49" s="19"/>
      <c r="AM49" s="19" t="str">
        <f t="shared" si="11"/>
        <v/>
      </c>
      <c r="AN49" s="19"/>
      <c r="AO49" s="19" t="str">
        <f t="shared" si="12"/>
        <v/>
      </c>
      <c r="AP49" s="20"/>
      <c r="AR49" s="16"/>
      <c r="AS49" s="16"/>
      <c r="AT49" s="16"/>
      <c r="AU49" s="16"/>
      <c r="AV49" s="21"/>
      <c r="AW49" s="21"/>
      <c r="AX49" s="22"/>
      <c r="AY49" s="16"/>
      <c r="AZ49" s="16">
        <v>0</v>
      </c>
      <c r="BA49" s="23">
        <v>43857</v>
      </c>
      <c r="BB49" s="22"/>
      <c r="BD49" s="63">
        <v>128502.577259033</v>
      </c>
      <c r="BE49" s="16">
        <v>0.84209999999962704</v>
      </c>
      <c r="BF49" s="24">
        <v>69025.0288013916</v>
      </c>
      <c r="BG49" s="16"/>
      <c r="BH49" s="73"/>
      <c r="BI49" s="71" t="s">
        <v>692</v>
      </c>
    </row>
    <row r="50" spans="2:61" x14ac:dyDescent="0.25">
      <c r="B50" s="14" t="s">
        <v>49</v>
      </c>
      <c r="C50" s="14" t="s">
        <v>468</v>
      </c>
      <c r="D50" s="15" t="s">
        <v>266</v>
      </c>
      <c r="E50" s="15" t="s">
        <v>468</v>
      </c>
      <c r="F50" s="15" t="s">
        <v>913</v>
      </c>
      <c r="G50" s="86">
        <v>133722019.967875</v>
      </c>
      <c r="H50" s="17">
        <v>43997</v>
      </c>
      <c r="I50" s="49"/>
      <c r="J50" s="49">
        <v>420.20017726067499</v>
      </c>
      <c r="K50" s="16">
        <f t="shared" si="0"/>
        <v>0</v>
      </c>
      <c r="L50" s="17">
        <v>43656</v>
      </c>
      <c r="M50" s="49">
        <v>0</v>
      </c>
      <c r="N50" s="49">
        <v>22468.566895568802</v>
      </c>
      <c r="O50" s="16">
        <f t="shared" si="13"/>
        <v>0</v>
      </c>
      <c r="P50" s="18">
        <v>0</v>
      </c>
      <c r="Q50" s="18">
        <v>0.87550200803252698</v>
      </c>
      <c r="R50" s="16">
        <f t="shared" si="1"/>
        <v>0</v>
      </c>
      <c r="T50" s="19"/>
      <c r="U50" s="19" t="str">
        <f t="shared" si="2"/>
        <v/>
      </c>
      <c r="V50" s="19">
        <v>1.34666666672274E-2</v>
      </c>
      <c r="W50" s="19">
        <f t="shared" si="3"/>
        <v>-8.1905632927373503E-2</v>
      </c>
      <c r="X50" s="19">
        <v>-0.179965441915556</v>
      </c>
      <c r="Y50" s="19">
        <f t="shared" si="4"/>
        <v>-3.5204462671535985E-2</v>
      </c>
      <c r="Z50" s="19">
        <v>6.3076923077460406E-2</v>
      </c>
      <c r="AA50" s="19">
        <f t="shared" si="5"/>
        <v>-3.9665941005368591E-2</v>
      </c>
      <c r="AB50" s="19">
        <v>8.7348252473020693E-2</v>
      </c>
      <c r="AC50" s="19">
        <f t="shared" si="6"/>
        <v>-0.13381273497376231</v>
      </c>
      <c r="AD50" s="19">
        <v>-0.16888389383355401</v>
      </c>
      <c r="AE50" s="19">
        <f t="shared" si="7"/>
        <v>1.2624087239959947E-3</v>
      </c>
      <c r="AF50" s="19"/>
      <c r="AG50" s="19" t="str">
        <f t="shared" si="8"/>
        <v/>
      </c>
      <c r="AH50" s="19">
        <v>-0.20634910304477699</v>
      </c>
      <c r="AI50" s="19">
        <f t="shared" si="9"/>
        <v>6.3258845474629011E-2</v>
      </c>
      <c r="AJ50" s="19">
        <v>0.123687118477392</v>
      </c>
      <c r="AK50" s="19">
        <f t="shared" si="10"/>
        <v>0.29753131027435298</v>
      </c>
      <c r="AL50" s="19">
        <v>1.9322423275513601</v>
      </c>
      <c r="AM50" s="19">
        <f t="shared" si="11"/>
        <v>1.927561530106398</v>
      </c>
      <c r="AN50" s="19"/>
      <c r="AO50" s="19" t="str">
        <f t="shared" si="12"/>
        <v/>
      </c>
      <c r="AP50" s="20"/>
      <c r="AR50" s="16">
        <v>3.0927835052352699E-2</v>
      </c>
      <c r="AS50" s="16">
        <v>-4.8662445717127398E-2</v>
      </c>
      <c r="AT50" s="16">
        <v>0.116558979407273</v>
      </c>
      <c r="AU50" s="16">
        <v>-0.20591490408347499</v>
      </c>
      <c r="AV50" s="21">
        <v>4</v>
      </c>
      <c r="AW50" s="21">
        <v>2</v>
      </c>
      <c r="AX50" s="22"/>
      <c r="AY50" s="16"/>
      <c r="AZ50" s="16">
        <v>-0.31485411140631198</v>
      </c>
      <c r="BA50" s="23">
        <v>43861</v>
      </c>
      <c r="BB50" s="22">
        <v>0.87842677484968601</v>
      </c>
      <c r="BD50" s="63">
        <v>439817.19500000001</v>
      </c>
      <c r="BE50" s="16">
        <v>0.50929999999993003</v>
      </c>
      <c r="BF50" s="24">
        <v>223998.89741357401</v>
      </c>
      <c r="BG50" s="16">
        <v>0.38039999999979002</v>
      </c>
      <c r="BH50" s="73">
        <v>167306.460978027</v>
      </c>
      <c r="BI50" s="71" t="s">
        <v>693</v>
      </c>
    </row>
    <row r="51" spans="2:61" x14ac:dyDescent="0.25">
      <c r="B51" s="14" t="s">
        <v>50</v>
      </c>
      <c r="C51" s="14" t="s">
        <v>469</v>
      </c>
      <c r="D51" s="15" t="s">
        <v>267</v>
      </c>
      <c r="E51" s="15" t="s">
        <v>469</v>
      </c>
      <c r="F51" s="15" t="s">
        <v>911</v>
      </c>
      <c r="G51" s="86">
        <v>232848796.80000001</v>
      </c>
      <c r="H51" s="17">
        <v>43999</v>
      </c>
      <c r="I51" s="49">
        <v>27800</v>
      </c>
      <c r="J51" s="49">
        <v>39737.618526279897</v>
      </c>
      <c r="K51" s="16">
        <f t="shared" si="0"/>
        <v>0.69958897968721689</v>
      </c>
      <c r="L51" s="17">
        <v>43634</v>
      </c>
      <c r="M51" s="49">
        <v>29718.46</v>
      </c>
      <c r="N51" s="49">
        <v>47912.685305236802</v>
      </c>
      <c r="O51" s="16">
        <f t="shared" si="13"/>
        <v>0.62026287632748911</v>
      </c>
      <c r="P51" s="18">
        <v>5</v>
      </c>
      <c r="Q51" s="18"/>
      <c r="R51" s="16" t="str">
        <f t="shared" si="1"/>
        <v/>
      </c>
      <c r="T51" s="19">
        <v>-4.6740732796024499E-4</v>
      </c>
      <c r="U51" s="19">
        <f t="shared" si="2"/>
        <v>-1.4589808237360545E-2</v>
      </c>
      <c r="V51" s="19">
        <v>-2.45614035084145E-2</v>
      </c>
      <c r="W51" s="19">
        <f t="shared" si="3"/>
        <v>-0.1199337031030154</v>
      </c>
      <c r="X51" s="19">
        <v>-0.121422900773759</v>
      </c>
      <c r="Y51" s="19">
        <f t="shared" si="4"/>
        <v>2.3338078470261009E-2</v>
      </c>
      <c r="Z51" s="19">
        <v>-4.1658931935671703E-2</v>
      </c>
      <c r="AA51" s="19">
        <f t="shared" si="5"/>
        <v>-0.1444017960185007</v>
      </c>
      <c r="AB51" s="19">
        <v>-1.37952709255842E-2</v>
      </c>
      <c r="AC51" s="19">
        <f t="shared" si="6"/>
        <v>-0.23495625837236719</v>
      </c>
      <c r="AD51" s="19">
        <v>-0.114444329509715</v>
      </c>
      <c r="AE51" s="19">
        <f t="shared" si="7"/>
        <v>5.5701973047835002E-2</v>
      </c>
      <c r="AF51" s="19">
        <v>-0.30041102031274902</v>
      </c>
      <c r="AG51" s="19">
        <f t="shared" si="8"/>
        <v>-9.5502937418059014E-2</v>
      </c>
      <c r="AH51" s="19">
        <v>-0.29743460746336498</v>
      </c>
      <c r="AI51" s="19">
        <f t="shared" si="9"/>
        <v>-2.7826658943958971E-2</v>
      </c>
      <c r="AJ51" s="19">
        <v>-0.15127553516693301</v>
      </c>
      <c r="AK51" s="19">
        <f t="shared" si="10"/>
        <v>2.2568656630027994E-2</v>
      </c>
      <c r="AL51" s="19">
        <v>-0.29663040426385101</v>
      </c>
      <c r="AM51" s="19">
        <f t="shared" si="11"/>
        <v>-0.30131120170881309</v>
      </c>
      <c r="AN51" s="19">
        <v>-0.229136021863378</v>
      </c>
      <c r="AO51" s="19">
        <f t="shared" si="12"/>
        <v>-0.2404181190951202</v>
      </c>
      <c r="AP51" s="20"/>
      <c r="AR51" s="16">
        <v>3.3245939843254697E-2</v>
      </c>
      <c r="AS51" s="16">
        <v>-3.6150498385722998E-2</v>
      </c>
      <c r="AT51" s="16">
        <v>5.4863424384166103E-2</v>
      </c>
      <c r="AU51" s="16">
        <v>-9.4066972514119704E-2</v>
      </c>
      <c r="AV51" s="21">
        <v>2</v>
      </c>
      <c r="AW51" s="21">
        <v>4</v>
      </c>
      <c r="AX51" s="22"/>
      <c r="AY51" s="16"/>
      <c r="AZ51" s="16">
        <v>-0.17695414154470199</v>
      </c>
      <c r="BA51" s="23">
        <v>43938</v>
      </c>
      <c r="BB51" s="22">
        <v>0.32048948911460701</v>
      </c>
      <c r="BD51" s="63">
        <v>8375.8559999999998</v>
      </c>
      <c r="BE51" s="16">
        <v>0.32780000000027898</v>
      </c>
      <c r="BF51" s="24">
        <v>2745.6055968017599</v>
      </c>
      <c r="BG51" s="16">
        <v>0.82729999999981396</v>
      </c>
      <c r="BH51" s="73">
        <v>6929.3456688003498</v>
      </c>
      <c r="BI51" s="71" t="s">
        <v>694</v>
      </c>
    </row>
    <row r="52" spans="2:61" x14ac:dyDescent="0.25">
      <c r="B52" s="14" t="s">
        <v>51</v>
      </c>
      <c r="C52" s="14" t="s">
        <v>470</v>
      </c>
      <c r="D52" s="15" t="s">
        <v>268</v>
      </c>
      <c r="E52" s="15" t="s">
        <v>470</v>
      </c>
      <c r="F52" s="15" t="s">
        <v>910</v>
      </c>
      <c r="G52" s="86"/>
      <c r="H52" s="17">
        <v>43993</v>
      </c>
      <c r="I52" s="49"/>
      <c r="J52" s="49">
        <v>3610000</v>
      </c>
      <c r="K52" s="16">
        <f t="shared" si="0"/>
        <v>0</v>
      </c>
      <c r="L52" s="17">
        <v>43880</v>
      </c>
      <c r="M52" s="49">
        <v>0</v>
      </c>
      <c r="N52" s="49">
        <v>1059.90281124496</v>
      </c>
      <c r="O52" s="16">
        <f t="shared" si="13"/>
        <v>0</v>
      </c>
      <c r="P52" s="18">
        <v>0</v>
      </c>
      <c r="Q52" s="18">
        <v>0.15261044176713801</v>
      </c>
      <c r="R52" s="16">
        <f t="shared" si="1"/>
        <v>0</v>
      </c>
      <c r="T52" s="19"/>
      <c r="U52" s="19" t="str">
        <f t="shared" si="2"/>
        <v/>
      </c>
      <c r="V52" s="19"/>
      <c r="W52" s="19" t="str">
        <f t="shared" si="3"/>
        <v/>
      </c>
      <c r="X52" s="19">
        <v>1.53846153843915E-2</v>
      </c>
      <c r="Y52" s="19">
        <f t="shared" si="4"/>
        <v>0.16014559462841152</v>
      </c>
      <c r="Z52" s="19"/>
      <c r="AA52" s="19" t="str">
        <f t="shared" si="5"/>
        <v/>
      </c>
      <c r="AB52" s="19"/>
      <c r="AC52" s="19" t="str">
        <f t="shared" si="6"/>
        <v/>
      </c>
      <c r="AD52" s="19">
        <v>4.7619047618354698E-2</v>
      </c>
      <c r="AE52" s="19">
        <f t="shared" si="7"/>
        <v>0.2177653501759047</v>
      </c>
      <c r="AF52" s="19">
        <v>0.100000000000437</v>
      </c>
      <c r="AG52" s="19">
        <f t="shared" si="8"/>
        <v>0.304908082895127</v>
      </c>
      <c r="AH52" s="19"/>
      <c r="AI52" s="19" t="str">
        <f t="shared" si="9"/>
        <v/>
      </c>
      <c r="AJ52" s="19">
        <v>0.43478260869626001</v>
      </c>
      <c r="AK52" s="19">
        <f t="shared" si="10"/>
        <v>0.60862680049322104</v>
      </c>
      <c r="AL52" s="19"/>
      <c r="AM52" s="19" t="str">
        <f t="shared" si="11"/>
        <v/>
      </c>
      <c r="AN52" s="19"/>
      <c r="AO52" s="19" t="str">
        <f t="shared" si="12"/>
        <v/>
      </c>
      <c r="AP52" s="20"/>
      <c r="AR52" s="16">
        <v>3.38461538467527E-2</v>
      </c>
      <c r="AS52" s="16">
        <v>0</v>
      </c>
      <c r="AT52" s="16">
        <v>0.11076923076878301</v>
      </c>
      <c r="AU52" s="16">
        <v>-8.5872576177352999E-2</v>
      </c>
      <c r="AV52" s="21"/>
      <c r="AW52" s="21"/>
      <c r="AX52" s="22"/>
      <c r="AY52" s="16"/>
      <c r="AZ52" s="16">
        <v>-8.5872576177352999E-2</v>
      </c>
      <c r="BA52" s="23">
        <v>43858</v>
      </c>
      <c r="BB52" s="22"/>
      <c r="BD52" s="63"/>
      <c r="BE52" s="16">
        <v>8.8899999999994206E-2</v>
      </c>
      <c r="BF52" s="24">
        <v>0.88900000000000001</v>
      </c>
      <c r="BG52" s="16"/>
      <c r="BH52" s="73"/>
      <c r="BI52" s="71" t="s">
        <v>695</v>
      </c>
    </row>
    <row r="53" spans="2:61" x14ac:dyDescent="0.25">
      <c r="B53" s="14" t="s">
        <v>52</v>
      </c>
      <c r="C53" s="14" t="s">
        <v>471</v>
      </c>
      <c r="D53" s="15" t="s">
        <v>269</v>
      </c>
      <c r="E53" s="15" t="s">
        <v>471</v>
      </c>
      <c r="F53" s="15" t="s">
        <v>916</v>
      </c>
      <c r="G53" s="86"/>
      <c r="H53" s="17">
        <v>39153</v>
      </c>
      <c r="I53" s="49"/>
      <c r="J53" s="49"/>
      <c r="K53" s="16" t="str">
        <f t="shared" si="0"/>
        <v/>
      </c>
      <c r="L53" s="17"/>
      <c r="M53" s="49">
        <v>0</v>
      </c>
      <c r="N53" s="49">
        <v>0</v>
      </c>
      <c r="O53" s="16" t="str">
        <f t="shared" si="13"/>
        <v/>
      </c>
      <c r="P53" s="18">
        <v>0</v>
      </c>
      <c r="Q53" s="18">
        <v>0</v>
      </c>
      <c r="R53" s="16" t="str">
        <f t="shared" si="1"/>
        <v/>
      </c>
      <c r="T53" s="19"/>
      <c r="U53" s="19" t="str">
        <f t="shared" si="2"/>
        <v/>
      </c>
      <c r="V53" s="19"/>
      <c r="W53" s="19" t="str">
        <f t="shared" si="3"/>
        <v/>
      </c>
      <c r="X53" s="19"/>
      <c r="Y53" s="19" t="str">
        <f t="shared" si="4"/>
        <v/>
      </c>
      <c r="Z53" s="19"/>
      <c r="AA53" s="19" t="str">
        <f t="shared" si="5"/>
        <v/>
      </c>
      <c r="AB53" s="19"/>
      <c r="AC53" s="19" t="str">
        <f t="shared" si="6"/>
        <v/>
      </c>
      <c r="AD53" s="19"/>
      <c r="AE53" s="19" t="str">
        <f t="shared" si="7"/>
        <v/>
      </c>
      <c r="AF53" s="19"/>
      <c r="AG53" s="19" t="str">
        <f t="shared" si="8"/>
        <v/>
      </c>
      <c r="AH53" s="19"/>
      <c r="AI53" s="19" t="str">
        <f t="shared" si="9"/>
        <v/>
      </c>
      <c r="AJ53" s="19"/>
      <c r="AK53" s="19" t="str">
        <f t="shared" si="10"/>
        <v/>
      </c>
      <c r="AL53" s="19"/>
      <c r="AM53" s="19" t="str">
        <f t="shared" si="11"/>
        <v/>
      </c>
      <c r="AN53" s="19"/>
      <c r="AO53" s="19" t="str">
        <f t="shared" si="12"/>
        <v/>
      </c>
      <c r="AP53" s="20"/>
      <c r="AR53" s="16"/>
      <c r="AS53" s="16"/>
      <c r="AT53" s="16"/>
      <c r="AU53" s="16"/>
      <c r="AV53" s="21"/>
      <c r="AW53" s="21"/>
      <c r="AX53" s="22"/>
      <c r="AY53" s="16"/>
      <c r="AZ53" s="16"/>
      <c r="BA53" s="23"/>
      <c r="BB53" s="22"/>
      <c r="BD53" s="63">
        <v>25</v>
      </c>
      <c r="BE53" s="16">
        <v>0.51869999999995298</v>
      </c>
      <c r="BF53" s="24">
        <v>12.967499999999999</v>
      </c>
      <c r="BG53" s="16"/>
      <c r="BH53" s="73"/>
      <c r="BI53" s="71" t="s">
        <v>696</v>
      </c>
    </row>
    <row r="54" spans="2:61" x14ac:dyDescent="0.25">
      <c r="B54" s="14" t="s">
        <v>53</v>
      </c>
      <c r="C54" s="14" t="s">
        <v>472</v>
      </c>
      <c r="D54" s="15" t="s">
        <v>270</v>
      </c>
      <c r="E54" s="15" t="s">
        <v>472</v>
      </c>
      <c r="F54" s="15" t="s">
        <v>906</v>
      </c>
      <c r="G54" s="86"/>
      <c r="H54" s="17">
        <v>43908</v>
      </c>
      <c r="I54" s="49"/>
      <c r="J54" s="49">
        <v>17800000</v>
      </c>
      <c r="K54" s="16">
        <f t="shared" si="0"/>
        <v>0</v>
      </c>
      <c r="L54" s="17">
        <v>43648</v>
      </c>
      <c r="M54" s="49">
        <v>0</v>
      </c>
      <c r="N54" s="49">
        <v>398.79518072271298</v>
      </c>
      <c r="O54" s="16">
        <f t="shared" si="13"/>
        <v>0</v>
      </c>
      <c r="P54" s="18">
        <v>0</v>
      </c>
      <c r="Q54" s="18">
        <v>2.4096385542179601E-2</v>
      </c>
      <c r="R54" s="16">
        <f t="shared" si="1"/>
        <v>0</v>
      </c>
      <c r="T54" s="19"/>
      <c r="U54" s="19" t="str">
        <f t="shared" si="2"/>
        <v/>
      </c>
      <c r="V54" s="19"/>
      <c r="W54" s="19" t="str">
        <f t="shared" si="3"/>
        <v/>
      </c>
      <c r="X54" s="19"/>
      <c r="Y54" s="19" t="str">
        <f t="shared" si="4"/>
        <v/>
      </c>
      <c r="Z54" s="19"/>
      <c r="AA54" s="19" t="str">
        <f t="shared" si="5"/>
        <v/>
      </c>
      <c r="AB54" s="19"/>
      <c r="AC54" s="19" t="str">
        <f t="shared" si="6"/>
        <v/>
      </c>
      <c r="AD54" s="19"/>
      <c r="AE54" s="19" t="str">
        <f t="shared" si="7"/>
        <v/>
      </c>
      <c r="AF54" s="19"/>
      <c r="AG54" s="19" t="str">
        <f t="shared" si="8"/>
        <v/>
      </c>
      <c r="AH54" s="19"/>
      <c r="AI54" s="19" t="str">
        <f t="shared" si="9"/>
        <v/>
      </c>
      <c r="AJ54" s="19"/>
      <c r="AK54" s="19" t="str">
        <f t="shared" si="10"/>
        <v/>
      </c>
      <c r="AL54" s="19"/>
      <c r="AM54" s="19" t="str">
        <f t="shared" si="11"/>
        <v/>
      </c>
      <c r="AN54" s="19"/>
      <c r="AO54" s="19" t="str">
        <f t="shared" si="12"/>
        <v/>
      </c>
      <c r="AP54" s="20"/>
      <c r="AR54" s="16"/>
      <c r="AS54" s="16"/>
      <c r="AT54" s="16"/>
      <c r="AU54" s="16"/>
      <c r="AV54" s="21"/>
      <c r="AW54" s="21"/>
      <c r="AX54" s="22"/>
      <c r="AY54" s="16"/>
      <c r="AZ54" s="16">
        <v>0</v>
      </c>
      <c r="BA54" s="23">
        <v>43908</v>
      </c>
      <c r="BB54" s="22"/>
      <c r="BD54" s="63">
        <v>1.4</v>
      </c>
      <c r="BE54" s="16">
        <v>0.11929999999993</v>
      </c>
      <c r="BF54" s="24">
        <v>0.16702000000001899</v>
      </c>
      <c r="BG54" s="16"/>
      <c r="BH54" s="73"/>
      <c r="BI54" s="71" t="s">
        <v>697</v>
      </c>
    </row>
    <row r="55" spans="2:61" x14ac:dyDescent="0.25">
      <c r="B55" s="14" t="s">
        <v>54</v>
      </c>
      <c r="C55" s="14" t="s">
        <v>473</v>
      </c>
      <c r="D55" s="15" t="s">
        <v>271</v>
      </c>
      <c r="E55" s="15" t="s">
        <v>473</v>
      </c>
      <c r="F55" s="15" t="s">
        <v>913</v>
      </c>
      <c r="G55" s="86">
        <v>531442195.72049999</v>
      </c>
      <c r="H55" s="17">
        <v>43998</v>
      </c>
      <c r="I55" s="49"/>
      <c r="J55" s="49">
        <v>1322.5820177774899</v>
      </c>
      <c r="K55" s="16">
        <f t="shared" si="0"/>
        <v>0</v>
      </c>
      <c r="L55" s="17">
        <v>43864</v>
      </c>
      <c r="M55" s="49">
        <v>0</v>
      </c>
      <c r="N55" s="49">
        <v>9521.6168473968501</v>
      </c>
      <c r="O55" s="16">
        <f t="shared" si="13"/>
        <v>0</v>
      </c>
      <c r="P55" s="18">
        <v>0</v>
      </c>
      <c r="Q55" s="18">
        <v>0.546184738956072</v>
      </c>
      <c r="R55" s="16">
        <f t="shared" si="1"/>
        <v>0</v>
      </c>
      <c r="T55" s="19"/>
      <c r="U55" s="19" t="str">
        <f t="shared" si="2"/>
        <v/>
      </c>
      <c r="V55" s="19"/>
      <c r="W55" s="19" t="str">
        <f t="shared" si="3"/>
        <v/>
      </c>
      <c r="X55" s="19"/>
      <c r="Y55" s="19" t="str">
        <f t="shared" si="4"/>
        <v/>
      </c>
      <c r="Z55" s="19"/>
      <c r="AA55" s="19" t="str">
        <f t="shared" si="5"/>
        <v/>
      </c>
      <c r="AB55" s="19"/>
      <c r="AC55" s="19" t="str">
        <f t="shared" si="6"/>
        <v/>
      </c>
      <c r="AD55" s="19">
        <v>-0.26345588636002498</v>
      </c>
      <c r="AE55" s="19">
        <f t="shared" si="7"/>
        <v>-9.3309583802474977E-2</v>
      </c>
      <c r="AF55" s="19"/>
      <c r="AG55" s="19" t="str">
        <f t="shared" si="8"/>
        <v/>
      </c>
      <c r="AH55" s="19"/>
      <c r="AI55" s="19" t="str">
        <f t="shared" si="9"/>
        <v/>
      </c>
      <c r="AJ55" s="19"/>
      <c r="AK55" s="19" t="str">
        <f t="shared" si="10"/>
        <v/>
      </c>
      <c r="AL55" s="19"/>
      <c r="AM55" s="19" t="str">
        <f t="shared" si="11"/>
        <v/>
      </c>
      <c r="AN55" s="19"/>
      <c r="AO55" s="19" t="str">
        <f t="shared" si="12"/>
        <v/>
      </c>
      <c r="AP55" s="20"/>
      <c r="AR55" s="16">
        <v>0</v>
      </c>
      <c r="AS55" s="16">
        <v>0</v>
      </c>
      <c r="AT55" s="16">
        <v>8.2377777776855496E-2</v>
      </c>
      <c r="AU55" s="16">
        <v>-0.28000000000058201</v>
      </c>
      <c r="AV55" s="21"/>
      <c r="AW55" s="21"/>
      <c r="AX55" s="22"/>
      <c r="AY55" s="16"/>
      <c r="AZ55" s="16">
        <v>-0.33823529411747599</v>
      </c>
      <c r="BA55" s="23">
        <v>43864</v>
      </c>
      <c r="BB55" s="22"/>
      <c r="BD55" s="63">
        <v>244420.704</v>
      </c>
      <c r="BE55" s="16">
        <v>0.47889999999955801</v>
      </c>
      <c r="BF55" s="24">
        <v>244647.611846924</v>
      </c>
      <c r="BG55" s="16">
        <v>0.49380000000004698</v>
      </c>
      <c r="BH55" s="73">
        <v>252259.324974121</v>
      </c>
      <c r="BI55" s="71" t="s">
        <v>698</v>
      </c>
    </row>
    <row r="56" spans="2:61" x14ac:dyDescent="0.25">
      <c r="B56" s="14" t="s">
        <v>55</v>
      </c>
      <c r="C56" s="14" t="s">
        <v>474</v>
      </c>
      <c r="D56" s="15" t="s">
        <v>271</v>
      </c>
      <c r="E56" s="15" t="s">
        <v>474</v>
      </c>
      <c r="F56" s="15" t="s">
        <v>913</v>
      </c>
      <c r="G56" s="86">
        <v>531442195.72049999</v>
      </c>
      <c r="H56" s="17">
        <v>43999</v>
      </c>
      <c r="I56" s="49">
        <v>1101</v>
      </c>
      <c r="J56" s="49">
        <v>1469.1202202104</v>
      </c>
      <c r="K56" s="16">
        <f t="shared" si="0"/>
        <v>0.74942811681015475</v>
      </c>
      <c r="L56" s="17">
        <v>43644</v>
      </c>
      <c r="M56" s="49">
        <v>1690766.351</v>
      </c>
      <c r="N56" s="49">
        <v>307260.08501611301</v>
      </c>
      <c r="O56" s="16">
        <f t="shared" si="13"/>
        <v>5.5027204425571083</v>
      </c>
      <c r="P56" s="18">
        <v>38</v>
      </c>
      <c r="Q56" s="18">
        <v>19.124497991957501</v>
      </c>
      <c r="R56" s="16">
        <f t="shared" si="1"/>
        <v>1.9869802603958695</v>
      </c>
      <c r="T56" s="19">
        <v>9.0909090977220298E-4</v>
      </c>
      <c r="U56" s="19">
        <f t="shared" si="2"/>
        <v>-1.3213309999628097E-2</v>
      </c>
      <c r="V56" s="19">
        <v>0.10100000000063999</v>
      </c>
      <c r="W56" s="19">
        <f t="shared" si="3"/>
        <v>5.6277004060390906E-3</v>
      </c>
      <c r="X56" s="19">
        <v>-0.14380687085489599</v>
      </c>
      <c r="Y56" s="19">
        <f t="shared" si="4"/>
        <v>9.5410838912401985E-4</v>
      </c>
      <c r="Z56" s="19">
        <v>9.7597447911539306E-2</v>
      </c>
      <c r="AA56" s="19">
        <f t="shared" si="5"/>
        <v>-5.1454161712896906E-3</v>
      </c>
      <c r="AB56" s="19">
        <v>0.18921219244832199</v>
      </c>
      <c r="AC56" s="19">
        <f t="shared" si="6"/>
        <v>-3.1948794998461011E-2</v>
      </c>
      <c r="AD56" s="19">
        <v>-0.117251505834283</v>
      </c>
      <c r="AE56" s="19">
        <f t="shared" si="7"/>
        <v>5.289479672326701E-2</v>
      </c>
      <c r="AF56" s="19">
        <v>-0.251980491355353</v>
      </c>
      <c r="AG56" s="19">
        <f t="shared" si="8"/>
        <v>-4.707240846066299E-2</v>
      </c>
      <c r="AH56" s="19">
        <v>-0.26254504631186099</v>
      </c>
      <c r="AI56" s="19">
        <f t="shared" si="9"/>
        <v>7.0629022075450187E-3</v>
      </c>
      <c r="AJ56" s="19">
        <v>-0.21864524561911799</v>
      </c>
      <c r="AK56" s="19">
        <f t="shared" si="10"/>
        <v>-4.4801053822156989E-2</v>
      </c>
      <c r="AL56" s="19">
        <v>7.9385299621208105E-2</v>
      </c>
      <c r="AM56" s="19">
        <f t="shared" si="11"/>
        <v>7.4704502176246024E-2</v>
      </c>
      <c r="AN56" s="19">
        <v>0.33153657047660101</v>
      </c>
      <c r="AO56" s="19">
        <f t="shared" si="12"/>
        <v>0.32025447324485878</v>
      </c>
      <c r="AP56" s="20"/>
      <c r="AR56" s="16">
        <v>6.6530194473671103E-2</v>
      </c>
      <c r="AS56" s="16">
        <v>-9.5879722142853993E-2</v>
      </c>
      <c r="AT56" s="16">
        <v>0.10100000000063999</v>
      </c>
      <c r="AU56" s="16">
        <v>-0.169271996426687</v>
      </c>
      <c r="AV56" s="21">
        <v>3</v>
      </c>
      <c r="AW56" s="21">
        <v>3</v>
      </c>
      <c r="AX56" s="22"/>
      <c r="AY56" s="16"/>
      <c r="AZ56" s="16">
        <v>-0.33173684210458299</v>
      </c>
      <c r="BA56" s="23">
        <v>43836</v>
      </c>
      <c r="BB56" s="22">
        <v>0.92354765726213395</v>
      </c>
      <c r="BD56" s="63">
        <v>266432.52600000001</v>
      </c>
      <c r="BE56" s="16">
        <v>0.47889999999955801</v>
      </c>
      <c r="BF56" s="24">
        <v>244647.611846924</v>
      </c>
      <c r="BG56" s="16">
        <v>0.49380000000004698</v>
      </c>
      <c r="BH56" s="73">
        <v>252259.324974121</v>
      </c>
      <c r="BI56" s="71" t="s">
        <v>698</v>
      </c>
    </row>
    <row r="57" spans="2:61" x14ac:dyDescent="0.25">
      <c r="B57" s="14" t="s">
        <v>56</v>
      </c>
      <c r="C57" s="14" t="s">
        <v>475</v>
      </c>
      <c r="D57" s="15" t="s">
        <v>272</v>
      </c>
      <c r="E57" s="15" t="s">
        <v>475</v>
      </c>
      <c r="F57" s="15" t="s">
        <v>907</v>
      </c>
      <c r="G57" s="86">
        <v>2256904785.5640001</v>
      </c>
      <c r="H57" s="17">
        <v>43999</v>
      </c>
      <c r="I57" s="49">
        <v>128.69999999995301</v>
      </c>
      <c r="J57" s="49">
        <v>134.75</v>
      </c>
      <c r="K57" s="16">
        <f t="shared" si="0"/>
        <v>0.95510204081597783</v>
      </c>
      <c r="L57" s="17">
        <v>43990</v>
      </c>
      <c r="M57" s="49">
        <v>2750298.7089999998</v>
      </c>
      <c r="N57" s="49">
        <v>1934575.2948398399</v>
      </c>
      <c r="O57" s="16">
        <f t="shared" si="13"/>
        <v>1.4216550352606938</v>
      </c>
      <c r="P57" s="18">
        <v>1243</v>
      </c>
      <c r="Q57" s="18">
        <v>662.26104417629494</v>
      </c>
      <c r="R57" s="16">
        <f t="shared" si="1"/>
        <v>1.8769033916920401</v>
      </c>
      <c r="T57" s="19">
        <v>8.2256169207539608E-3</v>
      </c>
      <c r="U57" s="19">
        <f t="shared" si="2"/>
        <v>-5.8967839886463393E-3</v>
      </c>
      <c r="V57" s="19">
        <v>-1.6956920256234301E-2</v>
      </c>
      <c r="W57" s="19">
        <f t="shared" si="3"/>
        <v>-0.1123292198508352</v>
      </c>
      <c r="X57" s="19">
        <v>0.139967786248308</v>
      </c>
      <c r="Y57" s="19">
        <f t="shared" si="4"/>
        <v>0.28472876549232801</v>
      </c>
      <c r="Z57" s="19">
        <v>0.211864406779641</v>
      </c>
      <c r="AA57" s="19">
        <f t="shared" si="5"/>
        <v>0.109121542696812</v>
      </c>
      <c r="AB57" s="19">
        <v>0.48691450380079898</v>
      </c>
      <c r="AC57" s="19">
        <f t="shared" si="6"/>
        <v>0.26575351635401601</v>
      </c>
      <c r="AD57" s="19">
        <v>0.103194631852675</v>
      </c>
      <c r="AE57" s="19">
        <f t="shared" si="7"/>
        <v>0.273340934410225</v>
      </c>
      <c r="AF57" s="19">
        <v>3.8235919077124002E-2</v>
      </c>
      <c r="AG57" s="19">
        <f t="shared" si="8"/>
        <v>0.24314400197181402</v>
      </c>
      <c r="AH57" s="19">
        <v>9.4076074476179203E-2</v>
      </c>
      <c r="AI57" s="19">
        <f t="shared" si="9"/>
        <v>0.36368402299558522</v>
      </c>
      <c r="AJ57" s="19">
        <v>0.111635156616103</v>
      </c>
      <c r="AK57" s="19">
        <f t="shared" si="10"/>
        <v>0.28547934841306399</v>
      </c>
      <c r="AL57" s="19">
        <v>2.78846330147644E-2</v>
      </c>
      <c r="AM57" s="19">
        <f t="shared" si="11"/>
        <v>2.3203835569802322E-2</v>
      </c>
      <c r="AN57" s="19">
        <v>-5.5223460291017497E-2</v>
      </c>
      <c r="AO57" s="19">
        <f t="shared" si="12"/>
        <v>-6.650555752275969E-2</v>
      </c>
      <c r="AP57" s="20">
        <v>43.530474195897099</v>
      </c>
      <c r="AR57" s="16">
        <v>0.10843373494033599</v>
      </c>
      <c r="AS57" s="16">
        <v>-0.14432989690700199</v>
      </c>
      <c r="AT57" s="16">
        <v>0.31720430107467101</v>
      </c>
      <c r="AU57" s="16">
        <v>-0.118454935623013</v>
      </c>
      <c r="AV57" s="21">
        <v>2</v>
      </c>
      <c r="AW57" s="21">
        <v>4</v>
      </c>
      <c r="AX57" s="22">
        <v>0.51570771412480099</v>
      </c>
      <c r="AY57" s="16">
        <v>5.4525745202554397E-2</v>
      </c>
      <c r="AZ57" s="16">
        <v>-0.38091603053442702</v>
      </c>
      <c r="BA57" s="23">
        <v>43836</v>
      </c>
      <c r="BB57" s="22">
        <v>0.840894884598129</v>
      </c>
      <c r="BD57" s="63">
        <v>17536167.719999999</v>
      </c>
      <c r="BE57" s="16">
        <v>0.35170000000041901</v>
      </c>
      <c r="BF57" s="24">
        <v>6167470.1871250002</v>
      </c>
      <c r="BG57" s="16">
        <v>0.50040000000037299</v>
      </c>
      <c r="BH57" s="73">
        <v>8775098.3270937502</v>
      </c>
      <c r="BI57" s="71" t="s">
        <v>367</v>
      </c>
    </row>
    <row r="58" spans="2:61" x14ac:dyDescent="0.25">
      <c r="B58" s="14" t="s">
        <v>57</v>
      </c>
      <c r="C58" s="14" t="s">
        <v>476</v>
      </c>
      <c r="D58" s="15" t="s">
        <v>273</v>
      </c>
      <c r="E58" s="15" t="s">
        <v>476</v>
      </c>
      <c r="F58" s="15" t="s">
        <v>916</v>
      </c>
      <c r="G58" s="86"/>
      <c r="H58" s="17">
        <v>39153</v>
      </c>
      <c r="I58" s="49"/>
      <c r="J58" s="49"/>
      <c r="K58" s="16" t="str">
        <f t="shared" si="0"/>
        <v/>
      </c>
      <c r="L58" s="17"/>
      <c r="M58" s="49">
        <v>0</v>
      </c>
      <c r="N58" s="49">
        <v>0</v>
      </c>
      <c r="O58" s="16" t="str">
        <f t="shared" si="13"/>
        <v/>
      </c>
      <c r="P58" s="18">
        <v>0</v>
      </c>
      <c r="Q58" s="18">
        <v>0</v>
      </c>
      <c r="R58" s="16" t="str">
        <f t="shared" si="1"/>
        <v/>
      </c>
      <c r="T58" s="19"/>
      <c r="U58" s="19" t="str">
        <f t="shared" si="2"/>
        <v/>
      </c>
      <c r="V58" s="19"/>
      <c r="W58" s="19" t="str">
        <f t="shared" si="3"/>
        <v/>
      </c>
      <c r="X58" s="19"/>
      <c r="Y58" s="19" t="str">
        <f t="shared" si="4"/>
        <v/>
      </c>
      <c r="Z58" s="19"/>
      <c r="AA58" s="19" t="str">
        <f t="shared" si="5"/>
        <v/>
      </c>
      <c r="AB58" s="19"/>
      <c r="AC58" s="19" t="str">
        <f t="shared" si="6"/>
        <v/>
      </c>
      <c r="AD58" s="19"/>
      <c r="AE58" s="19" t="str">
        <f t="shared" si="7"/>
        <v/>
      </c>
      <c r="AF58" s="19"/>
      <c r="AG58" s="19" t="str">
        <f t="shared" si="8"/>
        <v/>
      </c>
      <c r="AH58" s="19"/>
      <c r="AI58" s="19" t="str">
        <f t="shared" si="9"/>
        <v/>
      </c>
      <c r="AJ58" s="19"/>
      <c r="AK58" s="19" t="str">
        <f t="shared" si="10"/>
        <v/>
      </c>
      <c r="AL58" s="19"/>
      <c r="AM58" s="19" t="str">
        <f t="shared" si="11"/>
        <v/>
      </c>
      <c r="AN58" s="19"/>
      <c r="AO58" s="19" t="str">
        <f t="shared" si="12"/>
        <v/>
      </c>
      <c r="AP58" s="20"/>
      <c r="AR58" s="16"/>
      <c r="AS58" s="16"/>
      <c r="AT58" s="16"/>
      <c r="AU58" s="16"/>
      <c r="AV58" s="21"/>
      <c r="AW58" s="21"/>
      <c r="AX58" s="22"/>
      <c r="AY58" s="16"/>
      <c r="AZ58" s="16"/>
      <c r="BA58" s="23"/>
      <c r="BB58" s="22"/>
      <c r="BD58" s="63">
        <v>135.69300000000001</v>
      </c>
      <c r="BE58" s="16">
        <v>3.68036671014852E-2</v>
      </c>
      <c r="BF58" s="24">
        <v>4.9939999999999998</v>
      </c>
      <c r="BG58" s="16"/>
      <c r="BH58" s="73"/>
      <c r="BI58" s="71" t="s">
        <v>699</v>
      </c>
    </row>
    <row r="59" spans="2:61" x14ac:dyDescent="0.25">
      <c r="B59" s="14" t="s">
        <v>58</v>
      </c>
      <c r="C59" s="14" t="s">
        <v>477</v>
      </c>
      <c r="D59" s="15" t="s">
        <v>274</v>
      </c>
      <c r="E59" s="15" t="s">
        <v>477</v>
      </c>
      <c r="F59" s="15" t="s">
        <v>917</v>
      </c>
      <c r="G59" s="86"/>
      <c r="H59" s="17"/>
      <c r="I59" s="49"/>
      <c r="J59" s="49"/>
      <c r="K59" s="16" t="str">
        <f t="shared" si="0"/>
        <v/>
      </c>
      <c r="L59" s="17"/>
      <c r="M59" s="49">
        <v>0</v>
      </c>
      <c r="N59" s="49"/>
      <c r="O59" s="16" t="str">
        <f t="shared" si="13"/>
        <v/>
      </c>
      <c r="P59" s="18">
        <v>0</v>
      </c>
      <c r="Q59" s="18"/>
      <c r="R59" s="16" t="str">
        <f t="shared" si="1"/>
        <v/>
      </c>
      <c r="T59" s="19"/>
      <c r="U59" s="19" t="str">
        <f t="shared" si="2"/>
        <v/>
      </c>
      <c r="V59" s="19"/>
      <c r="W59" s="19" t="str">
        <f t="shared" si="3"/>
        <v/>
      </c>
      <c r="X59" s="19"/>
      <c r="Y59" s="19" t="str">
        <f t="shared" si="4"/>
        <v/>
      </c>
      <c r="Z59" s="19"/>
      <c r="AA59" s="19" t="str">
        <f t="shared" si="5"/>
        <v/>
      </c>
      <c r="AB59" s="19"/>
      <c r="AC59" s="19" t="str">
        <f t="shared" si="6"/>
        <v/>
      </c>
      <c r="AD59" s="19"/>
      <c r="AE59" s="19" t="str">
        <f t="shared" si="7"/>
        <v/>
      </c>
      <c r="AF59" s="19"/>
      <c r="AG59" s="19" t="str">
        <f t="shared" si="8"/>
        <v/>
      </c>
      <c r="AH59" s="19"/>
      <c r="AI59" s="19" t="str">
        <f t="shared" si="9"/>
        <v/>
      </c>
      <c r="AJ59" s="19"/>
      <c r="AK59" s="19" t="str">
        <f t="shared" si="10"/>
        <v/>
      </c>
      <c r="AL59" s="19"/>
      <c r="AM59" s="19" t="str">
        <f t="shared" si="11"/>
        <v/>
      </c>
      <c r="AN59" s="19"/>
      <c r="AO59" s="19" t="str">
        <f t="shared" si="12"/>
        <v/>
      </c>
      <c r="AP59" s="20"/>
      <c r="AR59" s="16"/>
      <c r="AS59" s="16"/>
      <c r="AT59" s="16"/>
      <c r="AU59" s="16"/>
      <c r="AV59" s="21"/>
      <c r="AW59" s="21"/>
      <c r="AX59" s="22"/>
      <c r="AY59" s="16"/>
      <c r="AZ59" s="16"/>
      <c r="BA59" s="23"/>
      <c r="BB59" s="22"/>
      <c r="BD59" s="63">
        <v>285</v>
      </c>
      <c r="BE59" s="16"/>
      <c r="BF59" s="24"/>
      <c r="BG59" s="16"/>
      <c r="BH59" s="73"/>
      <c r="BI59" s="71" t="s">
        <v>227</v>
      </c>
    </row>
    <row r="60" spans="2:61" x14ac:dyDescent="0.25">
      <c r="B60" s="14" t="s">
        <v>59</v>
      </c>
      <c r="C60" s="14" t="s">
        <v>478</v>
      </c>
      <c r="D60" s="15" t="s">
        <v>275</v>
      </c>
      <c r="E60" s="15" t="s">
        <v>478</v>
      </c>
      <c r="F60" s="15" t="s">
        <v>906</v>
      </c>
      <c r="G60" s="86"/>
      <c r="H60" s="17">
        <v>43937</v>
      </c>
      <c r="I60" s="49"/>
      <c r="J60" s="49">
        <v>377.60381000023301</v>
      </c>
      <c r="K60" s="16">
        <f t="shared" si="0"/>
        <v>0</v>
      </c>
      <c r="L60" s="17">
        <v>43937</v>
      </c>
      <c r="M60" s="49">
        <v>0</v>
      </c>
      <c r="N60" s="49">
        <v>34.2223654618263</v>
      </c>
      <c r="O60" s="16">
        <f t="shared" si="13"/>
        <v>0</v>
      </c>
      <c r="P60" s="18">
        <v>0</v>
      </c>
      <c r="Q60" s="18">
        <v>3.2128514056239503E-2</v>
      </c>
      <c r="R60" s="16">
        <f t="shared" si="1"/>
        <v>0</v>
      </c>
      <c r="T60" s="19"/>
      <c r="U60" s="19" t="str">
        <f t="shared" si="2"/>
        <v/>
      </c>
      <c r="V60" s="19"/>
      <c r="W60" s="19" t="str">
        <f t="shared" si="3"/>
        <v/>
      </c>
      <c r="X60" s="19"/>
      <c r="Y60" s="19" t="str">
        <f t="shared" si="4"/>
        <v/>
      </c>
      <c r="Z60" s="19"/>
      <c r="AA60" s="19" t="str">
        <f t="shared" si="5"/>
        <v/>
      </c>
      <c r="AB60" s="19"/>
      <c r="AC60" s="19" t="str">
        <f t="shared" si="6"/>
        <v/>
      </c>
      <c r="AD60" s="19"/>
      <c r="AE60" s="19" t="str">
        <f t="shared" si="7"/>
        <v/>
      </c>
      <c r="AF60" s="19"/>
      <c r="AG60" s="19" t="str">
        <f t="shared" si="8"/>
        <v/>
      </c>
      <c r="AH60" s="19"/>
      <c r="AI60" s="19" t="str">
        <f t="shared" si="9"/>
        <v/>
      </c>
      <c r="AJ60" s="19"/>
      <c r="AK60" s="19" t="str">
        <f t="shared" si="10"/>
        <v/>
      </c>
      <c r="AL60" s="19"/>
      <c r="AM60" s="19" t="str">
        <f t="shared" si="11"/>
        <v/>
      </c>
      <c r="AN60" s="19"/>
      <c r="AO60" s="19" t="str">
        <f t="shared" si="12"/>
        <v/>
      </c>
      <c r="AP60" s="20"/>
      <c r="AR60" s="16"/>
      <c r="AS60" s="16"/>
      <c r="AT60" s="16"/>
      <c r="AU60" s="16"/>
      <c r="AV60" s="21"/>
      <c r="AW60" s="21"/>
      <c r="AX60" s="22"/>
      <c r="AY60" s="16"/>
      <c r="AZ60" s="16">
        <v>0</v>
      </c>
      <c r="BA60" s="23">
        <v>43885</v>
      </c>
      <c r="BB60" s="22"/>
      <c r="BD60" s="63">
        <v>20000</v>
      </c>
      <c r="BE60" s="16">
        <v>0.223999999999942</v>
      </c>
      <c r="BF60" s="24">
        <v>4480</v>
      </c>
      <c r="BG60" s="16"/>
      <c r="BH60" s="73"/>
      <c r="BI60" s="71" t="s">
        <v>700</v>
      </c>
    </row>
    <row r="61" spans="2:61" x14ac:dyDescent="0.25">
      <c r="B61" s="14" t="s">
        <v>60</v>
      </c>
      <c r="C61" s="14" t="s">
        <v>479</v>
      </c>
      <c r="D61" s="15" t="s">
        <v>276</v>
      </c>
      <c r="E61" s="15" t="s">
        <v>479</v>
      </c>
      <c r="F61" s="15" t="s">
        <v>909</v>
      </c>
      <c r="G61" s="86"/>
      <c r="H61" s="17">
        <v>43921</v>
      </c>
      <c r="I61" s="49"/>
      <c r="J61" s="49">
        <v>974.53407561406505</v>
      </c>
      <c r="K61" s="16">
        <f t="shared" si="0"/>
        <v>0</v>
      </c>
      <c r="L61" s="17">
        <v>43641</v>
      </c>
      <c r="M61" s="49">
        <v>0</v>
      </c>
      <c r="N61" s="49">
        <v>2.0114738955814402</v>
      </c>
      <c r="O61" s="16">
        <f t="shared" si="13"/>
        <v>0</v>
      </c>
      <c r="P61" s="18">
        <v>0</v>
      </c>
      <c r="Q61" s="18">
        <v>2.4096385542179601E-2</v>
      </c>
      <c r="R61" s="16">
        <f t="shared" si="1"/>
        <v>0</v>
      </c>
      <c r="T61" s="19"/>
      <c r="U61" s="19" t="str">
        <f t="shared" si="2"/>
        <v/>
      </c>
      <c r="V61" s="19"/>
      <c r="W61" s="19" t="str">
        <f t="shared" si="3"/>
        <v/>
      </c>
      <c r="X61" s="19"/>
      <c r="Y61" s="19" t="str">
        <f t="shared" si="4"/>
        <v/>
      </c>
      <c r="Z61" s="19"/>
      <c r="AA61" s="19" t="str">
        <f t="shared" si="5"/>
        <v/>
      </c>
      <c r="AB61" s="19"/>
      <c r="AC61" s="19" t="str">
        <f t="shared" si="6"/>
        <v/>
      </c>
      <c r="AD61" s="19"/>
      <c r="AE61" s="19" t="str">
        <f t="shared" si="7"/>
        <v/>
      </c>
      <c r="AF61" s="19"/>
      <c r="AG61" s="19" t="str">
        <f t="shared" si="8"/>
        <v/>
      </c>
      <c r="AH61" s="19"/>
      <c r="AI61" s="19" t="str">
        <f t="shared" si="9"/>
        <v/>
      </c>
      <c r="AJ61" s="19"/>
      <c r="AK61" s="19" t="str">
        <f t="shared" si="10"/>
        <v/>
      </c>
      <c r="AL61" s="19"/>
      <c r="AM61" s="19" t="str">
        <f t="shared" si="11"/>
        <v/>
      </c>
      <c r="AN61" s="19"/>
      <c r="AO61" s="19" t="str">
        <f t="shared" si="12"/>
        <v/>
      </c>
      <c r="AP61" s="20"/>
      <c r="AR61" s="16"/>
      <c r="AS61" s="16"/>
      <c r="AT61" s="16"/>
      <c r="AU61" s="16"/>
      <c r="AV61" s="21"/>
      <c r="AW61" s="21"/>
      <c r="AX61" s="22"/>
      <c r="AY61" s="16"/>
      <c r="AZ61" s="16">
        <v>0</v>
      </c>
      <c r="BA61" s="23">
        <v>43921</v>
      </c>
      <c r="BB61" s="22"/>
      <c r="BD61" s="63">
        <v>41692.773000000001</v>
      </c>
      <c r="BE61" s="16">
        <v>0.21619999999995301</v>
      </c>
      <c r="BF61" s="24">
        <v>9013.9775225982703</v>
      </c>
      <c r="BG61" s="16"/>
      <c r="BH61" s="73"/>
      <c r="BI61" s="71" t="s">
        <v>701</v>
      </c>
    </row>
    <row r="62" spans="2:61" x14ac:dyDescent="0.25">
      <c r="B62" s="14" t="s">
        <v>61</v>
      </c>
      <c r="C62" s="14" t="s">
        <v>480</v>
      </c>
      <c r="D62" s="15" t="s">
        <v>277</v>
      </c>
      <c r="E62" s="15" t="s">
        <v>480</v>
      </c>
      <c r="F62" s="15" t="s">
        <v>913</v>
      </c>
      <c r="G62" s="86">
        <v>2235492375.5999999</v>
      </c>
      <c r="H62" s="17">
        <v>43999</v>
      </c>
      <c r="I62" s="49">
        <v>6050</v>
      </c>
      <c r="J62" s="49">
        <v>9589.7810986787099</v>
      </c>
      <c r="K62" s="16">
        <f t="shared" si="0"/>
        <v>0.63087988534311545</v>
      </c>
      <c r="L62" s="17">
        <v>43657</v>
      </c>
      <c r="M62" s="49">
        <v>1604442.578</v>
      </c>
      <c r="N62" s="49">
        <v>2281005.9907343802</v>
      </c>
      <c r="O62" s="16">
        <f t="shared" si="13"/>
        <v>0.70339253141700098</v>
      </c>
      <c r="P62" s="18">
        <v>447</v>
      </c>
      <c r="Q62" s="18">
        <v>775.74698795191898</v>
      </c>
      <c r="R62" s="16">
        <f t="shared" si="1"/>
        <v>0.57621880193198405</v>
      </c>
      <c r="T62" s="19">
        <v>-7.1023900363797999E-4</v>
      </c>
      <c r="U62" s="19">
        <f t="shared" si="2"/>
        <v>-1.483263991303828E-2</v>
      </c>
      <c r="V62" s="19">
        <v>4.5266067725606297E-2</v>
      </c>
      <c r="W62" s="19">
        <f t="shared" si="3"/>
        <v>-5.0106231868994607E-2</v>
      </c>
      <c r="X62" s="19">
        <v>-0.15627299782499901</v>
      </c>
      <c r="Y62" s="19">
        <f t="shared" si="4"/>
        <v>-1.1512018580979E-2</v>
      </c>
      <c r="Z62" s="19">
        <v>0.107247437774349</v>
      </c>
      <c r="AA62" s="19">
        <f t="shared" si="5"/>
        <v>4.5045736915200058E-3</v>
      </c>
      <c r="AB62" s="19">
        <v>0.14519015194309801</v>
      </c>
      <c r="AC62" s="19">
        <f t="shared" si="6"/>
        <v>-7.5970835503684997E-2</v>
      </c>
      <c r="AD62" s="19">
        <v>-0.15812208329865801</v>
      </c>
      <c r="AE62" s="19">
        <f t="shared" si="7"/>
        <v>1.2024219258891994E-2</v>
      </c>
      <c r="AF62" s="19">
        <v>-0.338925164616667</v>
      </c>
      <c r="AG62" s="19">
        <f t="shared" si="8"/>
        <v>-0.13401708172197699</v>
      </c>
      <c r="AH62" s="19">
        <v>-0.17595483584766</v>
      </c>
      <c r="AI62" s="19">
        <f t="shared" si="9"/>
        <v>9.3653112671746003E-2</v>
      </c>
      <c r="AJ62" s="19">
        <v>-0.22681526067579399</v>
      </c>
      <c r="AK62" s="19">
        <f t="shared" si="10"/>
        <v>-5.2971068878832989E-2</v>
      </c>
      <c r="AL62" s="19">
        <v>-9.6669359641091399E-2</v>
      </c>
      <c r="AM62" s="19">
        <f t="shared" si="11"/>
        <v>-0.10135015708605348</v>
      </c>
      <c r="AN62" s="19">
        <v>1.3463405834045299E-2</v>
      </c>
      <c r="AO62" s="19">
        <f t="shared" si="12"/>
        <v>2.1813086023030996E-3</v>
      </c>
      <c r="AP62" s="20">
        <v>37.030815627775198</v>
      </c>
      <c r="AR62" s="16">
        <v>8.7712748807534796E-2</v>
      </c>
      <c r="AS62" s="16">
        <v>-7.5342465753274204E-2</v>
      </c>
      <c r="AT62" s="16">
        <v>5.0557462624055902E-2</v>
      </c>
      <c r="AU62" s="16">
        <v>-0.13036093418209899</v>
      </c>
      <c r="AV62" s="21">
        <v>2</v>
      </c>
      <c r="AW62" s="21">
        <v>4</v>
      </c>
      <c r="AX62" s="22">
        <v>-0.612694392585581</v>
      </c>
      <c r="AY62" s="16">
        <v>4.7513706511308602E-2</v>
      </c>
      <c r="AZ62" s="16">
        <v>-0.357692307692487</v>
      </c>
      <c r="BA62" s="23">
        <v>43840</v>
      </c>
      <c r="BB62" s="22">
        <v>0.47232600442475797</v>
      </c>
      <c r="BD62" s="63">
        <v>369502.87199999997</v>
      </c>
      <c r="BE62" s="16">
        <v>0.53159999999974406</v>
      </c>
      <c r="BF62" s="24">
        <v>196427.72675512699</v>
      </c>
      <c r="BG62" s="16">
        <v>0.4</v>
      </c>
      <c r="BH62" s="73">
        <v>147801.14880004901</v>
      </c>
      <c r="BI62" s="71" t="s">
        <v>702</v>
      </c>
    </row>
    <row r="63" spans="2:61" x14ac:dyDescent="0.25">
      <c r="B63" s="14" t="s">
        <v>62</v>
      </c>
      <c r="C63" s="14" t="s">
        <v>481</v>
      </c>
      <c r="D63" s="15" t="s">
        <v>278</v>
      </c>
      <c r="E63" s="15" t="s">
        <v>481</v>
      </c>
      <c r="F63" s="15" t="s">
        <v>913</v>
      </c>
      <c r="G63" s="86">
        <v>63960000</v>
      </c>
      <c r="H63" s="17">
        <v>43999</v>
      </c>
      <c r="I63" s="49">
        <v>1040</v>
      </c>
      <c r="J63" s="49">
        <v>1070</v>
      </c>
      <c r="K63" s="16">
        <f t="shared" si="0"/>
        <v>0.9719626168224299</v>
      </c>
      <c r="L63" s="17">
        <v>43997</v>
      </c>
      <c r="M63" s="49">
        <v>1428.625</v>
      </c>
      <c r="N63" s="49">
        <v>1266.61014457893</v>
      </c>
      <c r="O63" s="16">
        <f t="shared" si="13"/>
        <v>1.1279121725927199</v>
      </c>
      <c r="P63" s="18"/>
      <c r="Q63" s="18"/>
      <c r="R63" s="16" t="str">
        <f t="shared" si="1"/>
        <v/>
      </c>
      <c r="T63" s="19">
        <v>0</v>
      </c>
      <c r="U63" s="19">
        <f t="shared" si="2"/>
        <v>-1.41224009094003E-2</v>
      </c>
      <c r="V63" s="19"/>
      <c r="W63" s="19" t="str">
        <f t="shared" si="3"/>
        <v/>
      </c>
      <c r="X63" s="19">
        <v>-4.6418146139330903E-3</v>
      </c>
      <c r="Y63" s="19">
        <f t="shared" si="4"/>
        <v>0.14011916463008692</v>
      </c>
      <c r="Z63" s="19">
        <v>-2.8037383177434101E-2</v>
      </c>
      <c r="AA63" s="19">
        <f t="shared" si="5"/>
        <v>-0.1307802472602631</v>
      </c>
      <c r="AB63" s="19">
        <v>-4.6418146139330903E-3</v>
      </c>
      <c r="AC63" s="19">
        <f t="shared" si="6"/>
        <v>-0.2258028020607161</v>
      </c>
      <c r="AD63" s="19"/>
      <c r="AE63" s="19" t="str">
        <f t="shared" si="7"/>
        <v/>
      </c>
      <c r="AF63" s="19">
        <v>5.9798705355205997E-2</v>
      </c>
      <c r="AG63" s="19">
        <f t="shared" si="8"/>
        <v>0.26470678824989602</v>
      </c>
      <c r="AH63" s="19">
        <v>2.0194313261527E-2</v>
      </c>
      <c r="AI63" s="19">
        <f t="shared" si="9"/>
        <v>0.28980226178093299</v>
      </c>
      <c r="AJ63" s="19">
        <v>3.1675775613621199E-2</v>
      </c>
      <c r="AK63" s="19">
        <f t="shared" si="10"/>
        <v>0.2055199674105822</v>
      </c>
      <c r="AL63" s="19">
        <v>0.28349794659326999</v>
      </c>
      <c r="AM63" s="19">
        <f t="shared" si="11"/>
        <v>0.27881714914830791</v>
      </c>
      <c r="AN63" s="19">
        <v>0.36603597804438298</v>
      </c>
      <c r="AO63" s="19">
        <f t="shared" si="12"/>
        <v>0.35475388081264081</v>
      </c>
      <c r="AP63" s="20"/>
      <c r="AR63" s="16">
        <v>0</v>
      </c>
      <c r="AS63" s="16">
        <v>-2.8037383177434101E-2</v>
      </c>
      <c r="AT63" s="16">
        <v>2.4070440733339599E-2</v>
      </c>
      <c r="AU63" s="16">
        <v>-2.8037383177434101E-2</v>
      </c>
      <c r="AV63" s="21">
        <v>1</v>
      </c>
      <c r="AW63" s="21">
        <v>1</v>
      </c>
      <c r="AX63" s="22"/>
      <c r="AY63" s="16"/>
      <c r="AZ63" s="16">
        <v>-2.8037383177579599E-2</v>
      </c>
      <c r="BA63" s="23">
        <v>43966</v>
      </c>
      <c r="BB63" s="22">
        <v>-7.0007672567157897E-2</v>
      </c>
      <c r="BD63" s="63">
        <v>61500</v>
      </c>
      <c r="BE63" s="16">
        <v>0.55880000000004704</v>
      </c>
      <c r="BF63" s="24">
        <v>34366.199999999997</v>
      </c>
      <c r="BG63" s="16"/>
      <c r="BH63" s="73"/>
      <c r="BI63" s="71" t="s">
        <v>703</v>
      </c>
    </row>
    <row r="64" spans="2:61" x14ac:dyDescent="0.25">
      <c r="B64" s="14" t="s">
        <v>63</v>
      </c>
      <c r="C64" s="14" t="s">
        <v>482</v>
      </c>
      <c r="D64" s="15" t="s">
        <v>279</v>
      </c>
      <c r="E64" s="15" t="s">
        <v>482</v>
      </c>
      <c r="F64" s="15" t="s">
        <v>906</v>
      </c>
      <c r="G64" s="86"/>
      <c r="H64" s="17">
        <v>43494</v>
      </c>
      <c r="I64" s="49"/>
      <c r="J64" s="49"/>
      <c r="K64" s="16" t="str">
        <f t="shared" si="0"/>
        <v/>
      </c>
      <c r="L64" s="17"/>
      <c r="M64" s="49">
        <v>0</v>
      </c>
      <c r="N64" s="49">
        <v>0</v>
      </c>
      <c r="O64" s="16" t="str">
        <f t="shared" si="13"/>
        <v/>
      </c>
      <c r="P64" s="18">
        <v>0</v>
      </c>
      <c r="Q64" s="18">
        <v>0</v>
      </c>
      <c r="R64" s="16" t="str">
        <f t="shared" si="1"/>
        <v/>
      </c>
      <c r="T64" s="19"/>
      <c r="U64" s="19" t="str">
        <f t="shared" si="2"/>
        <v/>
      </c>
      <c r="V64" s="19"/>
      <c r="W64" s="19" t="str">
        <f t="shared" si="3"/>
        <v/>
      </c>
      <c r="X64" s="19"/>
      <c r="Y64" s="19" t="str">
        <f t="shared" si="4"/>
        <v/>
      </c>
      <c r="Z64" s="19"/>
      <c r="AA64" s="19" t="str">
        <f t="shared" si="5"/>
        <v/>
      </c>
      <c r="AB64" s="19"/>
      <c r="AC64" s="19" t="str">
        <f t="shared" si="6"/>
        <v/>
      </c>
      <c r="AD64" s="19"/>
      <c r="AE64" s="19" t="str">
        <f t="shared" si="7"/>
        <v/>
      </c>
      <c r="AF64" s="19"/>
      <c r="AG64" s="19" t="str">
        <f t="shared" si="8"/>
        <v/>
      </c>
      <c r="AH64" s="19"/>
      <c r="AI64" s="19" t="str">
        <f t="shared" si="9"/>
        <v/>
      </c>
      <c r="AJ64" s="19"/>
      <c r="AK64" s="19" t="str">
        <f t="shared" si="10"/>
        <v/>
      </c>
      <c r="AL64" s="19"/>
      <c r="AM64" s="19" t="str">
        <f t="shared" si="11"/>
        <v/>
      </c>
      <c r="AN64" s="19"/>
      <c r="AO64" s="19" t="str">
        <f t="shared" si="12"/>
        <v/>
      </c>
      <c r="AP64" s="20"/>
      <c r="AR64" s="16"/>
      <c r="AS64" s="16"/>
      <c r="AT64" s="16"/>
      <c r="AU64" s="16"/>
      <c r="AV64" s="21"/>
      <c r="AW64" s="21"/>
      <c r="AX64" s="22"/>
      <c r="AY64" s="16"/>
      <c r="AZ64" s="16"/>
      <c r="BA64" s="23"/>
      <c r="BB64" s="22"/>
      <c r="BD64" s="63">
        <v>30775.276000000002</v>
      </c>
      <c r="BE64" s="16">
        <v>0.44599999999976703</v>
      </c>
      <c r="BF64" s="24">
        <v>13725.773095993</v>
      </c>
      <c r="BG64" s="16"/>
      <c r="BH64" s="73"/>
      <c r="BI64" s="71" t="s">
        <v>704</v>
      </c>
    </row>
    <row r="65" spans="2:61" x14ac:dyDescent="0.25">
      <c r="B65" s="14" t="s">
        <v>64</v>
      </c>
      <c r="C65" s="14" t="s">
        <v>483</v>
      </c>
      <c r="D65" s="15" t="s">
        <v>280</v>
      </c>
      <c r="E65" s="15" t="s">
        <v>483</v>
      </c>
      <c r="F65" s="15" t="s">
        <v>907</v>
      </c>
      <c r="G65" s="86"/>
      <c r="H65" s="17">
        <v>43903</v>
      </c>
      <c r="I65" s="49"/>
      <c r="J65" s="49">
        <v>12109</v>
      </c>
      <c r="K65" s="16">
        <f t="shared" si="0"/>
        <v>0</v>
      </c>
      <c r="L65" s="17">
        <v>43903</v>
      </c>
      <c r="M65" s="49">
        <v>0</v>
      </c>
      <c r="N65" s="49">
        <v>1191.07376305199</v>
      </c>
      <c r="O65" s="16">
        <f t="shared" si="13"/>
        <v>0</v>
      </c>
      <c r="P65" s="18">
        <v>0</v>
      </c>
      <c r="Q65" s="18">
        <v>7.2289156626538897E-2</v>
      </c>
      <c r="R65" s="16">
        <f t="shared" si="1"/>
        <v>0</v>
      </c>
      <c r="T65" s="19"/>
      <c r="U65" s="19" t="str">
        <f t="shared" si="2"/>
        <v/>
      </c>
      <c r="V65" s="19"/>
      <c r="W65" s="19" t="str">
        <f t="shared" si="3"/>
        <v/>
      </c>
      <c r="X65" s="19"/>
      <c r="Y65" s="19" t="str">
        <f t="shared" si="4"/>
        <v/>
      </c>
      <c r="Z65" s="19"/>
      <c r="AA65" s="19" t="str">
        <f t="shared" si="5"/>
        <v/>
      </c>
      <c r="AB65" s="19"/>
      <c r="AC65" s="19" t="str">
        <f t="shared" si="6"/>
        <v/>
      </c>
      <c r="AD65" s="19"/>
      <c r="AE65" s="19" t="str">
        <f t="shared" si="7"/>
        <v/>
      </c>
      <c r="AF65" s="19"/>
      <c r="AG65" s="19" t="str">
        <f t="shared" si="8"/>
        <v/>
      </c>
      <c r="AH65" s="19"/>
      <c r="AI65" s="19" t="str">
        <f t="shared" si="9"/>
        <v/>
      </c>
      <c r="AJ65" s="19"/>
      <c r="AK65" s="19" t="str">
        <f t="shared" si="10"/>
        <v/>
      </c>
      <c r="AL65" s="19"/>
      <c r="AM65" s="19" t="str">
        <f t="shared" si="11"/>
        <v/>
      </c>
      <c r="AN65" s="19"/>
      <c r="AO65" s="19" t="str">
        <f t="shared" si="12"/>
        <v/>
      </c>
      <c r="AP65" s="20"/>
      <c r="AR65" s="16"/>
      <c r="AS65" s="16"/>
      <c r="AT65" s="16">
        <v>0</v>
      </c>
      <c r="AU65" s="16">
        <v>0</v>
      </c>
      <c r="AV65" s="21"/>
      <c r="AW65" s="21"/>
      <c r="AX65" s="22"/>
      <c r="AY65" s="16"/>
      <c r="AZ65" s="16">
        <v>0</v>
      </c>
      <c r="BA65" s="23">
        <v>43873</v>
      </c>
      <c r="BB65" s="22"/>
      <c r="BD65" s="63">
        <v>2500</v>
      </c>
      <c r="BE65" s="16">
        <v>0.80260000000009302</v>
      </c>
      <c r="BF65" s="24">
        <v>2006.5</v>
      </c>
      <c r="BG65" s="16"/>
      <c r="BH65" s="73"/>
      <c r="BI65" s="71" t="s">
        <v>705</v>
      </c>
    </row>
    <row r="66" spans="2:61" x14ac:dyDescent="0.25">
      <c r="B66" s="14" t="s">
        <v>65</v>
      </c>
      <c r="C66" s="14" t="s">
        <v>484</v>
      </c>
      <c r="D66" s="15" t="s">
        <v>281</v>
      </c>
      <c r="E66" s="15" t="s">
        <v>484</v>
      </c>
      <c r="F66" s="15" t="s">
        <v>913</v>
      </c>
      <c r="G66" s="86"/>
      <c r="H66" s="17">
        <v>43963</v>
      </c>
      <c r="I66" s="49"/>
      <c r="J66" s="49">
        <v>14427.4819279313</v>
      </c>
      <c r="K66" s="16">
        <f t="shared" si="0"/>
        <v>0</v>
      </c>
      <c r="L66" s="17">
        <v>43803</v>
      </c>
      <c r="M66" s="49">
        <v>0</v>
      </c>
      <c r="N66" s="49">
        <v>866.10438554191603</v>
      </c>
      <c r="O66" s="16">
        <f t="shared" si="13"/>
        <v>0</v>
      </c>
      <c r="P66" s="18">
        <v>0</v>
      </c>
      <c r="Q66" s="18">
        <v>7.2289156626538897E-2</v>
      </c>
      <c r="R66" s="16">
        <f t="shared" si="1"/>
        <v>0</v>
      </c>
      <c r="T66" s="19"/>
      <c r="U66" s="19" t="str">
        <f t="shared" si="2"/>
        <v/>
      </c>
      <c r="V66" s="19"/>
      <c r="W66" s="19" t="str">
        <f t="shared" si="3"/>
        <v/>
      </c>
      <c r="X66" s="19"/>
      <c r="Y66" s="19" t="str">
        <f t="shared" si="4"/>
        <v/>
      </c>
      <c r="Z66" s="19"/>
      <c r="AA66" s="19" t="str">
        <f t="shared" si="5"/>
        <v/>
      </c>
      <c r="AB66" s="19"/>
      <c r="AC66" s="19" t="str">
        <f t="shared" si="6"/>
        <v/>
      </c>
      <c r="AD66" s="19"/>
      <c r="AE66" s="19" t="str">
        <f t="shared" si="7"/>
        <v/>
      </c>
      <c r="AF66" s="19"/>
      <c r="AG66" s="19" t="str">
        <f t="shared" si="8"/>
        <v/>
      </c>
      <c r="AH66" s="19"/>
      <c r="AI66" s="19" t="str">
        <f t="shared" si="9"/>
        <v/>
      </c>
      <c r="AJ66" s="19"/>
      <c r="AK66" s="19" t="str">
        <f t="shared" si="10"/>
        <v/>
      </c>
      <c r="AL66" s="19"/>
      <c r="AM66" s="19" t="str">
        <f t="shared" si="11"/>
        <v/>
      </c>
      <c r="AN66" s="19"/>
      <c r="AO66" s="19" t="str">
        <f t="shared" si="12"/>
        <v/>
      </c>
      <c r="AP66" s="20"/>
      <c r="AR66" s="16"/>
      <c r="AS66" s="16"/>
      <c r="AT66" s="16">
        <v>0</v>
      </c>
      <c r="AU66" s="16">
        <v>-0.23574328111601101</v>
      </c>
      <c r="AV66" s="21"/>
      <c r="AW66" s="21"/>
      <c r="AX66" s="22"/>
      <c r="AY66" s="16"/>
      <c r="AZ66" s="16">
        <v>-0.21421492283756399</v>
      </c>
      <c r="BA66" s="23">
        <v>43832</v>
      </c>
      <c r="BB66" s="22"/>
      <c r="BD66" s="63">
        <v>43800</v>
      </c>
      <c r="BE66" s="16">
        <v>0.247600000000093</v>
      </c>
      <c r="BF66" s="24">
        <v>10844.88</v>
      </c>
      <c r="BG66" s="16"/>
      <c r="BH66" s="73"/>
      <c r="BI66" s="71" t="s">
        <v>706</v>
      </c>
    </row>
    <row r="67" spans="2:61" x14ac:dyDescent="0.25">
      <c r="B67" s="14" t="s">
        <v>66</v>
      </c>
      <c r="C67" s="14" t="s">
        <v>485</v>
      </c>
      <c r="D67" s="15" t="s">
        <v>282</v>
      </c>
      <c r="E67" s="15" t="s">
        <v>485</v>
      </c>
      <c r="F67" s="15" t="s">
        <v>907</v>
      </c>
      <c r="G67" s="86">
        <v>839873128.10899997</v>
      </c>
      <c r="H67" s="17">
        <v>43997</v>
      </c>
      <c r="I67" s="49"/>
      <c r="J67" s="49">
        <v>562.37946398835595</v>
      </c>
      <c r="K67" s="16">
        <f t="shared" si="0"/>
        <v>0</v>
      </c>
      <c r="L67" s="17">
        <v>43818</v>
      </c>
      <c r="M67" s="49">
        <v>0</v>
      </c>
      <c r="N67" s="49">
        <v>6698.8755301208503</v>
      </c>
      <c r="O67" s="16">
        <f t="shared" si="13"/>
        <v>0</v>
      </c>
      <c r="P67" s="18">
        <v>0</v>
      </c>
      <c r="Q67" s="18">
        <v>2.1244979919683802</v>
      </c>
      <c r="R67" s="16">
        <f t="shared" si="1"/>
        <v>0</v>
      </c>
      <c r="T67" s="19"/>
      <c r="U67" s="19" t="str">
        <f t="shared" si="2"/>
        <v/>
      </c>
      <c r="V67" s="19">
        <v>4.65116279065114E-2</v>
      </c>
      <c r="W67" s="19">
        <f t="shared" si="3"/>
        <v>-4.8860671688089503E-2</v>
      </c>
      <c r="X67" s="19">
        <v>-0.19625714903202601</v>
      </c>
      <c r="Y67" s="19">
        <f t="shared" si="4"/>
        <v>-5.1496169788006002E-2</v>
      </c>
      <c r="Z67" s="19">
        <v>5.9687038075935603E-2</v>
      </c>
      <c r="AA67" s="19">
        <f t="shared" si="5"/>
        <v>-4.3055826006893394E-2</v>
      </c>
      <c r="AB67" s="19">
        <v>6.2809265404212097E-2</v>
      </c>
      <c r="AC67" s="19">
        <f t="shared" si="6"/>
        <v>-0.15835172204257092</v>
      </c>
      <c r="AD67" s="19">
        <v>-0.26064156565931601</v>
      </c>
      <c r="AE67" s="19">
        <f t="shared" si="7"/>
        <v>-9.0495263101766005E-2</v>
      </c>
      <c r="AF67" s="19">
        <v>-0.13148592443583801</v>
      </c>
      <c r="AG67" s="19">
        <f t="shared" si="8"/>
        <v>7.3422158458851999E-2</v>
      </c>
      <c r="AH67" s="19">
        <v>-0.38394722764787698</v>
      </c>
      <c r="AI67" s="19">
        <f t="shared" si="9"/>
        <v>-0.11433927912847097</v>
      </c>
      <c r="AJ67" s="19">
        <v>-0.312212315387151</v>
      </c>
      <c r="AK67" s="19">
        <f t="shared" si="10"/>
        <v>-0.13836812359018999</v>
      </c>
      <c r="AL67" s="19"/>
      <c r="AM67" s="19" t="str">
        <f t="shared" si="11"/>
        <v/>
      </c>
      <c r="AN67" s="19"/>
      <c r="AO67" s="19" t="str">
        <f t="shared" si="12"/>
        <v/>
      </c>
      <c r="AP67" s="20"/>
      <c r="AR67" s="16">
        <v>0.124696709468553</v>
      </c>
      <c r="AS67" s="16">
        <v>-6.2099005238487701E-2</v>
      </c>
      <c r="AT67" s="16">
        <v>0.46182118936674699</v>
      </c>
      <c r="AU67" s="16">
        <v>-0.20432500000053599</v>
      </c>
      <c r="AV67" s="21">
        <v>2</v>
      </c>
      <c r="AW67" s="21">
        <v>4</v>
      </c>
      <c r="AX67" s="22"/>
      <c r="AY67" s="16"/>
      <c r="AZ67" s="16">
        <v>-0.45178177011723197</v>
      </c>
      <c r="BA67" s="23">
        <v>43818</v>
      </c>
      <c r="BB67" s="22">
        <v>1.7300525711525601</v>
      </c>
      <c r="BD67" s="63">
        <v>2019896.8929999999</v>
      </c>
      <c r="BE67" s="16">
        <v>0.96040000000037296</v>
      </c>
      <c r="BF67" s="24">
        <v>1939908.97603711</v>
      </c>
      <c r="BG67" s="16">
        <v>1</v>
      </c>
      <c r="BH67" s="73">
        <v>2019896.8929999999</v>
      </c>
      <c r="BI67" s="71" t="s">
        <v>691</v>
      </c>
    </row>
    <row r="68" spans="2:61" x14ac:dyDescent="0.25">
      <c r="B68" s="14" t="s">
        <v>67</v>
      </c>
      <c r="C68" s="14" t="s">
        <v>486</v>
      </c>
      <c r="D68" s="15" t="s">
        <v>283</v>
      </c>
      <c r="E68" s="15" t="s">
        <v>486</v>
      </c>
      <c r="F68" s="15" t="s">
        <v>914</v>
      </c>
      <c r="G68" s="86">
        <v>150750000</v>
      </c>
      <c r="H68" s="17">
        <v>43971</v>
      </c>
      <c r="I68" s="49"/>
      <c r="J68" s="49">
        <v>2473.3324594423202</v>
      </c>
      <c r="K68" s="16">
        <f t="shared" si="0"/>
        <v>0</v>
      </c>
      <c r="L68" s="17">
        <v>43710</v>
      </c>
      <c r="M68" s="49">
        <v>0</v>
      </c>
      <c r="N68" s="49">
        <v>251.30723293161401</v>
      </c>
      <c r="O68" s="16">
        <f t="shared" si="13"/>
        <v>0</v>
      </c>
      <c r="P68" s="18">
        <v>0</v>
      </c>
      <c r="Q68" s="18">
        <v>6.4257028112479006E-2</v>
      </c>
      <c r="R68" s="16">
        <f t="shared" si="1"/>
        <v>0</v>
      </c>
      <c r="T68" s="19"/>
      <c r="U68" s="19" t="str">
        <f t="shared" si="2"/>
        <v/>
      </c>
      <c r="V68" s="19"/>
      <c r="W68" s="19" t="str">
        <f t="shared" si="3"/>
        <v/>
      </c>
      <c r="X68" s="19"/>
      <c r="Y68" s="19" t="str">
        <f t="shared" si="4"/>
        <v/>
      </c>
      <c r="Z68" s="19"/>
      <c r="AA68" s="19" t="str">
        <f t="shared" si="5"/>
        <v/>
      </c>
      <c r="AB68" s="19"/>
      <c r="AC68" s="19" t="str">
        <f t="shared" si="6"/>
        <v/>
      </c>
      <c r="AD68" s="19"/>
      <c r="AE68" s="19" t="str">
        <f t="shared" si="7"/>
        <v/>
      </c>
      <c r="AF68" s="19"/>
      <c r="AG68" s="19" t="str">
        <f t="shared" si="8"/>
        <v/>
      </c>
      <c r="AH68" s="19"/>
      <c r="AI68" s="19" t="str">
        <f t="shared" si="9"/>
        <v/>
      </c>
      <c r="AJ68" s="19"/>
      <c r="AK68" s="19" t="str">
        <f t="shared" si="10"/>
        <v/>
      </c>
      <c r="AL68" s="19"/>
      <c r="AM68" s="19" t="str">
        <f t="shared" si="11"/>
        <v/>
      </c>
      <c r="AN68" s="19"/>
      <c r="AO68" s="19" t="str">
        <f t="shared" si="12"/>
        <v/>
      </c>
      <c r="AP68" s="20"/>
      <c r="AR68" s="16">
        <v>3.00000000061118E-3</v>
      </c>
      <c r="AS68" s="16">
        <v>-0.13043478260806299</v>
      </c>
      <c r="AT68" s="16">
        <v>1.36157337365148E-2</v>
      </c>
      <c r="AU68" s="16">
        <v>-0.12630434782564401</v>
      </c>
      <c r="AV68" s="21"/>
      <c r="AW68" s="21"/>
      <c r="AX68" s="22"/>
      <c r="AY68" s="16"/>
      <c r="AZ68" s="16">
        <v>-0.13043478260820801</v>
      </c>
      <c r="BA68" s="23">
        <v>43889</v>
      </c>
      <c r="BB68" s="22"/>
      <c r="BD68" s="63">
        <v>75000</v>
      </c>
      <c r="BE68" s="16">
        <v>0.36700000000011601</v>
      </c>
      <c r="BF68" s="24">
        <v>27525</v>
      </c>
      <c r="BG68" s="16"/>
      <c r="BH68" s="73"/>
      <c r="BI68" s="71" t="s">
        <v>707</v>
      </c>
    </row>
    <row r="69" spans="2:61" x14ac:dyDescent="0.25">
      <c r="B69" s="14" t="s">
        <v>68</v>
      </c>
      <c r="C69" s="14" t="s">
        <v>487</v>
      </c>
      <c r="D69" s="15" t="s">
        <v>284</v>
      </c>
      <c r="E69" s="15" t="s">
        <v>487</v>
      </c>
      <c r="F69" s="15" t="s">
        <v>908</v>
      </c>
      <c r="G69" s="86">
        <v>60187055.223125003</v>
      </c>
      <c r="H69" s="17">
        <v>43993</v>
      </c>
      <c r="I69" s="49"/>
      <c r="J69" s="49">
        <v>65.939181221532607</v>
      </c>
      <c r="K69" s="16">
        <f t="shared" si="0"/>
        <v>0</v>
      </c>
      <c r="L69" s="17">
        <v>43713</v>
      </c>
      <c r="M69" s="49">
        <v>0</v>
      </c>
      <c r="N69" s="49">
        <v>36295.105192748997</v>
      </c>
      <c r="O69" s="16">
        <f t="shared" si="13"/>
        <v>0</v>
      </c>
      <c r="P69" s="18">
        <v>0</v>
      </c>
      <c r="Q69" s="18">
        <v>0.120481927710898</v>
      </c>
      <c r="R69" s="16">
        <f t="shared" si="1"/>
        <v>0</v>
      </c>
      <c r="T69" s="19"/>
      <c r="U69" s="19" t="str">
        <f t="shared" si="2"/>
        <v/>
      </c>
      <c r="V69" s="19"/>
      <c r="W69" s="19" t="str">
        <f t="shared" si="3"/>
        <v/>
      </c>
      <c r="X69" s="19"/>
      <c r="Y69" s="19" t="str">
        <f t="shared" si="4"/>
        <v/>
      </c>
      <c r="Z69" s="19">
        <v>0</v>
      </c>
      <c r="AA69" s="19">
        <f t="shared" si="5"/>
        <v>-0.102742864082829</v>
      </c>
      <c r="AB69" s="19"/>
      <c r="AC69" s="19" t="str">
        <f t="shared" si="6"/>
        <v/>
      </c>
      <c r="AD69" s="19"/>
      <c r="AE69" s="19" t="str">
        <f t="shared" si="7"/>
        <v/>
      </c>
      <c r="AF69" s="19"/>
      <c r="AG69" s="19" t="str">
        <f t="shared" si="8"/>
        <v/>
      </c>
      <c r="AH69" s="19"/>
      <c r="AI69" s="19" t="str">
        <f t="shared" si="9"/>
        <v/>
      </c>
      <c r="AJ69" s="19">
        <v>0.47522467435745103</v>
      </c>
      <c r="AK69" s="19">
        <f t="shared" si="10"/>
        <v>0.64906886615441206</v>
      </c>
      <c r="AL69" s="19">
        <v>0.68195589817827595</v>
      </c>
      <c r="AM69" s="19">
        <f t="shared" si="11"/>
        <v>0.67727510073331387</v>
      </c>
      <c r="AN69" s="19">
        <v>0.39690863543539301</v>
      </c>
      <c r="AO69" s="19">
        <f t="shared" si="12"/>
        <v>0.38562653820365078</v>
      </c>
      <c r="AP69" s="20"/>
      <c r="AR69" s="16"/>
      <c r="AS69" s="16"/>
      <c r="AT69" s="16">
        <v>3.5556954057028599E-2</v>
      </c>
      <c r="AU69" s="16">
        <v>0</v>
      </c>
      <c r="AV69" s="21"/>
      <c r="AW69" s="21"/>
      <c r="AX69" s="22"/>
      <c r="AY69" s="16"/>
      <c r="AZ69" s="16">
        <v>0</v>
      </c>
      <c r="BA69" s="23">
        <v>43966</v>
      </c>
      <c r="BB69" s="22"/>
      <c r="BD69" s="63">
        <v>914418.94900000002</v>
      </c>
      <c r="BE69" s="16">
        <v>0.97890000000013999</v>
      </c>
      <c r="BF69" s="24">
        <v>895124.709175781</v>
      </c>
      <c r="BG69" s="16"/>
      <c r="BH69" s="73"/>
      <c r="BI69" s="71" t="s">
        <v>664</v>
      </c>
    </row>
    <row r="70" spans="2:61" x14ac:dyDescent="0.25">
      <c r="B70" s="14" t="s">
        <v>69</v>
      </c>
      <c r="C70" s="14" t="s">
        <v>488</v>
      </c>
      <c r="D70" s="15" t="s">
        <v>285</v>
      </c>
      <c r="E70" s="15" t="s">
        <v>488</v>
      </c>
      <c r="F70" s="15" t="s">
        <v>909</v>
      </c>
      <c r="G70" s="86">
        <v>240697469.28</v>
      </c>
      <c r="H70" s="17">
        <v>43997</v>
      </c>
      <c r="I70" s="49"/>
      <c r="J70" s="49">
        <v>66.900572715094299</v>
      </c>
      <c r="K70" s="16">
        <f t="shared" si="0"/>
        <v>0</v>
      </c>
      <c r="L70" s="17">
        <v>43851</v>
      </c>
      <c r="M70" s="49">
        <v>0</v>
      </c>
      <c r="N70" s="49">
        <v>101261.62793981899</v>
      </c>
      <c r="O70" s="16">
        <f t="shared" si="13"/>
        <v>0</v>
      </c>
      <c r="P70" s="18">
        <v>0</v>
      </c>
      <c r="Q70" s="18">
        <v>5.4016064257011704</v>
      </c>
      <c r="R70" s="16">
        <f t="shared" si="1"/>
        <v>0</v>
      </c>
      <c r="T70" s="19"/>
      <c r="U70" s="19" t="str">
        <f t="shared" si="2"/>
        <v/>
      </c>
      <c r="V70" s="19">
        <v>9.3531963038985894E-2</v>
      </c>
      <c r="W70" s="19">
        <f t="shared" si="3"/>
        <v>-1.8403365556150103E-3</v>
      </c>
      <c r="X70" s="19">
        <v>-2.4700378819034099E-2</v>
      </c>
      <c r="Y70" s="19">
        <f t="shared" si="4"/>
        <v>0.12006060042498591</v>
      </c>
      <c r="Z70" s="19">
        <v>0.22600422833056699</v>
      </c>
      <c r="AA70" s="19">
        <f t="shared" si="5"/>
        <v>0.123261364247738</v>
      </c>
      <c r="AB70" s="19">
        <v>0.239618214704096</v>
      </c>
      <c r="AC70" s="19">
        <f t="shared" si="6"/>
        <v>1.8457227257312997E-2</v>
      </c>
      <c r="AD70" s="19">
        <v>-3.9724050924632999E-2</v>
      </c>
      <c r="AE70" s="19">
        <f t="shared" si="7"/>
        <v>0.13042225163291701</v>
      </c>
      <c r="AF70" s="19">
        <v>-0.114662130114157</v>
      </c>
      <c r="AG70" s="19">
        <f t="shared" si="8"/>
        <v>9.0245952780533004E-2</v>
      </c>
      <c r="AH70" s="19">
        <v>-3.0927383785638099E-2</v>
      </c>
      <c r="AI70" s="19">
        <f t="shared" si="9"/>
        <v>0.23868056473376792</v>
      </c>
      <c r="AJ70" s="19">
        <v>0.52521527527482204</v>
      </c>
      <c r="AK70" s="19">
        <f t="shared" si="10"/>
        <v>0.69905946707178301</v>
      </c>
      <c r="AL70" s="19">
        <v>1.5812313537392799</v>
      </c>
      <c r="AM70" s="19">
        <f t="shared" si="11"/>
        <v>1.5765505562943178</v>
      </c>
      <c r="AN70" s="19">
        <v>1.6923365293955399</v>
      </c>
      <c r="AO70" s="19">
        <f t="shared" si="12"/>
        <v>1.6810544321637977</v>
      </c>
      <c r="AP70" s="20"/>
      <c r="AR70" s="16">
        <v>0.103479036573844</v>
      </c>
      <c r="AS70" s="16">
        <v>-7.5763148216574303E-2</v>
      </c>
      <c r="AT70" s="16">
        <v>0.10814787446914099</v>
      </c>
      <c r="AU70" s="16">
        <v>-0.16234836004237899</v>
      </c>
      <c r="AV70" s="21">
        <v>4</v>
      </c>
      <c r="AW70" s="21">
        <v>2</v>
      </c>
      <c r="AX70" s="22"/>
      <c r="AY70" s="16"/>
      <c r="AZ70" s="16">
        <v>-0.35751146788999899</v>
      </c>
      <c r="BA70" s="23">
        <v>43851</v>
      </c>
      <c r="BB70" s="22">
        <v>0.647793308109613</v>
      </c>
      <c r="BD70" s="63">
        <v>4150672</v>
      </c>
      <c r="BE70" s="16">
        <v>0.33169999999983701</v>
      </c>
      <c r="BF70" s="24">
        <v>1376777.90240039</v>
      </c>
      <c r="BG70" s="16">
        <v>0.33340000000025599</v>
      </c>
      <c r="BH70" s="73">
        <v>1383834.04480078</v>
      </c>
      <c r="BI70" s="71" t="s">
        <v>708</v>
      </c>
    </row>
    <row r="71" spans="2:61" x14ac:dyDescent="0.25">
      <c r="B71" s="14" t="s">
        <v>70</v>
      </c>
      <c r="C71" s="14" t="s">
        <v>489</v>
      </c>
      <c r="D71" s="15" t="s">
        <v>286</v>
      </c>
      <c r="E71" s="15" t="s">
        <v>489</v>
      </c>
      <c r="F71" s="15" t="s">
        <v>908</v>
      </c>
      <c r="G71" s="86">
        <v>698772678.80999994</v>
      </c>
      <c r="H71" s="17">
        <v>43999</v>
      </c>
      <c r="I71" s="49">
        <v>18.989999999990701</v>
      </c>
      <c r="J71" s="49">
        <v>27.489999999990701</v>
      </c>
      <c r="K71" s="16">
        <f t="shared" si="0"/>
        <v>0.69079665332837847</v>
      </c>
      <c r="L71" s="17">
        <v>43840</v>
      </c>
      <c r="M71" s="49">
        <v>4453076.9800000004</v>
      </c>
      <c r="N71" s="49">
        <v>1437349.25306836</v>
      </c>
      <c r="O71" s="16">
        <f t="shared" si="13"/>
        <v>3.0981175733690751</v>
      </c>
      <c r="P71" s="18">
        <v>316</v>
      </c>
      <c r="Q71" s="18">
        <v>344.12449799198703</v>
      </c>
      <c r="R71" s="16">
        <f t="shared" si="1"/>
        <v>0.9182723166874277</v>
      </c>
      <c r="T71" s="19">
        <v>1.44230769219575E-2</v>
      </c>
      <c r="U71" s="19">
        <f t="shared" si="2"/>
        <v>3.0067601255719979E-4</v>
      </c>
      <c r="V71" s="19">
        <v>1.5508021389905501E-2</v>
      </c>
      <c r="W71" s="19">
        <f t="shared" si="3"/>
        <v>-7.986427820469541E-2</v>
      </c>
      <c r="X71" s="19">
        <v>-0.30668127053737398</v>
      </c>
      <c r="Y71" s="19">
        <f t="shared" si="4"/>
        <v>-0.16192029129335397</v>
      </c>
      <c r="Z71" s="19">
        <v>-8.0387409200775403E-2</v>
      </c>
      <c r="AA71" s="19">
        <f t="shared" si="5"/>
        <v>-0.1831302732836044</v>
      </c>
      <c r="AB71" s="19">
        <v>-7.3658536585789997E-2</v>
      </c>
      <c r="AC71" s="19">
        <f t="shared" si="6"/>
        <v>-0.294819524032573</v>
      </c>
      <c r="AD71" s="19">
        <v>-0.29666666666715202</v>
      </c>
      <c r="AE71" s="19">
        <f t="shared" si="7"/>
        <v>-0.12652036410960202</v>
      </c>
      <c r="AF71" s="19">
        <v>-0.115921787710249</v>
      </c>
      <c r="AG71" s="19">
        <f t="shared" si="8"/>
        <v>8.8986295184441011E-2</v>
      </c>
      <c r="AH71" s="19">
        <v>-0.235199355618679</v>
      </c>
      <c r="AI71" s="19">
        <f t="shared" si="9"/>
        <v>3.4408592900727009E-2</v>
      </c>
      <c r="AJ71" s="19">
        <v>-0.22569703489367399</v>
      </c>
      <c r="AK71" s="19">
        <f t="shared" si="10"/>
        <v>-5.1852843096712981E-2</v>
      </c>
      <c r="AL71" s="19">
        <v>0.460364611169789</v>
      </c>
      <c r="AM71" s="19">
        <f t="shared" si="11"/>
        <v>0.45568381372482691</v>
      </c>
      <c r="AN71" s="19">
        <v>-9.7489221175201202E-2</v>
      </c>
      <c r="AO71" s="19">
        <f t="shared" si="12"/>
        <v>-0.1087713184069434</v>
      </c>
      <c r="AP71" s="20">
        <v>55.055512256221803</v>
      </c>
      <c r="AR71" s="16">
        <v>0.12540983606595499</v>
      </c>
      <c r="AS71" s="16">
        <v>-0.32682926829263997</v>
      </c>
      <c r="AT71" s="16">
        <v>0.175088131611119</v>
      </c>
      <c r="AU71" s="16">
        <v>-0.29053772405226502</v>
      </c>
      <c r="AV71" s="21">
        <v>2</v>
      </c>
      <c r="AW71" s="21">
        <v>4</v>
      </c>
      <c r="AX71" s="22">
        <v>-0.62383957560905401</v>
      </c>
      <c r="AY71" s="16">
        <v>6.6733340345017503E-2</v>
      </c>
      <c r="AZ71" s="16">
        <v>-0.56347762822813796</v>
      </c>
      <c r="BA71" s="23">
        <v>43840</v>
      </c>
      <c r="BB71" s="22">
        <v>1.2193553623565101</v>
      </c>
      <c r="BD71" s="63">
        <v>36796876.188000001</v>
      </c>
      <c r="BE71" s="16">
        <v>0.33859999999986001</v>
      </c>
      <c r="BF71" s="24">
        <v>12459422.277249999</v>
      </c>
      <c r="BG71" s="16">
        <v>0.43820000000006998</v>
      </c>
      <c r="BH71" s="73">
        <v>16124391.145578099</v>
      </c>
      <c r="BI71" s="71" t="s">
        <v>709</v>
      </c>
    </row>
    <row r="72" spans="2:61" x14ac:dyDescent="0.25">
      <c r="B72" s="14" t="s">
        <v>71</v>
      </c>
      <c r="C72" s="14" t="s">
        <v>490</v>
      </c>
      <c r="D72" s="15" t="s">
        <v>287</v>
      </c>
      <c r="E72" s="15" t="s">
        <v>490</v>
      </c>
      <c r="F72" s="15" t="s">
        <v>913</v>
      </c>
      <c r="G72" s="86">
        <v>27219924.817937501</v>
      </c>
      <c r="H72" s="17">
        <v>43991</v>
      </c>
      <c r="I72" s="49"/>
      <c r="J72" s="49">
        <v>32.099999999976703</v>
      </c>
      <c r="K72" s="16">
        <f t="shared" si="0"/>
        <v>0</v>
      </c>
      <c r="L72" s="17">
        <v>43956</v>
      </c>
      <c r="M72" s="49">
        <v>0</v>
      </c>
      <c r="N72" s="49">
        <v>276.32709638547902</v>
      </c>
      <c r="O72" s="16">
        <f t="shared" si="13"/>
        <v>0</v>
      </c>
      <c r="P72" s="18">
        <v>0</v>
      </c>
      <c r="Q72" s="18"/>
      <c r="R72" s="16" t="str">
        <f t="shared" si="1"/>
        <v/>
      </c>
      <c r="T72" s="19"/>
      <c r="U72" s="19" t="str">
        <f t="shared" si="2"/>
        <v/>
      </c>
      <c r="V72" s="19"/>
      <c r="W72" s="19" t="str">
        <f t="shared" si="3"/>
        <v/>
      </c>
      <c r="X72" s="19"/>
      <c r="Y72" s="19" t="str">
        <f t="shared" si="4"/>
        <v/>
      </c>
      <c r="Z72" s="19"/>
      <c r="AA72" s="19" t="str">
        <f t="shared" si="5"/>
        <v/>
      </c>
      <c r="AB72" s="19"/>
      <c r="AC72" s="19" t="str">
        <f t="shared" si="6"/>
        <v/>
      </c>
      <c r="AD72" s="19"/>
      <c r="AE72" s="19" t="str">
        <f t="shared" si="7"/>
        <v/>
      </c>
      <c r="AF72" s="19"/>
      <c r="AG72" s="19" t="str">
        <f t="shared" si="8"/>
        <v/>
      </c>
      <c r="AH72" s="19"/>
      <c r="AI72" s="19" t="str">
        <f t="shared" si="9"/>
        <v/>
      </c>
      <c r="AJ72" s="19"/>
      <c r="AK72" s="19" t="str">
        <f t="shared" si="10"/>
        <v/>
      </c>
      <c r="AL72" s="19"/>
      <c r="AM72" s="19" t="str">
        <f t="shared" si="11"/>
        <v/>
      </c>
      <c r="AN72" s="19"/>
      <c r="AO72" s="19" t="str">
        <f t="shared" si="12"/>
        <v/>
      </c>
      <c r="AP72" s="20"/>
      <c r="AR72" s="16">
        <v>0</v>
      </c>
      <c r="AS72" s="16">
        <v>0</v>
      </c>
      <c r="AT72" s="16">
        <v>0</v>
      </c>
      <c r="AU72" s="16">
        <v>0</v>
      </c>
      <c r="AV72" s="21"/>
      <c r="AW72" s="21"/>
      <c r="AX72" s="22"/>
      <c r="AY72" s="16"/>
      <c r="AZ72" s="16">
        <v>-0.28224299065332198</v>
      </c>
      <c r="BA72" s="23">
        <v>43839</v>
      </c>
      <c r="BB72" s="22"/>
      <c r="BD72" s="63">
        <v>1181420.348</v>
      </c>
      <c r="BE72" s="16">
        <v>0.51469999999972105</v>
      </c>
      <c r="BF72" s="24">
        <v>608077.05311523401</v>
      </c>
      <c r="BG72" s="16"/>
      <c r="BH72" s="73"/>
      <c r="BI72" s="71" t="s">
        <v>710</v>
      </c>
    </row>
    <row r="73" spans="2:61" x14ac:dyDescent="0.25">
      <c r="B73" s="14" t="s">
        <v>72</v>
      </c>
      <c r="C73" s="14" t="s">
        <v>491</v>
      </c>
      <c r="D73" s="15" t="s">
        <v>288</v>
      </c>
      <c r="E73" s="15" t="s">
        <v>491</v>
      </c>
      <c r="F73" s="15" t="s">
        <v>908</v>
      </c>
      <c r="G73" s="86"/>
      <c r="H73" s="17">
        <v>43553</v>
      </c>
      <c r="I73" s="49"/>
      <c r="J73" s="49"/>
      <c r="K73" s="16" t="str">
        <f t="shared" si="0"/>
        <v/>
      </c>
      <c r="L73" s="17"/>
      <c r="M73" s="49">
        <v>0</v>
      </c>
      <c r="N73" s="49">
        <v>0</v>
      </c>
      <c r="O73" s="16" t="str">
        <f t="shared" si="13"/>
        <v/>
      </c>
      <c r="P73" s="18">
        <v>0</v>
      </c>
      <c r="Q73" s="18">
        <v>0</v>
      </c>
      <c r="R73" s="16" t="str">
        <f t="shared" si="1"/>
        <v/>
      </c>
      <c r="T73" s="19"/>
      <c r="U73" s="19" t="str">
        <f t="shared" si="2"/>
        <v/>
      </c>
      <c r="V73" s="19"/>
      <c r="W73" s="19" t="str">
        <f t="shared" si="3"/>
        <v/>
      </c>
      <c r="X73" s="19"/>
      <c r="Y73" s="19" t="str">
        <f t="shared" si="4"/>
        <v/>
      </c>
      <c r="Z73" s="19"/>
      <c r="AA73" s="19" t="str">
        <f t="shared" si="5"/>
        <v/>
      </c>
      <c r="AB73" s="19"/>
      <c r="AC73" s="19" t="str">
        <f t="shared" si="6"/>
        <v/>
      </c>
      <c r="AD73" s="19"/>
      <c r="AE73" s="19" t="str">
        <f t="shared" si="7"/>
        <v/>
      </c>
      <c r="AF73" s="19"/>
      <c r="AG73" s="19" t="str">
        <f t="shared" si="8"/>
        <v/>
      </c>
      <c r="AH73" s="19"/>
      <c r="AI73" s="19" t="str">
        <f t="shared" si="9"/>
        <v/>
      </c>
      <c r="AJ73" s="19"/>
      <c r="AK73" s="19" t="str">
        <f t="shared" si="10"/>
        <v/>
      </c>
      <c r="AL73" s="19"/>
      <c r="AM73" s="19" t="str">
        <f t="shared" si="11"/>
        <v/>
      </c>
      <c r="AN73" s="19"/>
      <c r="AO73" s="19" t="str">
        <f t="shared" si="12"/>
        <v/>
      </c>
      <c r="AP73" s="20"/>
      <c r="AR73" s="16"/>
      <c r="AS73" s="16"/>
      <c r="AT73" s="16"/>
      <c r="AU73" s="16"/>
      <c r="AV73" s="21"/>
      <c r="AW73" s="21"/>
      <c r="AX73" s="22"/>
      <c r="AY73" s="16"/>
      <c r="AZ73" s="16"/>
      <c r="BA73" s="23"/>
      <c r="BB73" s="22"/>
      <c r="BD73" s="63">
        <v>1480394.5989999999</v>
      </c>
      <c r="BE73" s="16">
        <v>0.779899999999907</v>
      </c>
      <c r="BF73" s="24">
        <v>1154559.7477597699</v>
      </c>
      <c r="BG73" s="16"/>
      <c r="BH73" s="73"/>
      <c r="BI73" s="71" t="s">
        <v>711</v>
      </c>
    </row>
    <row r="74" spans="2:61" x14ac:dyDescent="0.25">
      <c r="B74" s="14" t="s">
        <v>73</v>
      </c>
      <c r="C74" s="14" t="s">
        <v>492</v>
      </c>
      <c r="D74" s="15" t="s">
        <v>289</v>
      </c>
      <c r="E74" s="15" t="s">
        <v>492</v>
      </c>
      <c r="F74" s="15" t="s">
        <v>913</v>
      </c>
      <c r="G74" s="86">
        <v>282880000</v>
      </c>
      <c r="H74" s="17">
        <v>43999</v>
      </c>
      <c r="I74" s="49">
        <v>4420</v>
      </c>
      <c r="J74" s="49">
        <v>5357.7354110628403</v>
      </c>
      <c r="K74" s="16">
        <f t="shared" si="0"/>
        <v>0.82497541608221803</v>
      </c>
      <c r="L74" s="17">
        <v>43761</v>
      </c>
      <c r="M74" s="49">
        <v>32646.12</v>
      </c>
      <c r="N74" s="49">
        <v>69135.159903564403</v>
      </c>
      <c r="O74" s="16">
        <f t="shared" si="13"/>
        <v>0.47220719595553956</v>
      </c>
      <c r="P74" s="18">
        <v>4</v>
      </c>
      <c r="Q74" s="18">
        <v>3.73493975903693</v>
      </c>
      <c r="R74" s="16">
        <f t="shared" si="1"/>
        <v>1.0709677419352586</v>
      </c>
      <c r="T74" s="19">
        <v>1.3761467889707999E-2</v>
      </c>
      <c r="U74" s="19">
        <f t="shared" si="2"/>
        <v>-3.6093301969230066E-4</v>
      </c>
      <c r="V74" s="19">
        <v>0.104006394245516</v>
      </c>
      <c r="W74" s="19">
        <f t="shared" si="3"/>
        <v>8.6340946509150945E-3</v>
      </c>
      <c r="X74" s="19">
        <v>-0.14914135227998501</v>
      </c>
      <c r="Y74" s="19">
        <f t="shared" si="4"/>
        <v>-4.3803730359650017E-3</v>
      </c>
      <c r="Z74" s="19">
        <v>0.161721029253385</v>
      </c>
      <c r="AA74" s="19">
        <f t="shared" si="5"/>
        <v>5.8978165170555999E-2</v>
      </c>
      <c r="AB74" s="19">
        <v>0.17178172737854799</v>
      </c>
      <c r="AC74" s="19">
        <f t="shared" si="6"/>
        <v>-4.9379260068235009E-2</v>
      </c>
      <c r="AD74" s="19">
        <v>-0.13800433111551699</v>
      </c>
      <c r="AE74" s="19">
        <f t="shared" si="7"/>
        <v>3.2141971442033013E-2</v>
      </c>
      <c r="AF74" s="19">
        <v>-0.125942587083991</v>
      </c>
      <c r="AG74" s="19">
        <f t="shared" si="8"/>
        <v>7.8965495810699005E-2</v>
      </c>
      <c r="AH74" s="19">
        <v>-0.20217383014562099</v>
      </c>
      <c r="AI74" s="19">
        <f t="shared" si="9"/>
        <v>6.7434118373785018E-2</v>
      </c>
      <c r="AJ74" s="19">
        <v>-0.28553114679554698</v>
      </c>
      <c r="AK74" s="19">
        <f t="shared" si="10"/>
        <v>-0.11168695499858597</v>
      </c>
      <c r="AL74" s="19">
        <v>-9.0800606495613501E-2</v>
      </c>
      <c r="AM74" s="19">
        <f t="shared" si="11"/>
        <v>-9.5481403940575582E-2</v>
      </c>
      <c r="AN74" s="19">
        <v>0.15654751629699601</v>
      </c>
      <c r="AO74" s="19">
        <f t="shared" si="12"/>
        <v>0.14526541906525381</v>
      </c>
      <c r="AP74" s="20"/>
      <c r="AR74" s="16">
        <v>4.3331488655894597E-2</v>
      </c>
      <c r="AS74" s="16">
        <v>-4.7702766057263903E-2</v>
      </c>
      <c r="AT74" s="16">
        <v>0.230311392768344</v>
      </c>
      <c r="AU74" s="16">
        <v>-0.30627732409455299</v>
      </c>
      <c r="AV74" s="21">
        <v>2</v>
      </c>
      <c r="AW74" s="21">
        <v>4</v>
      </c>
      <c r="AX74" s="22"/>
      <c r="AY74" s="16"/>
      <c r="AZ74" s="16">
        <v>-0.39006080624530998</v>
      </c>
      <c r="BA74" s="23">
        <v>43840</v>
      </c>
      <c r="BB74" s="22">
        <v>1.4810363273154501</v>
      </c>
      <c r="BD74" s="63">
        <v>64000</v>
      </c>
      <c r="BE74" s="16">
        <v>0.34030000000027899</v>
      </c>
      <c r="BF74" s="24">
        <v>21779.200000000001</v>
      </c>
      <c r="BG74" s="16">
        <v>0.464000000000233</v>
      </c>
      <c r="BH74" s="73">
        <v>29696</v>
      </c>
      <c r="BI74" s="71" t="s">
        <v>712</v>
      </c>
    </row>
    <row r="75" spans="2:61" x14ac:dyDescent="0.25">
      <c r="B75" s="14" t="s">
        <v>74</v>
      </c>
      <c r="C75" s="14" t="s">
        <v>493</v>
      </c>
      <c r="D75" s="15" t="s">
        <v>290</v>
      </c>
      <c r="E75" s="15" t="s">
        <v>493</v>
      </c>
      <c r="F75" s="15" t="s">
        <v>910</v>
      </c>
      <c r="G75" s="86">
        <v>10362771.880828099</v>
      </c>
      <c r="H75" s="17">
        <v>43999</v>
      </c>
      <c r="I75" s="49">
        <v>134.13999999989801</v>
      </c>
      <c r="J75" s="49">
        <v>177.44999999995301</v>
      </c>
      <c r="K75" s="16">
        <f t="shared" ref="K75:K138" si="14">IFERROR(I75/J75,"")</f>
        <v>0.75593124823856594</v>
      </c>
      <c r="L75" s="17">
        <v>43685</v>
      </c>
      <c r="M75" s="49">
        <v>647.62199999999996</v>
      </c>
      <c r="N75" s="49">
        <v>294.52230923700301</v>
      </c>
      <c r="O75" s="16">
        <f t="shared" ref="O75:O138" si="15">IFERROR(M75/N75,"")</f>
        <v>2.1988894548523201</v>
      </c>
      <c r="P75" s="18"/>
      <c r="Q75" s="18"/>
      <c r="R75" s="16" t="str">
        <f t="shared" ref="R75:R138" si="16">IFERROR(P75/Q75,"")</f>
        <v/>
      </c>
      <c r="T75" s="19"/>
      <c r="U75" s="19" t="str">
        <f t="shared" ref="U75:U138" si="17">IF(T75="","",T75-T$8)</f>
        <v/>
      </c>
      <c r="V75" s="19">
        <v>0</v>
      </c>
      <c r="W75" s="19">
        <f t="shared" ref="W75:W138" si="18">IF(V75="","",V75-V$8)</f>
        <v>-9.5372299594600904E-2</v>
      </c>
      <c r="X75" s="19">
        <v>-0.18207317073218299</v>
      </c>
      <c r="Y75" s="19">
        <f t="shared" ref="Y75:Y138" si="19">IF(X75="","",X75-X$8)</f>
        <v>-3.7312191488162977E-2</v>
      </c>
      <c r="Z75" s="19">
        <v>0</v>
      </c>
      <c r="AA75" s="19">
        <f t="shared" ref="AA75:AA138" si="20">IF(Z75="","",Z75-Z$8)</f>
        <v>-0.102742864082829</v>
      </c>
      <c r="AB75" s="19"/>
      <c r="AC75" s="19" t="str">
        <f t="shared" ref="AC75:AC138" si="21">IF(AB75="","",AB75-AB$8)</f>
        <v/>
      </c>
      <c r="AD75" s="19">
        <v>-0.18207317073218299</v>
      </c>
      <c r="AE75" s="19">
        <f t="shared" ref="AE75:AE138" si="22">IF(AD75="","",AD75-AD$8)</f>
        <v>-1.1926868174632982E-2</v>
      </c>
      <c r="AF75" s="19">
        <v>-0.24406875176093301</v>
      </c>
      <c r="AG75" s="19">
        <f t="shared" ref="AG75:AG138" si="23">IF(AF75="","",AF75-AF$8)</f>
        <v>-3.9160668866243004E-2</v>
      </c>
      <c r="AH75" s="19">
        <v>-7.4896551725032595E-2</v>
      </c>
      <c r="AI75" s="19">
        <f t="shared" ref="AI75:AI138" si="24">IF(AH75="","",AH75-AH$8)</f>
        <v>0.19471139679437341</v>
      </c>
      <c r="AJ75" s="19">
        <v>-4.1857142858134501E-2</v>
      </c>
      <c r="AK75" s="19">
        <f t="shared" ref="AK75:AK138" si="25">IF(AJ75="","",AJ75-AJ$8)</f>
        <v>0.13198704893882651</v>
      </c>
      <c r="AL75" s="19">
        <v>-0.10573333333377399</v>
      </c>
      <c r="AM75" s="19">
        <f t="shared" ref="AM75:AM138" si="26">IF(AL75="","",AL75-AL$8)</f>
        <v>-0.11041413077873607</v>
      </c>
      <c r="AN75" s="19">
        <v>-0.27369954447669398</v>
      </c>
      <c r="AO75" s="19">
        <f t="shared" ref="AO75:AO138" si="27">IF(AN75="","",AN75-AN$8)</f>
        <v>-0.28498164170843621</v>
      </c>
      <c r="AP75" s="20"/>
      <c r="AR75" s="16">
        <v>0</v>
      </c>
      <c r="AS75" s="16">
        <v>0</v>
      </c>
      <c r="AT75" s="16">
        <v>0</v>
      </c>
      <c r="AU75" s="16">
        <v>-0.18207317073218299</v>
      </c>
      <c r="AV75" s="21">
        <v>0</v>
      </c>
      <c r="AW75" s="21">
        <v>1</v>
      </c>
      <c r="AX75" s="22"/>
      <c r="AY75" s="16"/>
      <c r="AZ75" s="16">
        <v>-0.182073170732474</v>
      </c>
      <c r="BA75" s="23">
        <v>43817</v>
      </c>
      <c r="BB75" s="22">
        <v>-0.46446432999255199</v>
      </c>
      <c r="BD75" s="63">
        <v>77253.406000000003</v>
      </c>
      <c r="BE75" s="16">
        <v>0.312299999999814</v>
      </c>
      <c r="BF75" s="24">
        <v>24126.238693786599</v>
      </c>
      <c r="BG75" s="16"/>
      <c r="BH75" s="73"/>
      <c r="BI75" s="71" t="s">
        <v>713</v>
      </c>
    </row>
    <row r="76" spans="2:61" x14ac:dyDescent="0.25">
      <c r="B76" s="14" t="s">
        <v>75</v>
      </c>
      <c r="C76" s="14" t="s">
        <v>494</v>
      </c>
      <c r="D76" s="15" t="s">
        <v>291</v>
      </c>
      <c r="E76" s="15" t="s">
        <v>494</v>
      </c>
      <c r="F76" s="15" t="s">
        <v>906</v>
      </c>
      <c r="G76" s="86">
        <v>104500000</v>
      </c>
      <c r="H76" s="17">
        <v>43994</v>
      </c>
      <c r="I76" s="49"/>
      <c r="J76" s="49">
        <v>1064</v>
      </c>
      <c r="K76" s="16">
        <f t="shared" si="14"/>
        <v>0</v>
      </c>
      <c r="L76" s="17">
        <v>43815</v>
      </c>
      <c r="M76" s="49">
        <v>0</v>
      </c>
      <c r="N76" s="49">
        <v>751.31396787166602</v>
      </c>
      <c r="O76" s="16">
        <f t="shared" si="15"/>
        <v>0</v>
      </c>
      <c r="P76" s="18">
        <v>0</v>
      </c>
      <c r="Q76" s="18"/>
      <c r="R76" s="16" t="str">
        <f t="shared" si="16"/>
        <v/>
      </c>
      <c r="T76" s="19"/>
      <c r="U76" s="19" t="str">
        <f t="shared" si="17"/>
        <v/>
      </c>
      <c r="V76" s="19"/>
      <c r="W76" s="19" t="str">
        <f t="shared" si="18"/>
        <v/>
      </c>
      <c r="X76" s="19">
        <v>0</v>
      </c>
      <c r="Y76" s="19">
        <f t="shared" si="19"/>
        <v>0.14476097924402001</v>
      </c>
      <c r="Z76" s="19">
        <v>0</v>
      </c>
      <c r="AA76" s="19">
        <f t="shared" si="20"/>
        <v>-0.102742864082829</v>
      </c>
      <c r="AB76" s="19"/>
      <c r="AC76" s="19" t="str">
        <f t="shared" si="21"/>
        <v/>
      </c>
      <c r="AD76" s="19">
        <v>-1.7857142856883002E-2</v>
      </c>
      <c r="AE76" s="19">
        <f t="shared" si="22"/>
        <v>0.152289159700667</v>
      </c>
      <c r="AF76" s="19">
        <v>0.20099745177867601</v>
      </c>
      <c r="AG76" s="19">
        <f t="shared" si="23"/>
        <v>0.40590553467336599</v>
      </c>
      <c r="AH76" s="19">
        <v>0.143239004617499</v>
      </c>
      <c r="AI76" s="19">
        <f t="shared" si="24"/>
        <v>0.412846953136905</v>
      </c>
      <c r="AJ76" s="19">
        <v>0.42211841699841901</v>
      </c>
      <c r="AK76" s="19">
        <f t="shared" si="25"/>
        <v>0.59596260879537999</v>
      </c>
      <c r="AL76" s="19">
        <v>0.630833082912723</v>
      </c>
      <c r="AM76" s="19">
        <f t="shared" si="26"/>
        <v>0.62615228546776092</v>
      </c>
      <c r="AN76" s="19">
        <v>1.0823398001375599</v>
      </c>
      <c r="AO76" s="19">
        <f t="shared" si="27"/>
        <v>1.0710577029058177</v>
      </c>
      <c r="AP76" s="20"/>
      <c r="AR76" s="16">
        <v>0</v>
      </c>
      <c r="AS76" s="16">
        <v>0</v>
      </c>
      <c r="AT76" s="16">
        <v>0</v>
      </c>
      <c r="AU76" s="16">
        <v>0</v>
      </c>
      <c r="AV76" s="21"/>
      <c r="AW76" s="21"/>
      <c r="AX76" s="22"/>
      <c r="AY76" s="16"/>
      <c r="AZ76" s="16">
        <v>0</v>
      </c>
      <c r="BA76" s="23">
        <v>43829</v>
      </c>
      <c r="BB76" s="22"/>
      <c r="BD76" s="63">
        <v>100000</v>
      </c>
      <c r="BE76" s="16">
        <v>0.14860000000000601</v>
      </c>
      <c r="BF76" s="24">
        <v>14860</v>
      </c>
      <c r="BG76" s="16"/>
      <c r="BH76" s="73"/>
      <c r="BI76" s="71" t="s">
        <v>714</v>
      </c>
    </row>
    <row r="77" spans="2:61" x14ac:dyDescent="0.25">
      <c r="B77" s="14" t="s">
        <v>76</v>
      </c>
      <c r="C77" s="14" t="s">
        <v>495</v>
      </c>
      <c r="D77" s="15" t="s">
        <v>292</v>
      </c>
      <c r="E77" s="15" t="s">
        <v>495</v>
      </c>
      <c r="F77" s="15" t="s">
        <v>906</v>
      </c>
      <c r="G77" s="86">
        <v>137611526.336</v>
      </c>
      <c r="H77" s="17">
        <v>43999</v>
      </c>
      <c r="I77" s="49">
        <v>227.32000000006499</v>
      </c>
      <c r="J77" s="49">
        <v>289.00498329196103</v>
      </c>
      <c r="K77" s="16">
        <f t="shared" si="14"/>
        <v>0.78656083161867107</v>
      </c>
      <c r="L77" s="17">
        <v>43761</v>
      </c>
      <c r="M77" s="49">
        <v>36270.214999999997</v>
      </c>
      <c r="N77" s="49">
        <v>15049.088762252801</v>
      </c>
      <c r="O77" s="16">
        <f t="shared" si="15"/>
        <v>2.4101269899460984</v>
      </c>
      <c r="P77" s="18">
        <v>5</v>
      </c>
      <c r="Q77" s="18">
        <v>3.04417670682597</v>
      </c>
      <c r="R77" s="16">
        <f t="shared" si="16"/>
        <v>1.6424802110825167</v>
      </c>
      <c r="T77" s="19">
        <v>5.4457741905935102E-2</v>
      </c>
      <c r="U77" s="19">
        <f t="shared" si="17"/>
        <v>4.0335340996534803E-2</v>
      </c>
      <c r="V77" s="19">
        <v>0.190468709086417</v>
      </c>
      <c r="W77" s="19">
        <f t="shared" si="18"/>
        <v>9.5096409491816095E-2</v>
      </c>
      <c r="X77" s="19">
        <v>-7.37032312190422E-3</v>
      </c>
      <c r="Y77" s="19">
        <f t="shared" si="19"/>
        <v>0.13739065612211579</v>
      </c>
      <c r="Z77" s="19">
        <v>0.20127610484632899</v>
      </c>
      <c r="AA77" s="19">
        <f t="shared" si="20"/>
        <v>9.8533240763499993E-2</v>
      </c>
      <c r="AB77" s="19">
        <v>0.24397684763622199</v>
      </c>
      <c r="AC77" s="19">
        <f t="shared" si="21"/>
        <v>2.2815860189438986E-2</v>
      </c>
      <c r="AD77" s="19">
        <v>9.2863956306246092E-3</v>
      </c>
      <c r="AE77" s="19">
        <f t="shared" si="22"/>
        <v>0.17943269818817462</v>
      </c>
      <c r="AF77" s="19">
        <v>-0.178604229520715</v>
      </c>
      <c r="AG77" s="19">
        <f t="shared" si="23"/>
        <v>2.6303853373975006E-2</v>
      </c>
      <c r="AH77" s="19">
        <v>-0.15860828744553099</v>
      </c>
      <c r="AI77" s="19">
        <f t="shared" si="24"/>
        <v>0.11099966107387502</v>
      </c>
      <c r="AJ77" s="19">
        <v>-0.23827588955842699</v>
      </c>
      <c r="AK77" s="19">
        <f t="shared" si="25"/>
        <v>-6.4431697761465984E-2</v>
      </c>
      <c r="AL77" s="19">
        <v>0.20561034833750499</v>
      </c>
      <c r="AM77" s="19">
        <f t="shared" si="26"/>
        <v>0.20092955089254291</v>
      </c>
      <c r="AN77" s="19">
        <v>4.44177764129563E-2</v>
      </c>
      <c r="AO77" s="19">
        <f t="shared" si="27"/>
        <v>3.31356791812141E-2</v>
      </c>
      <c r="AP77" s="20"/>
      <c r="AR77" s="16">
        <v>5.5450819671023097E-2</v>
      </c>
      <c r="AS77" s="16">
        <v>-4.5413690335408298E-2</v>
      </c>
      <c r="AT77" s="16">
        <v>0.190468709086417</v>
      </c>
      <c r="AU77" s="16">
        <v>-0.22497548801125999</v>
      </c>
      <c r="AV77" s="21">
        <v>4</v>
      </c>
      <c r="AW77" s="21">
        <v>2</v>
      </c>
      <c r="AX77" s="22"/>
      <c r="AY77" s="16"/>
      <c r="AZ77" s="16">
        <v>-0.33646565448667398</v>
      </c>
      <c r="BA77" s="23">
        <v>43857</v>
      </c>
      <c r="BB77" s="22">
        <v>1.2090954076065801</v>
      </c>
      <c r="BD77" s="63">
        <v>605364.80000000005</v>
      </c>
      <c r="BE77" s="16">
        <v>0.30290000000008099</v>
      </c>
      <c r="BF77" s="24">
        <v>183364.997919922</v>
      </c>
      <c r="BG77" s="16">
        <v>0.65369999999995299</v>
      </c>
      <c r="BH77" s="73">
        <v>395726.96975976601</v>
      </c>
      <c r="BI77" s="71" t="s">
        <v>715</v>
      </c>
    </row>
    <row r="78" spans="2:61" x14ac:dyDescent="0.25">
      <c r="B78" s="14" t="s">
        <v>77</v>
      </c>
      <c r="C78" s="14" t="s">
        <v>496</v>
      </c>
      <c r="D78" s="15" t="s">
        <v>293</v>
      </c>
      <c r="E78" s="15" t="s">
        <v>496</v>
      </c>
      <c r="F78" s="15" t="s">
        <v>907</v>
      </c>
      <c r="G78" s="86"/>
      <c r="H78" s="17">
        <v>43559</v>
      </c>
      <c r="I78" s="49"/>
      <c r="J78" s="49"/>
      <c r="K78" s="16" t="str">
        <f t="shared" si="14"/>
        <v/>
      </c>
      <c r="L78" s="17"/>
      <c r="M78" s="49">
        <v>0</v>
      </c>
      <c r="N78" s="49">
        <v>0</v>
      </c>
      <c r="O78" s="16" t="str">
        <f t="shared" si="15"/>
        <v/>
      </c>
      <c r="P78" s="18">
        <v>0</v>
      </c>
      <c r="Q78" s="18">
        <v>0</v>
      </c>
      <c r="R78" s="16" t="str">
        <f t="shared" si="16"/>
        <v/>
      </c>
      <c r="T78" s="19"/>
      <c r="U78" s="19" t="str">
        <f t="shared" si="17"/>
        <v/>
      </c>
      <c r="V78" s="19"/>
      <c r="W78" s="19" t="str">
        <f t="shared" si="18"/>
        <v/>
      </c>
      <c r="X78" s="19"/>
      <c r="Y78" s="19" t="str">
        <f t="shared" si="19"/>
        <v/>
      </c>
      <c r="Z78" s="19"/>
      <c r="AA78" s="19" t="str">
        <f t="shared" si="20"/>
        <v/>
      </c>
      <c r="AB78" s="19"/>
      <c r="AC78" s="19" t="str">
        <f t="shared" si="21"/>
        <v/>
      </c>
      <c r="AD78" s="19"/>
      <c r="AE78" s="19" t="str">
        <f t="shared" si="22"/>
        <v/>
      </c>
      <c r="AF78" s="19"/>
      <c r="AG78" s="19" t="str">
        <f t="shared" si="23"/>
        <v/>
      </c>
      <c r="AH78" s="19"/>
      <c r="AI78" s="19" t="str">
        <f t="shared" si="24"/>
        <v/>
      </c>
      <c r="AJ78" s="19"/>
      <c r="AK78" s="19" t="str">
        <f t="shared" si="25"/>
        <v/>
      </c>
      <c r="AL78" s="19"/>
      <c r="AM78" s="19" t="str">
        <f t="shared" si="26"/>
        <v/>
      </c>
      <c r="AN78" s="19"/>
      <c r="AO78" s="19" t="str">
        <f t="shared" si="27"/>
        <v/>
      </c>
      <c r="AP78" s="20"/>
      <c r="AR78" s="16"/>
      <c r="AS78" s="16"/>
      <c r="AT78" s="16"/>
      <c r="AU78" s="16"/>
      <c r="AV78" s="21"/>
      <c r="AW78" s="21"/>
      <c r="AX78" s="22"/>
      <c r="AY78" s="16"/>
      <c r="AZ78" s="16"/>
      <c r="BA78" s="23"/>
      <c r="BB78" s="22"/>
      <c r="BD78" s="63">
        <v>75089.161999999997</v>
      </c>
      <c r="BE78" s="16">
        <v>0.59940000000002303</v>
      </c>
      <c r="BF78" s="24">
        <v>45008.443702819801</v>
      </c>
      <c r="BG78" s="16"/>
      <c r="BH78" s="73"/>
      <c r="BI78" s="71" t="s">
        <v>716</v>
      </c>
    </row>
    <row r="79" spans="2:61" x14ac:dyDescent="0.25">
      <c r="B79" s="14" t="s">
        <v>78</v>
      </c>
      <c r="C79" s="14" t="s">
        <v>497</v>
      </c>
      <c r="D79" s="15" t="s">
        <v>294</v>
      </c>
      <c r="E79" s="15" t="s">
        <v>497</v>
      </c>
      <c r="F79" s="15" t="s">
        <v>913</v>
      </c>
      <c r="G79" s="86"/>
      <c r="H79" s="17">
        <v>43851</v>
      </c>
      <c r="I79" s="49"/>
      <c r="J79" s="49">
        <v>908.05017524771404</v>
      </c>
      <c r="K79" s="16">
        <f t="shared" si="14"/>
        <v>0</v>
      </c>
      <c r="L79" s="17">
        <v>43851</v>
      </c>
      <c r="M79" s="49">
        <v>0</v>
      </c>
      <c r="N79" s="49">
        <v>115.782333333373</v>
      </c>
      <c r="O79" s="16">
        <f t="shared" si="15"/>
        <v>0</v>
      </c>
      <c r="P79" s="18">
        <v>0</v>
      </c>
      <c r="Q79" s="18"/>
      <c r="R79" s="16" t="str">
        <f t="shared" si="16"/>
        <v/>
      </c>
      <c r="T79" s="19"/>
      <c r="U79" s="19" t="str">
        <f t="shared" si="17"/>
        <v/>
      </c>
      <c r="V79" s="19"/>
      <c r="W79" s="19" t="str">
        <f t="shared" si="18"/>
        <v/>
      </c>
      <c r="X79" s="19"/>
      <c r="Y79" s="19" t="str">
        <f t="shared" si="19"/>
        <v/>
      </c>
      <c r="Z79" s="19"/>
      <c r="AA79" s="19" t="str">
        <f t="shared" si="20"/>
        <v/>
      </c>
      <c r="AB79" s="19"/>
      <c r="AC79" s="19" t="str">
        <f t="shared" si="21"/>
        <v/>
      </c>
      <c r="AD79" s="19"/>
      <c r="AE79" s="19" t="str">
        <f t="shared" si="22"/>
        <v/>
      </c>
      <c r="AF79" s="19"/>
      <c r="AG79" s="19" t="str">
        <f t="shared" si="23"/>
        <v/>
      </c>
      <c r="AH79" s="19"/>
      <c r="AI79" s="19" t="str">
        <f t="shared" si="24"/>
        <v/>
      </c>
      <c r="AJ79" s="19"/>
      <c r="AK79" s="19" t="str">
        <f t="shared" si="25"/>
        <v/>
      </c>
      <c r="AL79" s="19"/>
      <c r="AM79" s="19" t="str">
        <f t="shared" si="26"/>
        <v/>
      </c>
      <c r="AN79" s="19"/>
      <c r="AO79" s="19" t="str">
        <f t="shared" si="27"/>
        <v/>
      </c>
      <c r="AP79" s="20"/>
      <c r="AR79" s="16">
        <v>0</v>
      </c>
      <c r="AS79" s="16">
        <v>0</v>
      </c>
      <c r="AT79" s="16">
        <v>0</v>
      </c>
      <c r="AU79" s="16">
        <v>0</v>
      </c>
      <c r="AV79" s="21"/>
      <c r="AW79" s="21"/>
      <c r="AX79" s="22"/>
      <c r="AY79" s="16"/>
      <c r="AZ79" s="16">
        <v>0</v>
      </c>
      <c r="BA79" s="23">
        <v>43819</v>
      </c>
      <c r="BB79" s="22"/>
      <c r="BD79" s="63">
        <v>312606.364</v>
      </c>
      <c r="BE79" s="16">
        <v>0.99849999999976702</v>
      </c>
      <c r="BF79" s="24">
        <v>312137.45445410197</v>
      </c>
      <c r="BG79" s="16"/>
      <c r="BH79" s="73"/>
      <c r="BI79" s="71" t="s">
        <v>717</v>
      </c>
    </row>
    <row r="80" spans="2:61" x14ac:dyDescent="0.25">
      <c r="B80" s="14" t="s">
        <v>79</v>
      </c>
      <c r="C80" s="14" t="s">
        <v>498</v>
      </c>
      <c r="D80" s="15" t="s">
        <v>295</v>
      </c>
      <c r="E80" s="15" t="s">
        <v>498</v>
      </c>
      <c r="F80" s="15" t="s">
        <v>913</v>
      </c>
      <c r="G80" s="86">
        <v>1821673131.898</v>
      </c>
      <c r="H80" s="17">
        <v>43999</v>
      </c>
      <c r="I80" s="49">
        <v>1675</v>
      </c>
      <c r="J80" s="49">
        <v>2036.9137950893501</v>
      </c>
      <c r="K80" s="16">
        <f t="shared" si="14"/>
        <v>0.82232247826988936</v>
      </c>
      <c r="L80" s="17">
        <v>43655</v>
      </c>
      <c r="M80" s="49">
        <v>4273.2380000000003</v>
      </c>
      <c r="N80" s="49">
        <v>170243.654996094</v>
      </c>
      <c r="O80" s="16">
        <f t="shared" si="15"/>
        <v>2.5100718144814523E-2</v>
      </c>
      <c r="P80" s="18"/>
      <c r="Q80" s="18"/>
      <c r="R80" s="16" t="str">
        <f t="shared" si="16"/>
        <v/>
      </c>
      <c r="T80" s="19">
        <v>0</v>
      </c>
      <c r="U80" s="19">
        <f t="shared" si="17"/>
        <v>-1.41224009094003E-2</v>
      </c>
      <c r="V80" s="19">
        <v>0.116592227184883</v>
      </c>
      <c r="W80" s="19">
        <f t="shared" si="18"/>
        <v>2.1219927590282101E-2</v>
      </c>
      <c r="X80" s="19">
        <v>-8.3226992569543704E-2</v>
      </c>
      <c r="Y80" s="19">
        <f t="shared" si="19"/>
        <v>6.1533986674476307E-2</v>
      </c>
      <c r="Z80" s="19">
        <v>0.105628805755259</v>
      </c>
      <c r="AA80" s="19">
        <f t="shared" si="20"/>
        <v>2.8859416724300035E-3</v>
      </c>
      <c r="AB80" s="19">
        <v>-2.1454965021803201E-2</v>
      </c>
      <c r="AC80" s="19">
        <f t="shared" si="21"/>
        <v>-0.24261595246858619</v>
      </c>
      <c r="AD80" s="19">
        <v>-7.5059530581711401E-2</v>
      </c>
      <c r="AE80" s="19">
        <f t="shared" si="22"/>
        <v>9.5086771975838605E-2</v>
      </c>
      <c r="AF80" s="19">
        <v>-0.18150227744365099</v>
      </c>
      <c r="AG80" s="19">
        <f t="shared" si="23"/>
        <v>2.3405805451039013E-2</v>
      </c>
      <c r="AH80" s="19">
        <v>-0.22110279249231099</v>
      </c>
      <c r="AI80" s="19">
        <f t="shared" si="24"/>
        <v>4.8505156027095014E-2</v>
      </c>
      <c r="AJ80" s="19">
        <v>-0.264988043171761</v>
      </c>
      <c r="AK80" s="19">
        <f t="shared" si="25"/>
        <v>-9.1143851374799995E-2</v>
      </c>
      <c r="AL80" s="19">
        <v>-9.1371971269836594E-2</v>
      </c>
      <c r="AM80" s="19">
        <f t="shared" si="26"/>
        <v>-9.6052768714798675E-2</v>
      </c>
      <c r="AN80" s="19">
        <v>0.28846577506017601</v>
      </c>
      <c r="AO80" s="19">
        <f t="shared" si="27"/>
        <v>0.27718367782843378</v>
      </c>
      <c r="AP80" s="20"/>
      <c r="AR80" s="16">
        <v>0.10420979986156501</v>
      </c>
      <c r="AS80" s="16">
        <v>-0.137931034483772</v>
      </c>
      <c r="AT80" s="16">
        <v>0.116592227184883</v>
      </c>
      <c r="AU80" s="16">
        <v>-0.16620344635972301</v>
      </c>
      <c r="AV80" s="21">
        <v>3</v>
      </c>
      <c r="AW80" s="21">
        <v>3</v>
      </c>
      <c r="AX80" s="22"/>
      <c r="AY80" s="16"/>
      <c r="AZ80" s="16">
        <v>-0.25235682869475601</v>
      </c>
      <c r="BA80" s="23">
        <v>43832</v>
      </c>
      <c r="BB80" s="22">
        <v>0.75338439804454505</v>
      </c>
      <c r="BD80" s="63">
        <v>473289.30099999998</v>
      </c>
      <c r="BE80" s="16">
        <v>0.108399999999965</v>
      </c>
      <c r="BF80" s="24">
        <v>102608.253473633</v>
      </c>
      <c r="BG80" s="16">
        <v>0.57400000000023299</v>
      </c>
      <c r="BH80" s="73">
        <v>543331.52669628896</v>
      </c>
      <c r="BI80" s="71" t="s">
        <v>718</v>
      </c>
    </row>
    <row r="81" spans="2:61" x14ac:dyDescent="0.25">
      <c r="B81" s="14" t="s">
        <v>80</v>
      </c>
      <c r="C81" s="14" t="s">
        <v>499</v>
      </c>
      <c r="D81" s="15" t="s">
        <v>295</v>
      </c>
      <c r="E81" s="15" t="s">
        <v>499</v>
      </c>
      <c r="F81" s="15" t="s">
        <v>913</v>
      </c>
      <c r="G81" s="86">
        <v>1821673131.898</v>
      </c>
      <c r="H81" s="17">
        <v>43999</v>
      </c>
      <c r="I81" s="49">
        <v>2174</v>
      </c>
      <c r="J81" s="49">
        <v>2382.6025697365399</v>
      </c>
      <c r="K81" s="16">
        <f t="shared" si="14"/>
        <v>0.91244760146481063</v>
      </c>
      <c r="L81" s="17">
        <v>43642</v>
      </c>
      <c r="M81" s="49">
        <v>3088287.4410000001</v>
      </c>
      <c r="N81" s="49">
        <v>1912407.98512109</v>
      </c>
      <c r="O81" s="16">
        <f t="shared" si="15"/>
        <v>1.6148685139507277</v>
      </c>
      <c r="P81" s="18">
        <v>1084</v>
      </c>
      <c r="Q81" s="18">
        <v>511.82730923686199</v>
      </c>
      <c r="R81" s="16">
        <f t="shared" si="16"/>
        <v>2.1179018400097709</v>
      </c>
      <c r="T81" s="19">
        <v>3.52380952372187E-2</v>
      </c>
      <c r="U81" s="19">
        <f t="shared" si="17"/>
        <v>2.1115694327818402E-2</v>
      </c>
      <c r="V81" s="19">
        <v>0.13170223841734699</v>
      </c>
      <c r="W81" s="19">
        <f t="shared" si="18"/>
        <v>3.6329938822746086E-2</v>
      </c>
      <c r="X81" s="19">
        <v>2.4231116336523001E-2</v>
      </c>
      <c r="Y81" s="19">
        <f t="shared" si="19"/>
        <v>0.16899209558054301</v>
      </c>
      <c r="Z81" s="19">
        <v>0.161635670647374</v>
      </c>
      <c r="AA81" s="19">
        <f t="shared" si="20"/>
        <v>5.8892806564545E-2</v>
      </c>
      <c r="AB81" s="19">
        <v>0.23647494354547199</v>
      </c>
      <c r="AC81" s="19">
        <f t="shared" si="21"/>
        <v>1.5313956098688991E-2</v>
      </c>
      <c r="AD81" s="19">
        <v>1.44543647711544E-2</v>
      </c>
      <c r="AE81" s="19">
        <f t="shared" si="22"/>
        <v>0.18460066732870439</v>
      </c>
      <c r="AF81" s="19">
        <v>-5.6570740845054403E-2</v>
      </c>
      <c r="AG81" s="19">
        <f t="shared" si="23"/>
        <v>0.14833734204963561</v>
      </c>
      <c r="AH81" s="19">
        <v>-0.13086714175733499</v>
      </c>
      <c r="AI81" s="19">
        <f t="shared" si="24"/>
        <v>0.13874080676207101</v>
      </c>
      <c r="AJ81" s="19">
        <v>-0.104077294825402</v>
      </c>
      <c r="AK81" s="19">
        <f t="shared" si="25"/>
        <v>6.9766896971559009E-2</v>
      </c>
      <c r="AL81" s="19">
        <v>7.6934964998145006E-2</v>
      </c>
      <c r="AM81" s="19">
        <f t="shared" si="26"/>
        <v>7.2254167553182924E-2</v>
      </c>
      <c r="AN81" s="19">
        <v>0.258698925999925</v>
      </c>
      <c r="AO81" s="19">
        <f t="shared" si="27"/>
        <v>0.2474168287681828</v>
      </c>
      <c r="AP81" s="20">
        <v>40.2429343261756</v>
      </c>
      <c r="AR81" s="16">
        <v>0.112149532709736</v>
      </c>
      <c r="AS81" s="16">
        <v>-0.16619045145140299</v>
      </c>
      <c r="AT81" s="16">
        <v>0.13170223841734699</v>
      </c>
      <c r="AU81" s="16">
        <v>-5.4978707115005798E-2</v>
      </c>
      <c r="AV81" s="21">
        <v>2</v>
      </c>
      <c r="AW81" s="21">
        <v>4</v>
      </c>
      <c r="AX81" s="22">
        <v>0.14642844852914999</v>
      </c>
      <c r="AY81" s="16">
        <v>5.1669235160516101E-2</v>
      </c>
      <c r="AZ81" s="16">
        <v>-0.288973692026048</v>
      </c>
      <c r="BA81" s="23">
        <v>43847</v>
      </c>
      <c r="BB81" s="22">
        <v>0.49100932374994999</v>
      </c>
      <c r="BD81" s="63">
        <v>473281.30300000001</v>
      </c>
      <c r="BE81" s="16">
        <v>0.108399999999965</v>
      </c>
      <c r="BF81" s="24">
        <v>102608.253473633</v>
      </c>
      <c r="BG81" s="16">
        <v>0.57400000000023299</v>
      </c>
      <c r="BH81" s="73">
        <v>543331.52669628896</v>
      </c>
      <c r="BI81" s="71" t="s">
        <v>718</v>
      </c>
    </row>
    <row r="82" spans="2:61" x14ac:dyDescent="0.25">
      <c r="B82" s="14" t="s">
        <v>81</v>
      </c>
      <c r="C82" s="14" t="s">
        <v>500</v>
      </c>
      <c r="D82" s="15" t="s">
        <v>296</v>
      </c>
      <c r="E82" s="15" t="s">
        <v>500</v>
      </c>
      <c r="F82" s="15" t="s">
        <v>907</v>
      </c>
      <c r="G82" s="86"/>
      <c r="H82" s="17"/>
      <c r="I82" s="49"/>
      <c r="J82" s="49"/>
      <c r="K82" s="16" t="str">
        <f t="shared" si="14"/>
        <v/>
      </c>
      <c r="L82" s="17"/>
      <c r="M82" s="49">
        <v>0</v>
      </c>
      <c r="N82" s="49"/>
      <c r="O82" s="16" t="str">
        <f t="shared" si="15"/>
        <v/>
      </c>
      <c r="P82" s="18">
        <v>0</v>
      </c>
      <c r="Q82" s="18"/>
      <c r="R82" s="16" t="str">
        <f t="shared" si="16"/>
        <v/>
      </c>
      <c r="T82" s="19"/>
      <c r="U82" s="19" t="str">
        <f t="shared" si="17"/>
        <v/>
      </c>
      <c r="V82" s="19"/>
      <c r="W82" s="19" t="str">
        <f t="shared" si="18"/>
        <v/>
      </c>
      <c r="X82" s="19"/>
      <c r="Y82" s="19" t="str">
        <f t="shared" si="19"/>
        <v/>
      </c>
      <c r="Z82" s="19"/>
      <c r="AA82" s="19" t="str">
        <f t="shared" si="20"/>
        <v/>
      </c>
      <c r="AB82" s="19"/>
      <c r="AC82" s="19" t="str">
        <f t="shared" si="21"/>
        <v/>
      </c>
      <c r="AD82" s="19"/>
      <c r="AE82" s="19" t="str">
        <f t="shared" si="22"/>
        <v/>
      </c>
      <c r="AF82" s="19"/>
      <c r="AG82" s="19" t="str">
        <f t="shared" si="23"/>
        <v/>
      </c>
      <c r="AH82" s="19"/>
      <c r="AI82" s="19" t="str">
        <f t="shared" si="24"/>
        <v/>
      </c>
      <c r="AJ82" s="19"/>
      <c r="AK82" s="19" t="str">
        <f t="shared" si="25"/>
        <v/>
      </c>
      <c r="AL82" s="19"/>
      <c r="AM82" s="19" t="str">
        <f t="shared" si="26"/>
        <v/>
      </c>
      <c r="AN82" s="19"/>
      <c r="AO82" s="19" t="str">
        <f t="shared" si="27"/>
        <v/>
      </c>
      <c r="AP82" s="20"/>
      <c r="AR82" s="16"/>
      <c r="AS82" s="16"/>
      <c r="AT82" s="16"/>
      <c r="AU82" s="16"/>
      <c r="AV82" s="21"/>
      <c r="AW82" s="21"/>
      <c r="AX82" s="22"/>
      <c r="AY82" s="16"/>
      <c r="AZ82" s="16"/>
      <c r="BA82" s="23"/>
      <c r="BB82" s="22"/>
      <c r="BD82" s="63">
        <v>900764.50300000003</v>
      </c>
      <c r="BE82" s="16">
        <v>0.51</v>
      </c>
      <c r="BF82" s="24">
        <v>488712.65660986298</v>
      </c>
      <c r="BG82" s="16"/>
      <c r="BH82" s="73"/>
      <c r="BI82" s="71" t="s">
        <v>719</v>
      </c>
    </row>
    <row r="83" spans="2:61" x14ac:dyDescent="0.25">
      <c r="B83" s="14" t="s">
        <v>82</v>
      </c>
      <c r="C83" s="14" t="s">
        <v>501</v>
      </c>
      <c r="D83" s="15" t="s">
        <v>296</v>
      </c>
      <c r="E83" s="15" t="s">
        <v>501</v>
      </c>
      <c r="F83" s="15" t="s">
        <v>907</v>
      </c>
      <c r="G83" s="86"/>
      <c r="H83" s="17">
        <v>41033</v>
      </c>
      <c r="I83" s="49"/>
      <c r="J83" s="49"/>
      <c r="K83" s="16" t="str">
        <f t="shared" si="14"/>
        <v/>
      </c>
      <c r="L83" s="17"/>
      <c r="M83" s="49">
        <v>0</v>
      </c>
      <c r="N83" s="49">
        <v>0</v>
      </c>
      <c r="O83" s="16" t="str">
        <f t="shared" si="15"/>
        <v/>
      </c>
      <c r="P83" s="18">
        <v>0</v>
      </c>
      <c r="Q83" s="18">
        <v>0</v>
      </c>
      <c r="R83" s="16" t="str">
        <f t="shared" si="16"/>
        <v/>
      </c>
      <c r="T83" s="19"/>
      <c r="U83" s="19" t="str">
        <f t="shared" si="17"/>
        <v/>
      </c>
      <c r="V83" s="19"/>
      <c r="W83" s="19" t="str">
        <f t="shared" si="18"/>
        <v/>
      </c>
      <c r="X83" s="19"/>
      <c r="Y83" s="19" t="str">
        <f t="shared" si="19"/>
        <v/>
      </c>
      <c r="Z83" s="19"/>
      <c r="AA83" s="19" t="str">
        <f t="shared" si="20"/>
        <v/>
      </c>
      <c r="AB83" s="19"/>
      <c r="AC83" s="19" t="str">
        <f t="shared" si="21"/>
        <v/>
      </c>
      <c r="AD83" s="19"/>
      <c r="AE83" s="19" t="str">
        <f t="shared" si="22"/>
        <v/>
      </c>
      <c r="AF83" s="19"/>
      <c r="AG83" s="19" t="str">
        <f t="shared" si="23"/>
        <v/>
      </c>
      <c r="AH83" s="19"/>
      <c r="AI83" s="19" t="str">
        <f t="shared" si="24"/>
        <v/>
      </c>
      <c r="AJ83" s="19"/>
      <c r="AK83" s="19" t="str">
        <f t="shared" si="25"/>
        <v/>
      </c>
      <c r="AL83" s="19"/>
      <c r="AM83" s="19" t="str">
        <f t="shared" si="26"/>
        <v/>
      </c>
      <c r="AN83" s="19"/>
      <c r="AO83" s="19" t="str">
        <f t="shared" si="27"/>
        <v/>
      </c>
      <c r="AP83" s="20"/>
      <c r="AR83" s="16"/>
      <c r="AS83" s="16"/>
      <c r="AT83" s="16"/>
      <c r="AU83" s="16"/>
      <c r="AV83" s="21"/>
      <c r="AW83" s="21"/>
      <c r="AX83" s="22"/>
      <c r="AY83" s="16"/>
      <c r="AZ83" s="16"/>
      <c r="BA83" s="23"/>
      <c r="BB83" s="22"/>
      <c r="BD83" s="63">
        <v>57495.608</v>
      </c>
      <c r="BE83" s="16">
        <v>0.51</v>
      </c>
      <c r="BF83" s="24">
        <v>488712.65660986298</v>
      </c>
      <c r="BG83" s="16"/>
      <c r="BH83" s="73"/>
      <c r="BI83" s="71" t="s">
        <v>719</v>
      </c>
    </row>
    <row r="84" spans="2:61" x14ac:dyDescent="0.25">
      <c r="B84" s="14" t="s">
        <v>83</v>
      </c>
      <c r="C84" s="14" t="s">
        <v>502</v>
      </c>
      <c r="D84" s="15" t="s">
        <v>297</v>
      </c>
      <c r="E84" s="15" t="s">
        <v>502</v>
      </c>
      <c r="F84" s="15" t="s">
        <v>912</v>
      </c>
      <c r="G84" s="86">
        <v>100338842.33499999</v>
      </c>
      <c r="H84" s="17">
        <v>43999</v>
      </c>
      <c r="I84" s="49">
        <v>485</v>
      </c>
      <c r="J84" s="49">
        <v>1024.7775218822101</v>
      </c>
      <c r="K84" s="16">
        <f t="shared" si="14"/>
        <v>0.47327345657348135</v>
      </c>
      <c r="L84" s="17">
        <v>43675</v>
      </c>
      <c r="M84" s="49">
        <v>605.38400000000001</v>
      </c>
      <c r="N84" s="49">
        <v>23201.9313172607</v>
      </c>
      <c r="O84" s="16">
        <f t="shared" si="15"/>
        <v>2.6091965867929039E-2</v>
      </c>
      <c r="P84" s="18"/>
      <c r="Q84" s="18"/>
      <c r="R84" s="16" t="str">
        <f t="shared" si="16"/>
        <v/>
      </c>
      <c r="T84" s="19"/>
      <c r="U84" s="19" t="str">
        <f t="shared" si="17"/>
        <v/>
      </c>
      <c r="V84" s="19">
        <v>0.15473441108595601</v>
      </c>
      <c r="W84" s="19">
        <f t="shared" si="18"/>
        <v>5.9362111491355105E-2</v>
      </c>
      <c r="X84" s="19">
        <v>-0.43459165308449899</v>
      </c>
      <c r="Y84" s="19">
        <f t="shared" si="19"/>
        <v>-0.289830673840479</v>
      </c>
      <c r="Z84" s="19">
        <v>0.18039967992459399</v>
      </c>
      <c r="AA84" s="19">
        <f t="shared" si="20"/>
        <v>7.7656815841764995E-2</v>
      </c>
      <c r="AB84" s="19">
        <v>0.106657248672564</v>
      </c>
      <c r="AC84" s="19">
        <f t="shared" si="21"/>
        <v>-0.114503738774219</v>
      </c>
      <c r="AD84" s="19">
        <v>-0.45086270855972499</v>
      </c>
      <c r="AE84" s="19">
        <f t="shared" si="22"/>
        <v>-0.28071640600217496</v>
      </c>
      <c r="AF84" s="19">
        <v>-0.51294187964347704</v>
      </c>
      <c r="AG84" s="19">
        <f t="shared" si="23"/>
        <v>-0.30803379674878706</v>
      </c>
      <c r="AH84" s="19">
        <v>-0.36748938674805698</v>
      </c>
      <c r="AI84" s="19">
        <f t="shared" si="24"/>
        <v>-9.7881438228650974E-2</v>
      </c>
      <c r="AJ84" s="19">
        <v>2.1923204705672099E-2</v>
      </c>
      <c r="AK84" s="19">
        <f t="shared" si="25"/>
        <v>0.19576739650263311</v>
      </c>
      <c r="AL84" s="19">
        <v>1.0067026227293501</v>
      </c>
      <c r="AM84" s="19">
        <f t="shared" si="26"/>
        <v>1.002021825284388</v>
      </c>
      <c r="AN84" s="19">
        <v>1.12773628439754</v>
      </c>
      <c r="AO84" s="19">
        <f t="shared" si="27"/>
        <v>1.1164541871657978</v>
      </c>
      <c r="AP84" s="20"/>
      <c r="AR84" s="16">
        <v>8.8682976691488904E-2</v>
      </c>
      <c r="AS84" s="16">
        <v>-5.30680594866135E-2</v>
      </c>
      <c r="AT84" s="16">
        <v>0.15473441108595601</v>
      </c>
      <c r="AU84" s="16">
        <v>-0.29149522281746598</v>
      </c>
      <c r="AV84" s="21">
        <v>2</v>
      </c>
      <c r="AW84" s="21">
        <v>4</v>
      </c>
      <c r="AX84" s="22"/>
      <c r="AY84" s="16"/>
      <c r="AZ84" s="16">
        <v>-0.54643018018046896</v>
      </c>
      <c r="BA84" s="23">
        <v>43822</v>
      </c>
      <c r="BB84" s="22">
        <v>1.50747312957355</v>
      </c>
      <c r="BD84" s="63">
        <v>206884.21100000001</v>
      </c>
      <c r="BE84" s="16">
        <v>0.50039999999979001</v>
      </c>
      <c r="BF84" s="24">
        <v>103524.859184448</v>
      </c>
      <c r="BG84" s="16">
        <v>0.48989999999990702</v>
      </c>
      <c r="BH84" s="73">
        <v>101352.574968872</v>
      </c>
      <c r="BI84" s="71" t="s">
        <v>720</v>
      </c>
    </row>
    <row r="85" spans="2:61" x14ac:dyDescent="0.25">
      <c r="B85" s="14" t="s">
        <v>84</v>
      </c>
      <c r="C85" s="14" t="s">
        <v>503</v>
      </c>
      <c r="D85" s="15" t="s">
        <v>298</v>
      </c>
      <c r="E85" s="15" t="s">
        <v>503</v>
      </c>
      <c r="F85" s="15" t="s">
        <v>907</v>
      </c>
      <c r="G85" s="86">
        <v>78487704</v>
      </c>
      <c r="H85" s="17">
        <v>43999</v>
      </c>
      <c r="I85" s="49">
        <v>6000</v>
      </c>
      <c r="J85" s="49">
        <v>6000</v>
      </c>
      <c r="K85" s="16">
        <f t="shared" si="14"/>
        <v>1</v>
      </c>
      <c r="L85" s="17">
        <v>43999</v>
      </c>
      <c r="M85" s="49">
        <v>480</v>
      </c>
      <c r="N85" s="49">
        <v>179.67148594379401</v>
      </c>
      <c r="O85" s="16">
        <f t="shared" si="15"/>
        <v>2.6715424402409442</v>
      </c>
      <c r="P85" s="18"/>
      <c r="Q85" s="18"/>
      <c r="R85" s="16" t="str">
        <f t="shared" si="16"/>
        <v/>
      </c>
      <c r="T85" s="19"/>
      <c r="U85" s="19" t="str">
        <f t="shared" si="17"/>
        <v/>
      </c>
      <c r="V85" s="19"/>
      <c r="W85" s="19" t="str">
        <f t="shared" si="18"/>
        <v/>
      </c>
      <c r="X85" s="19"/>
      <c r="Y85" s="19" t="str">
        <f t="shared" si="19"/>
        <v/>
      </c>
      <c r="Z85" s="19"/>
      <c r="AA85" s="19" t="str">
        <f t="shared" si="20"/>
        <v/>
      </c>
      <c r="AB85" s="19"/>
      <c r="AC85" s="19" t="str">
        <f t="shared" si="21"/>
        <v/>
      </c>
      <c r="AD85" s="19">
        <v>0.16162741936394001</v>
      </c>
      <c r="AE85" s="19">
        <f t="shared" si="22"/>
        <v>0.33177372192149002</v>
      </c>
      <c r="AF85" s="19">
        <v>0.166462478340836</v>
      </c>
      <c r="AG85" s="19">
        <f t="shared" si="23"/>
        <v>0.37137056123552603</v>
      </c>
      <c r="AH85" s="19">
        <v>5.6975835657795001E-2</v>
      </c>
      <c r="AI85" s="19">
        <f t="shared" si="24"/>
        <v>0.32658378417720102</v>
      </c>
      <c r="AJ85" s="19"/>
      <c r="AK85" s="19" t="str">
        <f t="shared" si="25"/>
        <v/>
      </c>
      <c r="AL85" s="19"/>
      <c r="AM85" s="19" t="str">
        <f t="shared" si="26"/>
        <v/>
      </c>
      <c r="AN85" s="19"/>
      <c r="AO85" s="19" t="str">
        <f t="shared" si="27"/>
        <v/>
      </c>
      <c r="AP85" s="20"/>
      <c r="AR85" s="16"/>
      <c r="AS85" s="16"/>
      <c r="AT85" s="16">
        <v>0.111111111111386</v>
      </c>
      <c r="AU85" s="16">
        <v>0</v>
      </c>
      <c r="AV85" s="21"/>
      <c r="AW85" s="21"/>
      <c r="AX85" s="22"/>
      <c r="AY85" s="16"/>
      <c r="AZ85" s="16">
        <v>0</v>
      </c>
      <c r="BA85" s="23">
        <v>43958</v>
      </c>
      <c r="BB85" s="22"/>
      <c r="BD85" s="63">
        <v>13081.284</v>
      </c>
      <c r="BE85" s="16">
        <v>0.55109999999927795</v>
      </c>
      <c r="BF85" s="24">
        <v>7209.0956123962396</v>
      </c>
      <c r="BG85" s="16"/>
      <c r="BH85" s="73"/>
      <c r="BI85" s="71" t="s">
        <v>721</v>
      </c>
    </row>
    <row r="86" spans="2:61" x14ac:dyDescent="0.25">
      <c r="B86" s="14" t="s">
        <v>85</v>
      </c>
      <c r="C86" s="14" t="s">
        <v>504</v>
      </c>
      <c r="D86" s="15" t="s">
        <v>299</v>
      </c>
      <c r="E86" s="15" t="s">
        <v>504</v>
      </c>
      <c r="F86" s="15" t="s">
        <v>907</v>
      </c>
      <c r="G86" s="86">
        <v>1020021692.265</v>
      </c>
      <c r="H86" s="17">
        <v>43998</v>
      </c>
      <c r="I86" s="49"/>
      <c r="J86" s="49">
        <v>1873.30318723805</v>
      </c>
      <c r="K86" s="16">
        <f t="shared" si="14"/>
        <v>0</v>
      </c>
      <c r="L86" s="17">
        <v>43677</v>
      </c>
      <c r="M86" s="49">
        <v>0</v>
      </c>
      <c r="N86" s="49">
        <v>3361.0278433723502</v>
      </c>
      <c r="O86" s="16">
        <f t="shared" si="15"/>
        <v>0</v>
      </c>
      <c r="P86" s="18">
        <v>0</v>
      </c>
      <c r="Q86" s="18"/>
      <c r="R86" s="16" t="str">
        <f t="shared" si="16"/>
        <v/>
      </c>
      <c r="T86" s="19"/>
      <c r="U86" s="19" t="str">
        <f t="shared" si="17"/>
        <v/>
      </c>
      <c r="V86" s="19">
        <v>0</v>
      </c>
      <c r="W86" s="19">
        <f t="shared" si="18"/>
        <v>-9.5372299594600904E-2</v>
      </c>
      <c r="X86" s="19">
        <v>1.32608356307173E-2</v>
      </c>
      <c r="Y86" s="19">
        <f t="shared" si="19"/>
        <v>0.15802181487473732</v>
      </c>
      <c r="Z86" s="19">
        <v>-2.05882352938715E-2</v>
      </c>
      <c r="AA86" s="19">
        <f t="shared" si="20"/>
        <v>-0.1233310993767005</v>
      </c>
      <c r="AB86" s="19"/>
      <c r="AC86" s="19" t="str">
        <f t="shared" si="21"/>
        <v/>
      </c>
      <c r="AD86" s="19">
        <v>9.4680366491957102E-3</v>
      </c>
      <c r="AE86" s="19">
        <f t="shared" si="22"/>
        <v>0.17961433920674572</v>
      </c>
      <c r="AF86" s="19">
        <v>-7.4731893846546896E-2</v>
      </c>
      <c r="AG86" s="19">
        <f t="shared" si="23"/>
        <v>0.1301761890481431</v>
      </c>
      <c r="AH86" s="19">
        <v>1.4234035501431199E-2</v>
      </c>
      <c r="AI86" s="19">
        <f t="shared" si="24"/>
        <v>0.28384198402083721</v>
      </c>
      <c r="AJ86" s="19">
        <v>-0.26225319057819402</v>
      </c>
      <c r="AK86" s="19">
        <f t="shared" si="25"/>
        <v>-8.8408998781233011E-2</v>
      </c>
      <c r="AL86" s="19">
        <v>-0.43384560124133698</v>
      </c>
      <c r="AM86" s="19">
        <f t="shared" si="26"/>
        <v>-0.43852639868629906</v>
      </c>
      <c r="AN86" s="19">
        <v>-0.43635065596317901</v>
      </c>
      <c r="AO86" s="19">
        <f t="shared" si="27"/>
        <v>-0.44763275319492124</v>
      </c>
      <c r="AP86" s="20"/>
      <c r="AR86" s="16">
        <v>1.15606936415134E-2</v>
      </c>
      <c r="AS86" s="16">
        <v>-5.9321535657581997E-2</v>
      </c>
      <c r="AT86" s="16">
        <v>7.3313403698193697E-2</v>
      </c>
      <c r="AU86" s="16">
        <v>-5.9321535657581997E-2</v>
      </c>
      <c r="AV86" s="21">
        <v>2</v>
      </c>
      <c r="AW86" s="21">
        <v>2</v>
      </c>
      <c r="AX86" s="22"/>
      <c r="AY86" s="16"/>
      <c r="AZ86" s="16">
        <v>-8.5714285714348096E-2</v>
      </c>
      <c r="BA86" s="23">
        <v>43857</v>
      </c>
      <c r="BB86" s="22">
        <v>9.8333341887041598E-2</v>
      </c>
      <c r="BD86" s="63">
        <v>612625.64099999995</v>
      </c>
      <c r="BE86" s="16">
        <v>0.92650000000023303</v>
      </c>
      <c r="BF86" s="24">
        <v>567597.65638671897</v>
      </c>
      <c r="BG86" s="16">
        <v>7.3500000000058199E-2</v>
      </c>
      <c r="BH86" s="73">
        <v>45027.984613525397</v>
      </c>
      <c r="BI86" s="71" t="s">
        <v>722</v>
      </c>
    </row>
    <row r="87" spans="2:61" x14ac:dyDescent="0.25">
      <c r="B87" s="14" t="s">
        <v>86</v>
      </c>
      <c r="C87" s="14" t="s">
        <v>505</v>
      </c>
      <c r="D87" s="15" t="s">
        <v>300</v>
      </c>
      <c r="E87" s="15" t="s">
        <v>505</v>
      </c>
      <c r="F87" s="15" t="s">
        <v>918</v>
      </c>
      <c r="G87" s="86">
        <v>1661698155.7260001</v>
      </c>
      <c r="H87" s="17">
        <v>43999</v>
      </c>
      <c r="I87" s="49">
        <v>5502</v>
      </c>
      <c r="J87" s="49">
        <v>6772.4420501664299</v>
      </c>
      <c r="K87" s="16">
        <f t="shared" si="14"/>
        <v>0.81241005227424434</v>
      </c>
      <c r="L87" s="17">
        <v>43756</v>
      </c>
      <c r="M87" s="49">
        <v>5295471.2220000001</v>
      </c>
      <c r="N87" s="49">
        <v>1672419.41240234</v>
      </c>
      <c r="O87" s="16">
        <f t="shared" si="15"/>
        <v>3.16635359690865</v>
      </c>
      <c r="P87" s="18">
        <v>964</v>
      </c>
      <c r="Q87" s="18">
        <v>474.53413654630998</v>
      </c>
      <c r="R87" s="16">
        <f t="shared" si="16"/>
        <v>2.031466075372478</v>
      </c>
      <c r="T87" s="19">
        <v>-1.7499999999927199E-2</v>
      </c>
      <c r="U87" s="19">
        <f t="shared" si="17"/>
        <v>-3.1622400909327497E-2</v>
      </c>
      <c r="V87" s="19">
        <v>7.8823529411238297E-2</v>
      </c>
      <c r="W87" s="19">
        <f t="shared" si="18"/>
        <v>-1.6548770183362607E-2</v>
      </c>
      <c r="X87" s="19">
        <v>6.10701148343651E-2</v>
      </c>
      <c r="Y87" s="19">
        <f t="shared" si="19"/>
        <v>0.20583109407838512</v>
      </c>
      <c r="Z87" s="19">
        <v>0.17437975457869501</v>
      </c>
      <c r="AA87" s="19">
        <f t="shared" si="20"/>
        <v>7.163689049586601E-2</v>
      </c>
      <c r="AB87" s="19">
        <v>0.70613438789267102</v>
      </c>
      <c r="AC87" s="19">
        <f t="shared" si="21"/>
        <v>0.48497340044588799</v>
      </c>
      <c r="AD87" s="19">
        <v>0.12390631295973401</v>
      </c>
      <c r="AE87" s="19">
        <f t="shared" si="22"/>
        <v>0.29405261551728401</v>
      </c>
      <c r="AF87" s="19">
        <v>-0.15807077535108</v>
      </c>
      <c r="AG87" s="19">
        <f t="shared" si="23"/>
        <v>4.6837307543610013E-2</v>
      </c>
      <c r="AH87" s="19">
        <v>-0.14733017172882701</v>
      </c>
      <c r="AI87" s="19">
        <f t="shared" si="24"/>
        <v>0.122277776790579</v>
      </c>
      <c r="AJ87" s="19">
        <v>-0.240179707207135</v>
      </c>
      <c r="AK87" s="19">
        <f t="shared" si="25"/>
        <v>-6.633551541017399E-2</v>
      </c>
      <c r="AL87" s="19">
        <v>-2.72409205445001E-2</v>
      </c>
      <c r="AM87" s="19">
        <f t="shared" si="26"/>
        <v>-3.1921717989462181E-2</v>
      </c>
      <c r="AN87" s="19">
        <v>-0.172290916982165</v>
      </c>
      <c r="AO87" s="19">
        <f t="shared" si="27"/>
        <v>-0.1835730142139072</v>
      </c>
      <c r="AP87" s="20">
        <v>47.837680005119203</v>
      </c>
      <c r="AR87" s="16">
        <v>9.1160220994497707E-2</v>
      </c>
      <c r="AS87" s="16">
        <v>-0.14967791806251601</v>
      </c>
      <c r="AT87" s="16">
        <v>0.39502762430871402</v>
      </c>
      <c r="AU87" s="16">
        <v>-0.180076190475083</v>
      </c>
      <c r="AV87" s="21">
        <v>3</v>
      </c>
      <c r="AW87" s="21">
        <v>3</v>
      </c>
      <c r="AX87" s="22">
        <v>0.93216874347490397</v>
      </c>
      <c r="AY87" s="16">
        <v>5.7106026455949199E-2</v>
      </c>
      <c r="AZ87" s="16">
        <v>-0.50321054410247601</v>
      </c>
      <c r="BA87" s="23">
        <v>43844</v>
      </c>
      <c r="BB87" s="22">
        <v>1.44676389563574</v>
      </c>
      <c r="BD87" s="63">
        <v>302017.11300000001</v>
      </c>
      <c r="BE87" s="16">
        <v>0.54860000000044196</v>
      </c>
      <c r="BF87" s="24">
        <v>165686.58819189499</v>
      </c>
      <c r="BG87" s="16">
        <v>0.45139999999955799</v>
      </c>
      <c r="BH87" s="73">
        <v>136330.52480810499</v>
      </c>
      <c r="BI87" s="71" t="s">
        <v>723</v>
      </c>
    </row>
    <row r="88" spans="2:61" x14ac:dyDescent="0.25">
      <c r="B88" s="14" t="s">
        <v>87</v>
      </c>
      <c r="C88" s="14" t="s">
        <v>506</v>
      </c>
      <c r="D88" s="15" t="s">
        <v>301</v>
      </c>
      <c r="E88" s="15" t="s">
        <v>506</v>
      </c>
      <c r="F88" s="15" t="s">
        <v>909</v>
      </c>
      <c r="G88" s="86">
        <v>46636013.700000003</v>
      </c>
      <c r="H88" s="17">
        <v>43992</v>
      </c>
      <c r="I88" s="49"/>
      <c r="J88" s="49">
        <v>167.5</v>
      </c>
      <c r="K88" s="16">
        <f t="shared" si="14"/>
        <v>0</v>
      </c>
      <c r="L88" s="17">
        <v>43714</v>
      </c>
      <c r="M88" s="49">
        <v>0</v>
      </c>
      <c r="N88" s="49">
        <v>1342.2127550201401</v>
      </c>
      <c r="O88" s="16">
        <f t="shared" si="15"/>
        <v>0</v>
      </c>
      <c r="P88" s="18">
        <v>0</v>
      </c>
      <c r="Q88" s="18">
        <v>0.14457831325307799</v>
      </c>
      <c r="R88" s="16">
        <f t="shared" si="16"/>
        <v>0</v>
      </c>
      <c r="T88" s="19"/>
      <c r="U88" s="19" t="str">
        <f t="shared" si="17"/>
        <v/>
      </c>
      <c r="V88" s="19"/>
      <c r="W88" s="19" t="str">
        <f t="shared" si="18"/>
        <v/>
      </c>
      <c r="X88" s="19"/>
      <c r="Y88" s="19" t="str">
        <f t="shared" si="19"/>
        <v/>
      </c>
      <c r="Z88" s="19"/>
      <c r="AA88" s="19" t="str">
        <f t="shared" si="20"/>
        <v/>
      </c>
      <c r="AB88" s="19"/>
      <c r="AC88" s="19" t="str">
        <f t="shared" si="21"/>
        <v/>
      </c>
      <c r="AD88" s="19"/>
      <c r="AE88" s="19" t="str">
        <f t="shared" si="22"/>
        <v/>
      </c>
      <c r="AF88" s="19"/>
      <c r="AG88" s="19" t="str">
        <f t="shared" si="23"/>
        <v/>
      </c>
      <c r="AH88" s="19"/>
      <c r="AI88" s="19" t="str">
        <f t="shared" si="24"/>
        <v/>
      </c>
      <c r="AJ88" s="19"/>
      <c r="AK88" s="19" t="str">
        <f t="shared" si="25"/>
        <v/>
      </c>
      <c r="AL88" s="19"/>
      <c r="AM88" s="19" t="str">
        <f t="shared" si="26"/>
        <v/>
      </c>
      <c r="AN88" s="19"/>
      <c r="AO88" s="19" t="str">
        <f t="shared" si="27"/>
        <v/>
      </c>
      <c r="AP88" s="20"/>
      <c r="AR88" s="16">
        <v>0</v>
      </c>
      <c r="AS88" s="16">
        <v>0</v>
      </c>
      <c r="AT88" s="16">
        <v>0</v>
      </c>
      <c r="AU88" s="16">
        <v>0</v>
      </c>
      <c r="AV88" s="21"/>
      <c r="AW88" s="21"/>
      <c r="AX88" s="22"/>
      <c r="AY88" s="16"/>
      <c r="AZ88" s="16">
        <v>0</v>
      </c>
      <c r="BA88" s="23">
        <v>43817</v>
      </c>
      <c r="BB88" s="22"/>
      <c r="BD88" s="63">
        <v>310906.75799999997</v>
      </c>
      <c r="BE88" s="16">
        <v>0.34220000000030298</v>
      </c>
      <c r="BF88" s="24">
        <v>106392.29258764601</v>
      </c>
      <c r="BG88" s="16"/>
      <c r="BH88" s="73"/>
      <c r="BI88" s="71" t="s">
        <v>669</v>
      </c>
    </row>
    <row r="89" spans="2:61" x14ac:dyDescent="0.25">
      <c r="B89" s="14" t="s">
        <v>88</v>
      </c>
      <c r="C89" s="14" t="s">
        <v>507</v>
      </c>
      <c r="D89" s="15" t="s">
        <v>302</v>
      </c>
      <c r="E89" s="15" t="s">
        <v>507</v>
      </c>
      <c r="F89" s="15" t="s">
        <v>909</v>
      </c>
      <c r="G89" s="86"/>
      <c r="H89" s="17">
        <v>43544</v>
      </c>
      <c r="I89" s="49"/>
      <c r="J89" s="49"/>
      <c r="K89" s="16" t="str">
        <f t="shared" si="14"/>
        <v/>
      </c>
      <c r="L89" s="17"/>
      <c r="M89" s="49">
        <v>0</v>
      </c>
      <c r="N89" s="49">
        <v>0</v>
      </c>
      <c r="O89" s="16" t="str">
        <f t="shared" si="15"/>
        <v/>
      </c>
      <c r="P89" s="18">
        <v>0</v>
      </c>
      <c r="Q89" s="18">
        <v>0</v>
      </c>
      <c r="R89" s="16" t="str">
        <f t="shared" si="16"/>
        <v/>
      </c>
      <c r="T89" s="19"/>
      <c r="U89" s="19" t="str">
        <f t="shared" si="17"/>
        <v/>
      </c>
      <c r="V89" s="19"/>
      <c r="W89" s="19" t="str">
        <f t="shared" si="18"/>
        <v/>
      </c>
      <c r="X89" s="19"/>
      <c r="Y89" s="19" t="str">
        <f t="shared" si="19"/>
        <v/>
      </c>
      <c r="Z89" s="19"/>
      <c r="AA89" s="19" t="str">
        <f t="shared" si="20"/>
        <v/>
      </c>
      <c r="AB89" s="19"/>
      <c r="AC89" s="19" t="str">
        <f t="shared" si="21"/>
        <v/>
      </c>
      <c r="AD89" s="19"/>
      <c r="AE89" s="19" t="str">
        <f t="shared" si="22"/>
        <v/>
      </c>
      <c r="AF89" s="19"/>
      <c r="AG89" s="19" t="str">
        <f t="shared" si="23"/>
        <v/>
      </c>
      <c r="AH89" s="19"/>
      <c r="AI89" s="19" t="str">
        <f t="shared" si="24"/>
        <v/>
      </c>
      <c r="AJ89" s="19"/>
      <c r="AK89" s="19" t="str">
        <f t="shared" si="25"/>
        <v/>
      </c>
      <c r="AL89" s="19"/>
      <c r="AM89" s="19" t="str">
        <f t="shared" si="26"/>
        <v/>
      </c>
      <c r="AN89" s="19"/>
      <c r="AO89" s="19" t="str">
        <f t="shared" si="27"/>
        <v/>
      </c>
      <c r="AP89" s="20"/>
      <c r="AR89" s="16"/>
      <c r="AS89" s="16"/>
      <c r="AT89" s="16"/>
      <c r="AU89" s="16"/>
      <c r="AV89" s="21"/>
      <c r="AW89" s="21"/>
      <c r="AX89" s="22"/>
      <c r="AY89" s="16"/>
      <c r="AZ89" s="16"/>
      <c r="BA89" s="23"/>
      <c r="BB89" s="22"/>
      <c r="BD89" s="63">
        <v>1619040.5049999999</v>
      </c>
      <c r="BE89" s="16">
        <v>1</v>
      </c>
      <c r="BF89" s="24">
        <v>1619040.5049999999</v>
      </c>
      <c r="BG89" s="16"/>
      <c r="BH89" s="73"/>
      <c r="BI89" s="71" t="s">
        <v>724</v>
      </c>
    </row>
    <row r="90" spans="2:61" x14ac:dyDescent="0.25">
      <c r="B90" s="14" t="s">
        <v>89</v>
      </c>
      <c r="C90" s="14" t="s">
        <v>508</v>
      </c>
      <c r="D90" s="15" t="s">
        <v>303</v>
      </c>
      <c r="E90" s="15" t="s">
        <v>508</v>
      </c>
      <c r="F90" s="15" t="s">
        <v>916</v>
      </c>
      <c r="G90" s="86"/>
      <c r="H90" s="17">
        <v>43739</v>
      </c>
      <c r="I90" s="49"/>
      <c r="J90" s="49">
        <v>1.29999999999927</v>
      </c>
      <c r="K90" s="16">
        <f t="shared" si="14"/>
        <v>0</v>
      </c>
      <c r="L90" s="17">
        <v>43739</v>
      </c>
      <c r="M90" s="49">
        <v>0</v>
      </c>
      <c r="N90" s="49">
        <v>0.18741767068277099</v>
      </c>
      <c r="O90" s="16">
        <f t="shared" si="15"/>
        <v>0</v>
      </c>
      <c r="P90" s="18">
        <v>0</v>
      </c>
      <c r="Q90" s="18">
        <v>8.0321285140598792E-3</v>
      </c>
      <c r="R90" s="16">
        <f t="shared" si="16"/>
        <v>0</v>
      </c>
      <c r="T90" s="19"/>
      <c r="U90" s="19" t="str">
        <f t="shared" si="17"/>
        <v/>
      </c>
      <c r="V90" s="19"/>
      <c r="W90" s="19" t="str">
        <f t="shared" si="18"/>
        <v/>
      </c>
      <c r="X90" s="19"/>
      <c r="Y90" s="19" t="str">
        <f t="shared" si="19"/>
        <v/>
      </c>
      <c r="Z90" s="19"/>
      <c r="AA90" s="19" t="str">
        <f t="shared" si="20"/>
        <v/>
      </c>
      <c r="AB90" s="19"/>
      <c r="AC90" s="19" t="str">
        <f t="shared" si="21"/>
        <v/>
      </c>
      <c r="AD90" s="19"/>
      <c r="AE90" s="19" t="str">
        <f t="shared" si="22"/>
        <v/>
      </c>
      <c r="AF90" s="19"/>
      <c r="AG90" s="19" t="str">
        <f t="shared" si="23"/>
        <v/>
      </c>
      <c r="AH90" s="19"/>
      <c r="AI90" s="19" t="str">
        <f t="shared" si="24"/>
        <v/>
      </c>
      <c r="AJ90" s="19"/>
      <c r="AK90" s="19" t="str">
        <f t="shared" si="25"/>
        <v/>
      </c>
      <c r="AL90" s="19"/>
      <c r="AM90" s="19" t="str">
        <f t="shared" si="26"/>
        <v/>
      </c>
      <c r="AN90" s="19"/>
      <c r="AO90" s="19" t="str">
        <f t="shared" si="27"/>
        <v/>
      </c>
      <c r="AP90" s="20"/>
      <c r="AR90" s="16"/>
      <c r="AS90" s="16"/>
      <c r="AT90" s="16"/>
      <c r="AU90" s="16"/>
      <c r="AV90" s="21"/>
      <c r="AW90" s="21"/>
      <c r="AX90" s="22"/>
      <c r="AY90" s="16"/>
      <c r="AZ90" s="16"/>
      <c r="BA90" s="23"/>
      <c r="BB90" s="22"/>
      <c r="BD90" s="63">
        <v>1010385.898</v>
      </c>
      <c r="BE90" s="16">
        <v>0.24860000000015101</v>
      </c>
      <c r="BF90" s="24">
        <v>251181.93424291999</v>
      </c>
      <c r="BG90" s="16"/>
      <c r="BH90" s="73"/>
      <c r="BI90" s="71" t="s">
        <v>725</v>
      </c>
    </row>
    <row r="91" spans="2:61" x14ac:dyDescent="0.25">
      <c r="B91" s="14" t="s">
        <v>90</v>
      </c>
      <c r="C91" s="14" t="s">
        <v>509</v>
      </c>
      <c r="D91" s="15" t="s">
        <v>304</v>
      </c>
      <c r="E91" s="15" t="s">
        <v>509</v>
      </c>
      <c r="F91" s="15" t="s">
        <v>913</v>
      </c>
      <c r="G91" s="86">
        <v>4425000000</v>
      </c>
      <c r="H91" s="17">
        <v>43999</v>
      </c>
      <c r="I91" s="49">
        <v>1770</v>
      </c>
      <c r="J91" s="49">
        <v>2073.8494623638699</v>
      </c>
      <c r="K91" s="16">
        <f t="shared" si="14"/>
        <v>0.85348528527353762</v>
      </c>
      <c r="L91" s="17">
        <v>43840</v>
      </c>
      <c r="M91" s="49">
        <v>3645166.7779999999</v>
      </c>
      <c r="N91" s="49">
        <v>4383721.2508515604</v>
      </c>
      <c r="O91" s="16">
        <f t="shared" si="15"/>
        <v>0.83152339517297258</v>
      </c>
      <c r="P91" s="18">
        <v>1184</v>
      </c>
      <c r="Q91" s="18">
        <v>1164.79116465896</v>
      </c>
      <c r="R91" s="16">
        <f t="shared" si="16"/>
        <v>1.0164912268601076</v>
      </c>
      <c r="T91" s="19">
        <v>2.54924681339617E-2</v>
      </c>
      <c r="U91" s="19">
        <f t="shared" si="17"/>
        <v>1.13700672245614E-2</v>
      </c>
      <c r="V91" s="19">
        <v>8.5889570551516997E-2</v>
      </c>
      <c r="W91" s="19">
        <f t="shared" si="18"/>
        <v>-9.4827290430839067E-3</v>
      </c>
      <c r="X91" s="19">
        <v>-3.5190547082493098E-2</v>
      </c>
      <c r="Y91" s="19">
        <f t="shared" si="19"/>
        <v>0.10957043216152691</v>
      </c>
      <c r="Z91" s="19">
        <v>5.60859188535687E-2</v>
      </c>
      <c r="AA91" s="19">
        <f t="shared" si="20"/>
        <v>-4.6656945229260297E-2</v>
      </c>
      <c r="AB91" s="19">
        <v>0.29476288627309299</v>
      </c>
      <c r="AC91" s="19">
        <f t="shared" si="21"/>
        <v>7.3601898826309992E-2</v>
      </c>
      <c r="AD91" s="19">
        <v>-9.5183795429038598E-2</v>
      </c>
      <c r="AE91" s="19">
        <f t="shared" si="22"/>
        <v>7.4962507128511408E-2</v>
      </c>
      <c r="AF91" s="19">
        <v>-2.6456935970600198E-2</v>
      </c>
      <c r="AG91" s="19">
        <f t="shared" si="23"/>
        <v>0.17845114692408981</v>
      </c>
      <c r="AH91" s="19">
        <v>-0.24831054125941601</v>
      </c>
      <c r="AI91" s="19">
        <f t="shared" si="24"/>
        <v>2.1297407259989992E-2</v>
      </c>
      <c r="AJ91" s="19">
        <v>0.13865027103383901</v>
      </c>
      <c r="AK91" s="19">
        <f t="shared" si="25"/>
        <v>0.31249446283080001</v>
      </c>
      <c r="AL91" s="19">
        <v>0.314710492442828</v>
      </c>
      <c r="AM91" s="19">
        <f t="shared" si="26"/>
        <v>0.31002969499786592</v>
      </c>
      <c r="AN91" s="19">
        <v>4.5348996674874797E-2</v>
      </c>
      <c r="AO91" s="19">
        <f t="shared" si="27"/>
        <v>3.4066899443132598E-2</v>
      </c>
      <c r="AP91" s="20">
        <v>44.935451124154497</v>
      </c>
      <c r="AR91" s="16">
        <v>7.6923076921957503E-2</v>
      </c>
      <c r="AS91" s="16">
        <v>-0.14072632944138599</v>
      </c>
      <c r="AT91" s="16">
        <v>0.108484848484368</v>
      </c>
      <c r="AU91" s="16">
        <v>-0.100817438692466</v>
      </c>
      <c r="AV91" s="21">
        <v>2</v>
      </c>
      <c r="AW91" s="21">
        <v>4</v>
      </c>
      <c r="AX91" s="22">
        <v>-0.31956007222925098</v>
      </c>
      <c r="AY91" s="16">
        <v>5.2784980478027099E-2</v>
      </c>
      <c r="AZ91" s="16">
        <v>-0.41105769230751299</v>
      </c>
      <c r="BA91" s="23">
        <v>43840</v>
      </c>
      <c r="BB91" s="22">
        <v>9.6994215886411397E-2</v>
      </c>
      <c r="BD91" s="63">
        <v>2500000</v>
      </c>
      <c r="BE91" s="16">
        <v>0.19500000000000001</v>
      </c>
      <c r="BF91" s="24">
        <v>487500</v>
      </c>
      <c r="BG91" s="16">
        <v>0.44500000000000001</v>
      </c>
      <c r="BH91" s="73">
        <v>1112500</v>
      </c>
      <c r="BI91" s="71" t="s">
        <v>726</v>
      </c>
    </row>
    <row r="92" spans="2:61" x14ac:dyDescent="0.25">
      <c r="B92" s="14" t="s">
        <v>91</v>
      </c>
      <c r="C92" s="14" t="s">
        <v>510</v>
      </c>
      <c r="D92" s="15" t="s">
        <v>305</v>
      </c>
      <c r="E92" s="15" t="s">
        <v>510</v>
      </c>
      <c r="F92" s="15" t="s">
        <v>915</v>
      </c>
      <c r="G92" s="86">
        <v>7318177164.2399998</v>
      </c>
      <c r="H92" s="17">
        <v>43999</v>
      </c>
      <c r="I92" s="49">
        <v>5630</v>
      </c>
      <c r="J92" s="49">
        <v>7744.6494112685295</v>
      </c>
      <c r="K92" s="16">
        <f t="shared" si="14"/>
        <v>0.72695350054300756</v>
      </c>
      <c r="L92" s="17">
        <v>43847</v>
      </c>
      <c r="M92" s="49">
        <v>3574649.497</v>
      </c>
      <c r="N92" s="49">
        <v>4780454.3372812504</v>
      </c>
      <c r="O92" s="16">
        <f t="shared" si="15"/>
        <v>0.74776354814696999</v>
      </c>
      <c r="P92" s="18">
        <v>1373</v>
      </c>
      <c r="Q92" s="18">
        <v>1069.6425702813999</v>
      </c>
      <c r="R92" s="16">
        <f t="shared" si="16"/>
        <v>1.2836063542598097</v>
      </c>
      <c r="T92" s="19">
        <v>8.9605734774522699E-3</v>
      </c>
      <c r="U92" s="19">
        <f t="shared" si="17"/>
        <v>-5.1618274319480302E-3</v>
      </c>
      <c r="V92" s="19">
        <v>0.114851485148392</v>
      </c>
      <c r="W92" s="19">
        <f t="shared" si="18"/>
        <v>1.9479185553791092E-2</v>
      </c>
      <c r="X92" s="19">
        <v>-0.16007254063239101</v>
      </c>
      <c r="Y92" s="19">
        <f t="shared" si="19"/>
        <v>-1.5311561388371003E-2</v>
      </c>
      <c r="Z92" s="19">
        <v>0.18029350104741801</v>
      </c>
      <c r="AA92" s="19">
        <f t="shared" si="20"/>
        <v>7.7550636964589012E-2</v>
      </c>
      <c r="AB92" s="19">
        <v>0.16897120633628199</v>
      </c>
      <c r="AC92" s="19">
        <f t="shared" si="21"/>
        <v>-5.2189781110501016E-2</v>
      </c>
      <c r="AD92" s="19">
        <v>-0.184360473207489</v>
      </c>
      <c r="AE92" s="19">
        <f t="shared" si="22"/>
        <v>-1.421417064993899E-2</v>
      </c>
      <c r="AF92" s="19">
        <v>-0.21093508082965901</v>
      </c>
      <c r="AG92" s="19">
        <f t="shared" si="23"/>
        <v>-6.0269979349689973E-3</v>
      </c>
      <c r="AH92" s="19">
        <v>-0.41932383776176702</v>
      </c>
      <c r="AI92" s="19">
        <f t="shared" si="24"/>
        <v>-0.14971588924236101</v>
      </c>
      <c r="AJ92" s="19">
        <v>-0.22985481695912299</v>
      </c>
      <c r="AK92" s="19">
        <f t="shared" si="25"/>
        <v>-5.6010625162161987E-2</v>
      </c>
      <c r="AL92" s="19">
        <v>2.85305196084664E-2</v>
      </c>
      <c r="AM92" s="19">
        <f t="shared" si="26"/>
        <v>2.3849722163504318E-2</v>
      </c>
      <c r="AN92" s="19">
        <v>-0.108787129140255</v>
      </c>
      <c r="AO92" s="19">
        <f t="shared" si="27"/>
        <v>-0.1200692263719972</v>
      </c>
      <c r="AP92" s="20">
        <v>43.6538248205907</v>
      </c>
      <c r="AR92" s="16">
        <v>9.5020661156013403E-2</v>
      </c>
      <c r="AS92" s="16">
        <v>-0.12317532366985701</v>
      </c>
      <c r="AT92" s="16">
        <v>0.114851485148392</v>
      </c>
      <c r="AU92" s="16">
        <v>-0.22820916679746001</v>
      </c>
      <c r="AV92" s="21">
        <v>3</v>
      </c>
      <c r="AW92" s="21">
        <v>3</v>
      </c>
      <c r="AX92" s="22">
        <v>-0.57778559521830197</v>
      </c>
      <c r="AY92" s="16">
        <v>5.1481622417049899E-2</v>
      </c>
      <c r="AZ92" s="16">
        <v>-0.47429157584265302</v>
      </c>
      <c r="BA92" s="23">
        <v>43847</v>
      </c>
      <c r="BB92" s="22">
        <v>1.0288866991977601</v>
      </c>
      <c r="BD92" s="63">
        <v>1299853.848</v>
      </c>
      <c r="BE92" s="16">
        <v>0.60820000000007002</v>
      </c>
      <c r="BF92" s="24">
        <v>790571.11035351595</v>
      </c>
      <c r="BG92" s="16">
        <v>0.39179999999992998</v>
      </c>
      <c r="BH92" s="73">
        <v>509282.73764648399</v>
      </c>
      <c r="BI92" s="71" t="s">
        <v>239</v>
      </c>
    </row>
    <row r="93" spans="2:61" x14ac:dyDescent="0.25">
      <c r="B93" s="14" t="s">
        <v>92</v>
      </c>
      <c r="C93" s="14" t="s">
        <v>511</v>
      </c>
      <c r="D93" s="15" t="s">
        <v>306</v>
      </c>
      <c r="E93" s="15" t="s">
        <v>511</v>
      </c>
      <c r="F93" s="15" t="s">
        <v>915</v>
      </c>
      <c r="G93" s="86">
        <v>52627746.721687503</v>
      </c>
      <c r="H93" s="17">
        <v>43999</v>
      </c>
      <c r="I93" s="49">
        <v>139.55000000004699</v>
      </c>
      <c r="J93" s="49">
        <v>491.39999231649603</v>
      </c>
      <c r="K93" s="16">
        <f t="shared" si="14"/>
        <v>0.2839845384249966</v>
      </c>
      <c r="L93" s="17">
        <v>43663</v>
      </c>
      <c r="M93" s="49">
        <v>22927.736000000001</v>
      </c>
      <c r="N93" s="49">
        <v>50982.631068298302</v>
      </c>
      <c r="O93" s="16">
        <f t="shared" si="15"/>
        <v>0.44971660974666294</v>
      </c>
      <c r="P93" s="18">
        <v>25</v>
      </c>
      <c r="Q93" s="18">
        <v>21.493975903606</v>
      </c>
      <c r="R93" s="16">
        <f t="shared" si="16"/>
        <v>1.1631165919287088</v>
      </c>
      <c r="T93" s="19">
        <v>1.5789851422596301E-3</v>
      </c>
      <c r="U93" s="19">
        <f t="shared" si="17"/>
        <v>-1.2543415767140669E-2</v>
      </c>
      <c r="V93" s="19">
        <v>0.246204679408111</v>
      </c>
      <c r="W93" s="19">
        <f t="shared" si="18"/>
        <v>0.15083237981351011</v>
      </c>
      <c r="X93" s="19">
        <v>-0.33457732994051198</v>
      </c>
      <c r="Y93" s="19">
        <f t="shared" si="19"/>
        <v>-0.18981635069649197</v>
      </c>
      <c r="Z93" s="19">
        <v>0.27538370030757497</v>
      </c>
      <c r="AA93" s="19">
        <f t="shared" si="20"/>
        <v>0.17264083622474596</v>
      </c>
      <c r="AB93" s="19">
        <v>0.52232282582554002</v>
      </c>
      <c r="AC93" s="19">
        <f t="shared" si="21"/>
        <v>0.30116183837875699</v>
      </c>
      <c r="AD93" s="19">
        <v>-0.35132968710328</v>
      </c>
      <c r="AE93" s="19">
        <f t="shared" si="22"/>
        <v>-0.18118338454572999</v>
      </c>
      <c r="AF93" s="19">
        <v>-0.66386564539629001</v>
      </c>
      <c r="AG93" s="19">
        <f t="shared" si="23"/>
        <v>-0.45895756250160002</v>
      </c>
      <c r="AH93" s="19">
        <v>-0.73711447224370197</v>
      </c>
      <c r="AI93" s="19">
        <f t="shared" si="24"/>
        <v>-0.46750652372429596</v>
      </c>
      <c r="AJ93" s="19">
        <v>-0.78885574405896497</v>
      </c>
      <c r="AK93" s="19">
        <f t="shared" si="25"/>
        <v>-0.61501155226200399</v>
      </c>
      <c r="AL93" s="19">
        <v>-0.41505165412032502</v>
      </c>
      <c r="AM93" s="19">
        <f t="shared" si="26"/>
        <v>-0.4197324515652871</v>
      </c>
      <c r="AN93" s="19">
        <v>-0.33379442178178598</v>
      </c>
      <c r="AO93" s="19">
        <f t="shared" si="27"/>
        <v>-0.3450765190135282</v>
      </c>
      <c r="AP93" s="20"/>
      <c r="AR93" s="16">
        <v>0.26226060002227303</v>
      </c>
      <c r="AS93" s="16">
        <v>-0.12959529441839601</v>
      </c>
      <c r="AT93" s="16">
        <v>0.84559111691545696</v>
      </c>
      <c r="AU93" s="16">
        <v>-0.38335749959689602</v>
      </c>
      <c r="AV93" s="21">
        <v>2</v>
      </c>
      <c r="AW93" s="21">
        <v>4</v>
      </c>
      <c r="AX93" s="22">
        <v>-0.41035233103457402</v>
      </c>
      <c r="AY93" s="16">
        <v>9.0384663559670994E-2</v>
      </c>
      <c r="AZ93" s="16">
        <v>-0.65663114939932699</v>
      </c>
      <c r="BA93" s="23">
        <v>43818</v>
      </c>
      <c r="BB93" s="22">
        <v>3.4875731273241399</v>
      </c>
      <c r="BD93" s="63">
        <v>377124.663</v>
      </c>
      <c r="BE93" s="16">
        <v>0.41040000000037302</v>
      </c>
      <c r="BF93" s="24">
        <v>154771.961695312</v>
      </c>
      <c r="BG93" s="16">
        <v>0.47070000000007001</v>
      </c>
      <c r="BH93" s="73">
        <v>177512.57887402299</v>
      </c>
      <c r="BI93" s="71" t="s">
        <v>727</v>
      </c>
    </row>
    <row r="94" spans="2:61" x14ac:dyDescent="0.25">
      <c r="B94" s="14" t="s">
        <v>93</v>
      </c>
      <c r="C94" s="14" t="s">
        <v>512</v>
      </c>
      <c r="D94" s="15" t="s">
        <v>307</v>
      </c>
      <c r="E94" s="15" t="s">
        <v>512</v>
      </c>
      <c r="F94" s="15" t="s">
        <v>913</v>
      </c>
      <c r="G94" s="86">
        <v>35058204.403187498</v>
      </c>
      <c r="H94" s="17">
        <v>43999</v>
      </c>
      <c r="I94" s="49">
        <v>8.8000000000029104</v>
      </c>
      <c r="J94" s="49">
        <v>13</v>
      </c>
      <c r="K94" s="16">
        <f t="shared" si="14"/>
        <v>0.67692307692330078</v>
      </c>
      <c r="L94" s="17">
        <v>43637</v>
      </c>
      <c r="M94" s="49">
        <v>124.30200000000001</v>
      </c>
      <c r="N94" s="49">
        <v>1004.28656626511</v>
      </c>
      <c r="O94" s="16">
        <f t="shared" si="15"/>
        <v>0.12377144549714804</v>
      </c>
      <c r="P94" s="18"/>
      <c r="Q94" s="18"/>
      <c r="R94" s="16" t="str">
        <f t="shared" si="16"/>
        <v/>
      </c>
      <c r="T94" s="19">
        <v>0</v>
      </c>
      <c r="U94" s="19">
        <f t="shared" si="17"/>
        <v>-1.41224009094003E-2</v>
      </c>
      <c r="V94" s="19">
        <v>9.9312929418374593E-2</v>
      </c>
      <c r="W94" s="19">
        <f t="shared" si="18"/>
        <v>3.9406298237736892E-3</v>
      </c>
      <c r="X94" s="19">
        <v>-2.2222222221898801E-2</v>
      </c>
      <c r="Y94" s="19">
        <f t="shared" si="19"/>
        <v>0.12253875702212121</v>
      </c>
      <c r="Z94" s="19">
        <v>9.9312929418374593E-2</v>
      </c>
      <c r="AA94" s="19">
        <f t="shared" si="20"/>
        <v>-3.4299346644544038E-3</v>
      </c>
      <c r="AB94" s="19">
        <v>-2.2222222221898801E-2</v>
      </c>
      <c r="AC94" s="19">
        <f t="shared" si="21"/>
        <v>-0.24338320966868179</v>
      </c>
      <c r="AD94" s="19">
        <v>-2.2222222221898801E-2</v>
      </c>
      <c r="AE94" s="19">
        <f t="shared" si="22"/>
        <v>0.14792408033565121</v>
      </c>
      <c r="AF94" s="19">
        <v>-0.33933933933964</v>
      </c>
      <c r="AG94" s="19">
        <f t="shared" si="23"/>
        <v>-0.13443125644494999</v>
      </c>
      <c r="AH94" s="19">
        <v>-0.44792973651143297</v>
      </c>
      <c r="AI94" s="19">
        <f t="shared" si="24"/>
        <v>-0.17832178799202697</v>
      </c>
      <c r="AJ94" s="19">
        <v>-0.52432432432426102</v>
      </c>
      <c r="AK94" s="19">
        <f t="shared" si="25"/>
        <v>-0.35048013252730004</v>
      </c>
      <c r="AL94" s="19">
        <v>-0.559943453874439</v>
      </c>
      <c r="AM94" s="19">
        <f t="shared" si="26"/>
        <v>-0.56462425131940108</v>
      </c>
      <c r="AN94" s="19">
        <v>-0.41435082292009601</v>
      </c>
      <c r="AO94" s="19">
        <f t="shared" si="27"/>
        <v>-0.42563292015183818</v>
      </c>
      <c r="AP94" s="20"/>
      <c r="AR94" s="16">
        <v>9.9312929418374593E-2</v>
      </c>
      <c r="AS94" s="16">
        <v>-8.98863636357419E-2</v>
      </c>
      <c r="AT94" s="16">
        <v>9.9312929418374593E-2</v>
      </c>
      <c r="AU94" s="16">
        <v>-0.110555555555038</v>
      </c>
      <c r="AV94" s="21">
        <v>1</v>
      </c>
      <c r="AW94" s="21">
        <v>1</v>
      </c>
      <c r="AX94" s="22"/>
      <c r="AY94" s="16"/>
      <c r="AZ94" s="16">
        <v>-0.110555555555038</v>
      </c>
      <c r="BA94" s="23">
        <v>43817</v>
      </c>
      <c r="BB94" s="22">
        <v>-0.107982296945352</v>
      </c>
      <c r="BD94" s="63">
        <v>3983886.8640000001</v>
      </c>
      <c r="BE94" s="16">
        <v>0.492099999999628</v>
      </c>
      <c r="BF94" s="24">
        <v>1960470.72577344</v>
      </c>
      <c r="BG94" s="16"/>
      <c r="BH94" s="73"/>
      <c r="BI94" s="71" t="s">
        <v>728</v>
      </c>
    </row>
    <row r="95" spans="2:61" x14ac:dyDescent="0.25">
      <c r="B95" s="14" t="s">
        <v>94</v>
      </c>
      <c r="C95" s="14" t="s">
        <v>513</v>
      </c>
      <c r="D95" s="15" t="s">
        <v>308</v>
      </c>
      <c r="E95" s="15" t="s">
        <v>513</v>
      </c>
      <c r="F95" s="15" t="s">
        <v>915</v>
      </c>
      <c r="G95" s="86">
        <v>29018493.280593701</v>
      </c>
      <c r="H95" s="17">
        <v>43999</v>
      </c>
      <c r="I95" s="49">
        <v>8.0380000000004692</v>
      </c>
      <c r="J95" s="49">
        <v>29.239999999990701</v>
      </c>
      <c r="K95" s="16">
        <f t="shared" si="14"/>
        <v>0.27489740082089692</v>
      </c>
      <c r="L95" s="17">
        <v>43664</v>
      </c>
      <c r="M95" s="49">
        <v>35018.455000000002</v>
      </c>
      <c r="N95" s="49">
        <v>92897.921794921902</v>
      </c>
      <c r="O95" s="16">
        <f t="shared" si="15"/>
        <v>0.37695627978961121</v>
      </c>
      <c r="P95" s="18">
        <v>43</v>
      </c>
      <c r="Q95" s="18">
        <v>50.694779116485698</v>
      </c>
      <c r="R95" s="16">
        <f t="shared" si="16"/>
        <v>0.84821357838832379</v>
      </c>
      <c r="T95" s="19">
        <v>2.1476680645719198E-2</v>
      </c>
      <c r="U95" s="19">
        <f t="shared" si="17"/>
        <v>7.3542797363188982E-3</v>
      </c>
      <c r="V95" s="19">
        <v>0.148449778538634</v>
      </c>
      <c r="W95" s="19">
        <f t="shared" si="18"/>
        <v>5.3077478944033099E-2</v>
      </c>
      <c r="X95" s="19">
        <v>-0.35541299117903702</v>
      </c>
      <c r="Y95" s="19">
        <f t="shared" si="19"/>
        <v>-0.21065201193501701</v>
      </c>
      <c r="Z95" s="19">
        <v>-1.2425447312125501E-3</v>
      </c>
      <c r="AA95" s="19">
        <f t="shared" si="20"/>
        <v>-0.10398540881404154</v>
      </c>
      <c r="AB95" s="19">
        <v>-5.9443014275529997E-2</v>
      </c>
      <c r="AC95" s="19">
        <f t="shared" si="21"/>
        <v>-0.28060400172231298</v>
      </c>
      <c r="AD95" s="19">
        <v>-0.39563909774471501</v>
      </c>
      <c r="AE95" s="19">
        <f t="shared" si="22"/>
        <v>-0.225492795187165</v>
      </c>
      <c r="AF95" s="19">
        <v>-0.63043678160931405</v>
      </c>
      <c r="AG95" s="19">
        <f t="shared" si="23"/>
        <v>-0.42552869871462407</v>
      </c>
      <c r="AH95" s="19">
        <v>-0.82470220905146596</v>
      </c>
      <c r="AI95" s="19">
        <f t="shared" si="24"/>
        <v>-0.5550942605320599</v>
      </c>
      <c r="AJ95" s="19">
        <v>-0.87400555931031698</v>
      </c>
      <c r="AK95" s="19">
        <f t="shared" si="25"/>
        <v>-0.700161367513356</v>
      </c>
      <c r="AL95" s="19">
        <v>-0.75662387292482902</v>
      </c>
      <c r="AM95" s="19">
        <f t="shared" si="26"/>
        <v>-0.7613046703697911</v>
      </c>
      <c r="AN95" s="19">
        <v>-0.556414567082538</v>
      </c>
      <c r="AO95" s="19">
        <f t="shared" si="27"/>
        <v>-0.56769666431428023</v>
      </c>
      <c r="AP95" s="20">
        <v>93.971507326234104</v>
      </c>
      <c r="AR95" s="16">
        <v>0.45673584241943899</v>
      </c>
      <c r="AS95" s="16">
        <v>-0.40358062251354598</v>
      </c>
      <c r="AT95" s="16">
        <v>0.59281543089833599</v>
      </c>
      <c r="AU95" s="16">
        <v>-0.56664110429468595</v>
      </c>
      <c r="AV95" s="21">
        <v>3</v>
      </c>
      <c r="AW95" s="21">
        <v>3</v>
      </c>
      <c r="AX95" s="22">
        <v>-0.255932479421972</v>
      </c>
      <c r="AY95" s="16">
        <v>0.1235182551037</v>
      </c>
      <c r="AZ95" s="16">
        <v>-0.71265508684911805</v>
      </c>
      <c r="BA95" s="23">
        <v>43881</v>
      </c>
      <c r="BB95" s="22">
        <v>3.41376672807746</v>
      </c>
      <c r="BD95" s="63">
        <v>3610163.3840000001</v>
      </c>
      <c r="BE95" s="16">
        <v>0.38180000000051201</v>
      </c>
      <c r="BF95" s="24">
        <v>1378360.3800117199</v>
      </c>
      <c r="BG95" s="16">
        <v>0.60950000000011595</v>
      </c>
      <c r="BH95" s="73">
        <v>2200394.5825468702</v>
      </c>
      <c r="BI95" s="71" t="s">
        <v>710</v>
      </c>
    </row>
    <row r="96" spans="2:61" x14ac:dyDescent="0.25">
      <c r="B96" s="14" t="s">
        <v>95</v>
      </c>
      <c r="C96" s="14" t="s">
        <v>514</v>
      </c>
      <c r="D96" s="15" t="s">
        <v>309</v>
      </c>
      <c r="E96" s="15" t="s">
        <v>514</v>
      </c>
      <c r="F96" s="15" t="s">
        <v>907</v>
      </c>
      <c r="G96" s="86">
        <v>533891080.11150002</v>
      </c>
      <c r="H96" s="17">
        <v>43999</v>
      </c>
      <c r="I96" s="49">
        <v>4700.7999999970198</v>
      </c>
      <c r="J96" s="49">
        <v>5254.1716449484202</v>
      </c>
      <c r="K96" s="16">
        <f t="shared" si="14"/>
        <v>0.89467956466868859</v>
      </c>
      <c r="L96" s="17">
        <v>43753</v>
      </c>
      <c r="M96" s="49">
        <v>2679.6570000000002</v>
      </c>
      <c r="N96" s="49">
        <v>195470.87804003901</v>
      </c>
      <c r="O96" s="16">
        <f t="shared" si="15"/>
        <v>1.370872749367359E-2</v>
      </c>
      <c r="P96" s="18"/>
      <c r="Q96" s="18"/>
      <c r="R96" s="16" t="str">
        <f t="shared" si="16"/>
        <v/>
      </c>
      <c r="T96" s="19">
        <v>0</v>
      </c>
      <c r="U96" s="19">
        <f t="shared" si="17"/>
        <v>-1.41224009094003E-2</v>
      </c>
      <c r="V96" s="19">
        <v>4.4622222221733003E-2</v>
      </c>
      <c r="W96" s="19">
        <f t="shared" si="18"/>
        <v>-5.0750077372867901E-2</v>
      </c>
      <c r="X96" s="19">
        <v>3.3511045232444303E-2</v>
      </c>
      <c r="Y96" s="19">
        <f t="shared" si="19"/>
        <v>0.17827202447646431</v>
      </c>
      <c r="Z96" s="19">
        <v>3.30520393799816E-2</v>
      </c>
      <c r="AA96" s="19">
        <f t="shared" si="20"/>
        <v>-6.9690824702847404E-2</v>
      </c>
      <c r="AB96" s="19">
        <v>0.150958294894808</v>
      </c>
      <c r="AC96" s="19">
        <f t="shared" si="21"/>
        <v>-7.0202692551975004E-2</v>
      </c>
      <c r="AD96" s="19">
        <v>1.4958048643165999E-2</v>
      </c>
      <c r="AE96" s="19">
        <f t="shared" si="22"/>
        <v>0.185104351200716</v>
      </c>
      <c r="AF96" s="19">
        <v>-5.7122025976277697E-2</v>
      </c>
      <c r="AG96" s="19">
        <f t="shared" si="23"/>
        <v>0.14778605691841232</v>
      </c>
      <c r="AH96" s="19">
        <v>-7.56064013230935E-2</v>
      </c>
      <c r="AI96" s="19">
        <f t="shared" si="24"/>
        <v>0.19400154719631252</v>
      </c>
      <c r="AJ96" s="19">
        <v>0.13878331195155599</v>
      </c>
      <c r="AK96" s="19">
        <f t="shared" si="25"/>
        <v>0.312627503748517</v>
      </c>
      <c r="AL96" s="19"/>
      <c r="AM96" s="19" t="str">
        <f t="shared" si="26"/>
        <v/>
      </c>
      <c r="AN96" s="19"/>
      <c r="AO96" s="19" t="str">
        <f t="shared" si="27"/>
        <v/>
      </c>
      <c r="AP96" s="20"/>
      <c r="AR96" s="16">
        <v>5.9740066100857803E-2</v>
      </c>
      <c r="AS96" s="16">
        <v>-7.5607711651173304E-2</v>
      </c>
      <c r="AT96" s="16">
        <v>7.4890666246574297E-2</v>
      </c>
      <c r="AU96" s="16">
        <v>-5.1513814422869501E-2</v>
      </c>
      <c r="AV96" s="21">
        <v>3</v>
      </c>
      <c r="AW96" s="21">
        <v>3</v>
      </c>
      <c r="AX96" s="22"/>
      <c r="AY96" s="16"/>
      <c r="AZ96" s="16">
        <v>-0.217731958762161</v>
      </c>
      <c r="BA96" s="23">
        <v>43859</v>
      </c>
      <c r="BB96" s="22">
        <v>0.42103947428358901</v>
      </c>
      <c r="BD96" s="63">
        <v>113574.515</v>
      </c>
      <c r="BE96" s="16">
        <v>0.13729999999995901</v>
      </c>
      <c r="BF96" s="24">
        <v>15593.780909500099</v>
      </c>
      <c r="BG96" s="16">
        <v>0.24520000000018599</v>
      </c>
      <c r="BH96" s="73">
        <v>27848.471078002902</v>
      </c>
      <c r="BI96" s="71" t="s">
        <v>729</v>
      </c>
    </row>
    <row r="97" spans="2:61" x14ac:dyDescent="0.25">
      <c r="B97" s="14" t="s">
        <v>96</v>
      </c>
      <c r="C97" s="14" t="s">
        <v>515</v>
      </c>
      <c r="D97" s="15" t="s">
        <v>310</v>
      </c>
      <c r="E97" s="15" t="s">
        <v>515</v>
      </c>
      <c r="F97" s="15" t="s">
        <v>915</v>
      </c>
      <c r="G97" s="86">
        <v>213068620.009</v>
      </c>
      <c r="H97" s="17">
        <v>43999</v>
      </c>
      <c r="I97" s="49">
        <v>497</v>
      </c>
      <c r="J97" s="49">
        <v>854.57518134079896</v>
      </c>
      <c r="K97" s="16">
        <f t="shared" si="14"/>
        <v>0.58157551360223703</v>
      </c>
      <c r="L97" s="17">
        <v>43642</v>
      </c>
      <c r="M97" s="49">
        <v>1363.67</v>
      </c>
      <c r="N97" s="49">
        <v>88420.405964599602</v>
      </c>
      <c r="O97" s="16">
        <f t="shared" si="15"/>
        <v>1.5422571126239402E-2</v>
      </c>
      <c r="P97" s="18"/>
      <c r="Q97" s="18"/>
      <c r="R97" s="16" t="str">
        <f t="shared" si="16"/>
        <v/>
      </c>
      <c r="T97" s="19">
        <v>0</v>
      </c>
      <c r="U97" s="19">
        <f t="shared" si="17"/>
        <v>-1.41224009094003E-2</v>
      </c>
      <c r="V97" s="19">
        <v>0.10451807898251</v>
      </c>
      <c r="W97" s="19">
        <f t="shared" si="18"/>
        <v>9.1457793879091004E-3</v>
      </c>
      <c r="X97" s="19">
        <v>-4.3510226523721897E-3</v>
      </c>
      <c r="Y97" s="19">
        <f t="shared" si="19"/>
        <v>0.14040995659164782</v>
      </c>
      <c r="Z97" s="19">
        <v>0.179541948498809</v>
      </c>
      <c r="AA97" s="19">
        <f t="shared" si="20"/>
        <v>7.6799084415980004E-2</v>
      </c>
      <c r="AB97" s="19">
        <v>0.36524224936903898</v>
      </c>
      <c r="AC97" s="19">
        <f t="shared" si="21"/>
        <v>0.14408126192225598</v>
      </c>
      <c r="AD97" s="19">
        <v>-3.45088413660051E-2</v>
      </c>
      <c r="AE97" s="19">
        <f t="shared" si="22"/>
        <v>0.13563746119154491</v>
      </c>
      <c r="AF97" s="19">
        <v>-0.36033163786865802</v>
      </c>
      <c r="AG97" s="19">
        <f t="shared" si="23"/>
        <v>-0.15542355497396801</v>
      </c>
      <c r="AH97" s="19">
        <v>-0.47547720323549603</v>
      </c>
      <c r="AI97" s="19">
        <f t="shared" si="24"/>
        <v>-0.20586925471609002</v>
      </c>
      <c r="AJ97" s="19"/>
      <c r="AK97" s="19" t="str">
        <f t="shared" si="25"/>
        <v/>
      </c>
      <c r="AL97" s="19"/>
      <c r="AM97" s="19" t="str">
        <f t="shared" si="26"/>
        <v/>
      </c>
      <c r="AN97" s="19"/>
      <c r="AO97" s="19" t="str">
        <f t="shared" si="27"/>
        <v/>
      </c>
      <c r="AP97" s="20"/>
      <c r="AR97" s="16">
        <v>0.13209795626433299</v>
      </c>
      <c r="AS97" s="16">
        <v>-9.4592386863077998E-2</v>
      </c>
      <c r="AT97" s="16">
        <v>0.50279063956055303</v>
      </c>
      <c r="AU97" s="16">
        <v>-0.27730593607237097</v>
      </c>
      <c r="AV97" s="21">
        <v>3</v>
      </c>
      <c r="AW97" s="21">
        <v>3</v>
      </c>
      <c r="AX97" s="22"/>
      <c r="AY97" s="16"/>
      <c r="AZ97" s="16">
        <v>-0.426385321100824</v>
      </c>
      <c r="BA97" s="23">
        <v>43843</v>
      </c>
      <c r="BB97" s="22">
        <v>2.01394755155343</v>
      </c>
      <c r="BD97" s="63">
        <v>428709.49699999997</v>
      </c>
      <c r="BE97" s="16">
        <v>0.71909999999916197</v>
      </c>
      <c r="BF97" s="24">
        <v>308284.99929248</v>
      </c>
      <c r="BG97" s="16">
        <v>0.28089999999996501</v>
      </c>
      <c r="BH97" s="73">
        <v>120424.497707275</v>
      </c>
      <c r="BI97" s="71" t="s">
        <v>730</v>
      </c>
    </row>
    <row r="98" spans="2:61" x14ac:dyDescent="0.25">
      <c r="B98" s="14" t="s">
        <v>97</v>
      </c>
      <c r="C98" s="14" t="s">
        <v>516</v>
      </c>
      <c r="D98" s="15" t="s">
        <v>311</v>
      </c>
      <c r="E98" s="15" t="s">
        <v>516</v>
      </c>
      <c r="F98" s="15" t="s">
        <v>913</v>
      </c>
      <c r="G98" s="86">
        <v>814247700</v>
      </c>
      <c r="H98" s="17">
        <v>43999</v>
      </c>
      <c r="I98" s="49">
        <v>6619.8999999985099</v>
      </c>
      <c r="J98" s="49">
        <v>7799.4207177162198</v>
      </c>
      <c r="K98" s="16">
        <f t="shared" si="14"/>
        <v>0.84876816363573604</v>
      </c>
      <c r="L98" s="17">
        <v>43732</v>
      </c>
      <c r="M98" s="49">
        <v>5309.16</v>
      </c>
      <c r="N98" s="49">
        <v>29528.693911651601</v>
      </c>
      <c r="O98" s="16">
        <f t="shared" si="15"/>
        <v>0.17979664173040452</v>
      </c>
      <c r="P98" s="18"/>
      <c r="Q98" s="18"/>
      <c r="R98" s="16" t="str">
        <f t="shared" si="16"/>
        <v/>
      </c>
      <c r="T98" s="19">
        <v>0</v>
      </c>
      <c r="U98" s="19">
        <f t="shared" si="17"/>
        <v>-1.41224009094003E-2</v>
      </c>
      <c r="V98" s="19">
        <v>4.8431288701976903E-2</v>
      </c>
      <c r="W98" s="19">
        <f t="shared" si="18"/>
        <v>-4.6941010892624001E-2</v>
      </c>
      <c r="X98" s="19">
        <v>-9.2063665676541895E-2</v>
      </c>
      <c r="Y98" s="19">
        <f t="shared" si="19"/>
        <v>5.2697313567478116E-2</v>
      </c>
      <c r="Z98" s="19">
        <v>0.148022407456738</v>
      </c>
      <c r="AA98" s="19">
        <f t="shared" si="20"/>
        <v>4.5279543373909006E-2</v>
      </c>
      <c r="AB98" s="19">
        <v>0.23751023042306801</v>
      </c>
      <c r="AC98" s="19">
        <f t="shared" si="21"/>
        <v>1.6349242976285011E-2</v>
      </c>
      <c r="AD98" s="19">
        <v>-8.0209238562965801E-2</v>
      </c>
      <c r="AE98" s="19">
        <f t="shared" si="22"/>
        <v>8.9937063994584204E-2</v>
      </c>
      <c r="AF98" s="19">
        <v>-9.7704445820418206E-2</v>
      </c>
      <c r="AG98" s="19">
        <f t="shared" si="23"/>
        <v>0.1072036370742718</v>
      </c>
      <c r="AH98" s="19">
        <v>-0.20813024151371801</v>
      </c>
      <c r="AI98" s="19">
        <f t="shared" si="24"/>
        <v>6.1477707005687998E-2</v>
      </c>
      <c r="AJ98" s="19">
        <v>4.7773919759492899E-3</v>
      </c>
      <c r="AK98" s="19">
        <f t="shared" si="25"/>
        <v>0.17862158377291029</v>
      </c>
      <c r="AL98" s="19"/>
      <c r="AM98" s="19" t="str">
        <f t="shared" si="26"/>
        <v/>
      </c>
      <c r="AN98" s="19">
        <v>0.244609651335923</v>
      </c>
      <c r="AO98" s="19">
        <f t="shared" si="27"/>
        <v>0.2333275541041808</v>
      </c>
      <c r="AP98" s="20"/>
      <c r="AR98" s="16">
        <v>3.5378963124458103E-2</v>
      </c>
      <c r="AS98" s="16">
        <v>-5.0322802789232797E-2</v>
      </c>
      <c r="AT98" s="16">
        <v>0.16191352345951601</v>
      </c>
      <c r="AU98" s="16">
        <v>-0.21557856290833999</v>
      </c>
      <c r="AV98" s="21">
        <v>4</v>
      </c>
      <c r="AW98" s="21">
        <v>2</v>
      </c>
      <c r="AX98" s="22"/>
      <c r="AY98" s="16"/>
      <c r="AZ98" s="16">
        <v>-0.35215715169149903</v>
      </c>
      <c r="BA98" s="23">
        <v>43880</v>
      </c>
      <c r="BB98" s="22">
        <v>1.00148419147263</v>
      </c>
      <c r="BD98" s="63">
        <v>123000</v>
      </c>
      <c r="BE98" s="16">
        <v>0.60719999999972096</v>
      </c>
      <c r="BF98" s="24">
        <v>74685.600000000006</v>
      </c>
      <c r="BG98" s="16">
        <v>0.39280000000027898</v>
      </c>
      <c r="BH98" s="73">
        <v>48314.400000000001</v>
      </c>
      <c r="BI98" s="71" t="s">
        <v>399</v>
      </c>
    </row>
    <row r="99" spans="2:61" x14ac:dyDescent="0.25">
      <c r="B99" s="14" t="s">
        <v>98</v>
      </c>
      <c r="C99" s="14" t="s">
        <v>517</v>
      </c>
      <c r="D99" s="15" t="s">
        <v>312</v>
      </c>
      <c r="E99" s="15" t="s">
        <v>517</v>
      </c>
      <c r="F99" s="15" t="s">
        <v>907</v>
      </c>
      <c r="G99" s="86">
        <v>9405028907.1520004</v>
      </c>
      <c r="H99" s="17">
        <v>43999</v>
      </c>
      <c r="I99" s="49">
        <v>123.609999999986</v>
      </c>
      <c r="J99" s="49">
        <v>161.56164238066401</v>
      </c>
      <c r="K99" s="16">
        <f t="shared" si="14"/>
        <v>0.76509497043080243</v>
      </c>
      <c r="L99" s="17">
        <v>43840</v>
      </c>
      <c r="M99" s="49">
        <v>54125874.369000003</v>
      </c>
      <c r="N99" s="49">
        <v>17716063.546812501</v>
      </c>
      <c r="O99" s="16">
        <f t="shared" si="15"/>
        <v>3.0551862848075189</v>
      </c>
      <c r="P99" s="18">
        <v>1801</v>
      </c>
      <c r="Q99" s="18">
        <v>1666.8192771077199</v>
      </c>
      <c r="R99" s="16">
        <f t="shared" si="16"/>
        <v>1.080501062553771</v>
      </c>
      <c r="T99" s="19">
        <v>4.9593495932640499E-3</v>
      </c>
      <c r="U99" s="19">
        <f t="shared" si="17"/>
        <v>-9.163051316136251E-3</v>
      </c>
      <c r="V99" s="19">
        <v>6.1030042917991502E-2</v>
      </c>
      <c r="W99" s="19">
        <f t="shared" si="18"/>
        <v>-3.4342256676609402E-2</v>
      </c>
      <c r="X99" s="19">
        <v>-0.210165431723872</v>
      </c>
      <c r="Y99" s="19">
        <f t="shared" si="19"/>
        <v>-6.5404452479851993E-2</v>
      </c>
      <c r="Z99" s="19">
        <v>6.8865088795064394E-2</v>
      </c>
      <c r="AA99" s="19">
        <f t="shared" si="20"/>
        <v>-3.3877775287764603E-2</v>
      </c>
      <c r="AB99" s="19">
        <v>0.22370068577030899</v>
      </c>
      <c r="AC99" s="19">
        <f t="shared" si="21"/>
        <v>2.5396983235259907E-3</v>
      </c>
      <c r="AD99" s="19">
        <v>-0.210165431723872</v>
      </c>
      <c r="AE99" s="19">
        <f t="shared" si="22"/>
        <v>-4.0019129166321998E-2</v>
      </c>
      <c r="AF99" s="19">
        <v>0.13991382861058799</v>
      </c>
      <c r="AG99" s="19">
        <f t="shared" si="23"/>
        <v>0.34482191150527797</v>
      </c>
      <c r="AH99" s="19">
        <v>0.179517100999947</v>
      </c>
      <c r="AI99" s="19">
        <f t="shared" si="24"/>
        <v>0.449125049519353</v>
      </c>
      <c r="AJ99" s="19">
        <v>0.124188797735842</v>
      </c>
      <c r="AK99" s="19">
        <f t="shared" si="25"/>
        <v>0.29803298953280299</v>
      </c>
      <c r="AL99" s="19">
        <v>0.28780319150246197</v>
      </c>
      <c r="AM99" s="19">
        <f t="shared" si="26"/>
        <v>0.28312239405749989</v>
      </c>
      <c r="AN99" s="19">
        <v>0.211393486515735</v>
      </c>
      <c r="AO99" s="19">
        <f t="shared" si="27"/>
        <v>0.2001113892839928</v>
      </c>
      <c r="AP99" s="20">
        <v>42.483605826797401</v>
      </c>
      <c r="AR99" s="16">
        <v>0.17230769230634899</v>
      </c>
      <c r="AS99" s="16">
        <v>-0.13306451612879799</v>
      </c>
      <c r="AT99" s="16">
        <v>0.30975143403338701</v>
      </c>
      <c r="AU99" s="16">
        <v>-0.23649635036505101</v>
      </c>
      <c r="AV99" s="21">
        <v>2</v>
      </c>
      <c r="AW99" s="21">
        <v>4</v>
      </c>
      <c r="AX99" s="22">
        <v>-0.48570165944920501</v>
      </c>
      <c r="AY99" s="16">
        <v>5.9395533072602098E-2</v>
      </c>
      <c r="AZ99" s="16">
        <v>-0.457685597211821</v>
      </c>
      <c r="BA99" s="23">
        <v>43840</v>
      </c>
      <c r="BB99" s="22">
        <v>1.53394623344502</v>
      </c>
      <c r="BD99" s="63">
        <v>76086311.035999998</v>
      </c>
      <c r="BE99" s="16">
        <v>0.58260000000009304</v>
      </c>
      <c r="BF99" s="24">
        <v>44327884.809562497</v>
      </c>
      <c r="BG99" s="16">
        <v>0.482000000000116</v>
      </c>
      <c r="BH99" s="73">
        <v>36673601.919375002</v>
      </c>
      <c r="BI99" s="71" t="s">
        <v>657</v>
      </c>
    </row>
    <row r="100" spans="2:61" x14ac:dyDescent="0.25">
      <c r="B100" s="14" t="s">
        <v>99</v>
      </c>
      <c r="C100" s="14" t="s">
        <v>518</v>
      </c>
      <c r="D100" s="15" t="s">
        <v>313</v>
      </c>
      <c r="E100" s="15" t="s">
        <v>518</v>
      </c>
      <c r="F100" s="15" t="s">
        <v>907</v>
      </c>
      <c r="G100" s="86">
        <v>4281409891.9200001</v>
      </c>
      <c r="H100" s="17">
        <v>43999</v>
      </c>
      <c r="I100" s="49">
        <v>61.900000000023297</v>
      </c>
      <c r="J100" s="49">
        <v>73.397877813200495</v>
      </c>
      <c r="K100" s="16">
        <f t="shared" si="14"/>
        <v>0.84334863410574901</v>
      </c>
      <c r="L100" s="17">
        <v>43868</v>
      </c>
      <c r="M100" s="49">
        <v>5160080.6619999995</v>
      </c>
      <c r="N100" s="49">
        <v>5913006.30765625</v>
      </c>
      <c r="O100" s="16">
        <f t="shared" si="15"/>
        <v>0.87266618594988632</v>
      </c>
      <c r="P100" s="18">
        <v>920</v>
      </c>
      <c r="Q100" s="18">
        <v>1030.2811244986999</v>
      </c>
      <c r="R100" s="16">
        <f t="shared" si="16"/>
        <v>0.89296016215733454</v>
      </c>
      <c r="T100" s="19">
        <v>4.8974750043271301E-2</v>
      </c>
      <c r="U100" s="19">
        <f t="shared" si="17"/>
        <v>3.4852349133871002E-2</v>
      </c>
      <c r="V100" s="19">
        <v>3.1838639773923198E-2</v>
      </c>
      <c r="W100" s="19">
        <f t="shared" si="18"/>
        <v>-6.3533659820677713E-2</v>
      </c>
      <c r="X100" s="19">
        <v>-6.0250448098522598E-2</v>
      </c>
      <c r="Y100" s="19">
        <f t="shared" si="19"/>
        <v>8.451053114549742E-2</v>
      </c>
      <c r="Z100" s="19">
        <v>6.6130273933595204E-2</v>
      </c>
      <c r="AA100" s="19">
        <f t="shared" si="20"/>
        <v>-3.6612590149233792E-2</v>
      </c>
      <c r="AB100" s="19">
        <v>0.12590646707219999</v>
      </c>
      <c r="AC100" s="19">
        <f t="shared" si="21"/>
        <v>-9.5254520374583013E-2</v>
      </c>
      <c r="AD100" s="19">
        <v>-8.8061343302833897E-2</v>
      </c>
      <c r="AE100" s="19">
        <f t="shared" si="22"/>
        <v>8.2084959254716108E-2</v>
      </c>
      <c r="AF100" s="19">
        <v>3.1164877960691201E-2</v>
      </c>
      <c r="AG100" s="19">
        <f t="shared" si="23"/>
        <v>0.23607296085538121</v>
      </c>
      <c r="AH100" s="19">
        <v>2.3751970171360898E-2</v>
      </c>
      <c r="AI100" s="19">
        <f t="shared" si="24"/>
        <v>0.29335991869076689</v>
      </c>
      <c r="AJ100" s="19">
        <v>-3.5238282749560298E-2</v>
      </c>
      <c r="AK100" s="19">
        <f t="shared" si="25"/>
        <v>0.13860590904740072</v>
      </c>
      <c r="AL100" s="19">
        <v>-3.3458150522164901E-2</v>
      </c>
      <c r="AM100" s="19">
        <f t="shared" si="26"/>
        <v>-3.8138947967126982E-2</v>
      </c>
      <c r="AN100" s="19"/>
      <c r="AO100" s="19" t="str">
        <f t="shared" si="27"/>
        <v/>
      </c>
      <c r="AP100" s="20">
        <v>36.537448982941001</v>
      </c>
      <c r="AR100" s="16">
        <v>9.4339622641273296E-2</v>
      </c>
      <c r="AS100" s="16">
        <v>-0.124087591240823</v>
      </c>
      <c r="AT100" s="16">
        <v>0.17224137931043501</v>
      </c>
      <c r="AU100" s="16">
        <v>-0.205479452053551</v>
      </c>
      <c r="AV100" s="21">
        <v>3</v>
      </c>
      <c r="AW100" s="21">
        <v>3</v>
      </c>
      <c r="AX100" s="22">
        <v>-0.51218588321717096</v>
      </c>
      <c r="AY100" s="16">
        <v>4.0586446100278402E-2</v>
      </c>
      <c r="AZ100" s="16">
        <v>-0.32138284250919202</v>
      </c>
      <c r="BA100" s="23">
        <v>43868</v>
      </c>
      <c r="BB100" s="22">
        <v>1.00335517693748</v>
      </c>
      <c r="BD100" s="63">
        <v>69166557.219999999</v>
      </c>
      <c r="BE100" s="16">
        <v>0.61929999999993002</v>
      </c>
      <c r="BF100" s="24">
        <v>42834848.886375003</v>
      </c>
      <c r="BG100" s="16">
        <v>0.38929999999992998</v>
      </c>
      <c r="BH100" s="73">
        <v>26926540.725749999</v>
      </c>
      <c r="BI100" s="71" t="s">
        <v>657</v>
      </c>
    </row>
    <row r="101" spans="2:61" x14ac:dyDescent="0.25">
      <c r="B101" s="14" t="s">
        <v>100</v>
      </c>
      <c r="C101" s="14" t="s">
        <v>519</v>
      </c>
      <c r="D101" s="15" t="s">
        <v>314</v>
      </c>
      <c r="E101" s="15" t="s">
        <v>519</v>
      </c>
      <c r="F101" s="15" t="s">
        <v>907</v>
      </c>
      <c r="G101" s="86"/>
      <c r="H101" s="17">
        <v>43916</v>
      </c>
      <c r="I101" s="49"/>
      <c r="J101" s="49">
        <v>1368.5072588492201</v>
      </c>
      <c r="K101" s="16">
        <f t="shared" si="14"/>
        <v>0</v>
      </c>
      <c r="L101" s="17">
        <v>43755</v>
      </c>
      <c r="M101" s="49">
        <v>0</v>
      </c>
      <c r="N101" s="49">
        <v>1953.29679919624</v>
      </c>
      <c r="O101" s="16">
        <f t="shared" si="15"/>
        <v>0</v>
      </c>
      <c r="P101" s="18">
        <v>0</v>
      </c>
      <c r="Q101" s="18">
        <v>0.28112449799209599</v>
      </c>
      <c r="R101" s="16">
        <f t="shared" si="16"/>
        <v>0</v>
      </c>
      <c r="T101" s="19"/>
      <c r="U101" s="19" t="str">
        <f t="shared" si="17"/>
        <v/>
      </c>
      <c r="V101" s="19"/>
      <c r="W101" s="19" t="str">
        <f t="shared" si="18"/>
        <v/>
      </c>
      <c r="X101" s="19"/>
      <c r="Y101" s="19" t="str">
        <f t="shared" si="19"/>
        <v/>
      </c>
      <c r="Z101" s="19"/>
      <c r="AA101" s="19" t="str">
        <f t="shared" si="20"/>
        <v/>
      </c>
      <c r="AB101" s="19"/>
      <c r="AC101" s="19" t="str">
        <f t="shared" si="21"/>
        <v/>
      </c>
      <c r="AD101" s="19"/>
      <c r="AE101" s="19" t="str">
        <f t="shared" si="22"/>
        <v/>
      </c>
      <c r="AF101" s="19"/>
      <c r="AG101" s="19" t="str">
        <f t="shared" si="23"/>
        <v/>
      </c>
      <c r="AH101" s="19"/>
      <c r="AI101" s="19" t="str">
        <f t="shared" si="24"/>
        <v/>
      </c>
      <c r="AJ101" s="19"/>
      <c r="AK101" s="19" t="str">
        <f t="shared" si="25"/>
        <v/>
      </c>
      <c r="AL101" s="19"/>
      <c r="AM101" s="19" t="str">
        <f t="shared" si="26"/>
        <v/>
      </c>
      <c r="AN101" s="19"/>
      <c r="AO101" s="19" t="str">
        <f t="shared" si="27"/>
        <v/>
      </c>
      <c r="AP101" s="20"/>
      <c r="AR101" s="16">
        <v>8.2562052903085697E-3</v>
      </c>
      <c r="AS101" s="16">
        <v>0</v>
      </c>
      <c r="AT101" s="16">
        <v>7.0066350126580801E-3</v>
      </c>
      <c r="AU101" s="16">
        <v>-7.2992700734175698E-4</v>
      </c>
      <c r="AV101" s="21"/>
      <c r="AW101" s="21"/>
      <c r="AX101" s="22"/>
      <c r="AY101" s="16"/>
      <c r="AZ101" s="16">
        <v>-1.2393380474475201E-3</v>
      </c>
      <c r="BA101" s="23">
        <v>43832</v>
      </c>
      <c r="BB101" s="22"/>
      <c r="BD101" s="63">
        <v>1150742.1610000001</v>
      </c>
      <c r="BE101" s="16">
        <v>0.99089999999850997</v>
      </c>
      <c r="BF101" s="24">
        <v>1140270.4073339801</v>
      </c>
      <c r="BG101" s="16"/>
      <c r="BH101" s="73"/>
      <c r="BI101" s="71" t="s">
        <v>731</v>
      </c>
    </row>
    <row r="102" spans="2:61" x14ac:dyDescent="0.25">
      <c r="B102" s="14" t="s">
        <v>101</v>
      </c>
      <c r="C102" s="14" t="s">
        <v>520</v>
      </c>
      <c r="D102" s="15" t="s">
        <v>315</v>
      </c>
      <c r="E102" s="15" t="s">
        <v>520</v>
      </c>
      <c r="F102" s="15" t="s">
        <v>907</v>
      </c>
      <c r="G102" s="86">
        <v>2509080761.112</v>
      </c>
      <c r="H102" s="17">
        <v>43999</v>
      </c>
      <c r="I102" s="49">
        <v>305.91999999992498</v>
      </c>
      <c r="J102" s="49">
        <v>401.69518220005602</v>
      </c>
      <c r="K102" s="16">
        <f t="shared" si="14"/>
        <v>0.76157248967842439</v>
      </c>
      <c r="L102" s="17">
        <v>43655</v>
      </c>
      <c r="M102" s="49">
        <v>178955.258</v>
      </c>
      <c r="N102" s="49">
        <v>201316.04672290001</v>
      </c>
      <c r="O102" s="16">
        <f t="shared" si="15"/>
        <v>0.88892694304851738</v>
      </c>
      <c r="P102" s="18">
        <v>47</v>
      </c>
      <c r="Q102" s="18">
        <v>44.389558232913302</v>
      </c>
      <c r="R102" s="16">
        <f t="shared" si="16"/>
        <v>1.0588075635578447</v>
      </c>
      <c r="T102" s="19">
        <v>1.2075296919647399E-2</v>
      </c>
      <c r="U102" s="19">
        <f t="shared" si="17"/>
        <v>-2.0471039897529009E-3</v>
      </c>
      <c r="V102" s="19">
        <v>0.112436363635497</v>
      </c>
      <c r="W102" s="19">
        <f t="shared" si="18"/>
        <v>1.7064064040896096E-2</v>
      </c>
      <c r="X102" s="19">
        <v>-0.101782021080871</v>
      </c>
      <c r="Y102" s="19">
        <f t="shared" si="19"/>
        <v>4.2978958163149006E-2</v>
      </c>
      <c r="Z102" s="19">
        <v>7.1671567393423202E-2</v>
      </c>
      <c r="AA102" s="19">
        <f t="shared" si="20"/>
        <v>-3.1071296689405795E-2</v>
      </c>
      <c r="AB102" s="19">
        <v>0.11291032122972</v>
      </c>
      <c r="AC102" s="19">
        <f t="shared" si="21"/>
        <v>-0.108250666217063</v>
      </c>
      <c r="AD102" s="19">
        <v>-0.118614767457038</v>
      </c>
      <c r="AE102" s="19">
        <f t="shared" si="22"/>
        <v>5.1531535100512005E-2</v>
      </c>
      <c r="AF102" s="19">
        <v>-0.190454006415093</v>
      </c>
      <c r="AG102" s="19">
        <f t="shared" si="23"/>
        <v>1.4454076479597011E-2</v>
      </c>
      <c r="AH102" s="19">
        <v>-0.228772710934281</v>
      </c>
      <c r="AI102" s="19">
        <f t="shared" si="24"/>
        <v>4.0835237585125E-2</v>
      </c>
      <c r="AJ102" s="19">
        <v>-0.25790352991054499</v>
      </c>
      <c r="AK102" s="19">
        <f t="shared" si="25"/>
        <v>-8.4059338113583987E-2</v>
      </c>
      <c r="AL102" s="19">
        <v>-0.34132986821699901</v>
      </c>
      <c r="AM102" s="19">
        <f t="shared" si="26"/>
        <v>-0.34601066566196109</v>
      </c>
      <c r="AN102" s="19">
        <v>7.9974881164162098E-2</v>
      </c>
      <c r="AO102" s="19">
        <f t="shared" si="27"/>
        <v>6.8692783932419899E-2</v>
      </c>
      <c r="AP102" s="20">
        <v>33.407941157871399</v>
      </c>
      <c r="AR102" s="16">
        <v>7.2041166382405195E-2</v>
      </c>
      <c r="AS102" s="16">
        <v>-9.0918032787158196E-2</v>
      </c>
      <c r="AT102" s="16">
        <v>0.112436363635497</v>
      </c>
      <c r="AU102" s="16">
        <v>-9.02777777773736E-2</v>
      </c>
      <c r="AV102" s="21">
        <v>2</v>
      </c>
      <c r="AW102" s="21">
        <v>4</v>
      </c>
      <c r="AX102" s="22">
        <v>1.67507073060165E-2</v>
      </c>
      <c r="AY102" s="16">
        <v>3.3680368318746302E-2</v>
      </c>
      <c r="AZ102" s="16">
        <v>-0.31114393771596999</v>
      </c>
      <c r="BA102" s="23">
        <v>43843</v>
      </c>
      <c r="BB102" s="22">
        <v>0.53336242822479096</v>
      </c>
      <c r="BD102" s="63">
        <v>8201754.5800000001</v>
      </c>
      <c r="BE102" s="16">
        <v>0.93550000000046596</v>
      </c>
      <c r="BF102" s="24">
        <v>7672741.4095937498</v>
      </c>
      <c r="BG102" s="16">
        <v>6.44999999999709E-2</v>
      </c>
      <c r="BH102" s="73">
        <v>529013.17041015602</v>
      </c>
      <c r="BI102" s="71" t="s">
        <v>731</v>
      </c>
    </row>
    <row r="103" spans="2:61" x14ac:dyDescent="0.25">
      <c r="B103" s="14" t="s">
        <v>102</v>
      </c>
      <c r="C103" s="14" t="s">
        <v>521</v>
      </c>
      <c r="D103" s="15" t="s">
        <v>316</v>
      </c>
      <c r="E103" s="15" t="s">
        <v>521</v>
      </c>
      <c r="F103" s="15" t="s">
        <v>907</v>
      </c>
      <c r="G103" s="86"/>
      <c r="H103" s="17">
        <v>43460</v>
      </c>
      <c r="I103" s="49"/>
      <c r="J103" s="49"/>
      <c r="K103" s="16" t="str">
        <f t="shared" si="14"/>
        <v/>
      </c>
      <c r="L103" s="17"/>
      <c r="M103" s="49">
        <v>0</v>
      </c>
      <c r="N103" s="49">
        <v>0</v>
      </c>
      <c r="O103" s="16" t="str">
        <f t="shared" si="15"/>
        <v/>
      </c>
      <c r="P103" s="18">
        <v>0</v>
      </c>
      <c r="Q103" s="18">
        <v>0</v>
      </c>
      <c r="R103" s="16" t="str">
        <f t="shared" si="16"/>
        <v/>
      </c>
      <c r="T103" s="19"/>
      <c r="U103" s="19" t="str">
        <f t="shared" si="17"/>
        <v/>
      </c>
      <c r="V103" s="19"/>
      <c r="W103" s="19" t="str">
        <f t="shared" si="18"/>
        <v/>
      </c>
      <c r="X103" s="19"/>
      <c r="Y103" s="19" t="str">
        <f t="shared" si="19"/>
        <v/>
      </c>
      <c r="Z103" s="19"/>
      <c r="AA103" s="19" t="str">
        <f t="shared" si="20"/>
        <v/>
      </c>
      <c r="AB103" s="19"/>
      <c r="AC103" s="19" t="str">
        <f t="shared" si="21"/>
        <v/>
      </c>
      <c r="AD103" s="19"/>
      <c r="AE103" s="19" t="str">
        <f t="shared" si="22"/>
        <v/>
      </c>
      <c r="AF103" s="19"/>
      <c r="AG103" s="19" t="str">
        <f t="shared" si="23"/>
        <v/>
      </c>
      <c r="AH103" s="19"/>
      <c r="AI103" s="19" t="str">
        <f t="shared" si="24"/>
        <v/>
      </c>
      <c r="AJ103" s="19"/>
      <c r="AK103" s="19" t="str">
        <f t="shared" si="25"/>
        <v/>
      </c>
      <c r="AL103" s="19"/>
      <c r="AM103" s="19" t="str">
        <f t="shared" si="26"/>
        <v/>
      </c>
      <c r="AN103" s="19"/>
      <c r="AO103" s="19" t="str">
        <f t="shared" si="27"/>
        <v/>
      </c>
      <c r="AP103" s="20"/>
      <c r="AR103" s="16"/>
      <c r="AS103" s="16"/>
      <c r="AT103" s="16"/>
      <c r="AU103" s="16"/>
      <c r="AV103" s="21"/>
      <c r="AW103" s="21"/>
      <c r="AX103" s="22"/>
      <c r="AY103" s="16"/>
      <c r="AZ103" s="16"/>
      <c r="BA103" s="23"/>
      <c r="BB103" s="22"/>
      <c r="BD103" s="63">
        <v>2900</v>
      </c>
      <c r="BE103" s="16">
        <v>0.69750000000000001</v>
      </c>
      <c r="BF103" s="24">
        <v>2022.75</v>
      </c>
      <c r="BG103" s="16"/>
      <c r="BH103" s="73"/>
      <c r="BI103" s="71" t="s">
        <v>705</v>
      </c>
    </row>
    <row r="104" spans="2:61" x14ac:dyDescent="0.25">
      <c r="B104" s="14" t="s">
        <v>103</v>
      </c>
      <c r="C104" s="14" t="s">
        <v>522</v>
      </c>
      <c r="D104" s="15" t="s">
        <v>317</v>
      </c>
      <c r="E104" s="15" t="s">
        <v>522</v>
      </c>
      <c r="F104" s="15" t="s">
        <v>907</v>
      </c>
      <c r="G104" s="86">
        <v>30195995.280000001</v>
      </c>
      <c r="H104" s="17">
        <v>43997</v>
      </c>
      <c r="I104" s="49"/>
      <c r="J104" s="49">
        <v>690</v>
      </c>
      <c r="K104" s="16">
        <f t="shared" si="14"/>
        <v>0</v>
      </c>
      <c r="L104" s="17">
        <v>43997</v>
      </c>
      <c r="M104" s="49">
        <v>0</v>
      </c>
      <c r="N104" s="49">
        <v>9160.4904899597204</v>
      </c>
      <c r="O104" s="16">
        <f t="shared" si="15"/>
        <v>0</v>
      </c>
      <c r="P104" s="18">
        <v>0</v>
      </c>
      <c r="Q104" s="18">
        <v>0.192771084337437</v>
      </c>
      <c r="R104" s="16">
        <f t="shared" si="16"/>
        <v>0</v>
      </c>
      <c r="T104" s="19"/>
      <c r="U104" s="19" t="str">
        <f t="shared" si="17"/>
        <v/>
      </c>
      <c r="V104" s="19"/>
      <c r="W104" s="19" t="str">
        <f t="shared" si="18"/>
        <v/>
      </c>
      <c r="X104" s="19"/>
      <c r="Y104" s="19" t="str">
        <f t="shared" si="19"/>
        <v/>
      </c>
      <c r="Z104" s="19">
        <v>0.10512384906542099</v>
      </c>
      <c r="AA104" s="19">
        <f t="shared" si="20"/>
        <v>2.3809849825919965E-3</v>
      </c>
      <c r="AB104" s="19"/>
      <c r="AC104" s="19" t="str">
        <f t="shared" si="21"/>
        <v/>
      </c>
      <c r="AD104" s="19"/>
      <c r="AE104" s="19" t="str">
        <f t="shared" si="22"/>
        <v/>
      </c>
      <c r="AF104" s="19"/>
      <c r="AG104" s="19" t="str">
        <f t="shared" si="23"/>
        <v/>
      </c>
      <c r="AH104" s="19"/>
      <c r="AI104" s="19" t="str">
        <f t="shared" si="24"/>
        <v/>
      </c>
      <c r="AJ104" s="19"/>
      <c r="AK104" s="19" t="str">
        <f t="shared" si="25"/>
        <v/>
      </c>
      <c r="AL104" s="19"/>
      <c r="AM104" s="19" t="str">
        <f t="shared" si="26"/>
        <v/>
      </c>
      <c r="AN104" s="19"/>
      <c r="AO104" s="19" t="str">
        <f t="shared" si="27"/>
        <v/>
      </c>
      <c r="AP104" s="20"/>
      <c r="AR104" s="16">
        <v>-2.1276595744893701E-2</v>
      </c>
      <c r="AS104" s="16">
        <v>-2.1276595744893701E-2</v>
      </c>
      <c r="AT104" s="16">
        <v>0.10512384906542099</v>
      </c>
      <c r="AU104" s="16">
        <v>0</v>
      </c>
      <c r="AV104" s="21"/>
      <c r="AW104" s="21"/>
      <c r="AX104" s="22"/>
      <c r="AY104" s="16"/>
      <c r="AZ104" s="16">
        <v>-2.1276595745039199E-2</v>
      </c>
      <c r="BA104" s="23">
        <v>43819</v>
      </c>
      <c r="BB104" s="22"/>
      <c r="BD104" s="63">
        <v>43762.311999999998</v>
      </c>
      <c r="BE104" s="16">
        <v>0.203399999999965</v>
      </c>
      <c r="BF104" s="24">
        <v>8901.2542608032199</v>
      </c>
      <c r="BG104" s="16"/>
      <c r="BH104" s="73"/>
      <c r="BI104" s="71" t="s">
        <v>732</v>
      </c>
    </row>
    <row r="105" spans="2:61" x14ac:dyDescent="0.25">
      <c r="B105" s="14" t="s">
        <v>104</v>
      </c>
      <c r="C105" s="14" t="s">
        <v>523</v>
      </c>
      <c r="D105" s="15" t="s">
        <v>318</v>
      </c>
      <c r="E105" s="15" t="s">
        <v>523</v>
      </c>
      <c r="F105" s="15" t="s">
        <v>907</v>
      </c>
      <c r="G105" s="86">
        <v>1148107655.8399999</v>
      </c>
      <c r="H105" s="17">
        <v>43999</v>
      </c>
      <c r="I105" s="49">
        <v>1090</v>
      </c>
      <c r="J105" s="49">
        <v>1264.93923676945</v>
      </c>
      <c r="K105" s="16">
        <f t="shared" si="14"/>
        <v>0.8617014701700374</v>
      </c>
      <c r="L105" s="17">
        <v>43725</v>
      </c>
      <c r="M105" s="49">
        <v>2668367.0759999999</v>
      </c>
      <c r="N105" s="49">
        <v>1291469.4296699199</v>
      </c>
      <c r="O105" s="16">
        <f t="shared" si="15"/>
        <v>2.0661480749737873</v>
      </c>
      <c r="P105" s="18">
        <v>606</v>
      </c>
      <c r="Q105" s="18">
        <v>384.36144578317197</v>
      </c>
      <c r="R105" s="16">
        <f t="shared" si="16"/>
        <v>1.5766409629488696</v>
      </c>
      <c r="T105" s="19">
        <v>3.8095238094683702E-2</v>
      </c>
      <c r="U105" s="19">
        <f t="shared" si="17"/>
        <v>2.3972837185283404E-2</v>
      </c>
      <c r="V105" s="19">
        <v>0.15343915343881201</v>
      </c>
      <c r="W105" s="19">
        <f t="shared" si="18"/>
        <v>5.8066853844211105E-2</v>
      </c>
      <c r="X105" s="19">
        <v>-4.8034934497991302E-2</v>
      </c>
      <c r="Y105" s="19">
        <f t="shared" si="19"/>
        <v>9.6726044746028708E-2</v>
      </c>
      <c r="Z105" s="19">
        <v>0.14736842105237899</v>
      </c>
      <c r="AA105" s="19">
        <f t="shared" si="20"/>
        <v>4.4625556969549993E-2</v>
      </c>
      <c r="AB105" s="19">
        <v>0.26157407407474198</v>
      </c>
      <c r="AC105" s="19">
        <f t="shared" si="21"/>
        <v>4.0413086627958977E-2</v>
      </c>
      <c r="AD105" s="19">
        <v>-3.4458322261343703E-2</v>
      </c>
      <c r="AE105" s="19">
        <f t="shared" si="22"/>
        <v>0.1356879802962063</v>
      </c>
      <c r="AF105" s="19">
        <v>-0.102463348498568</v>
      </c>
      <c r="AG105" s="19">
        <f t="shared" si="23"/>
        <v>0.10244473439612201</v>
      </c>
      <c r="AH105" s="19">
        <v>-5.93468130419205E-2</v>
      </c>
      <c r="AI105" s="19">
        <f t="shared" si="24"/>
        <v>0.21026113547748551</v>
      </c>
      <c r="AJ105" s="19">
        <v>-2.4876258457879899E-2</v>
      </c>
      <c r="AK105" s="19">
        <f t="shared" si="25"/>
        <v>0.14896793333908109</v>
      </c>
      <c r="AL105" s="19">
        <v>7.7495890462159905E-2</v>
      </c>
      <c r="AM105" s="19">
        <f t="shared" si="26"/>
        <v>7.2815093017197824E-2</v>
      </c>
      <c r="AN105" s="19">
        <v>0.491011568314279</v>
      </c>
      <c r="AO105" s="19">
        <f t="shared" si="27"/>
        <v>0.47972947108253683</v>
      </c>
      <c r="AP105" s="20">
        <v>49.622681668726699</v>
      </c>
      <c r="AR105" s="16">
        <v>0.13684210526305801</v>
      </c>
      <c r="AS105" s="16">
        <v>-0.20322066593973401</v>
      </c>
      <c r="AT105" s="16">
        <v>0.15343915343881201</v>
      </c>
      <c r="AU105" s="16">
        <v>-0.105043610164139</v>
      </c>
      <c r="AV105" s="21">
        <v>2</v>
      </c>
      <c r="AW105" s="21">
        <v>4</v>
      </c>
      <c r="AX105" s="22">
        <v>0.101824780849142</v>
      </c>
      <c r="AY105" s="16">
        <v>6.0200957068736898E-2</v>
      </c>
      <c r="AZ105" s="16">
        <v>-0.381560745382449</v>
      </c>
      <c r="BA105" s="23">
        <v>43846</v>
      </c>
      <c r="BB105" s="22">
        <v>0.82074081666541998</v>
      </c>
      <c r="BD105" s="63">
        <v>1053309.7760000001</v>
      </c>
      <c r="BE105" s="16">
        <v>0.52760000000009299</v>
      </c>
      <c r="BF105" s="24">
        <v>555726.23781738302</v>
      </c>
      <c r="BG105" s="16">
        <v>0.47239999999990701</v>
      </c>
      <c r="BH105" s="73">
        <v>497583.53818261699</v>
      </c>
      <c r="BI105" s="71" t="s">
        <v>733</v>
      </c>
    </row>
    <row r="106" spans="2:61" x14ac:dyDescent="0.25">
      <c r="B106" s="14" t="s">
        <v>105</v>
      </c>
      <c r="C106" s="14" t="s">
        <v>524</v>
      </c>
      <c r="D106" s="15" t="s">
        <v>319</v>
      </c>
      <c r="E106" s="15" t="s">
        <v>524</v>
      </c>
      <c r="F106" s="15" t="s">
        <v>910</v>
      </c>
      <c r="G106" s="86">
        <v>27944401.491437498</v>
      </c>
      <c r="H106" s="17">
        <v>43999</v>
      </c>
      <c r="I106" s="49">
        <v>5.9519999999974997</v>
      </c>
      <c r="J106" s="49">
        <v>47</v>
      </c>
      <c r="K106" s="16">
        <f t="shared" si="14"/>
        <v>0.12663829787228723</v>
      </c>
      <c r="L106" s="17">
        <v>43635</v>
      </c>
      <c r="M106" s="49">
        <v>33571.629000000001</v>
      </c>
      <c r="N106" s="49">
        <v>39000.038650573697</v>
      </c>
      <c r="O106" s="16">
        <f t="shared" si="15"/>
        <v>0.86081014690240976</v>
      </c>
      <c r="P106" s="18">
        <v>84</v>
      </c>
      <c r="Q106" s="18"/>
      <c r="R106" s="16" t="str">
        <f t="shared" si="16"/>
        <v/>
      </c>
      <c r="T106" s="19">
        <v>-3.01450219985782E-2</v>
      </c>
      <c r="U106" s="19">
        <f t="shared" si="17"/>
        <v>-4.4267422907978499E-2</v>
      </c>
      <c r="V106" s="19">
        <v>0.38450802512117699</v>
      </c>
      <c r="W106" s="19">
        <f t="shared" si="18"/>
        <v>0.28913572552657607</v>
      </c>
      <c r="X106" s="19">
        <v>-0.72821917808265402</v>
      </c>
      <c r="Y106" s="19">
        <f t="shared" si="19"/>
        <v>-0.58345819883863403</v>
      </c>
      <c r="Z106" s="19">
        <v>-3.2195121952099698E-2</v>
      </c>
      <c r="AA106" s="19">
        <f t="shared" si="20"/>
        <v>-0.13493798603492868</v>
      </c>
      <c r="AB106" s="19">
        <v>-0.44373831775737899</v>
      </c>
      <c r="AC106" s="19">
        <f t="shared" si="21"/>
        <v>-0.66489930520416196</v>
      </c>
      <c r="AD106" s="19">
        <v>-0.73080054274178097</v>
      </c>
      <c r="AE106" s="19">
        <f t="shared" si="22"/>
        <v>-0.56065424018423093</v>
      </c>
      <c r="AF106" s="19">
        <v>-0.87336170212831399</v>
      </c>
      <c r="AG106" s="19">
        <f t="shared" si="23"/>
        <v>-0.66845361923362401</v>
      </c>
      <c r="AH106" s="19">
        <v>-0.90161983471131002</v>
      </c>
      <c r="AI106" s="19">
        <f t="shared" si="24"/>
        <v>-0.63201188619190396</v>
      </c>
      <c r="AJ106" s="19">
        <v>-0.83638883574400102</v>
      </c>
      <c r="AK106" s="19">
        <f t="shared" si="25"/>
        <v>-0.66254464394704005</v>
      </c>
      <c r="AL106" s="19">
        <v>-0.882031308670994</v>
      </c>
      <c r="AM106" s="19">
        <f t="shared" si="26"/>
        <v>-0.88671210611595608</v>
      </c>
      <c r="AN106" s="19">
        <v>-0.85756129732588304</v>
      </c>
      <c r="AO106" s="19">
        <f t="shared" si="27"/>
        <v>-0.86884339455762527</v>
      </c>
      <c r="AP106" s="20"/>
      <c r="AR106" s="16">
        <v>0.444316288607079</v>
      </c>
      <c r="AS106" s="16">
        <v>-0.32298325723037102</v>
      </c>
      <c r="AT106" s="16">
        <v>0.38450802512117699</v>
      </c>
      <c r="AU106" s="16">
        <v>-0.48904396371275699</v>
      </c>
      <c r="AV106" s="21">
        <v>2</v>
      </c>
      <c r="AW106" s="21">
        <v>4</v>
      </c>
      <c r="AX106" s="22"/>
      <c r="AY106" s="16"/>
      <c r="AZ106" s="16">
        <v>-0.80556309362291401</v>
      </c>
      <c r="BA106" s="23">
        <v>43817</v>
      </c>
      <c r="BB106" s="22">
        <v>3.1749255910835901</v>
      </c>
      <c r="BD106" s="63">
        <v>4694959.9280000003</v>
      </c>
      <c r="BE106" s="16">
        <v>0.34400000000023301</v>
      </c>
      <c r="BF106" s="24">
        <v>1615066.21523242</v>
      </c>
      <c r="BG106" s="16">
        <v>0.39709999999962697</v>
      </c>
      <c r="BH106" s="73">
        <v>1864368.5874081999</v>
      </c>
      <c r="BI106" s="71" t="s">
        <v>734</v>
      </c>
    </row>
    <row r="107" spans="2:61" x14ac:dyDescent="0.25">
      <c r="B107" s="14" t="s">
        <v>106</v>
      </c>
      <c r="C107" s="14" t="s">
        <v>525</v>
      </c>
      <c r="D107" s="15" t="s">
        <v>320</v>
      </c>
      <c r="E107" s="15" t="s">
        <v>525</v>
      </c>
      <c r="F107" s="15" t="s">
        <v>913</v>
      </c>
      <c r="G107" s="86">
        <v>13438822.843656201</v>
      </c>
      <c r="H107" s="17">
        <v>43994</v>
      </c>
      <c r="I107" s="49"/>
      <c r="J107" s="49">
        <v>207</v>
      </c>
      <c r="K107" s="16">
        <f t="shared" si="14"/>
        <v>0</v>
      </c>
      <c r="L107" s="17">
        <v>43657</v>
      </c>
      <c r="M107" s="49">
        <v>0</v>
      </c>
      <c r="N107" s="49">
        <v>3299.73291967773</v>
      </c>
      <c r="O107" s="16">
        <f t="shared" si="15"/>
        <v>0</v>
      </c>
      <c r="P107" s="18">
        <v>0</v>
      </c>
      <c r="Q107" s="18"/>
      <c r="R107" s="16" t="str">
        <f t="shared" si="16"/>
        <v/>
      </c>
      <c r="T107" s="19"/>
      <c r="U107" s="19" t="str">
        <f t="shared" si="17"/>
        <v/>
      </c>
      <c r="V107" s="19"/>
      <c r="W107" s="19" t="str">
        <f t="shared" si="18"/>
        <v/>
      </c>
      <c r="X107" s="19">
        <v>-0.183336784704006</v>
      </c>
      <c r="Y107" s="19">
        <f t="shared" si="19"/>
        <v>-3.8575805459985985E-2</v>
      </c>
      <c r="Z107" s="19"/>
      <c r="AA107" s="19" t="str">
        <f t="shared" si="20"/>
        <v/>
      </c>
      <c r="AB107" s="19">
        <v>-4.7193363936457899E-2</v>
      </c>
      <c r="AC107" s="19">
        <f t="shared" si="21"/>
        <v>-0.26835435138324093</v>
      </c>
      <c r="AD107" s="19">
        <v>-0.20506618289335199</v>
      </c>
      <c r="AE107" s="19">
        <f t="shared" si="22"/>
        <v>-3.4919880335801984E-2</v>
      </c>
      <c r="AF107" s="19"/>
      <c r="AG107" s="19" t="str">
        <f t="shared" si="23"/>
        <v/>
      </c>
      <c r="AH107" s="19">
        <v>-0.46009638929739599</v>
      </c>
      <c r="AI107" s="19">
        <f t="shared" si="24"/>
        <v>-0.19048844077798999</v>
      </c>
      <c r="AJ107" s="19">
        <v>-0.402355770381982</v>
      </c>
      <c r="AK107" s="19">
        <f t="shared" si="25"/>
        <v>-0.228511578585021</v>
      </c>
      <c r="AL107" s="19"/>
      <c r="AM107" s="19" t="str">
        <f t="shared" si="26"/>
        <v/>
      </c>
      <c r="AN107" s="19"/>
      <c r="AO107" s="19" t="str">
        <f t="shared" si="27"/>
        <v/>
      </c>
      <c r="AP107" s="20"/>
      <c r="AR107" s="16">
        <v>0</v>
      </c>
      <c r="AS107" s="16">
        <v>-3.4672304439482098E-2</v>
      </c>
      <c r="AT107" s="16">
        <v>9.2987544794595998E-3</v>
      </c>
      <c r="AU107" s="16">
        <v>-7.8484158211722402E-2</v>
      </c>
      <c r="AV107" s="21">
        <v>1</v>
      </c>
      <c r="AW107" s="21">
        <v>4</v>
      </c>
      <c r="AX107" s="22"/>
      <c r="AY107" s="16"/>
      <c r="AZ107" s="16">
        <v>-0.21238997514010399</v>
      </c>
      <c r="BA107" s="23">
        <v>43817</v>
      </c>
      <c r="BB107" s="22">
        <v>0.162019347261321</v>
      </c>
      <c r="BD107" s="63">
        <v>113589.91499999999</v>
      </c>
      <c r="BE107" s="16">
        <v>0.34799999999988401</v>
      </c>
      <c r="BF107" s="24">
        <v>39529.290419982899</v>
      </c>
      <c r="BG107" s="16"/>
      <c r="BH107" s="73"/>
      <c r="BI107" s="71" t="s">
        <v>735</v>
      </c>
    </row>
    <row r="108" spans="2:61" x14ac:dyDescent="0.25">
      <c r="B108" s="14" t="s">
        <v>107</v>
      </c>
      <c r="C108" s="14" t="s">
        <v>526</v>
      </c>
      <c r="D108" s="15" t="s">
        <v>321</v>
      </c>
      <c r="E108" s="15" t="s">
        <v>526</v>
      </c>
      <c r="F108" s="15" t="s">
        <v>907</v>
      </c>
      <c r="G108" s="86">
        <v>317349591.34799999</v>
      </c>
      <c r="H108" s="17">
        <v>43557</v>
      </c>
      <c r="I108" s="49"/>
      <c r="J108" s="49"/>
      <c r="K108" s="16" t="str">
        <f t="shared" si="14"/>
        <v/>
      </c>
      <c r="L108" s="17"/>
      <c r="M108" s="49">
        <v>0</v>
      </c>
      <c r="N108" s="49">
        <v>0</v>
      </c>
      <c r="O108" s="16" t="str">
        <f t="shared" si="15"/>
        <v/>
      </c>
      <c r="P108" s="18">
        <v>0</v>
      </c>
      <c r="Q108" s="18">
        <v>0</v>
      </c>
      <c r="R108" s="16" t="str">
        <f t="shared" si="16"/>
        <v/>
      </c>
      <c r="T108" s="19"/>
      <c r="U108" s="19" t="str">
        <f t="shared" si="17"/>
        <v/>
      </c>
      <c r="V108" s="19"/>
      <c r="W108" s="19" t="str">
        <f t="shared" si="18"/>
        <v/>
      </c>
      <c r="X108" s="19"/>
      <c r="Y108" s="19" t="str">
        <f t="shared" si="19"/>
        <v/>
      </c>
      <c r="Z108" s="19"/>
      <c r="AA108" s="19" t="str">
        <f t="shared" si="20"/>
        <v/>
      </c>
      <c r="AB108" s="19"/>
      <c r="AC108" s="19" t="str">
        <f t="shared" si="21"/>
        <v/>
      </c>
      <c r="AD108" s="19"/>
      <c r="AE108" s="19" t="str">
        <f t="shared" si="22"/>
        <v/>
      </c>
      <c r="AF108" s="19"/>
      <c r="AG108" s="19" t="str">
        <f t="shared" si="23"/>
        <v/>
      </c>
      <c r="AH108" s="19"/>
      <c r="AI108" s="19" t="str">
        <f t="shared" si="24"/>
        <v/>
      </c>
      <c r="AJ108" s="19"/>
      <c r="AK108" s="19" t="str">
        <f t="shared" si="25"/>
        <v/>
      </c>
      <c r="AL108" s="19"/>
      <c r="AM108" s="19" t="str">
        <f t="shared" si="26"/>
        <v/>
      </c>
      <c r="AN108" s="19"/>
      <c r="AO108" s="19" t="str">
        <f t="shared" si="27"/>
        <v/>
      </c>
      <c r="AP108" s="20"/>
      <c r="AR108" s="16"/>
      <c r="AS108" s="16"/>
      <c r="AT108" s="16"/>
      <c r="AU108" s="16"/>
      <c r="AV108" s="21"/>
      <c r="AW108" s="21"/>
      <c r="AX108" s="22"/>
      <c r="AY108" s="16"/>
      <c r="AZ108" s="16"/>
      <c r="BA108" s="23"/>
      <c r="BB108" s="22"/>
      <c r="BD108" s="63">
        <v>2489.297</v>
      </c>
      <c r="BE108" s="16">
        <v>0.89560000000055895</v>
      </c>
      <c r="BF108" s="24">
        <v>23684857.834281299</v>
      </c>
      <c r="BG108" s="16"/>
      <c r="BH108" s="73"/>
      <c r="BI108" s="71" t="s">
        <v>736</v>
      </c>
    </row>
    <row r="109" spans="2:61" x14ac:dyDescent="0.25">
      <c r="B109" s="14" t="s">
        <v>108</v>
      </c>
      <c r="C109" s="14" t="s">
        <v>527</v>
      </c>
      <c r="D109" s="15" t="s">
        <v>321</v>
      </c>
      <c r="E109" s="15" t="s">
        <v>527</v>
      </c>
      <c r="F109" s="15" t="s">
        <v>907</v>
      </c>
      <c r="G109" s="86">
        <v>317349591.34799999</v>
      </c>
      <c r="H109" s="17"/>
      <c r="I109" s="49"/>
      <c r="J109" s="49"/>
      <c r="K109" s="16" t="str">
        <f t="shared" si="14"/>
        <v/>
      </c>
      <c r="L109" s="17"/>
      <c r="M109" s="49">
        <v>0</v>
      </c>
      <c r="N109" s="49"/>
      <c r="O109" s="16" t="str">
        <f t="shared" si="15"/>
        <v/>
      </c>
      <c r="P109" s="18">
        <v>0</v>
      </c>
      <c r="Q109" s="18"/>
      <c r="R109" s="16" t="str">
        <f t="shared" si="16"/>
        <v/>
      </c>
      <c r="T109" s="19"/>
      <c r="U109" s="19" t="str">
        <f t="shared" si="17"/>
        <v/>
      </c>
      <c r="V109" s="19"/>
      <c r="W109" s="19" t="str">
        <f t="shared" si="18"/>
        <v/>
      </c>
      <c r="X109" s="19"/>
      <c r="Y109" s="19" t="str">
        <f t="shared" si="19"/>
        <v/>
      </c>
      <c r="Z109" s="19"/>
      <c r="AA109" s="19" t="str">
        <f t="shared" si="20"/>
        <v/>
      </c>
      <c r="AB109" s="19"/>
      <c r="AC109" s="19" t="str">
        <f t="shared" si="21"/>
        <v/>
      </c>
      <c r="AD109" s="19"/>
      <c r="AE109" s="19" t="str">
        <f t="shared" si="22"/>
        <v/>
      </c>
      <c r="AF109" s="19"/>
      <c r="AG109" s="19" t="str">
        <f t="shared" si="23"/>
        <v/>
      </c>
      <c r="AH109" s="19"/>
      <c r="AI109" s="19" t="str">
        <f t="shared" si="24"/>
        <v/>
      </c>
      <c r="AJ109" s="19"/>
      <c r="AK109" s="19" t="str">
        <f t="shared" si="25"/>
        <v/>
      </c>
      <c r="AL109" s="19"/>
      <c r="AM109" s="19" t="str">
        <f t="shared" si="26"/>
        <v/>
      </c>
      <c r="AN109" s="19"/>
      <c r="AO109" s="19" t="str">
        <f t="shared" si="27"/>
        <v/>
      </c>
      <c r="AP109" s="20"/>
      <c r="AR109" s="16"/>
      <c r="AS109" s="16"/>
      <c r="AT109" s="16"/>
      <c r="AU109" s="16"/>
      <c r="AV109" s="21"/>
      <c r="AW109" s="21"/>
      <c r="AX109" s="22"/>
      <c r="AY109" s="16"/>
      <c r="AZ109" s="16"/>
      <c r="BA109" s="23"/>
      <c r="BB109" s="22"/>
      <c r="BD109" s="63">
        <v>155.28200000000001</v>
      </c>
      <c r="BE109" s="16">
        <v>0.89560000000055895</v>
      </c>
      <c r="BF109" s="24">
        <v>23684857.834281299</v>
      </c>
      <c r="BG109" s="16"/>
      <c r="BH109" s="73"/>
      <c r="BI109" s="71" t="s">
        <v>736</v>
      </c>
    </row>
    <row r="110" spans="2:61" x14ac:dyDescent="0.25">
      <c r="B110" s="14" t="s">
        <v>109</v>
      </c>
      <c r="C110" s="14" t="s">
        <v>528</v>
      </c>
      <c r="D110" s="15" t="s">
        <v>321</v>
      </c>
      <c r="E110" s="15" t="s">
        <v>528</v>
      </c>
      <c r="F110" s="15" t="s">
        <v>907</v>
      </c>
      <c r="G110" s="86">
        <v>317349591.34799999</v>
      </c>
      <c r="H110" s="17">
        <v>43970</v>
      </c>
      <c r="I110" s="49"/>
      <c r="J110" s="49">
        <v>12.5039633333363</v>
      </c>
      <c r="K110" s="16">
        <f t="shared" si="14"/>
        <v>0</v>
      </c>
      <c r="L110" s="17">
        <v>43754</v>
      </c>
      <c r="M110" s="49">
        <v>0</v>
      </c>
      <c r="N110" s="49">
        <v>593.90917269039198</v>
      </c>
      <c r="O110" s="16">
        <f t="shared" si="15"/>
        <v>0</v>
      </c>
      <c r="P110" s="18">
        <v>0</v>
      </c>
      <c r="Q110" s="18">
        <v>0.14859437751010801</v>
      </c>
      <c r="R110" s="16">
        <f t="shared" si="16"/>
        <v>0</v>
      </c>
      <c r="T110" s="19"/>
      <c r="U110" s="19" t="str">
        <f t="shared" si="17"/>
        <v/>
      </c>
      <c r="V110" s="19"/>
      <c r="W110" s="19" t="str">
        <f t="shared" si="18"/>
        <v/>
      </c>
      <c r="X110" s="19"/>
      <c r="Y110" s="19" t="str">
        <f t="shared" si="19"/>
        <v/>
      </c>
      <c r="Z110" s="19"/>
      <c r="AA110" s="19" t="str">
        <f t="shared" si="20"/>
        <v/>
      </c>
      <c r="AB110" s="19"/>
      <c r="AC110" s="19" t="str">
        <f t="shared" si="21"/>
        <v/>
      </c>
      <c r="AD110" s="19"/>
      <c r="AE110" s="19" t="str">
        <f t="shared" si="22"/>
        <v/>
      </c>
      <c r="AF110" s="19"/>
      <c r="AG110" s="19" t="str">
        <f t="shared" si="23"/>
        <v/>
      </c>
      <c r="AH110" s="19"/>
      <c r="AI110" s="19" t="str">
        <f t="shared" si="24"/>
        <v/>
      </c>
      <c r="AJ110" s="19"/>
      <c r="AK110" s="19" t="str">
        <f t="shared" si="25"/>
        <v/>
      </c>
      <c r="AL110" s="19"/>
      <c r="AM110" s="19" t="str">
        <f t="shared" si="26"/>
        <v/>
      </c>
      <c r="AN110" s="19"/>
      <c r="AO110" s="19" t="str">
        <f t="shared" si="27"/>
        <v/>
      </c>
      <c r="AP110" s="20"/>
      <c r="AR110" s="16">
        <v>0</v>
      </c>
      <c r="AS110" s="16">
        <v>0</v>
      </c>
      <c r="AT110" s="16">
        <v>0</v>
      </c>
      <c r="AU110" s="16">
        <v>0</v>
      </c>
      <c r="AV110" s="21"/>
      <c r="AW110" s="21"/>
      <c r="AX110" s="22"/>
      <c r="AY110" s="16"/>
      <c r="AZ110" s="16">
        <v>0</v>
      </c>
      <c r="BA110" s="23">
        <v>43826</v>
      </c>
      <c r="BB110" s="22"/>
      <c r="BD110" s="63">
        <v>26443154.699999999</v>
      </c>
      <c r="BE110" s="16">
        <v>0.89560000000055895</v>
      </c>
      <c r="BF110" s="24">
        <v>23684857.834281299</v>
      </c>
      <c r="BG110" s="16"/>
      <c r="BH110" s="73"/>
      <c r="BI110" s="71" t="s">
        <v>736</v>
      </c>
    </row>
    <row r="111" spans="2:61" x14ac:dyDescent="0.25">
      <c r="B111" s="14" t="s">
        <v>110</v>
      </c>
      <c r="C111" s="14" t="s">
        <v>529</v>
      </c>
      <c r="D111" s="15" t="s">
        <v>322</v>
      </c>
      <c r="E111" s="15" t="s">
        <v>529</v>
      </c>
      <c r="F111" s="15" t="s">
        <v>913</v>
      </c>
      <c r="G111" s="86"/>
      <c r="H111" s="17">
        <v>43963</v>
      </c>
      <c r="I111" s="49"/>
      <c r="J111" s="49">
        <v>5532.66044324636</v>
      </c>
      <c r="K111" s="16">
        <f t="shared" si="14"/>
        <v>0</v>
      </c>
      <c r="L111" s="17">
        <v>43810</v>
      </c>
      <c r="M111" s="49">
        <v>0</v>
      </c>
      <c r="N111" s="49">
        <v>645.89036546230295</v>
      </c>
      <c r="O111" s="16">
        <f t="shared" si="15"/>
        <v>0</v>
      </c>
      <c r="P111" s="18">
        <v>0</v>
      </c>
      <c r="Q111" s="18">
        <v>0.20481927710852699</v>
      </c>
      <c r="R111" s="16">
        <f t="shared" si="16"/>
        <v>0</v>
      </c>
      <c r="T111" s="19"/>
      <c r="U111" s="19" t="str">
        <f t="shared" si="17"/>
        <v/>
      </c>
      <c r="V111" s="19"/>
      <c r="W111" s="19" t="str">
        <f t="shared" si="18"/>
        <v/>
      </c>
      <c r="X111" s="19"/>
      <c r="Y111" s="19" t="str">
        <f t="shared" si="19"/>
        <v/>
      </c>
      <c r="Z111" s="19"/>
      <c r="AA111" s="19" t="str">
        <f t="shared" si="20"/>
        <v/>
      </c>
      <c r="AB111" s="19"/>
      <c r="AC111" s="19" t="str">
        <f t="shared" si="21"/>
        <v/>
      </c>
      <c r="AD111" s="19"/>
      <c r="AE111" s="19" t="str">
        <f t="shared" si="22"/>
        <v/>
      </c>
      <c r="AF111" s="19"/>
      <c r="AG111" s="19" t="str">
        <f t="shared" si="23"/>
        <v/>
      </c>
      <c r="AH111" s="19"/>
      <c r="AI111" s="19" t="str">
        <f t="shared" si="24"/>
        <v/>
      </c>
      <c r="AJ111" s="19"/>
      <c r="AK111" s="19" t="str">
        <f t="shared" si="25"/>
        <v/>
      </c>
      <c r="AL111" s="19"/>
      <c r="AM111" s="19" t="str">
        <f t="shared" si="26"/>
        <v/>
      </c>
      <c r="AN111" s="19"/>
      <c r="AO111" s="19" t="str">
        <f t="shared" si="27"/>
        <v/>
      </c>
      <c r="AP111" s="20"/>
      <c r="AR111" s="16">
        <v>0</v>
      </c>
      <c r="AS111" s="16">
        <v>0</v>
      </c>
      <c r="AT111" s="16">
        <v>5.95240617913078E-2</v>
      </c>
      <c r="AU111" s="16">
        <v>0</v>
      </c>
      <c r="AV111" s="21"/>
      <c r="AW111" s="21"/>
      <c r="AX111" s="22"/>
      <c r="AY111" s="16"/>
      <c r="AZ111" s="16">
        <v>-7.9561913457018799E-3</v>
      </c>
      <c r="BA111" s="23">
        <v>43909</v>
      </c>
      <c r="BB111" s="22"/>
      <c r="BD111" s="63">
        <v>24886.705999999998</v>
      </c>
      <c r="BE111" s="16">
        <v>0.263399999999965</v>
      </c>
      <c r="BF111" s="24">
        <v>6555.1583603973404</v>
      </c>
      <c r="BG111" s="16">
        <v>1</v>
      </c>
      <c r="BH111" s="73">
        <v>24886.705999999998</v>
      </c>
      <c r="BI111" s="71" t="s">
        <v>737</v>
      </c>
    </row>
    <row r="112" spans="2:61" x14ac:dyDescent="0.25">
      <c r="B112" s="14" t="s">
        <v>111</v>
      </c>
      <c r="C112" s="14" t="s">
        <v>530</v>
      </c>
      <c r="D112" s="15" t="s">
        <v>323</v>
      </c>
      <c r="E112" s="15" t="s">
        <v>530</v>
      </c>
      <c r="F112" s="15" t="s">
        <v>907</v>
      </c>
      <c r="G112" s="86">
        <v>254358697.71200001</v>
      </c>
      <c r="H112" s="17">
        <v>43937</v>
      </c>
      <c r="I112" s="49"/>
      <c r="J112" s="49">
        <v>5.1999999999896595E-4</v>
      </c>
      <c r="K112" s="16">
        <f t="shared" si="14"/>
        <v>0</v>
      </c>
      <c r="L112" s="17">
        <v>43937</v>
      </c>
      <c r="M112" s="49">
        <v>0</v>
      </c>
      <c r="N112" s="49">
        <v>2.0321285140562401E-3</v>
      </c>
      <c r="O112" s="16">
        <f t="shared" si="15"/>
        <v>0</v>
      </c>
      <c r="P112" s="18">
        <v>0</v>
      </c>
      <c r="Q112" s="18">
        <v>2.0080321285149701E-2</v>
      </c>
      <c r="R112" s="16">
        <f t="shared" si="16"/>
        <v>0</v>
      </c>
      <c r="T112" s="19"/>
      <c r="U112" s="19" t="str">
        <f t="shared" si="17"/>
        <v/>
      </c>
      <c r="V112" s="19"/>
      <c r="W112" s="19" t="str">
        <f t="shared" si="18"/>
        <v/>
      </c>
      <c r="X112" s="19"/>
      <c r="Y112" s="19" t="str">
        <f t="shared" si="19"/>
        <v/>
      </c>
      <c r="Z112" s="19"/>
      <c r="AA112" s="19" t="str">
        <f t="shared" si="20"/>
        <v/>
      </c>
      <c r="AB112" s="19"/>
      <c r="AC112" s="19" t="str">
        <f t="shared" si="21"/>
        <v/>
      </c>
      <c r="AD112" s="19"/>
      <c r="AE112" s="19" t="str">
        <f t="shared" si="22"/>
        <v/>
      </c>
      <c r="AF112" s="19"/>
      <c r="AG112" s="19" t="str">
        <f t="shared" si="23"/>
        <v/>
      </c>
      <c r="AH112" s="19"/>
      <c r="AI112" s="19" t="str">
        <f t="shared" si="24"/>
        <v/>
      </c>
      <c r="AJ112" s="19"/>
      <c r="AK112" s="19" t="str">
        <f t="shared" si="25"/>
        <v/>
      </c>
      <c r="AL112" s="19"/>
      <c r="AM112" s="19" t="str">
        <f t="shared" si="26"/>
        <v/>
      </c>
      <c r="AN112" s="19"/>
      <c r="AO112" s="19" t="str">
        <f t="shared" si="27"/>
        <v/>
      </c>
      <c r="AP112" s="20"/>
      <c r="AR112" s="16"/>
      <c r="AS112" s="16"/>
      <c r="AT112" s="16"/>
      <c r="AU112" s="16"/>
      <c r="AV112" s="21"/>
      <c r="AW112" s="21"/>
      <c r="AX112" s="22"/>
      <c r="AY112" s="16"/>
      <c r="AZ112" s="16">
        <v>0</v>
      </c>
      <c r="BA112" s="23">
        <v>43858</v>
      </c>
      <c r="BB112" s="22"/>
      <c r="BD112" s="63">
        <v>3553436.5460000001</v>
      </c>
      <c r="BE112" s="16">
        <v>0.294300000000221</v>
      </c>
      <c r="BF112" s="24">
        <v>4403397925.6879997</v>
      </c>
      <c r="BG112" s="16"/>
      <c r="BH112" s="73"/>
      <c r="BI112" s="71" t="s">
        <v>738</v>
      </c>
    </row>
    <row r="113" spans="2:61" x14ac:dyDescent="0.25">
      <c r="B113" s="14" t="s">
        <v>112</v>
      </c>
      <c r="C113" s="14" t="s">
        <v>531</v>
      </c>
      <c r="D113" s="15" t="s">
        <v>323</v>
      </c>
      <c r="E113" s="15" t="s">
        <v>531</v>
      </c>
      <c r="F113" s="15" t="s">
        <v>907</v>
      </c>
      <c r="G113" s="86">
        <v>254358697.71200001</v>
      </c>
      <c r="H113" s="17"/>
      <c r="I113" s="49"/>
      <c r="J113" s="49"/>
      <c r="K113" s="16" t="str">
        <f t="shared" si="14"/>
        <v/>
      </c>
      <c r="L113" s="17"/>
      <c r="M113" s="49">
        <v>0</v>
      </c>
      <c r="N113" s="49"/>
      <c r="O113" s="16" t="str">
        <f t="shared" si="15"/>
        <v/>
      </c>
      <c r="P113" s="18">
        <v>0</v>
      </c>
      <c r="Q113" s="18"/>
      <c r="R113" s="16" t="str">
        <f t="shared" si="16"/>
        <v/>
      </c>
      <c r="T113" s="19"/>
      <c r="U113" s="19" t="str">
        <f t="shared" si="17"/>
        <v/>
      </c>
      <c r="V113" s="19"/>
      <c r="W113" s="19" t="str">
        <f t="shared" si="18"/>
        <v/>
      </c>
      <c r="X113" s="19"/>
      <c r="Y113" s="19" t="str">
        <f t="shared" si="19"/>
        <v/>
      </c>
      <c r="Z113" s="19"/>
      <c r="AA113" s="19" t="str">
        <f t="shared" si="20"/>
        <v/>
      </c>
      <c r="AB113" s="19"/>
      <c r="AC113" s="19" t="str">
        <f t="shared" si="21"/>
        <v/>
      </c>
      <c r="AD113" s="19"/>
      <c r="AE113" s="19" t="str">
        <f t="shared" si="22"/>
        <v/>
      </c>
      <c r="AF113" s="19"/>
      <c r="AG113" s="19" t="str">
        <f t="shared" si="23"/>
        <v/>
      </c>
      <c r="AH113" s="19"/>
      <c r="AI113" s="19" t="str">
        <f t="shared" si="24"/>
        <v/>
      </c>
      <c r="AJ113" s="19"/>
      <c r="AK113" s="19" t="str">
        <f t="shared" si="25"/>
        <v/>
      </c>
      <c r="AL113" s="19"/>
      <c r="AM113" s="19" t="str">
        <f t="shared" si="26"/>
        <v/>
      </c>
      <c r="AN113" s="19"/>
      <c r="AO113" s="19" t="str">
        <f t="shared" si="27"/>
        <v/>
      </c>
      <c r="AP113" s="20"/>
      <c r="AR113" s="16"/>
      <c r="AS113" s="16"/>
      <c r="AT113" s="16"/>
      <c r="AU113" s="16"/>
      <c r="AV113" s="21"/>
      <c r="AW113" s="21"/>
      <c r="AX113" s="22"/>
      <c r="AY113" s="16"/>
      <c r="AZ113" s="16"/>
      <c r="BA113" s="23"/>
      <c r="BB113" s="22"/>
      <c r="BD113" s="63">
        <v>187132.538</v>
      </c>
      <c r="BE113" s="16">
        <v>0.294300000000221</v>
      </c>
      <c r="BF113" s="24">
        <v>4403397925.6879997</v>
      </c>
      <c r="BG113" s="16"/>
      <c r="BH113" s="73"/>
      <c r="BI113" s="71" t="s">
        <v>738</v>
      </c>
    </row>
    <row r="114" spans="2:61" x14ac:dyDescent="0.25">
      <c r="B114" s="14" t="s">
        <v>113</v>
      </c>
      <c r="C114" s="14" t="s">
        <v>532</v>
      </c>
      <c r="D114" s="15" t="s">
        <v>323</v>
      </c>
      <c r="E114" s="15" t="s">
        <v>532</v>
      </c>
      <c r="F114" s="15" t="s">
        <v>907</v>
      </c>
      <c r="G114" s="86">
        <v>254358697.71200001</v>
      </c>
      <c r="H114" s="17">
        <v>43999</v>
      </c>
      <c r="I114" s="49">
        <v>1.69999999999959E-2</v>
      </c>
      <c r="J114" s="49">
        <v>1.74917647058805E-2</v>
      </c>
      <c r="K114" s="16">
        <f t="shared" si="14"/>
        <v>0.97188592951291675</v>
      </c>
      <c r="L114" s="17">
        <v>43725</v>
      </c>
      <c r="M114" s="49">
        <v>340</v>
      </c>
      <c r="N114" s="49">
        <v>221.72897991967201</v>
      </c>
      <c r="O114" s="16">
        <f t="shared" si="15"/>
        <v>1.5334035276903146</v>
      </c>
      <c r="P114" s="18"/>
      <c r="Q114" s="18"/>
      <c r="R114" s="16" t="str">
        <f t="shared" si="16"/>
        <v/>
      </c>
      <c r="T114" s="19"/>
      <c r="U114" s="19" t="str">
        <f t="shared" si="17"/>
        <v/>
      </c>
      <c r="V114" s="19">
        <v>0</v>
      </c>
      <c r="W114" s="19">
        <f t="shared" si="18"/>
        <v>-9.5372299594600904E-2</v>
      </c>
      <c r="X114" s="19">
        <v>2.9055690072709701E-2</v>
      </c>
      <c r="Y114" s="19">
        <f t="shared" si="19"/>
        <v>0.1738166693167297</v>
      </c>
      <c r="Z114" s="19"/>
      <c r="AA114" s="19" t="str">
        <f t="shared" si="20"/>
        <v/>
      </c>
      <c r="AB114" s="19">
        <v>2.9055690072709701E-2</v>
      </c>
      <c r="AC114" s="19">
        <f t="shared" si="21"/>
        <v>-0.19210529737407331</v>
      </c>
      <c r="AD114" s="19">
        <v>2.9055690072709701E-2</v>
      </c>
      <c r="AE114" s="19">
        <f t="shared" si="22"/>
        <v>0.1992019926302597</v>
      </c>
      <c r="AF114" s="19">
        <v>-2.8114070487390602E-2</v>
      </c>
      <c r="AG114" s="19">
        <f t="shared" si="23"/>
        <v>0.17679401240729942</v>
      </c>
      <c r="AH114" s="19"/>
      <c r="AI114" s="19" t="str">
        <f t="shared" si="24"/>
        <v/>
      </c>
      <c r="AJ114" s="19">
        <v>-0.32303745435026898</v>
      </c>
      <c r="AK114" s="19">
        <f t="shared" si="25"/>
        <v>-0.14919326255330798</v>
      </c>
      <c r="AL114" s="19"/>
      <c r="AM114" s="19" t="str">
        <f t="shared" si="26"/>
        <v/>
      </c>
      <c r="AN114" s="19">
        <v>-0.29962603488995199</v>
      </c>
      <c r="AO114" s="19">
        <f t="shared" si="27"/>
        <v>-0.31090813212169421</v>
      </c>
      <c r="AP114" s="20"/>
      <c r="AR114" s="16">
        <v>0</v>
      </c>
      <c r="AS114" s="16">
        <v>0</v>
      </c>
      <c r="AT114" s="16">
        <v>2.9055690072709701E-2</v>
      </c>
      <c r="AU114" s="16">
        <v>0</v>
      </c>
      <c r="AV114" s="21">
        <v>1</v>
      </c>
      <c r="AW114" s="21">
        <v>0</v>
      </c>
      <c r="AX114" s="22"/>
      <c r="AY114" s="16"/>
      <c r="AZ114" s="16">
        <v>0</v>
      </c>
      <c r="BA114" s="23">
        <v>43976</v>
      </c>
      <c r="BB114" s="22">
        <v>-2.5434544275981401E-2</v>
      </c>
      <c r="BD114" s="63">
        <v>14958535766.912001</v>
      </c>
      <c r="BE114" s="16">
        <v>0.294300000000221</v>
      </c>
      <c r="BF114" s="24">
        <v>4403397925.6879997</v>
      </c>
      <c r="BG114" s="16"/>
      <c r="BH114" s="73"/>
      <c r="BI114" s="71" t="s">
        <v>738</v>
      </c>
    </row>
    <row r="115" spans="2:61" x14ac:dyDescent="0.25">
      <c r="B115" s="14" t="s">
        <v>114</v>
      </c>
      <c r="C115" s="14" t="s">
        <v>533</v>
      </c>
      <c r="D115" s="15" t="s">
        <v>324</v>
      </c>
      <c r="E115" s="15" t="s">
        <v>533</v>
      </c>
      <c r="F115" s="15" t="s">
        <v>915</v>
      </c>
      <c r="G115" s="86">
        <v>6109036671.6160002</v>
      </c>
      <c r="H115" s="17">
        <v>43999</v>
      </c>
      <c r="I115" s="49">
        <v>2435</v>
      </c>
      <c r="J115" s="49">
        <v>4443.6339783221501</v>
      </c>
      <c r="K115" s="16">
        <f t="shared" si="14"/>
        <v>0.54797492590049457</v>
      </c>
      <c r="L115" s="17">
        <v>43663</v>
      </c>
      <c r="M115" s="49">
        <v>14716990.575999999</v>
      </c>
      <c r="N115" s="49">
        <v>9022977.7062031291</v>
      </c>
      <c r="O115" s="16">
        <f t="shared" si="15"/>
        <v>1.6310569587113513</v>
      </c>
      <c r="P115" s="18">
        <v>2421</v>
      </c>
      <c r="Q115" s="18">
        <v>1369.73092369549</v>
      </c>
      <c r="R115" s="16">
        <f t="shared" si="16"/>
        <v>1.7675004324705028</v>
      </c>
      <c r="T115" s="19">
        <v>3.6302506703577798E-2</v>
      </c>
      <c r="U115" s="19">
        <f t="shared" si="17"/>
        <v>2.21801057941775E-2</v>
      </c>
      <c r="V115" s="19">
        <v>0.30563002680894003</v>
      </c>
      <c r="W115" s="19">
        <f t="shared" si="18"/>
        <v>0.21025772721433911</v>
      </c>
      <c r="X115" s="19">
        <v>-0.23915854163729799</v>
      </c>
      <c r="Y115" s="19">
        <f t="shared" si="19"/>
        <v>-9.4397562393277984E-2</v>
      </c>
      <c r="Z115" s="19">
        <v>0.14609808905152</v>
      </c>
      <c r="AA115" s="19">
        <f t="shared" si="20"/>
        <v>4.3355224968691E-2</v>
      </c>
      <c r="AB115" s="19">
        <v>0.30498601558065302</v>
      </c>
      <c r="AC115" s="19">
        <f t="shared" si="21"/>
        <v>8.3825028133870022E-2</v>
      </c>
      <c r="AD115" s="19">
        <v>-0.244079836132296</v>
      </c>
      <c r="AE115" s="19">
        <f t="shared" si="22"/>
        <v>-7.3933533574745997E-2</v>
      </c>
      <c r="AF115" s="19">
        <v>-0.430511046985048</v>
      </c>
      <c r="AG115" s="19">
        <f t="shared" si="23"/>
        <v>-0.22560296409035799</v>
      </c>
      <c r="AH115" s="19">
        <v>-0.58722081398533199</v>
      </c>
      <c r="AI115" s="19">
        <f t="shared" si="24"/>
        <v>-0.31761286546592599</v>
      </c>
      <c r="AJ115" s="19">
        <v>-0.55264256696857095</v>
      </c>
      <c r="AK115" s="19">
        <f t="shared" si="25"/>
        <v>-0.37879837517160997</v>
      </c>
      <c r="AL115" s="19">
        <v>-0.47391925336269203</v>
      </c>
      <c r="AM115" s="19">
        <f t="shared" si="26"/>
        <v>-0.47860005080765411</v>
      </c>
      <c r="AN115" s="19">
        <v>-0.43325748059956798</v>
      </c>
      <c r="AO115" s="19">
        <f t="shared" si="27"/>
        <v>-0.44453957783131015</v>
      </c>
      <c r="AP115" s="20">
        <v>51.081302892998799</v>
      </c>
      <c r="AR115" s="16">
        <v>0.13888888888876</v>
      </c>
      <c r="AS115" s="16">
        <v>-0.19665271966543499</v>
      </c>
      <c r="AT115" s="16">
        <v>0.30563002680894003</v>
      </c>
      <c r="AU115" s="16">
        <v>-0.30661764705931999</v>
      </c>
      <c r="AV115" s="21">
        <v>2</v>
      </c>
      <c r="AW115" s="21">
        <v>4</v>
      </c>
      <c r="AX115" s="22">
        <v>-0.60104680188487702</v>
      </c>
      <c r="AY115" s="16">
        <v>6.2545253868738701E-2</v>
      </c>
      <c r="AZ115" s="16">
        <v>-0.56901408450678004</v>
      </c>
      <c r="BA115" s="23">
        <v>43840</v>
      </c>
      <c r="BB115" s="22">
        <v>1.9887992115563999</v>
      </c>
      <c r="BD115" s="63">
        <v>2508844.6290000002</v>
      </c>
      <c r="BE115" s="16">
        <v>0.106699999999983</v>
      </c>
      <c r="BF115" s="24">
        <v>267693.72191430698</v>
      </c>
      <c r="BG115" s="16">
        <v>0.26499999999970902</v>
      </c>
      <c r="BH115" s="73">
        <v>664843.82668457006</v>
      </c>
      <c r="BI115" s="71" t="s">
        <v>694</v>
      </c>
    </row>
    <row r="116" spans="2:61" x14ac:dyDescent="0.25">
      <c r="B116" s="14" t="s">
        <v>115</v>
      </c>
      <c r="C116" s="14" t="s">
        <v>534</v>
      </c>
      <c r="D116" s="15" t="s">
        <v>325</v>
      </c>
      <c r="E116" s="15" t="s">
        <v>534</v>
      </c>
      <c r="F116" s="15" t="s">
        <v>909</v>
      </c>
      <c r="G116" s="86"/>
      <c r="H116" s="17">
        <v>43447</v>
      </c>
      <c r="I116" s="49"/>
      <c r="J116" s="49"/>
      <c r="K116" s="16" t="str">
        <f t="shared" si="14"/>
        <v/>
      </c>
      <c r="L116" s="17"/>
      <c r="M116" s="49">
        <v>0</v>
      </c>
      <c r="N116" s="49">
        <v>0</v>
      </c>
      <c r="O116" s="16" t="str">
        <f t="shared" si="15"/>
        <v/>
      </c>
      <c r="P116" s="18">
        <v>0</v>
      </c>
      <c r="Q116" s="18">
        <v>0</v>
      </c>
      <c r="R116" s="16" t="str">
        <f t="shared" si="16"/>
        <v/>
      </c>
      <c r="T116" s="19"/>
      <c r="U116" s="19" t="str">
        <f t="shared" si="17"/>
        <v/>
      </c>
      <c r="V116" s="19"/>
      <c r="W116" s="19" t="str">
        <f t="shared" si="18"/>
        <v/>
      </c>
      <c r="X116" s="19"/>
      <c r="Y116" s="19" t="str">
        <f t="shared" si="19"/>
        <v/>
      </c>
      <c r="Z116" s="19"/>
      <c r="AA116" s="19" t="str">
        <f t="shared" si="20"/>
        <v/>
      </c>
      <c r="AB116" s="19"/>
      <c r="AC116" s="19" t="str">
        <f t="shared" si="21"/>
        <v/>
      </c>
      <c r="AD116" s="19"/>
      <c r="AE116" s="19" t="str">
        <f t="shared" si="22"/>
        <v/>
      </c>
      <c r="AF116" s="19"/>
      <c r="AG116" s="19" t="str">
        <f t="shared" si="23"/>
        <v/>
      </c>
      <c r="AH116" s="19"/>
      <c r="AI116" s="19" t="str">
        <f t="shared" si="24"/>
        <v/>
      </c>
      <c r="AJ116" s="19"/>
      <c r="AK116" s="19" t="str">
        <f t="shared" si="25"/>
        <v/>
      </c>
      <c r="AL116" s="19"/>
      <c r="AM116" s="19" t="str">
        <f t="shared" si="26"/>
        <v/>
      </c>
      <c r="AN116" s="19"/>
      <c r="AO116" s="19" t="str">
        <f t="shared" si="27"/>
        <v/>
      </c>
      <c r="AP116" s="20"/>
      <c r="AR116" s="16"/>
      <c r="AS116" s="16"/>
      <c r="AT116" s="16"/>
      <c r="AU116" s="16"/>
      <c r="AV116" s="21"/>
      <c r="AW116" s="21"/>
      <c r="AX116" s="22"/>
      <c r="AY116" s="16"/>
      <c r="AZ116" s="16"/>
      <c r="BA116" s="23"/>
      <c r="BB116" s="22"/>
      <c r="BD116" s="63">
        <v>179739.03899999999</v>
      </c>
      <c r="BE116" s="16">
        <v>0.31559999999968602</v>
      </c>
      <c r="BF116" s="24">
        <v>56725.640708373998</v>
      </c>
      <c r="BG116" s="16"/>
      <c r="BH116" s="73"/>
      <c r="BI116" s="71" t="s">
        <v>739</v>
      </c>
    </row>
    <row r="117" spans="2:61" x14ac:dyDescent="0.25">
      <c r="B117" s="14" t="s">
        <v>116</v>
      </c>
      <c r="C117" s="14" t="s">
        <v>535</v>
      </c>
      <c r="D117" s="15" t="s">
        <v>326</v>
      </c>
      <c r="E117" s="15" t="s">
        <v>535</v>
      </c>
      <c r="F117" s="15" t="s">
        <v>908</v>
      </c>
      <c r="G117" s="86"/>
      <c r="H117" s="17">
        <v>42992</v>
      </c>
      <c r="I117" s="49"/>
      <c r="J117" s="49"/>
      <c r="K117" s="16" t="str">
        <f t="shared" si="14"/>
        <v/>
      </c>
      <c r="L117" s="17"/>
      <c r="M117" s="49">
        <v>0</v>
      </c>
      <c r="N117" s="49">
        <v>0</v>
      </c>
      <c r="O117" s="16" t="str">
        <f t="shared" si="15"/>
        <v/>
      </c>
      <c r="P117" s="18">
        <v>0</v>
      </c>
      <c r="Q117" s="18">
        <v>0</v>
      </c>
      <c r="R117" s="16" t="str">
        <f t="shared" si="16"/>
        <v/>
      </c>
      <c r="T117" s="19"/>
      <c r="U117" s="19" t="str">
        <f t="shared" si="17"/>
        <v/>
      </c>
      <c r="V117" s="19"/>
      <c r="W117" s="19" t="str">
        <f t="shared" si="18"/>
        <v/>
      </c>
      <c r="X117" s="19"/>
      <c r="Y117" s="19" t="str">
        <f t="shared" si="19"/>
        <v/>
      </c>
      <c r="Z117" s="19"/>
      <c r="AA117" s="19" t="str">
        <f t="shared" si="20"/>
        <v/>
      </c>
      <c r="AB117" s="19"/>
      <c r="AC117" s="19" t="str">
        <f t="shared" si="21"/>
        <v/>
      </c>
      <c r="AD117" s="19"/>
      <c r="AE117" s="19" t="str">
        <f t="shared" si="22"/>
        <v/>
      </c>
      <c r="AF117" s="19"/>
      <c r="AG117" s="19" t="str">
        <f t="shared" si="23"/>
        <v/>
      </c>
      <c r="AH117" s="19"/>
      <c r="AI117" s="19" t="str">
        <f t="shared" si="24"/>
        <v/>
      </c>
      <c r="AJ117" s="19"/>
      <c r="AK117" s="19" t="str">
        <f t="shared" si="25"/>
        <v/>
      </c>
      <c r="AL117" s="19"/>
      <c r="AM117" s="19" t="str">
        <f t="shared" si="26"/>
        <v/>
      </c>
      <c r="AN117" s="19"/>
      <c r="AO117" s="19" t="str">
        <f t="shared" si="27"/>
        <v/>
      </c>
      <c r="AP117" s="20"/>
      <c r="AR117" s="16"/>
      <c r="AS117" s="16"/>
      <c r="AT117" s="16"/>
      <c r="AU117" s="16"/>
      <c r="AV117" s="21"/>
      <c r="AW117" s="21"/>
      <c r="AX117" s="22"/>
      <c r="AY117" s="16"/>
      <c r="AZ117" s="16"/>
      <c r="BA117" s="23"/>
      <c r="BB117" s="22"/>
      <c r="BD117" s="63">
        <v>4713485.125</v>
      </c>
      <c r="BE117" s="16">
        <v>0.51819999999948796</v>
      </c>
      <c r="BF117" s="24">
        <v>2442527.99177344</v>
      </c>
      <c r="BG117" s="16"/>
      <c r="BH117" s="73"/>
      <c r="BI117" s="71" t="s">
        <v>740</v>
      </c>
    </row>
    <row r="118" spans="2:61" x14ac:dyDescent="0.25">
      <c r="B118" s="14" t="s">
        <v>117</v>
      </c>
      <c r="C118" s="14" t="s">
        <v>536</v>
      </c>
      <c r="D118" s="15" t="s">
        <v>327</v>
      </c>
      <c r="E118" s="15" t="s">
        <v>536</v>
      </c>
      <c r="F118" s="15" t="s">
        <v>906</v>
      </c>
      <c r="G118" s="86"/>
      <c r="H118" s="17">
        <v>43964</v>
      </c>
      <c r="I118" s="49"/>
      <c r="J118" s="49">
        <v>6840</v>
      </c>
      <c r="K118" s="16">
        <f t="shared" si="14"/>
        <v>0</v>
      </c>
      <c r="L118" s="17">
        <v>43964</v>
      </c>
      <c r="M118" s="49">
        <v>0</v>
      </c>
      <c r="N118" s="49">
        <v>16064.4359317322</v>
      </c>
      <c r="O118" s="16">
        <f t="shared" si="15"/>
        <v>0</v>
      </c>
      <c r="P118" s="18">
        <v>0</v>
      </c>
      <c r="Q118" s="18">
        <v>1.86345381526189</v>
      </c>
      <c r="R118" s="16">
        <f t="shared" si="16"/>
        <v>0</v>
      </c>
      <c r="T118" s="19"/>
      <c r="U118" s="19" t="str">
        <f t="shared" si="17"/>
        <v/>
      </c>
      <c r="V118" s="19"/>
      <c r="W118" s="19" t="str">
        <f t="shared" si="18"/>
        <v/>
      </c>
      <c r="X118" s="19"/>
      <c r="Y118" s="19" t="str">
        <f t="shared" si="19"/>
        <v/>
      </c>
      <c r="Z118" s="19"/>
      <c r="AA118" s="19" t="str">
        <f t="shared" si="20"/>
        <v/>
      </c>
      <c r="AB118" s="19"/>
      <c r="AC118" s="19" t="str">
        <f t="shared" si="21"/>
        <v/>
      </c>
      <c r="AD118" s="19"/>
      <c r="AE118" s="19" t="str">
        <f t="shared" si="22"/>
        <v/>
      </c>
      <c r="AF118" s="19"/>
      <c r="AG118" s="19" t="str">
        <f t="shared" si="23"/>
        <v/>
      </c>
      <c r="AH118" s="19"/>
      <c r="AI118" s="19" t="str">
        <f t="shared" si="24"/>
        <v/>
      </c>
      <c r="AJ118" s="19"/>
      <c r="AK118" s="19" t="str">
        <f t="shared" si="25"/>
        <v/>
      </c>
      <c r="AL118" s="19"/>
      <c r="AM118" s="19" t="str">
        <f t="shared" si="26"/>
        <v/>
      </c>
      <c r="AN118" s="19"/>
      <c r="AO118" s="19" t="str">
        <f t="shared" si="27"/>
        <v/>
      </c>
      <c r="AP118" s="20"/>
      <c r="AR118" s="16">
        <v>1.47058823513362E-2</v>
      </c>
      <c r="AS118" s="16">
        <v>-1.44927536221076E-2</v>
      </c>
      <c r="AT118" s="16">
        <v>6.4814814813871593E-2</v>
      </c>
      <c r="AU118" s="16">
        <v>-4.7058823530314799E-2</v>
      </c>
      <c r="AV118" s="21"/>
      <c r="AW118" s="21"/>
      <c r="AX118" s="22"/>
      <c r="AY118" s="16"/>
      <c r="AZ118" s="16">
        <v>-6.0869565217144601E-2</v>
      </c>
      <c r="BA118" s="23">
        <v>43867</v>
      </c>
      <c r="BB118" s="22"/>
      <c r="BD118" s="63">
        <v>125000</v>
      </c>
      <c r="BE118" s="16">
        <v>0.37169999999983699</v>
      </c>
      <c r="BF118" s="24">
        <v>46462.5</v>
      </c>
      <c r="BG118" s="16"/>
      <c r="BH118" s="73"/>
      <c r="BI118" s="71" t="s">
        <v>741</v>
      </c>
    </row>
    <row r="119" spans="2:61" x14ac:dyDescent="0.25">
      <c r="B119" s="14" t="s">
        <v>118</v>
      </c>
      <c r="C119" s="14" t="s">
        <v>537</v>
      </c>
      <c r="D119" s="15" t="s">
        <v>328</v>
      </c>
      <c r="E119" s="15" t="s">
        <v>537</v>
      </c>
      <c r="F119" s="15" t="s">
        <v>915</v>
      </c>
      <c r="G119" s="86">
        <v>246638873.87</v>
      </c>
      <c r="H119" s="17">
        <v>43999</v>
      </c>
      <c r="I119" s="49">
        <v>954.23000000044703</v>
      </c>
      <c r="J119" s="49">
        <v>1623.16822429746</v>
      </c>
      <c r="K119" s="16">
        <f t="shared" si="14"/>
        <v>0.58788114855652562</v>
      </c>
      <c r="L119" s="17">
        <v>43640</v>
      </c>
      <c r="M119" s="49">
        <v>105438.298</v>
      </c>
      <c r="N119" s="49">
        <v>176147.36163867201</v>
      </c>
      <c r="O119" s="16">
        <f t="shared" si="15"/>
        <v>0.59858005830529393</v>
      </c>
      <c r="P119" s="18">
        <v>24</v>
      </c>
      <c r="Q119" s="18">
        <v>22</v>
      </c>
      <c r="R119" s="16">
        <f t="shared" si="16"/>
        <v>1.0909090909090908</v>
      </c>
      <c r="T119" s="19">
        <v>-2.3875528095231899E-2</v>
      </c>
      <c r="U119" s="19">
        <f t="shared" si="17"/>
        <v>-3.7997929004632197E-2</v>
      </c>
      <c r="V119" s="19">
        <v>0.109569767442736</v>
      </c>
      <c r="W119" s="19">
        <f t="shared" si="18"/>
        <v>1.4197467848135095E-2</v>
      </c>
      <c r="X119" s="19">
        <v>-0.132518181817431</v>
      </c>
      <c r="Y119" s="19">
        <f t="shared" si="19"/>
        <v>1.2242797426589014E-2</v>
      </c>
      <c r="Z119" s="19">
        <v>0.10315606936463199</v>
      </c>
      <c r="AA119" s="19">
        <f t="shared" si="20"/>
        <v>4.1320528180299743E-4</v>
      </c>
      <c r="AB119" s="19">
        <v>0.13872646125135399</v>
      </c>
      <c r="AC119" s="19">
        <f t="shared" si="21"/>
        <v>-8.2434526195429014E-2</v>
      </c>
      <c r="AD119" s="19">
        <v>-0.18782024002022801</v>
      </c>
      <c r="AE119" s="19">
        <f t="shared" si="22"/>
        <v>-1.7673937462678008E-2</v>
      </c>
      <c r="AF119" s="19">
        <v>-0.40020965690549898</v>
      </c>
      <c r="AG119" s="19">
        <f t="shared" si="23"/>
        <v>-0.19530157401080897</v>
      </c>
      <c r="AH119" s="19">
        <v>-0.52790240209666095</v>
      </c>
      <c r="AI119" s="19">
        <f t="shared" si="24"/>
        <v>-0.25829445357725495</v>
      </c>
      <c r="AJ119" s="19">
        <v>-0.58081726860313199</v>
      </c>
      <c r="AK119" s="19">
        <f t="shared" si="25"/>
        <v>-0.40697307680617101</v>
      </c>
      <c r="AL119" s="19">
        <v>-0.48258724801417002</v>
      </c>
      <c r="AM119" s="19">
        <f t="shared" si="26"/>
        <v>-0.4872680454591321</v>
      </c>
      <c r="AN119" s="19">
        <v>-0.52050070752215105</v>
      </c>
      <c r="AO119" s="19">
        <f t="shared" si="27"/>
        <v>-0.53178280475389328</v>
      </c>
      <c r="AP119" s="20">
        <v>37.091074110474402</v>
      </c>
      <c r="AR119" s="16">
        <v>9.54121657687938E-2</v>
      </c>
      <c r="AS119" s="16">
        <v>-7.7078211891639506E-2</v>
      </c>
      <c r="AT119" s="16">
        <v>0.28774593083828198</v>
      </c>
      <c r="AU119" s="16">
        <v>-0.258929840593773</v>
      </c>
      <c r="AV119" s="21">
        <v>2</v>
      </c>
      <c r="AW119" s="21">
        <v>4</v>
      </c>
      <c r="AX119" s="22">
        <v>-0.67886320169964198</v>
      </c>
      <c r="AY119" s="16">
        <v>3.8473577524855501E-2</v>
      </c>
      <c r="AZ119" s="16">
        <v>-0.38882172654557501</v>
      </c>
      <c r="BA119" s="23">
        <v>43845</v>
      </c>
      <c r="BB119" s="22">
        <v>1.58652027255812</v>
      </c>
      <c r="BD119" s="63">
        <v>258469</v>
      </c>
      <c r="BE119" s="16">
        <v>0.63030000000027897</v>
      </c>
      <c r="BF119" s="24">
        <v>162913.010699951</v>
      </c>
      <c r="BG119" s="16">
        <v>0.369799999999814</v>
      </c>
      <c r="BH119" s="73">
        <v>95581.836199951198</v>
      </c>
      <c r="BI119" s="71" t="s">
        <v>742</v>
      </c>
    </row>
    <row r="120" spans="2:61" x14ac:dyDescent="0.25">
      <c r="B120" s="14" t="s">
        <v>119</v>
      </c>
      <c r="C120" s="14" t="s">
        <v>538</v>
      </c>
      <c r="D120" s="15" t="s">
        <v>329</v>
      </c>
      <c r="E120" s="15" t="s">
        <v>538</v>
      </c>
      <c r="F120" s="15" t="s">
        <v>909</v>
      </c>
      <c r="G120" s="86">
        <v>18705600</v>
      </c>
      <c r="H120" s="17">
        <v>43994</v>
      </c>
      <c r="I120" s="49"/>
      <c r="J120" s="49">
        <v>26.9707467282715</v>
      </c>
      <c r="K120" s="16">
        <f t="shared" si="14"/>
        <v>0</v>
      </c>
      <c r="L120" s="17">
        <v>43643</v>
      </c>
      <c r="M120" s="49">
        <v>0</v>
      </c>
      <c r="N120" s="49">
        <v>161.36162650609</v>
      </c>
      <c r="O120" s="16">
        <f t="shared" si="15"/>
        <v>0</v>
      </c>
      <c r="P120" s="18">
        <v>0</v>
      </c>
      <c r="Q120" s="18">
        <v>0.108433734939808</v>
      </c>
      <c r="R120" s="16">
        <f t="shared" si="16"/>
        <v>0</v>
      </c>
      <c r="T120" s="19"/>
      <c r="U120" s="19" t="str">
        <f t="shared" si="17"/>
        <v/>
      </c>
      <c r="V120" s="19">
        <v>0</v>
      </c>
      <c r="W120" s="19">
        <f t="shared" si="18"/>
        <v>-9.5372299594600904E-2</v>
      </c>
      <c r="X120" s="19"/>
      <c r="Y120" s="19" t="str">
        <f t="shared" si="19"/>
        <v/>
      </c>
      <c r="Z120" s="19"/>
      <c r="AA120" s="19" t="str">
        <f t="shared" si="20"/>
        <v/>
      </c>
      <c r="AB120" s="19"/>
      <c r="AC120" s="19" t="str">
        <f t="shared" si="21"/>
        <v/>
      </c>
      <c r="AD120" s="19">
        <v>1.9623233909442199E-2</v>
      </c>
      <c r="AE120" s="19">
        <f t="shared" si="22"/>
        <v>0.18976953646699221</v>
      </c>
      <c r="AF120" s="19"/>
      <c r="AG120" s="19" t="str">
        <f t="shared" si="23"/>
        <v/>
      </c>
      <c r="AH120" s="19">
        <v>-6.93245846014179E-3</v>
      </c>
      <c r="AI120" s="19">
        <f t="shared" si="24"/>
        <v>0.26267549005926422</v>
      </c>
      <c r="AJ120" s="19"/>
      <c r="AK120" s="19" t="str">
        <f t="shared" si="25"/>
        <v/>
      </c>
      <c r="AL120" s="19">
        <v>2.1070420982060001</v>
      </c>
      <c r="AM120" s="19">
        <f t="shared" si="26"/>
        <v>2.102361300761038</v>
      </c>
      <c r="AN120" s="19"/>
      <c r="AO120" s="19" t="str">
        <f t="shared" si="27"/>
        <v/>
      </c>
      <c r="AP120" s="20"/>
      <c r="AR120" s="16"/>
      <c r="AS120" s="16"/>
      <c r="AT120" s="16">
        <v>1.9623233909442199E-2</v>
      </c>
      <c r="AU120" s="16">
        <v>0</v>
      </c>
      <c r="AV120" s="21"/>
      <c r="AW120" s="21"/>
      <c r="AX120" s="22"/>
      <c r="AY120" s="16"/>
      <c r="AZ120" s="16">
        <v>0</v>
      </c>
      <c r="BA120" s="23">
        <v>43980</v>
      </c>
      <c r="BB120" s="22"/>
      <c r="BD120" s="63">
        <v>720000</v>
      </c>
      <c r="BE120" s="16">
        <v>0.26709999999991901</v>
      </c>
      <c r="BF120" s="24">
        <v>192312</v>
      </c>
      <c r="BG120" s="16"/>
      <c r="BH120" s="73"/>
      <c r="BI120" s="71" t="s">
        <v>743</v>
      </c>
    </row>
    <row r="121" spans="2:61" x14ac:dyDescent="0.25">
      <c r="B121" s="14" t="s">
        <v>120</v>
      </c>
      <c r="C121" s="14" t="s">
        <v>539</v>
      </c>
      <c r="D121" s="15" t="s">
        <v>330</v>
      </c>
      <c r="E121" s="15" t="s">
        <v>539</v>
      </c>
      <c r="F121" s="15" t="s">
        <v>907</v>
      </c>
      <c r="G121" s="86">
        <v>326592000</v>
      </c>
      <c r="H121" s="17">
        <v>43999</v>
      </c>
      <c r="I121" s="49">
        <v>1944</v>
      </c>
      <c r="J121" s="49">
        <v>2409.0370077975099</v>
      </c>
      <c r="K121" s="16">
        <f t="shared" si="14"/>
        <v>0.80696145128020458</v>
      </c>
      <c r="L121" s="17">
        <v>43718</v>
      </c>
      <c r="M121" s="49">
        <v>11413.224</v>
      </c>
      <c r="N121" s="49">
        <v>11832.7353092346</v>
      </c>
      <c r="O121" s="16">
        <f t="shared" si="15"/>
        <v>0.96454654834481068</v>
      </c>
      <c r="P121" s="18">
        <v>5</v>
      </c>
      <c r="Q121" s="18"/>
      <c r="R121" s="16" t="str">
        <f t="shared" si="16"/>
        <v/>
      </c>
      <c r="T121" s="19">
        <v>0</v>
      </c>
      <c r="U121" s="19">
        <f t="shared" si="17"/>
        <v>-1.41224009094003E-2</v>
      </c>
      <c r="V121" s="19">
        <v>6.7085556795063894E-2</v>
      </c>
      <c r="W121" s="19">
        <f t="shared" si="18"/>
        <v>-2.828674279953701E-2</v>
      </c>
      <c r="X121" s="19"/>
      <c r="Y121" s="19" t="str">
        <f t="shared" si="19"/>
        <v/>
      </c>
      <c r="Z121" s="19">
        <v>7.3468628121190704E-2</v>
      </c>
      <c r="AA121" s="19">
        <f t="shared" si="20"/>
        <v>-2.9274235961638292E-2</v>
      </c>
      <c r="AB121" s="19">
        <v>0.100018838678807</v>
      </c>
      <c r="AC121" s="19">
        <f t="shared" si="21"/>
        <v>-0.12114214876797601</v>
      </c>
      <c r="AD121" s="19">
        <v>2.7082050801254798E-2</v>
      </c>
      <c r="AE121" s="19">
        <f t="shared" si="22"/>
        <v>0.19722835335880481</v>
      </c>
      <c r="AF121" s="19">
        <v>-6.1864441061552498E-2</v>
      </c>
      <c r="AG121" s="19">
        <f t="shared" si="23"/>
        <v>0.1430436418331375</v>
      </c>
      <c r="AH121" s="19">
        <v>-0.129003086750308</v>
      </c>
      <c r="AI121" s="19">
        <f t="shared" si="24"/>
        <v>0.14060486176909801</v>
      </c>
      <c r="AJ121" s="19">
        <v>6.4114177997908001E-2</v>
      </c>
      <c r="AK121" s="19">
        <f t="shared" si="25"/>
        <v>0.23795836979486901</v>
      </c>
      <c r="AL121" s="19">
        <v>0.27798541441559799</v>
      </c>
      <c r="AM121" s="19">
        <f t="shared" si="26"/>
        <v>0.27330461697063591</v>
      </c>
      <c r="AN121" s="19">
        <v>0.346736535522505</v>
      </c>
      <c r="AO121" s="19">
        <f t="shared" si="27"/>
        <v>0.33545443829076282</v>
      </c>
      <c r="AP121" s="20"/>
      <c r="AR121" s="16">
        <v>3.8044358103434199E-2</v>
      </c>
      <c r="AS121" s="16">
        <v>-4.3797548604779898E-2</v>
      </c>
      <c r="AT121" s="16">
        <v>9.2822677927033498E-2</v>
      </c>
      <c r="AU121" s="16">
        <v>-0.13618839220638601</v>
      </c>
      <c r="AV121" s="21">
        <v>3</v>
      </c>
      <c r="AW121" s="21">
        <v>3</v>
      </c>
      <c r="AX121" s="22"/>
      <c r="AY121" s="16"/>
      <c r="AZ121" s="16">
        <v>-0.176925823196943</v>
      </c>
      <c r="BA121" s="23">
        <v>43832</v>
      </c>
      <c r="BB121" s="22">
        <v>0.60385380600837402</v>
      </c>
      <c r="BD121" s="63">
        <v>168000</v>
      </c>
      <c r="BE121" s="16">
        <v>0.40429999999992999</v>
      </c>
      <c r="BF121" s="24">
        <v>67922.399999999994</v>
      </c>
      <c r="BG121" s="16">
        <v>8.6999999999970906E-2</v>
      </c>
      <c r="BH121" s="73">
        <v>14616</v>
      </c>
      <c r="BI121" s="71" t="s">
        <v>744</v>
      </c>
    </row>
    <row r="122" spans="2:61" x14ac:dyDescent="0.25">
      <c r="B122" s="14" t="s">
        <v>121</v>
      </c>
      <c r="C122" s="14" t="s">
        <v>540</v>
      </c>
      <c r="D122" s="15" t="s">
        <v>331</v>
      </c>
      <c r="E122" s="15" t="s">
        <v>540</v>
      </c>
      <c r="F122" s="15" t="s">
        <v>906</v>
      </c>
      <c r="G122" s="86"/>
      <c r="H122" s="17">
        <v>43864</v>
      </c>
      <c r="I122" s="49"/>
      <c r="J122" s="49">
        <v>27000</v>
      </c>
      <c r="K122" s="16">
        <f t="shared" si="14"/>
        <v>0</v>
      </c>
      <c r="L122" s="17">
        <v>43864</v>
      </c>
      <c r="M122" s="49">
        <v>0</v>
      </c>
      <c r="N122" s="49">
        <v>11.8554216867536</v>
      </c>
      <c r="O122" s="16">
        <f t="shared" si="15"/>
        <v>0</v>
      </c>
      <c r="P122" s="18">
        <v>0</v>
      </c>
      <c r="Q122" s="18">
        <v>1.2048192771089801E-2</v>
      </c>
      <c r="R122" s="16">
        <f t="shared" si="16"/>
        <v>0</v>
      </c>
      <c r="T122" s="19"/>
      <c r="U122" s="19" t="str">
        <f t="shared" si="17"/>
        <v/>
      </c>
      <c r="V122" s="19"/>
      <c r="W122" s="19" t="str">
        <f t="shared" si="18"/>
        <v/>
      </c>
      <c r="X122" s="19"/>
      <c r="Y122" s="19" t="str">
        <f t="shared" si="19"/>
        <v/>
      </c>
      <c r="Z122" s="19"/>
      <c r="AA122" s="19" t="str">
        <f t="shared" si="20"/>
        <v/>
      </c>
      <c r="AB122" s="19"/>
      <c r="AC122" s="19" t="str">
        <f t="shared" si="21"/>
        <v/>
      </c>
      <c r="AD122" s="19"/>
      <c r="AE122" s="19" t="str">
        <f t="shared" si="22"/>
        <v/>
      </c>
      <c r="AF122" s="19"/>
      <c r="AG122" s="19" t="str">
        <f t="shared" si="23"/>
        <v/>
      </c>
      <c r="AH122" s="19"/>
      <c r="AI122" s="19" t="str">
        <f t="shared" si="24"/>
        <v/>
      </c>
      <c r="AJ122" s="19"/>
      <c r="AK122" s="19" t="str">
        <f t="shared" si="25"/>
        <v/>
      </c>
      <c r="AL122" s="19"/>
      <c r="AM122" s="19" t="str">
        <f t="shared" si="26"/>
        <v/>
      </c>
      <c r="AN122" s="19"/>
      <c r="AO122" s="19" t="str">
        <f t="shared" si="27"/>
        <v/>
      </c>
      <c r="AP122" s="20"/>
      <c r="AR122" s="16"/>
      <c r="AS122" s="16"/>
      <c r="AT122" s="16"/>
      <c r="AU122" s="16"/>
      <c r="AV122" s="21"/>
      <c r="AW122" s="21"/>
      <c r="AX122" s="22"/>
      <c r="AY122" s="16"/>
      <c r="AZ122" s="16">
        <v>0</v>
      </c>
      <c r="BA122" s="23">
        <v>43864</v>
      </c>
      <c r="BB122" s="22"/>
      <c r="BD122" s="63"/>
      <c r="BE122" s="16"/>
      <c r="BF122" s="24"/>
      <c r="BG122" s="16"/>
      <c r="BH122" s="73"/>
      <c r="BI122" s="71" t="s">
        <v>227</v>
      </c>
    </row>
    <row r="123" spans="2:61" x14ac:dyDescent="0.25">
      <c r="B123" s="14" t="s">
        <v>122</v>
      </c>
      <c r="C123" s="14" t="s">
        <v>541</v>
      </c>
      <c r="D123" s="15" t="s">
        <v>332</v>
      </c>
      <c r="E123" s="15" t="s">
        <v>541</v>
      </c>
      <c r="F123" s="15" t="s">
        <v>908</v>
      </c>
      <c r="G123" s="86">
        <v>129973900.456625</v>
      </c>
      <c r="H123" s="17">
        <v>43999</v>
      </c>
      <c r="I123" s="49">
        <v>18.8099999999977</v>
      </c>
      <c r="J123" s="49">
        <v>21.189021747792101</v>
      </c>
      <c r="K123" s="16">
        <f t="shared" si="14"/>
        <v>0.88772385171381052</v>
      </c>
      <c r="L123" s="17">
        <v>43755</v>
      </c>
      <c r="M123" s="49">
        <v>15.053000000000001</v>
      </c>
      <c r="N123" s="49">
        <v>19668.650216857899</v>
      </c>
      <c r="O123" s="16">
        <f t="shared" si="15"/>
        <v>7.6532958967861207E-4</v>
      </c>
      <c r="P123" s="18"/>
      <c r="Q123" s="18"/>
      <c r="R123" s="16" t="str">
        <f t="shared" si="16"/>
        <v/>
      </c>
      <c r="T123" s="19">
        <v>0</v>
      </c>
      <c r="U123" s="19">
        <f t="shared" si="17"/>
        <v>-1.41224009094003E-2</v>
      </c>
      <c r="V123" s="19">
        <v>-5.2882072977809003E-3</v>
      </c>
      <c r="W123" s="19">
        <f t="shared" si="18"/>
        <v>-0.1006605068923818</v>
      </c>
      <c r="X123" s="19">
        <v>7.0730925288444296E-2</v>
      </c>
      <c r="Y123" s="19">
        <f t="shared" si="19"/>
        <v>0.21549190453246431</v>
      </c>
      <c r="Z123" s="19">
        <v>-5.2882072977809003E-3</v>
      </c>
      <c r="AA123" s="19">
        <f t="shared" si="20"/>
        <v>-0.1080310713806099</v>
      </c>
      <c r="AB123" s="19"/>
      <c r="AC123" s="19" t="str">
        <f t="shared" si="21"/>
        <v/>
      </c>
      <c r="AD123" s="19">
        <v>7.4771419347598594E-2</v>
      </c>
      <c r="AE123" s="19">
        <f t="shared" si="22"/>
        <v>0.2449177219051486</v>
      </c>
      <c r="AF123" s="19">
        <v>-2.9382448934484301E-2</v>
      </c>
      <c r="AG123" s="19">
        <f t="shared" si="23"/>
        <v>0.17552563396020571</v>
      </c>
      <c r="AH123" s="19">
        <v>-5.9326792081264998E-2</v>
      </c>
      <c r="AI123" s="19">
        <f t="shared" si="24"/>
        <v>0.21028115643814099</v>
      </c>
      <c r="AJ123" s="19">
        <v>0.177713503731939</v>
      </c>
      <c r="AK123" s="19">
        <f t="shared" si="25"/>
        <v>0.35155769552890004</v>
      </c>
      <c r="AL123" s="19">
        <v>0.55223594703071299</v>
      </c>
      <c r="AM123" s="19">
        <f t="shared" si="26"/>
        <v>0.54755514958575091</v>
      </c>
      <c r="AN123" s="19"/>
      <c r="AO123" s="19" t="str">
        <f t="shared" si="27"/>
        <v/>
      </c>
      <c r="AP123" s="20"/>
      <c r="AR123" s="16">
        <v>1.55746509135497E-2</v>
      </c>
      <c r="AS123" s="16">
        <v>-4.0101522842669497E-2</v>
      </c>
      <c r="AT123" s="16">
        <v>2.2845275181680301E-2</v>
      </c>
      <c r="AU123" s="16">
        <v>-5.2882072977809003E-3</v>
      </c>
      <c r="AV123" s="21">
        <v>5</v>
      </c>
      <c r="AW123" s="21">
        <v>1</v>
      </c>
      <c r="AX123" s="22"/>
      <c r="AY123" s="16"/>
      <c r="AZ123" s="16">
        <v>-8.37209302319388E-2</v>
      </c>
      <c r="BA123" s="23">
        <v>43894</v>
      </c>
      <c r="BB123" s="22">
        <v>-4.5913400590393401E-2</v>
      </c>
      <c r="BD123" s="63">
        <v>6909829.9019999998</v>
      </c>
      <c r="BE123" s="16">
        <v>0.247799999999988</v>
      </c>
      <c r="BF123" s="24">
        <v>1712255.8497148401</v>
      </c>
      <c r="BG123" s="16">
        <v>0.79060000000055897</v>
      </c>
      <c r="BH123" s="73">
        <v>5462911.5205234401</v>
      </c>
      <c r="BI123" s="71" t="s">
        <v>745</v>
      </c>
    </row>
    <row r="124" spans="2:61" x14ac:dyDescent="0.25">
      <c r="B124" s="14" t="s">
        <v>123</v>
      </c>
      <c r="C124" s="14" t="s">
        <v>542</v>
      </c>
      <c r="D124" s="15" t="s">
        <v>333</v>
      </c>
      <c r="E124" s="15" t="s">
        <v>542</v>
      </c>
      <c r="F124" s="15" t="s">
        <v>919</v>
      </c>
      <c r="G124" s="86">
        <v>545345050.00049996</v>
      </c>
      <c r="H124" s="17">
        <v>43999</v>
      </c>
      <c r="I124" s="49">
        <v>147.59000000008399</v>
      </c>
      <c r="J124" s="49">
        <v>267.26922477036698</v>
      </c>
      <c r="K124" s="16">
        <f t="shared" si="14"/>
        <v>0.55221471954689405</v>
      </c>
      <c r="L124" s="17">
        <v>43637</v>
      </c>
      <c r="M124" s="49">
        <v>361883.32</v>
      </c>
      <c r="N124" s="49">
        <v>430779.05816064501</v>
      </c>
      <c r="O124" s="16">
        <f t="shared" si="15"/>
        <v>0.84006711362706821</v>
      </c>
      <c r="P124" s="18">
        <v>61</v>
      </c>
      <c r="Q124" s="18">
        <v>79.036144578363704</v>
      </c>
      <c r="R124" s="16">
        <f t="shared" si="16"/>
        <v>0.77179878048731221</v>
      </c>
      <c r="T124" s="19">
        <v>1.2207667512484499E-2</v>
      </c>
      <c r="U124" s="19">
        <f t="shared" si="17"/>
        <v>-1.9147333969158006E-3</v>
      </c>
      <c r="V124" s="19">
        <v>-4.7204801403495401E-3</v>
      </c>
      <c r="W124" s="19">
        <f t="shared" si="18"/>
        <v>-0.10009277973495044</v>
      </c>
      <c r="X124" s="19">
        <v>-0.206096501815482</v>
      </c>
      <c r="Y124" s="19">
        <f t="shared" si="19"/>
        <v>-6.1335522571461992E-2</v>
      </c>
      <c r="Z124" s="19">
        <v>-8.4429280395852402E-2</v>
      </c>
      <c r="AA124" s="19">
        <f t="shared" si="20"/>
        <v>-0.18717214447868141</v>
      </c>
      <c r="AB124" s="19">
        <v>7.0319795417162795E-2</v>
      </c>
      <c r="AC124" s="19">
        <f t="shared" si="21"/>
        <v>-0.15084119202962021</v>
      </c>
      <c r="AD124" s="19">
        <v>-0.236388030704693</v>
      </c>
      <c r="AE124" s="19">
        <f t="shared" si="22"/>
        <v>-6.6241728147142992E-2</v>
      </c>
      <c r="AF124" s="19">
        <v>-0.43503064231481398</v>
      </c>
      <c r="AG124" s="19">
        <f t="shared" si="23"/>
        <v>-0.23012255942012397</v>
      </c>
      <c r="AH124" s="19">
        <v>-0.48882595011498797</v>
      </c>
      <c r="AI124" s="19">
        <f t="shared" si="24"/>
        <v>-0.21921800159558197</v>
      </c>
      <c r="AJ124" s="19">
        <v>-0.26481210943253197</v>
      </c>
      <c r="AK124" s="19">
        <f t="shared" si="25"/>
        <v>-9.0967917635570966E-2</v>
      </c>
      <c r="AL124" s="19">
        <v>-0.12528960291820099</v>
      </c>
      <c r="AM124" s="19">
        <f t="shared" si="26"/>
        <v>-0.12997040036316307</v>
      </c>
      <c r="AN124" s="19">
        <v>-7.5749574862129503E-3</v>
      </c>
      <c r="AO124" s="19">
        <f t="shared" si="27"/>
        <v>-1.8857054717955152E-2</v>
      </c>
      <c r="AP124" s="20">
        <v>36.906671424861997</v>
      </c>
      <c r="AR124" s="16">
        <v>6.9265367315892903E-2</v>
      </c>
      <c r="AS124" s="16">
        <v>-0.10475534114535499</v>
      </c>
      <c r="AT124" s="16">
        <v>9.6967285047867294E-2</v>
      </c>
      <c r="AU124" s="16">
        <v>-0.11628771451709299</v>
      </c>
      <c r="AV124" s="21">
        <v>1</v>
      </c>
      <c r="AW124" s="21">
        <v>5</v>
      </c>
      <c r="AX124" s="22">
        <v>-1.04649307594082</v>
      </c>
      <c r="AY124" s="16">
        <v>3.9746780967034302E-2</v>
      </c>
      <c r="AZ124" s="16">
        <v>-0.360098522168118</v>
      </c>
      <c r="BA124" s="23">
        <v>43819</v>
      </c>
      <c r="BB124" s="22">
        <v>0.58974013138686099</v>
      </c>
      <c r="BD124" s="63">
        <v>3695000</v>
      </c>
      <c r="BE124" s="16">
        <v>0.101000000000058</v>
      </c>
      <c r="BF124" s="24">
        <v>373195</v>
      </c>
      <c r="BG124" s="16">
        <v>0.89810000000055901</v>
      </c>
      <c r="BH124" s="73">
        <v>3318479.5</v>
      </c>
      <c r="BI124" s="71" t="s">
        <v>897</v>
      </c>
    </row>
    <row r="125" spans="2:61" x14ac:dyDescent="0.25">
      <c r="B125" s="14" t="s">
        <v>124</v>
      </c>
      <c r="C125" s="14" t="s">
        <v>543</v>
      </c>
      <c r="D125" s="15" t="s">
        <v>334</v>
      </c>
      <c r="E125" s="15" t="s">
        <v>543</v>
      </c>
      <c r="F125" s="15" t="s">
        <v>909</v>
      </c>
      <c r="G125" s="86">
        <v>4542658.6283984398</v>
      </c>
      <c r="H125" s="17">
        <v>43997</v>
      </c>
      <c r="I125" s="49"/>
      <c r="J125" s="49">
        <v>3.5999999999985399</v>
      </c>
      <c r="K125" s="16">
        <f t="shared" si="14"/>
        <v>0</v>
      </c>
      <c r="L125" s="17">
        <v>43997</v>
      </c>
      <c r="M125" s="49">
        <v>0</v>
      </c>
      <c r="N125" s="49">
        <v>67.105220883488698</v>
      </c>
      <c r="O125" s="16">
        <f t="shared" si="15"/>
        <v>0</v>
      </c>
      <c r="P125" s="18">
        <v>0</v>
      </c>
      <c r="Q125" s="18">
        <v>0.136546184739018</v>
      </c>
      <c r="R125" s="16">
        <f t="shared" si="16"/>
        <v>0</v>
      </c>
      <c r="T125" s="19"/>
      <c r="U125" s="19" t="str">
        <f t="shared" si="17"/>
        <v/>
      </c>
      <c r="V125" s="19">
        <v>0</v>
      </c>
      <c r="W125" s="19">
        <f t="shared" si="18"/>
        <v>-9.5372299594600904E-2</v>
      </c>
      <c r="X125" s="19"/>
      <c r="Y125" s="19" t="str">
        <f t="shared" si="19"/>
        <v/>
      </c>
      <c r="Z125" s="19">
        <v>0</v>
      </c>
      <c r="AA125" s="19">
        <f t="shared" si="20"/>
        <v>-0.102742864082829</v>
      </c>
      <c r="AB125" s="19">
        <v>0</v>
      </c>
      <c r="AC125" s="19">
        <f t="shared" si="21"/>
        <v>-0.221160987446783</v>
      </c>
      <c r="AD125" s="19"/>
      <c r="AE125" s="19" t="str">
        <f t="shared" si="22"/>
        <v/>
      </c>
      <c r="AF125" s="19"/>
      <c r="AG125" s="19" t="str">
        <f t="shared" si="23"/>
        <v/>
      </c>
      <c r="AH125" s="19">
        <v>-0.20000000000087301</v>
      </c>
      <c r="AI125" s="19">
        <f t="shared" si="24"/>
        <v>6.9607948518532997E-2</v>
      </c>
      <c r="AJ125" s="19">
        <v>2.8571428571012799E-2</v>
      </c>
      <c r="AK125" s="19">
        <f t="shared" si="25"/>
        <v>0.20241562036797381</v>
      </c>
      <c r="AL125" s="19"/>
      <c r="AM125" s="19" t="str">
        <f t="shared" si="26"/>
        <v/>
      </c>
      <c r="AN125" s="19">
        <v>1.25</v>
      </c>
      <c r="AO125" s="19">
        <f t="shared" si="27"/>
        <v>1.2387179027682578</v>
      </c>
      <c r="AP125" s="20"/>
      <c r="AR125" s="16">
        <v>0</v>
      </c>
      <c r="AS125" s="16">
        <v>0</v>
      </c>
      <c r="AT125" s="16">
        <v>0</v>
      </c>
      <c r="AU125" s="16">
        <v>0</v>
      </c>
      <c r="AV125" s="21"/>
      <c r="AW125" s="21"/>
      <c r="AX125" s="22"/>
      <c r="AY125" s="16"/>
      <c r="AZ125" s="16">
        <v>0</v>
      </c>
      <c r="BA125" s="23">
        <v>43839</v>
      </c>
      <c r="BB125" s="22"/>
      <c r="BD125" s="63">
        <v>1261849.6189999999</v>
      </c>
      <c r="BE125" s="16">
        <v>0.44879999999946502</v>
      </c>
      <c r="BF125" s="24">
        <v>566318.10900683596</v>
      </c>
      <c r="BG125" s="16"/>
      <c r="BH125" s="73"/>
      <c r="BI125" s="71" t="s">
        <v>746</v>
      </c>
    </row>
    <row r="126" spans="2:61" x14ac:dyDescent="0.25">
      <c r="B126" s="14" t="s">
        <v>125</v>
      </c>
      <c r="C126" s="14" t="s">
        <v>544</v>
      </c>
      <c r="D126" s="15" t="s">
        <v>335</v>
      </c>
      <c r="E126" s="15" t="s">
        <v>544</v>
      </c>
      <c r="F126" s="15" t="s">
        <v>909</v>
      </c>
      <c r="G126" s="86">
        <v>532009536.06300002</v>
      </c>
      <c r="H126" s="17">
        <v>43999</v>
      </c>
      <c r="I126" s="49">
        <v>921.50999999977603</v>
      </c>
      <c r="J126" s="49">
        <v>1862.3996189534701</v>
      </c>
      <c r="K126" s="16">
        <f t="shared" si="14"/>
        <v>0.49479713731771274</v>
      </c>
      <c r="L126" s="17">
        <v>43641</v>
      </c>
      <c r="M126" s="49">
        <v>14559.046</v>
      </c>
      <c r="N126" s="49">
        <v>423523.33323681599</v>
      </c>
      <c r="O126" s="16">
        <f t="shared" si="15"/>
        <v>3.437601864513852E-2</v>
      </c>
      <c r="P126" s="18">
        <v>11</v>
      </c>
      <c r="Q126" s="18">
        <v>13.7550200803234</v>
      </c>
      <c r="R126" s="16">
        <f t="shared" si="16"/>
        <v>0.79970802919695738</v>
      </c>
      <c r="T126" s="19">
        <v>1.6423639452113999E-2</v>
      </c>
      <c r="U126" s="19">
        <f t="shared" si="17"/>
        <v>2.3012385427136992E-3</v>
      </c>
      <c r="V126" s="19">
        <v>7.0166881510886001E-2</v>
      </c>
      <c r="W126" s="19">
        <f t="shared" si="18"/>
        <v>-2.5205418083714903E-2</v>
      </c>
      <c r="X126" s="19">
        <v>-0.24224885506730101</v>
      </c>
      <c r="Y126" s="19">
        <f t="shared" si="19"/>
        <v>-9.7487875823281001E-2</v>
      </c>
      <c r="Z126" s="19">
        <v>7.9354828538271194E-2</v>
      </c>
      <c r="AA126" s="19">
        <f t="shared" si="20"/>
        <v>-2.3388035544557803E-2</v>
      </c>
      <c r="AB126" s="19">
        <v>0.180387787921063</v>
      </c>
      <c r="AC126" s="19">
        <f t="shared" si="21"/>
        <v>-4.0773199525720005E-2</v>
      </c>
      <c r="AD126" s="19">
        <v>-0.368454788037343</v>
      </c>
      <c r="AE126" s="19">
        <f t="shared" si="22"/>
        <v>-0.19830848547979299</v>
      </c>
      <c r="AF126" s="19">
        <v>-0.51297454546787802</v>
      </c>
      <c r="AG126" s="19">
        <f t="shared" si="23"/>
        <v>-0.30806646257318804</v>
      </c>
      <c r="AH126" s="19">
        <v>-0.56205304758099395</v>
      </c>
      <c r="AI126" s="19">
        <f t="shared" si="24"/>
        <v>-0.29244509906158794</v>
      </c>
      <c r="AJ126" s="19">
        <v>-0.28572927298228001</v>
      </c>
      <c r="AK126" s="19">
        <f t="shared" si="25"/>
        <v>-0.11188508118531901</v>
      </c>
      <c r="AL126" s="19">
        <v>7.1011468195138094E-2</v>
      </c>
      <c r="AM126" s="19">
        <f t="shared" si="26"/>
        <v>6.6330670750176013E-2</v>
      </c>
      <c r="AN126" s="19">
        <v>0.55245460301754101</v>
      </c>
      <c r="AO126" s="19">
        <f t="shared" si="27"/>
        <v>0.54117250578579879</v>
      </c>
      <c r="AP126" s="20"/>
      <c r="AR126" s="16">
        <v>9.5656046030926506E-2</v>
      </c>
      <c r="AS126" s="16">
        <v>-0.111111111111386</v>
      </c>
      <c r="AT126" s="16">
        <v>0.26431107532524001</v>
      </c>
      <c r="AU126" s="16">
        <v>-0.31124545454542402</v>
      </c>
      <c r="AV126" s="21">
        <v>3</v>
      </c>
      <c r="AW126" s="21">
        <v>3</v>
      </c>
      <c r="AX126" s="22">
        <v>-1.4055857714956801</v>
      </c>
      <c r="AY126" s="16">
        <v>4.55607112617872E-2</v>
      </c>
      <c r="AZ126" s="16">
        <v>-0.49843260188121402</v>
      </c>
      <c r="BA126" s="23">
        <v>43817</v>
      </c>
      <c r="BB126" s="22">
        <v>1.7129585962229601</v>
      </c>
      <c r="BD126" s="63">
        <v>577323.67099999997</v>
      </c>
      <c r="BE126" s="16">
        <v>0.17230000000010501</v>
      </c>
      <c r="BF126" s="24">
        <v>99472.868513305701</v>
      </c>
      <c r="BG126" s="16">
        <v>0.51789999999978997</v>
      </c>
      <c r="BH126" s="73">
        <v>298995.92921093799</v>
      </c>
      <c r="BI126" s="71" t="s">
        <v>747</v>
      </c>
    </row>
    <row r="127" spans="2:61" x14ac:dyDescent="0.25">
      <c r="B127" s="14" t="s">
        <v>126</v>
      </c>
      <c r="C127" s="14" t="s">
        <v>545</v>
      </c>
      <c r="D127" s="15" t="s">
        <v>336</v>
      </c>
      <c r="E127" s="15" t="s">
        <v>545</v>
      </c>
      <c r="F127" s="15" t="s">
        <v>227</v>
      </c>
      <c r="G127" s="86"/>
      <c r="H127" s="17">
        <v>43987</v>
      </c>
      <c r="I127" s="49"/>
      <c r="J127" s="49"/>
      <c r="K127" s="16" t="str">
        <f t="shared" si="14"/>
        <v/>
      </c>
      <c r="L127" s="17"/>
      <c r="M127" s="49">
        <v>0</v>
      </c>
      <c r="N127" s="49"/>
      <c r="O127" s="16" t="str">
        <f t="shared" si="15"/>
        <v/>
      </c>
      <c r="P127" s="18">
        <v>0</v>
      </c>
      <c r="Q127" s="18"/>
      <c r="R127" s="16" t="str">
        <f t="shared" si="16"/>
        <v/>
      </c>
      <c r="T127" s="19"/>
      <c r="U127" s="19" t="str">
        <f t="shared" si="17"/>
        <v/>
      </c>
      <c r="V127" s="19"/>
      <c r="W127" s="19" t="str">
        <f t="shared" si="18"/>
        <v/>
      </c>
      <c r="X127" s="19"/>
      <c r="Y127" s="19" t="str">
        <f t="shared" si="19"/>
        <v/>
      </c>
      <c r="Z127" s="19"/>
      <c r="AA127" s="19" t="str">
        <f t="shared" si="20"/>
        <v/>
      </c>
      <c r="AB127" s="19"/>
      <c r="AC127" s="19" t="str">
        <f t="shared" si="21"/>
        <v/>
      </c>
      <c r="AD127" s="19"/>
      <c r="AE127" s="19" t="str">
        <f t="shared" si="22"/>
        <v/>
      </c>
      <c r="AF127" s="19"/>
      <c r="AG127" s="19" t="str">
        <f t="shared" si="23"/>
        <v/>
      </c>
      <c r="AH127" s="19"/>
      <c r="AI127" s="19" t="str">
        <f t="shared" si="24"/>
        <v/>
      </c>
      <c r="AJ127" s="19"/>
      <c r="AK127" s="19" t="str">
        <f t="shared" si="25"/>
        <v/>
      </c>
      <c r="AL127" s="19"/>
      <c r="AM127" s="19" t="str">
        <f t="shared" si="26"/>
        <v/>
      </c>
      <c r="AN127" s="19"/>
      <c r="AO127" s="19" t="str">
        <f t="shared" si="27"/>
        <v/>
      </c>
      <c r="AP127" s="20"/>
      <c r="AR127" s="16"/>
      <c r="AS127" s="16"/>
      <c r="AT127" s="16">
        <v>0</v>
      </c>
      <c r="AU127" s="16">
        <v>0</v>
      </c>
      <c r="AV127" s="21"/>
      <c r="AW127" s="21"/>
      <c r="AX127" s="22"/>
      <c r="AY127" s="16"/>
      <c r="AZ127" s="16">
        <v>0</v>
      </c>
      <c r="BA127" s="23">
        <v>43958</v>
      </c>
      <c r="BB127" s="22"/>
      <c r="BD127" s="63"/>
      <c r="BE127" s="16"/>
      <c r="BF127" s="24"/>
      <c r="BG127" s="16"/>
      <c r="BH127" s="73"/>
      <c r="BI127" s="71" t="s">
        <v>227</v>
      </c>
    </row>
    <row r="128" spans="2:61" x14ac:dyDescent="0.25">
      <c r="B128" s="14" t="s">
        <v>127</v>
      </c>
      <c r="C128" s="14" t="s">
        <v>546</v>
      </c>
      <c r="D128" s="15" t="s">
        <v>337</v>
      </c>
      <c r="E128" s="15" t="s">
        <v>546</v>
      </c>
      <c r="F128" s="15" t="s">
        <v>913</v>
      </c>
      <c r="G128" s="86"/>
      <c r="H128" s="17">
        <v>43822</v>
      </c>
      <c r="I128" s="49"/>
      <c r="J128" s="49">
        <v>3.9500000000007298</v>
      </c>
      <c r="K128" s="16">
        <f t="shared" si="14"/>
        <v>0</v>
      </c>
      <c r="L128" s="17">
        <v>43788</v>
      </c>
      <c r="M128" s="49">
        <v>0</v>
      </c>
      <c r="N128" s="49">
        <v>1787.86306827354</v>
      </c>
      <c r="O128" s="16">
        <f t="shared" si="15"/>
        <v>0</v>
      </c>
      <c r="P128" s="18">
        <v>0</v>
      </c>
      <c r="Q128" s="18">
        <v>1.2048192771089801E-2</v>
      </c>
      <c r="R128" s="16">
        <f t="shared" si="16"/>
        <v>0</v>
      </c>
      <c r="T128" s="19"/>
      <c r="U128" s="19" t="str">
        <f t="shared" si="17"/>
        <v/>
      </c>
      <c r="V128" s="19"/>
      <c r="W128" s="19" t="str">
        <f t="shared" si="18"/>
        <v/>
      </c>
      <c r="X128" s="19"/>
      <c r="Y128" s="19" t="str">
        <f t="shared" si="19"/>
        <v/>
      </c>
      <c r="Z128" s="19"/>
      <c r="AA128" s="19" t="str">
        <f t="shared" si="20"/>
        <v/>
      </c>
      <c r="AB128" s="19"/>
      <c r="AC128" s="19" t="str">
        <f t="shared" si="21"/>
        <v/>
      </c>
      <c r="AD128" s="19"/>
      <c r="AE128" s="19" t="str">
        <f t="shared" si="22"/>
        <v/>
      </c>
      <c r="AF128" s="19"/>
      <c r="AG128" s="19" t="str">
        <f t="shared" si="23"/>
        <v/>
      </c>
      <c r="AH128" s="19"/>
      <c r="AI128" s="19" t="str">
        <f t="shared" si="24"/>
        <v/>
      </c>
      <c r="AJ128" s="19"/>
      <c r="AK128" s="19" t="str">
        <f t="shared" si="25"/>
        <v/>
      </c>
      <c r="AL128" s="19"/>
      <c r="AM128" s="19" t="str">
        <f t="shared" si="26"/>
        <v/>
      </c>
      <c r="AN128" s="19"/>
      <c r="AO128" s="19" t="str">
        <f t="shared" si="27"/>
        <v/>
      </c>
      <c r="AP128" s="20"/>
      <c r="AR128" s="16"/>
      <c r="AS128" s="16"/>
      <c r="AT128" s="16"/>
      <c r="AU128" s="16"/>
      <c r="AV128" s="21"/>
      <c r="AW128" s="21"/>
      <c r="AX128" s="22"/>
      <c r="AY128" s="16"/>
      <c r="AZ128" s="16">
        <v>0</v>
      </c>
      <c r="BA128" s="23">
        <v>43822</v>
      </c>
      <c r="BB128" s="22"/>
      <c r="BD128" s="63">
        <v>899546.826</v>
      </c>
      <c r="BE128" s="16">
        <v>0.30299999999988397</v>
      </c>
      <c r="BF128" s="24">
        <v>272562.688277832</v>
      </c>
      <c r="BG128" s="16"/>
      <c r="BH128" s="73"/>
      <c r="BI128" s="71" t="s">
        <v>748</v>
      </c>
    </row>
    <row r="129" spans="2:61" x14ac:dyDescent="0.25">
      <c r="B129" s="14" t="s">
        <v>128</v>
      </c>
      <c r="C129" s="14" t="s">
        <v>547</v>
      </c>
      <c r="D129" s="15" t="s">
        <v>338</v>
      </c>
      <c r="E129" s="15" t="s">
        <v>547</v>
      </c>
      <c r="F129" s="15" t="s">
        <v>920</v>
      </c>
      <c r="G129" s="86">
        <v>90558000</v>
      </c>
      <c r="H129" s="17">
        <v>43999</v>
      </c>
      <c r="I129" s="49">
        <v>83.849999999976703</v>
      </c>
      <c r="J129" s="49">
        <v>88.239049804746202</v>
      </c>
      <c r="K129" s="16">
        <f t="shared" si="14"/>
        <v>0.95025955272091545</v>
      </c>
      <c r="L129" s="17">
        <v>43756</v>
      </c>
      <c r="M129" s="49">
        <v>39560.046999999999</v>
      </c>
      <c r="N129" s="49">
        <v>24930.655273101798</v>
      </c>
      <c r="O129" s="16">
        <f t="shared" si="15"/>
        <v>1.5868033377639357</v>
      </c>
      <c r="P129" s="18">
        <v>2</v>
      </c>
      <c r="Q129" s="18"/>
      <c r="R129" s="16" t="str">
        <f t="shared" si="16"/>
        <v/>
      </c>
      <c r="T129" s="19">
        <v>3.2635467980071602E-2</v>
      </c>
      <c r="U129" s="19">
        <f t="shared" si="17"/>
        <v>1.8513067070671303E-2</v>
      </c>
      <c r="V129" s="19">
        <v>0.19922768878692301</v>
      </c>
      <c r="W129" s="19">
        <f t="shared" si="18"/>
        <v>0.10385538919232211</v>
      </c>
      <c r="X129" s="19">
        <v>9.5593366666435003E-2</v>
      </c>
      <c r="Y129" s="19">
        <f t="shared" si="19"/>
        <v>0.24035434591045501</v>
      </c>
      <c r="Z129" s="19">
        <v>0.32047244094428601</v>
      </c>
      <c r="AA129" s="19">
        <f t="shared" si="20"/>
        <v>0.217729576861457</v>
      </c>
      <c r="AB129" s="19">
        <v>0.286440615645843</v>
      </c>
      <c r="AC129" s="19">
        <f t="shared" si="21"/>
        <v>6.5279628199059997E-2</v>
      </c>
      <c r="AD129" s="19">
        <v>8.2853908914403293E-2</v>
      </c>
      <c r="AE129" s="19">
        <f t="shared" si="22"/>
        <v>0.25300021147195328</v>
      </c>
      <c r="AF129" s="19">
        <v>1.3487759842973901E-3</v>
      </c>
      <c r="AG129" s="19">
        <f t="shared" si="23"/>
        <v>0.2062568588789874</v>
      </c>
      <c r="AH129" s="19">
        <v>9.0154847761441503E-2</v>
      </c>
      <c r="AI129" s="19">
        <f t="shared" si="24"/>
        <v>0.35976279628084751</v>
      </c>
      <c r="AJ129" s="19">
        <v>1.15904518139781</v>
      </c>
      <c r="AK129" s="19">
        <f t="shared" si="25"/>
        <v>1.3328893731947711</v>
      </c>
      <c r="AL129" s="19">
        <v>3.3446422424586499</v>
      </c>
      <c r="AM129" s="19">
        <f t="shared" si="26"/>
        <v>3.3399614450136879</v>
      </c>
      <c r="AN129" s="19"/>
      <c r="AO129" s="19" t="str">
        <f t="shared" si="27"/>
        <v/>
      </c>
      <c r="AP129" s="20"/>
      <c r="AR129" s="16">
        <v>0.107113202324399</v>
      </c>
      <c r="AS129" s="16">
        <v>-4.2775246215605897E-2</v>
      </c>
      <c r="AT129" s="16">
        <v>0.19922768878692301</v>
      </c>
      <c r="AU129" s="16">
        <v>-8.5766186583932702E-2</v>
      </c>
      <c r="AV129" s="21">
        <v>3</v>
      </c>
      <c r="AW129" s="21">
        <v>3</v>
      </c>
      <c r="AX129" s="22"/>
      <c r="AY129" s="16"/>
      <c r="AZ129" s="16">
        <v>-0.18953488372149899</v>
      </c>
      <c r="BA129" s="23">
        <v>43818</v>
      </c>
      <c r="BB129" s="22">
        <v>0.79075957782242801</v>
      </c>
      <c r="BD129" s="63">
        <v>1080000</v>
      </c>
      <c r="BE129" s="16">
        <v>0.14020000000004099</v>
      </c>
      <c r="BF129" s="24">
        <v>151416</v>
      </c>
      <c r="BG129" s="16"/>
      <c r="BH129" s="73"/>
      <c r="BI129" s="71" t="s">
        <v>749</v>
      </c>
    </row>
    <row r="130" spans="2:61" x14ac:dyDescent="0.25">
      <c r="B130" s="14" t="s">
        <v>129</v>
      </c>
      <c r="C130" s="14" t="s">
        <v>548</v>
      </c>
      <c r="D130" s="15" t="s">
        <v>339</v>
      </c>
      <c r="E130" s="15" t="s">
        <v>548</v>
      </c>
      <c r="F130" s="15" t="s">
        <v>921</v>
      </c>
      <c r="G130" s="86"/>
      <c r="H130" s="17">
        <v>43647</v>
      </c>
      <c r="I130" s="49"/>
      <c r="J130" s="49">
        <v>6207000</v>
      </c>
      <c r="K130" s="16">
        <f t="shared" si="14"/>
        <v>0</v>
      </c>
      <c r="L130" s="17">
        <v>43647</v>
      </c>
      <c r="M130" s="49">
        <v>0</v>
      </c>
      <c r="N130" s="49">
        <v>26.104417670697</v>
      </c>
      <c r="O130" s="16">
        <f t="shared" si="15"/>
        <v>0</v>
      </c>
      <c r="P130" s="18">
        <v>0</v>
      </c>
      <c r="Q130" s="18">
        <v>4.0160642570299396E-3</v>
      </c>
      <c r="R130" s="16">
        <f t="shared" si="16"/>
        <v>0</v>
      </c>
      <c r="T130" s="19"/>
      <c r="U130" s="19" t="str">
        <f t="shared" si="17"/>
        <v/>
      </c>
      <c r="V130" s="19"/>
      <c r="W130" s="19" t="str">
        <f t="shared" si="18"/>
        <v/>
      </c>
      <c r="X130" s="19"/>
      <c r="Y130" s="19" t="str">
        <f t="shared" si="19"/>
        <v/>
      </c>
      <c r="Z130" s="19"/>
      <c r="AA130" s="19" t="str">
        <f t="shared" si="20"/>
        <v/>
      </c>
      <c r="AB130" s="19"/>
      <c r="AC130" s="19" t="str">
        <f t="shared" si="21"/>
        <v/>
      </c>
      <c r="AD130" s="19"/>
      <c r="AE130" s="19" t="str">
        <f t="shared" si="22"/>
        <v/>
      </c>
      <c r="AF130" s="19"/>
      <c r="AG130" s="19" t="str">
        <f t="shared" si="23"/>
        <v/>
      </c>
      <c r="AH130" s="19"/>
      <c r="AI130" s="19" t="str">
        <f t="shared" si="24"/>
        <v/>
      </c>
      <c r="AJ130" s="19"/>
      <c r="AK130" s="19" t="str">
        <f t="shared" si="25"/>
        <v/>
      </c>
      <c r="AL130" s="19"/>
      <c r="AM130" s="19" t="str">
        <f t="shared" si="26"/>
        <v/>
      </c>
      <c r="AN130" s="19"/>
      <c r="AO130" s="19" t="str">
        <f t="shared" si="27"/>
        <v/>
      </c>
      <c r="AP130" s="20"/>
      <c r="AR130" s="16"/>
      <c r="AS130" s="16"/>
      <c r="AT130" s="16"/>
      <c r="AU130" s="16"/>
      <c r="AV130" s="21"/>
      <c r="AW130" s="21"/>
      <c r="AX130" s="22"/>
      <c r="AY130" s="16"/>
      <c r="AZ130" s="16"/>
      <c r="BA130" s="23"/>
      <c r="BB130" s="22"/>
      <c r="BD130" s="63">
        <v>1.3</v>
      </c>
      <c r="BE130" s="16">
        <v>0.11149999999994201</v>
      </c>
      <c r="BF130" s="24">
        <v>0.14494999999995301</v>
      </c>
      <c r="BG130" s="16"/>
      <c r="BH130" s="73"/>
      <c r="BI130" s="71" t="s">
        <v>898</v>
      </c>
    </row>
    <row r="131" spans="2:61" x14ac:dyDescent="0.25">
      <c r="B131" s="14" t="s">
        <v>130</v>
      </c>
      <c r="C131" s="14" t="s">
        <v>549</v>
      </c>
      <c r="D131" s="15" t="s">
        <v>340</v>
      </c>
      <c r="E131" s="15" t="s">
        <v>549</v>
      </c>
      <c r="F131" s="15" t="s">
        <v>916</v>
      </c>
      <c r="G131" s="86"/>
      <c r="H131" s="17">
        <v>43482</v>
      </c>
      <c r="I131" s="49"/>
      <c r="J131" s="49"/>
      <c r="K131" s="16" t="str">
        <f t="shared" si="14"/>
        <v/>
      </c>
      <c r="L131" s="17"/>
      <c r="M131" s="49">
        <v>0</v>
      </c>
      <c r="N131" s="49">
        <v>0</v>
      </c>
      <c r="O131" s="16" t="str">
        <f t="shared" si="15"/>
        <v/>
      </c>
      <c r="P131" s="18">
        <v>0</v>
      </c>
      <c r="Q131" s="18">
        <v>0</v>
      </c>
      <c r="R131" s="16" t="str">
        <f t="shared" si="16"/>
        <v/>
      </c>
      <c r="T131" s="19"/>
      <c r="U131" s="19" t="str">
        <f t="shared" si="17"/>
        <v/>
      </c>
      <c r="V131" s="19"/>
      <c r="W131" s="19" t="str">
        <f t="shared" si="18"/>
        <v/>
      </c>
      <c r="X131" s="19"/>
      <c r="Y131" s="19" t="str">
        <f t="shared" si="19"/>
        <v/>
      </c>
      <c r="Z131" s="19"/>
      <c r="AA131" s="19" t="str">
        <f t="shared" si="20"/>
        <v/>
      </c>
      <c r="AB131" s="19"/>
      <c r="AC131" s="19" t="str">
        <f t="shared" si="21"/>
        <v/>
      </c>
      <c r="AD131" s="19"/>
      <c r="AE131" s="19" t="str">
        <f t="shared" si="22"/>
        <v/>
      </c>
      <c r="AF131" s="19"/>
      <c r="AG131" s="19" t="str">
        <f t="shared" si="23"/>
        <v/>
      </c>
      <c r="AH131" s="19"/>
      <c r="AI131" s="19" t="str">
        <f t="shared" si="24"/>
        <v/>
      </c>
      <c r="AJ131" s="19"/>
      <c r="AK131" s="19" t="str">
        <f t="shared" si="25"/>
        <v/>
      </c>
      <c r="AL131" s="19"/>
      <c r="AM131" s="19" t="str">
        <f t="shared" si="26"/>
        <v/>
      </c>
      <c r="AN131" s="19"/>
      <c r="AO131" s="19" t="str">
        <f t="shared" si="27"/>
        <v/>
      </c>
      <c r="AP131" s="20"/>
      <c r="AR131" s="16"/>
      <c r="AS131" s="16"/>
      <c r="AT131" s="16"/>
      <c r="AU131" s="16"/>
      <c r="AV131" s="21"/>
      <c r="AW131" s="21"/>
      <c r="AX131" s="22"/>
      <c r="AY131" s="16"/>
      <c r="AZ131" s="16"/>
      <c r="BA131" s="23"/>
      <c r="BB131" s="22"/>
      <c r="BD131" s="63">
        <v>400</v>
      </c>
      <c r="BE131" s="16">
        <v>0.54739999999990696</v>
      </c>
      <c r="BF131" s="24">
        <v>218.96</v>
      </c>
      <c r="BG131" s="16"/>
      <c r="BH131" s="73"/>
      <c r="BI131" s="71" t="s">
        <v>710</v>
      </c>
    </row>
    <row r="132" spans="2:61" x14ac:dyDescent="0.25">
      <c r="B132" s="14" t="s">
        <v>131</v>
      </c>
      <c r="C132" s="14" t="s">
        <v>550</v>
      </c>
      <c r="D132" s="15" t="s">
        <v>341</v>
      </c>
      <c r="E132" s="15" t="s">
        <v>550</v>
      </c>
      <c r="F132" s="15" t="s">
        <v>912</v>
      </c>
      <c r="G132" s="86">
        <v>70075722.101500005</v>
      </c>
      <c r="H132" s="17">
        <v>43999</v>
      </c>
      <c r="I132" s="49">
        <v>118.459999999963</v>
      </c>
      <c r="J132" s="49">
        <v>198.90470644645401</v>
      </c>
      <c r="K132" s="16">
        <f t="shared" si="14"/>
        <v>0.5955615737622223</v>
      </c>
      <c r="L132" s="17">
        <v>43650</v>
      </c>
      <c r="M132" s="49">
        <v>342.2</v>
      </c>
      <c r="N132" s="49">
        <v>43562.863301208497</v>
      </c>
      <c r="O132" s="16">
        <f t="shared" si="15"/>
        <v>7.8553146893470347E-3</v>
      </c>
      <c r="P132" s="18"/>
      <c r="Q132" s="18"/>
      <c r="R132" s="16" t="str">
        <f t="shared" si="16"/>
        <v/>
      </c>
      <c r="T132" s="19">
        <v>0</v>
      </c>
      <c r="U132" s="19">
        <f t="shared" si="17"/>
        <v>-1.41224009094003E-2</v>
      </c>
      <c r="V132" s="19">
        <v>0.24602924161270501</v>
      </c>
      <c r="W132" s="19">
        <f t="shared" si="18"/>
        <v>0.15065694201810409</v>
      </c>
      <c r="X132" s="19">
        <v>-0.22892297205456999</v>
      </c>
      <c r="Y132" s="19">
        <f t="shared" si="19"/>
        <v>-8.4161992810549979E-2</v>
      </c>
      <c r="Z132" s="19">
        <v>0.29358535376377398</v>
      </c>
      <c r="AA132" s="19">
        <f t="shared" si="20"/>
        <v>0.19084248968094497</v>
      </c>
      <c r="AB132" s="19">
        <v>0.23173377597966499</v>
      </c>
      <c r="AC132" s="19">
        <f t="shared" si="21"/>
        <v>1.0572788532881988E-2</v>
      </c>
      <c r="AD132" s="19">
        <v>-0.24955749547749301</v>
      </c>
      <c r="AE132" s="19">
        <f t="shared" si="22"/>
        <v>-7.9411192919943002E-2</v>
      </c>
      <c r="AF132" s="19">
        <v>-0.35146394663141101</v>
      </c>
      <c r="AG132" s="19">
        <f t="shared" si="23"/>
        <v>-0.146555863736721</v>
      </c>
      <c r="AH132" s="19"/>
      <c r="AI132" s="19" t="str">
        <f t="shared" si="24"/>
        <v/>
      </c>
      <c r="AJ132" s="19"/>
      <c r="AK132" s="19" t="str">
        <f t="shared" si="25"/>
        <v/>
      </c>
      <c r="AL132" s="19"/>
      <c r="AM132" s="19" t="str">
        <f t="shared" si="26"/>
        <v/>
      </c>
      <c r="AN132" s="19"/>
      <c r="AO132" s="19" t="str">
        <f t="shared" si="27"/>
        <v/>
      </c>
      <c r="AP132" s="20"/>
      <c r="AR132" s="16">
        <v>0.106717942555406</v>
      </c>
      <c r="AS132" s="16">
        <v>-6.54933641071693E-2</v>
      </c>
      <c r="AT132" s="16">
        <v>0.24602924161270501</v>
      </c>
      <c r="AU132" s="16">
        <v>-0.256587945655047</v>
      </c>
      <c r="AV132" s="21">
        <v>3</v>
      </c>
      <c r="AW132" s="21">
        <v>3</v>
      </c>
      <c r="AX132" s="22"/>
      <c r="AY132" s="16"/>
      <c r="AZ132" s="16">
        <v>-0.496478430386051</v>
      </c>
      <c r="BA132" s="23">
        <v>43818</v>
      </c>
      <c r="BB132" s="22">
        <v>1.5064196710045501</v>
      </c>
      <c r="BD132" s="63">
        <v>591555.98600000003</v>
      </c>
      <c r="BE132" s="16">
        <v>0.11070000000007001</v>
      </c>
      <c r="BF132" s="24">
        <v>65485.247650207501</v>
      </c>
      <c r="BG132" s="16">
        <v>1</v>
      </c>
      <c r="BH132" s="73">
        <v>591555.98600000003</v>
      </c>
      <c r="BI132" s="71" t="s">
        <v>750</v>
      </c>
    </row>
    <row r="133" spans="2:61" x14ac:dyDescent="0.25">
      <c r="B133" s="14" t="s">
        <v>132</v>
      </c>
      <c r="C133" s="14" t="s">
        <v>551</v>
      </c>
      <c r="D133" s="15" t="s">
        <v>342</v>
      </c>
      <c r="E133" s="15" t="s">
        <v>551</v>
      </c>
      <c r="F133" s="15" t="s">
        <v>916</v>
      </c>
      <c r="G133" s="86">
        <v>22745029.372000001</v>
      </c>
      <c r="H133" s="17">
        <v>43969</v>
      </c>
      <c r="I133" s="49"/>
      <c r="J133" s="49">
        <v>4</v>
      </c>
      <c r="K133" s="16">
        <f t="shared" si="14"/>
        <v>0</v>
      </c>
      <c r="L133" s="17">
        <v>43969</v>
      </c>
      <c r="M133" s="49">
        <v>0</v>
      </c>
      <c r="N133" s="49">
        <v>11.9784497991949</v>
      </c>
      <c r="O133" s="16">
        <f t="shared" si="15"/>
        <v>0</v>
      </c>
      <c r="P133" s="18">
        <v>0</v>
      </c>
      <c r="Q133" s="18">
        <v>0.100401606425748</v>
      </c>
      <c r="R133" s="16">
        <f t="shared" si="16"/>
        <v>0</v>
      </c>
      <c r="T133" s="19"/>
      <c r="U133" s="19" t="str">
        <f t="shared" si="17"/>
        <v/>
      </c>
      <c r="V133" s="19"/>
      <c r="W133" s="19" t="str">
        <f t="shared" si="18"/>
        <v/>
      </c>
      <c r="X133" s="19"/>
      <c r="Y133" s="19" t="str">
        <f t="shared" si="19"/>
        <v/>
      </c>
      <c r="Z133" s="19"/>
      <c r="AA133" s="19" t="str">
        <f t="shared" si="20"/>
        <v/>
      </c>
      <c r="AB133" s="19"/>
      <c r="AC133" s="19" t="str">
        <f t="shared" si="21"/>
        <v/>
      </c>
      <c r="AD133" s="19"/>
      <c r="AE133" s="19" t="str">
        <f t="shared" si="22"/>
        <v/>
      </c>
      <c r="AF133" s="19"/>
      <c r="AG133" s="19" t="str">
        <f t="shared" si="23"/>
        <v/>
      </c>
      <c r="AH133" s="19"/>
      <c r="AI133" s="19" t="str">
        <f t="shared" si="24"/>
        <v/>
      </c>
      <c r="AJ133" s="19"/>
      <c r="AK133" s="19" t="str">
        <f t="shared" si="25"/>
        <v/>
      </c>
      <c r="AL133" s="19"/>
      <c r="AM133" s="19" t="str">
        <f t="shared" si="26"/>
        <v/>
      </c>
      <c r="AN133" s="19"/>
      <c r="AO133" s="19" t="str">
        <f t="shared" si="27"/>
        <v/>
      </c>
      <c r="AP133" s="20"/>
      <c r="AR133" s="16">
        <v>0</v>
      </c>
      <c r="AS133" s="16">
        <v>0</v>
      </c>
      <c r="AT133" s="16">
        <v>0</v>
      </c>
      <c r="AU133" s="16">
        <v>0</v>
      </c>
      <c r="AV133" s="21"/>
      <c r="AW133" s="21"/>
      <c r="AX133" s="22"/>
      <c r="AY133" s="16"/>
      <c r="AZ133" s="16">
        <v>0</v>
      </c>
      <c r="BA133" s="23">
        <v>43822</v>
      </c>
      <c r="BB133" s="22"/>
      <c r="BD133" s="63">
        <v>5686257.3430000003</v>
      </c>
      <c r="BE133" s="16">
        <v>0.98839999999967398</v>
      </c>
      <c r="BF133" s="24">
        <v>5620296.7578203101</v>
      </c>
      <c r="BG133" s="16"/>
      <c r="BH133" s="73"/>
      <c r="BI133" s="71" t="s">
        <v>751</v>
      </c>
    </row>
    <row r="134" spans="2:61" x14ac:dyDescent="0.25">
      <c r="B134" s="14" t="s">
        <v>133</v>
      </c>
      <c r="C134" s="14" t="s">
        <v>552</v>
      </c>
      <c r="D134" s="15" t="s">
        <v>343</v>
      </c>
      <c r="E134" s="15" t="s">
        <v>552</v>
      </c>
      <c r="F134" s="15" t="s">
        <v>912</v>
      </c>
      <c r="G134" s="86">
        <v>19675000</v>
      </c>
      <c r="H134" s="17">
        <v>43997</v>
      </c>
      <c r="I134" s="49"/>
      <c r="J134" s="49">
        <v>1200</v>
      </c>
      <c r="K134" s="16">
        <f t="shared" si="14"/>
        <v>0</v>
      </c>
      <c r="L134" s="17">
        <v>43635</v>
      </c>
      <c r="M134" s="49">
        <v>0</v>
      </c>
      <c r="N134" s="49">
        <v>112.812518072247</v>
      </c>
      <c r="O134" s="16">
        <f t="shared" si="15"/>
        <v>0</v>
      </c>
      <c r="P134" s="18">
        <v>0</v>
      </c>
      <c r="Q134" s="18">
        <v>0.15261044176713801</v>
      </c>
      <c r="R134" s="16">
        <f t="shared" si="16"/>
        <v>0</v>
      </c>
      <c r="T134" s="19"/>
      <c r="U134" s="19" t="str">
        <f t="shared" si="17"/>
        <v/>
      </c>
      <c r="V134" s="19"/>
      <c r="W134" s="19" t="str">
        <f t="shared" si="18"/>
        <v/>
      </c>
      <c r="X134" s="19"/>
      <c r="Y134" s="19" t="str">
        <f t="shared" si="19"/>
        <v/>
      </c>
      <c r="Z134" s="19"/>
      <c r="AA134" s="19" t="str">
        <f t="shared" si="20"/>
        <v/>
      </c>
      <c r="AB134" s="19"/>
      <c r="AC134" s="19" t="str">
        <f t="shared" si="21"/>
        <v/>
      </c>
      <c r="AD134" s="19">
        <v>0</v>
      </c>
      <c r="AE134" s="19">
        <f t="shared" si="22"/>
        <v>0.17014630255755001</v>
      </c>
      <c r="AF134" s="19"/>
      <c r="AG134" s="19" t="str">
        <f t="shared" si="23"/>
        <v/>
      </c>
      <c r="AH134" s="19"/>
      <c r="AI134" s="19" t="str">
        <f t="shared" si="24"/>
        <v/>
      </c>
      <c r="AJ134" s="19">
        <v>-0.215020537339151</v>
      </c>
      <c r="AK134" s="19">
        <f t="shared" si="25"/>
        <v>-4.117634554218999E-2</v>
      </c>
      <c r="AL134" s="19">
        <v>-0.225449944801803</v>
      </c>
      <c r="AM134" s="19">
        <f t="shared" si="26"/>
        <v>-0.23013074224676508</v>
      </c>
      <c r="AN134" s="19">
        <v>0.14494990892315401</v>
      </c>
      <c r="AO134" s="19">
        <f t="shared" si="27"/>
        <v>0.13366781169141181</v>
      </c>
      <c r="AP134" s="20"/>
      <c r="AR134" s="16">
        <v>0</v>
      </c>
      <c r="AS134" s="16">
        <v>0</v>
      </c>
      <c r="AT134" s="16">
        <v>0</v>
      </c>
      <c r="AU134" s="16">
        <v>0</v>
      </c>
      <c r="AV134" s="21"/>
      <c r="AW134" s="21"/>
      <c r="AX134" s="22"/>
      <c r="AY134" s="16"/>
      <c r="AZ134" s="16">
        <v>0</v>
      </c>
      <c r="BA134" s="23">
        <v>43837</v>
      </c>
      <c r="BB134" s="22"/>
      <c r="BD134" s="63">
        <v>25000</v>
      </c>
      <c r="BE134" s="16">
        <v>0.33630000000004701</v>
      </c>
      <c r="BF134" s="24">
        <v>8407.5</v>
      </c>
      <c r="BG134" s="16"/>
      <c r="BH134" s="73"/>
      <c r="BI134" s="71" t="s">
        <v>737</v>
      </c>
    </row>
    <row r="135" spans="2:61" x14ac:dyDescent="0.25">
      <c r="B135" s="14" t="s">
        <v>134</v>
      </c>
      <c r="C135" s="14" t="s">
        <v>553</v>
      </c>
      <c r="D135" s="15" t="s">
        <v>344</v>
      </c>
      <c r="E135" s="15" t="s">
        <v>553</v>
      </c>
      <c r="F135" s="15" t="s">
        <v>916</v>
      </c>
      <c r="G135" s="86"/>
      <c r="H135" s="17">
        <v>39210</v>
      </c>
      <c r="I135" s="49"/>
      <c r="J135" s="49"/>
      <c r="K135" s="16" t="str">
        <f t="shared" si="14"/>
        <v/>
      </c>
      <c r="L135" s="17"/>
      <c r="M135" s="49">
        <v>0</v>
      </c>
      <c r="N135" s="49">
        <v>0</v>
      </c>
      <c r="O135" s="16" t="str">
        <f t="shared" si="15"/>
        <v/>
      </c>
      <c r="P135" s="18">
        <v>0</v>
      </c>
      <c r="Q135" s="18">
        <v>0</v>
      </c>
      <c r="R135" s="16" t="str">
        <f t="shared" si="16"/>
        <v/>
      </c>
      <c r="T135" s="19"/>
      <c r="U135" s="19" t="str">
        <f t="shared" si="17"/>
        <v/>
      </c>
      <c r="V135" s="19"/>
      <c r="W135" s="19" t="str">
        <f t="shared" si="18"/>
        <v/>
      </c>
      <c r="X135" s="19"/>
      <c r="Y135" s="19" t="str">
        <f t="shared" si="19"/>
        <v/>
      </c>
      <c r="Z135" s="19"/>
      <c r="AA135" s="19" t="str">
        <f t="shared" si="20"/>
        <v/>
      </c>
      <c r="AB135" s="19"/>
      <c r="AC135" s="19" t="str">
        <f t="shared" si="21"/>
        <v/>
      </c>
      <c r="AD135" s="19"/>
      <c r="AE135" s="19" t="str">
        <f t="shared" si="22"/>
        <v/>
      </c>
      <c r="AF135" s="19"/>
      <c r="AG135" s="19" t="str">
        <f t="shared" si="23"/>
        <v/>
      </c>
      <c r="AH135" s="19"/>
      <c r="AI135" s="19" t="str">
        <f t="shared" si="24"/>
        <v/>
      </c>
      <c r="AJ135" s="19"/>
      <c r="AK135" s="19" t="str">
        <f t="shared" si="25"/>
        <v/>
      </c>
      <c r="AL135" s="19"/>
      <c r="AM135" s="19" t="str">
        <f t="shared" si="26"/>
        <v/>
      </c>
      <c r="AN135" s="19"/>
      <c r="AO135" s="19" t="str">
        <f t="shared" si="27"/>
        <v/>
      </c>
      <c r="AP135" s="20"/>
      <c r="AR135" s="16"/>
      <c r="AS135" s="16"/>
      <c r="AT135" s="16"/>
      <c r="AU135" s="16"/>
      <c r="AV135" s="21"/>
      <c r="AW135" s="21"/>
      <c r="AX135" s="22"/>
      <c r="AY135" s="16"/>
      <c r="AZ135" s="16"/>
      <c r="BA135" s="23"/>
      <c r="BB135" s="22"/>
      <c r="BD135" s="63">
        <v>32.204000000000001</v>
      </c>
      <c r="BE135" s="16"/>
      <c r="BF135" s="24"/>
      <c r="BG135" s="16"/>
      <c r="BH135" s="73"/>
      <c r="BI135" s="71" t="s">
        <v>227</v>
      </c>
    </row>
    <row r="136" spans="2:61" x14ac:dyDescent="0.25">
      <c r="B136" s="14" t="s">
        <v>135</v>
      </c>
      <c r="C136" s="14" t="s">
        <v>554</v>
      </c>
      <c r="D136" s="15" t="s">
        <v>345</v>
      </c>
      <c r="E136" s="15" t="s">
        <v>554</v>
      </c>
      <c r="F136" s="15" t="s">
        <v>916</v>
      </c>
      <c r="G136" s="86"/>
      <c r="H136" s="17">
        <v>39210</v>
      </c>
      <c r="I136" s="49"/>
      <c r="J136" s="49"/>
      <c r="K136" s="16" t="str">
        <f t="shared" si="14"/>
        <v/>
      </c>
      <c r="L136" s="17"/>
      <c r="M136" s="49">
        <v>0</v>
      </c>
      <c r="N136" s="49">
        <v>0</v>
      </c>
      <c r="O136" s="16" t="str">
        <f t="shared" si="15"/>
        <v/>
      </c>
      <c r="P136" s="18">
        <v>0</v>
      </c>
      <c r="Q136" s="18">
        <v>0</v>
      </c>
      <c r="R136" s="16" t="str">
        <f t="shared" si="16"/>
        <v/>
      </c>
      <c r="T136" s="19"/>
      <c r="U136" s="19" t="str">
        <f t="shared" si="17"/>
        <v/>
      </c>
      <c r="V136" s="19"/>
      <c r="W136" s="19" t="str">
        <f t="shared" si="18"/>
        <v/>
      </c>
      <c r="X136" s="19"/>
      <c r="Y136" s="19" t="str">
        <f t="shared" si="19"/>
        <v/>
      </c>
      <c r="Z136" s="19"/>
      <c r="AA136" s="19" t="str">
        <f t="shared" si="20"/>
        <v/>
      </c>
      <c r="AB136" s="19"/>
      <c r="AC136" s="19" t="str">
        <f t="shared" si="21"/>
        <v/>
      </c>
      <c r="AD136" s="19"/>
      <c r="AE136" s="19" t="str">
        <f t="shared" si="22"/>
        <v/>
      </c>
      <c r="AF136" s="19"/>
      <c r="AG136" s="19" t="str">
        <f t="shared" si="23"/>
        <v/>
      </c>
      <c r="AH136" s="19"/>
      <c r="AI136" s="19" t="str">
        <f t="shared" si="24"/>
        <v/>
      </c>
      <c r="AJ136" s="19"/>
      <c r="AK136" s="19" t="str">
        <f t="shared" si="25"/>
        <v/>
      </c>
      <c r="AL136" s="19"/>
      <c r="AM136" s="19" t="str">
        <f t="shared" si="26"/>
        <v/>
      </c>
      <c r="AN136" s="19"/>
      <c r="AO136" s="19" t="str">
        <f t="shared" si="27"/>
        <v/>
      </c>
      <c r="AP136" s="20"/>
      <c r="AR136" s="16"/>
      <c r="AS136" s="16"/>
      <c r="AT136" s="16"/>
      <c r="AU136" s="16"/>
      <c r="AV136" s="21"/>
      <c r="AW136" s="21"/>
      <c r="AX136" s="22"/>
      <c r="AY136" s="16"/>
      <c r="AZ136" s="16"/>
      <c r="BA136" s="23"/>
      <c r="BB136" s="22"/>
      <c r="BD136" s="63">
        <v>3.1850000000000001</v>
      </c>
      <c r="BE136" s="16">
        <v>0.48729999999981399</v>
      </c>
      <c r="BF136" s="24">
        <v>1.5520504999999001</v>
      </c>
      <c r="BG136" s="16"/>
      <c r="BH136" s="73"/>
      <c r="BI136" s="71" t="s">
        <v>752</v>
      </c>
    </row>
    <row r="137" spans="2:61" x14ac:dyDescent="0.25">
      <c r="B137" s="14" t="s">
        <v>136</v>
      </c>
      <c r="C137" s="14" t="s">
        <v>555</v>
      </c>
      <c r="D137" s="15" t="s">
        <v>346</v>
      </c>
      <c r="E137" s="15" t="s">
        <v>555</v>
      </c>
      <c r="F137" s="15" t="s">
        <v>911</v>
      </c>
      <c r="G137" s="86">
        <v>240990754.85975</v>
      </c>
      <c r="H137" s="17">
        <v>43999</v>
      </c>
      <c r="I137" s="49">
        <v>1710</v>
      </c>
      <c r="J137" s="49">
        <v>2096.8732824437302</v>
      </c>
      <c r="K137" s="16">
        <f t="shared" si="14"/>
        <v>0.81549992282182082</v>
      </c>
      <c r="L137" s="17">
        <v>43668</v>
      </c>
      <c r="M137" s="49">
        <v>19173.560000000001</v>
      </c>
      <c r="N137" s="49">
        <v>77747.487449829103</v>
      </c>
      <c r="O137" s="16">
        <f t="shared" si="15"/>
        <v>0.24661324280572808</v>
      </c>
      <c r="P137" s="18">
        <v>4</v>
      </c>
      <c r="Q137" s="18">
        <v>2.5582329317257999</v>
      </c>
      <c r="R137" s="16">
        <f t="shared" si="16"/>
        <v>1.5635792778656692</v>
      </c>
      <c r="T137" s="19"/>
      <c r="U137" s="19" t="str">
        <f t="shared" si="17"/>
        <v/>
      </c>
      <c r="V137" s="19">
        <v>7.9000504794748794E-2</v>
      </c>
      <c r="W137" s="19">
        <f t="shared" si="18"/>
        <v>-1.637179479985211E-2</v>
      </c>
      <c r="X137" s="19">
        <v>2.0567154877426198E-2</v>
      </c>
      <c r="Y137" s="19">
        <f t="shared" si="19"/>
        <v>0.1653281341214462</v>
      </c>
      <c r="Z137" s="19">
        <v>0.12160566706006599</v>
      </c>
      <c r="AA137" s="19">
        <f t="shared" si="20"/>
        <v>1.8862802977236998E-2</v>
      </c>
      <c r="AB137" s="19">
        <v>9.0731146774487598E-2</v>
      </c>
      <c r="AC137" s="19">
        <f t="shared" si="21"/>
        <v>-0.13042984067229541</v>
      </c>
      <c r="AD137" s="19">
        <v>3.2644872686432798E-2</v>
      </c>
      <c r="AE137" s="19">
        <f t="shared" si="22"/>
        <v>0.2027911752439828</v>
      </c>
      <c r="AF137" s="19">
        <v>-0.18450007717823599</v>
      </c>
      <c r="AG137" s="19">
        <f t="shared" si="23"/>
        <v>2.0408005716454014E-2</v>
      </c>
      <c r="AH137" s="19">
        <v>-0.29062631997483601</v>
      </c>
      <c r="AI137" s="19">
        <f t="shared" si="24"/>
        <v>-2.1018371455430007E-2</v>
      </c>
      <c r="AJ137" s="19">
        <v>-0.19261641538643701</v>
      </c>
      <c r="AK137" s="19">
        <f t="shared" si="25"/>
        <v>-1.8772223589476E-2</v>
      </c>
      <c r="AL137" s="19">
        <v>-0.113924943237216</v>
      </c>
      <c r="AM137" s="19">
        <f t="shared" si="26"/>
        <v>-0.11860574068217808</v>
      </c>
      <c r="AN137" s="19">
        <v>0.30623067934357101</v>
      </c>
      <c r="AO137" s="19">
        <f t="shared" si="27"/>
        <v>0.29494858211182884</v>
      </c>
      <c r="AP137" s="20"/>
      <c r="AR137" s="16">
        <v>6.1948540753292002E-2</v>
      </c>
      <c r="AS137" s="16">
        <v>-6.48746739252965E-2</v>
      </c>
      <c r="AT137" s="16">
        <v>0.15616698664234699</v>
      </c>
      <c r="AU137" s="16">
        <v>-0.201607950421167</v>
      </c>
      <c r="AV137" s="21">
        <v>3</v>
      </c>
      <c r="AW137" s="21">
        <v>3</v>
      </c>
      <c r="AX137" s="22"/>
      <c r="AY137" s="16"/>
      <c r="AZ137" s="16">
        <v>-0.25698924731230399</v>
      </c>
      <c r="BA137" s="23">
        <v>43854</v>
      </c>
      <c r="BB137" s="22">
        <v>0.98290848712895196</v>
      </c>
      <c r="BD137" s="63">
        <v>139777.19392944299</v>
      </c>
      <c r="BE137" s="16">
        <v>0.15169999999998299</v>
      </c>
      <c r="BF137" s="24">
        <v>21379.121352203401</v>
      </c>
      <c r="BG137" s="16">
        <v>0.56800000000046602</v>
      </c>
      <c r="BH137" s="73">
        <v>80048.391088012693</v>
      </c>
      <c r="BI137" s="71" t="s">
        <v>727</v>
      </c>
    </row>
    <row r="138" spans="2:61" x14ac:dyDescent="0.25">
      <c r="B138" s="14" t="s">
        <v>137</v>
      </c>
      <c r="C138" s="14" t="s">
        <v>556</v>
      </c>
      <c r="D138" s="15" t="s">
        <v>347</v>
      </c>
      <c r="E138" s="15" t="s">
        <v>556</v>
      </c>
      <c r="F138" s="15" t="s">
        <v>906</v>
      </c>
      <c r="G138" s="86"/>
      <c r="H138" s="17">
        <v>43570</v>
      </c>
      <c r="I138" s="49"/>
      <c r="J138" s="49"/>
      <c r="K138" s="16" t="str">
        <f t="shared" si="14"/>
        <v/>
      </c>
      <c r="L138" s="17"/>
      <c r="M138" s="49">
        <v>0</v>
      </c>
      <c r="N138" s="49">
        <v>0</v>
      </c>
      <c r="O138" s="16" t="str">
        <f t="shared" si="15"/>
        <v/>
      </c>
      <c r="P138" s="18">
        <v>0</v>
      </c>
      <c r="Q138" s="18">
        <v>0</v>
      </c>
      <c r="R138" s="16" t="str">
        <f t="shared" si="16"/>
        <v/>
      </c>
      <c r="T138" s="19"/>
      <c r="U138" s="19" t="str">
        <f t="shared" si="17"/>
        <v/>
      </c>
      <c r="V138" s="19"/>
      <c r="W138" s="19" t="str">
        <f t="shared" si="18"/>
        <v/>
      </c>
      <c r="X138" s="19"/>
      <c r="Y138" s="19" t="str">
        <f t="shared" si="19"/>
        <v/>
      </c>
      <c r="Z138" s="19"/>
      <c r="AA138" s="19" t="str">
        <f t="shared" si="20"/>
        <v/>
      </c>
      <c r="AB138" s="19"/>
      <c r="AC138" s="19" t="str">
        <f t="shared" si="21"/>
        <v/>
      </c>
      <c r="AD138" s="19"/>
      <c r="AE138" s="19" t="str">
        <f t="shared" si="22"/>
        <v/>
      </c>
      <c r="AF138" s="19"/>
      <c r="AG138" s="19" t="str">
        <f t="shared" si="23"/>
        <v/>
      </c>
      <c r="AH138" s="19"/>
      <c r="AI138" s="19" t="str">
        <f t="shared" si="24"/>
        <v/>
      </c>
      <c r="AJ138" s="19"/>
      <c r="AK138" s="19" t="str">
        <f t="shared" si="25"/>
        <v/>
      </c>
      <c r="AL138" s="19"/>
      <c r="AM138" s="19" t="str">
        <f t="shared" si="26"/>
        <v/>
      </c>
      <c r="AN138" s="19"/>
      <c r="AO138" s="19" t="str">
        <f t="shared" si="27"/>
        <v/>
      </c>
      <c r="AP138" s="20"/>
      <c r="AR138" s="16"/>
      <c r="AS138" s="16"/>
      <c r="AT138" s="16"/>
      <c r="AU138" s="16"/>
      <c r="AV138" s="21"/>
      <c r="AW138" s="21"/>
      <c r="AX138" s="22"/>
      <c r="AY138" s="16"/>
      <c r="AZ138" s="16"/>
      <c r="BA138" s="23"/>
      <c r="BB138" s="22"/>
      <c r="BD138" s="63">
        <v>584630.14500000002</v>
      </c>
      <c r="BE138" s="16">
        <v>0.57789999999979003</v>
      </c>
      <c r="BF138" s="24">
        <v>337857.76079541002</v>
      </c>
      <c r="BG138" s="16"/>
      <c r="BH138" s="73"/>
      <c r="BI138" s="71" t="s">
        <v>257</v>
      </c>
    </row>
    <row r="139" spans="2:61" x14ac:dyDescent="0.25">
      <c r="B139" s="14" t="s">
        <v>138</v>
      </c>
      <c r="C139" s="14" t="s">
        <v>557</v>
      </c>
      <c r="D139" s="15" t="s">
        <v>348</v>
      </c>
      <c r="E139" s="15" t="s">
        <v>557</v>
      </c>
      <c r="F139" s="15" t="s">
        <v>906</v>
      </c>
      <c r="G139" s="86">
        <v>317188672.90850002</v>
      </c>
      <c r="H139" s="17">
        <v>43999</v>
      </c>
      <c r="I139" s="49">
        <v>2122.3999999985099</v>
      </c>
      <c r="J139" s="49">
        <v>3840.1000000014901</v>
      </c>
      <c r="K139" s="16">
        <f t="shared" ref="K139:K202" si="28">IFERROR(I139/J139,"")</f>
        <v>0.55269394026136986</v>
      </c>
      <c r="L139" s="17">
        <v>43650</v>
      </c>
      <c r="M139" s="49">
        <v>3373.9229999999998</v>
      </c>
      <c r="N139" s="49">
        <v>75415.628855468705</v>
      </c>
      <c r="O139" s="16">
        <f t="shared" ref="O139:O202" si="29">IFERROR(M139/N139,"")</f>
        <v>4.473771618965082E-2</v>
      </c>
      <c r="P139" s="18"/>
      <c r="Q139" s="18"/>
      <c r="R139" s="16" t="str">
        <f t="shared" ref="R139:R202" si="30">IFERROR(P139/Q139,"")</f>
        <v/>
      </c>
      <c r="T139" s="19">
        <v>0</v>
      </c>
      <c r="U139" s="19">
        <f t="shared" ref="U139:U202" si="31">IF(T139="","",T139-T$8)</f>
        <v>-1.41224009094003E-2</v>
      </c>
      <c r="V139" s="19">
        <v>0.112077547812078</v>
      </c>
      <c r="W139" s="19">
        <f t="shared" ref="W139:W202" si="32">IF(V139="","",V139-V$8)</f>
        <v>1.6705248217477098E-2</v>
      </c>
      <c r="X139" s="19">
        <v>-0.292533333334141</v>
      </c>
      <c r="Y139" s="19">
        <f t="shared" ref="Y139:Y202" si="33">IF(X139="","",X139-X$8)</f>
        <v>-0.14777235409012099</v>
      </c>
      <c r="Z139" s="19">
        <v>4.7478037706241601E-2</v>
      </c>
      <c r="AA139" s="19">
        <f t="shared" ref="AA139:AA202" si="34">IF(Z139="","",Z139-Z$8)</f>
        <v>-5.5264826376587396E-2</v>
      </c>
      <c r="AB139" s="19">
        <v>-0.29250975032482501</v>
      </c>
      <c r="AC139" s="19">
        <f t="shared" ref="AC139:AC202" si="35">IF(AB139="","",AB139-AB$8)</f>
        <v>-0.51367073777160799</v>
      </c>
      <c r="AD139" s="19">
        <v>-0.28536314354016201</v>
      </c>
      <c r="AE139" s="19">
        <f t="shared" ref="AE139:AE202" si="36">IF(AD139="","",AD139-AD$8)</f>
        <v>-0.11521684098261201</v>
      </c>
      <c r="AF139" s="19">
        <v>-0.419522468069918</v>
      </c>
      <c r="AG139" s="19">
        <f t="shared" ref="AG139:AG202" si="37">IF(AF139="","",AF139-AF$8)</f>
        <v>-0.21461438517522799</v>
      </c>
      <c r="AH139" s="19">
        <v>-9.0469589272252099E-2</v>
      </c>
      <c r="AI139" s="19">
        <f t="shared" ref="AI139:AI202" si="38">IF(AH139="","",AH139-AH$8)</f>
        <v>0.17913835924715391</v>
      </c>
      <c r="AJ139" s="19">
        <v>0.56130342348129503</v>
      </c>
      <c r="AK139" s="19">
        <f t="shared" ref="AK139:AK202" si="39">IF(AJ139="","",AJ139-AJ$8)</f>
        <v>0.73514761527825601</v>
      </c>
      <c r="AL139" s="19">
        <v>2.34049879666884</v>
      </c>
      <c r="AM139" s="19">
        <f t="shared" ref="AM139:AM202" si="40">IF(AL139="","",AL139-AL$8)</f>
        <v>2.3358179992238779</v>
      </c>
      <c r="AN139" s="19">
        <v>2.0354718549828998</v>
      </c>
      <c r="AO139" s="19">
        <f t="shared" ref="AO139:AO202" si="41">IF(AN139="","",AN139-AN$8)</f>
        <v>2.0241897577511576</v>
      </c>
      <c r="AP139" s="20"/>
      <c r="AR139" s="16">
        <v>0.105716406831634</v>
      </c>
      <c r="AS139" s="16">
        <v>-8.32049306618865E-2</v>
      </c>
      <c r="AT139" s="16">
        <v>0.112077547812078</v>
      </c>
      <c r="AU139" s="16">
        <v>-0.21067022340779701</v>
      </c>
      <c r="AV139" s="21">
        <v>2</v>
      </c>
      <c r="AW139" s="21">
        <v>4</v>
      </c>
      <c r="AX139" s="22"/>
      <c r="AY139" s="16"/>
      <c r="AZ139" s="16">
        <v>-0.36383333333360501</v>
      </c>
      <c r="BA139" s="23">
        <v>43829</v>
      </c>
      <c r="BB139" s="22">
        <v>0.36478168823214202</v>
      </c>
      <c r="BD139" s="63">
        <v>149448.11199999999</v>
      </c>
      <c r="BE139" s="16">
        <v>0.38720000000030302</v>
      </c>
      <c r="BF139" s="24">
        <v>57866.308966369601</v>
      </c>
      <c r="BG139" s="16">
        <v>0.61329999999958096</v>
      </c>
      <c r="BH139" s="73">
        <v>91656.527089599607</v>
      </c>
      <c r="BI139" s="71" t="s">
        <v>753</v>
      </c>
    </row>
    <row r="140" spans="2:61" x14ac:dyDescent="0.25">
      <c r="B140" s="14" t="s">
        <v>139</v>
      </c>
      <c r="C140" s="14" t="s">
        <v>558</v>
      </c>
      <c r="D140" s="15" t="s">
        <v>349</v>
      </c>
      <c r="E140" s="15" t="s">
        <v>558</v>
      </c>
      <c r="F140" s="15" t="s">
        <v>909</v>
      </c>
      <c r="G140" s="86"/>
      <c r="H140" s="17">
        <v>43809</v>
      </c>
      <c r="I140" s="49"/>
      <c r="J140" s="49">
        <v>120</v>
      </c>
      <c r="K140" s="16">
        <f t="shared" si="28"/>
        <v>0</v>
      </c>
      <c r="L140" s="17">
        <v>43809</v>
      </c>
      <c r="M140" s="49">
        <v>0</v>
      </c>
      <c r="N140" s="49">
        <v>470.10704016065603</v>
      </c>
      <c r="O140" s="16">
        <f t="shared" si="29"/>
        <v>0</v>
      </c>
      <c r="P140" s="18">
        <v>0</v>
      </c>
      <c r="Q140" s="18">
        <v>0.30120481927724502</v>
      </c>
      <c r="R140" s="16">
        <f t="shared" si="30"/>
        <v>0</v>
      </c>
      <c r="T140" s="19"/>
      <c r="U140" s="19" t="str">
        <f t="shared" si="31"/>
        <v/>
      </c>
      <c r="V140" s="19"/>
      <c r="W140" s="19" t="str">
        <f t="shared" si="32"/>
        <v/>
      </c>
      <c r="X140" s="19"/>
      <c r="Y140" s="19" t="str">
        <f t="shared" si="33"/>
        <v/>
      </c>
      <c r="Z140" s="19"/>
      <c r="AA140" s="19" t="str">
        <f t="shared" si="34"/>
        <v/>
      </c>
      <c r="AB140" s="19"/>
      <c r="AC140" s="19" t="str">
        <f t="shared" si="35"/>
        <v/>
      </c>
      <c r="AD140" s="19"/>
      <c r="AE140" s="19" t="str">
        <f t="shared" si="36"/>
        <v/>
      </c>
      <c r="AF140" s="19"/>
      <c r="AG140" s="19" t="str">
        <f t="shared" si="37"/>
        <v/>
      </c>
      <c r="AH140" s="19"/>
      <c r="AI140" s="19" t="str">
        <f t="shared" si="38"/>
        <v/>
      </c>
      <c r="AJ140" s="19"/>
      <c r="AK140" s="19" t="str">
        <f t="shared" si="39"/>
        <v/>
      </c>
      <c r="AL140" s="19"/>
      <c r="AM140" s="19" t="str">
        <f t="shared" si="40"/>
        <v/>
      </c>
      <c r="AN140" s="19"/>
      <c r="AO140" s="19" t="str">
        <f t="shared" si="41"/>
        <v/>
      </c>
      <c r="AP140" s="20"/>
      <c r="AR140" s="16"/>
      <c r="AS140" s="16"/>
      <c r="AT140" s="16"/>
      <c r="AU140" s="16"/>
      <c r="AV140" s="21"/>
      <c r="AW140" s="21"/>
      <c r="AX140" s="22"/>
      <c r="AY140" s="16"/>
      <c r="AZ140" s="16"/>
      <c r="BA140" s="23"/>
      <c r="BB140" s="22"/>
      <c r="BD140" s="63">
        <v>2396605.0649999999</v>
      </c>
      <c r="BE140" s="16">
        <v>0.90500000000000003</v>
      </c>
      <c r="BF140" s="24">
        <v>2168927.5838242201</v>
      </c>
      <c r="BG140" s="16"/>
      <c r="BH140" s="73"/>
      <c r="BI140" s="71" t="s">
        <v>754</v>
      </c>
    </row>
    <row r="141" spans="2:61" x14ac:dyDescent="0.25">
      <c r="B141" s="14" t="s">
        <v>140</v>
      </c>
      <c r="C141" s="14" t="s">
        <v>559</v>
      </c>
      <c r="D141" s="15" t="s">
        <v>350</v>
      </c>
      <c r="E141" s="15" t="s">
        <v>559</v>
      </c>
      <c r="F141" s="15" t="s">
        <v>916</v>
      </c>
      <c r="G141" s="86">
        <v>5719008.8080000002</v>
      </c>
      <c r="H141" s="17">
        <v>43984</v>
      </c>
      <c r="I141" s="49"/>
      <c r="J141" s="49">
        <v>9</v>
      </c>
      <c r="K141" s="16">
        <f t="shared" si="28"/>
        <v>0</v>
      </c>
      <c r="L141" s="17">
        <v>43719</v>
      </c>
      <c r="M141" s="49">
        <v>0</v>
      </c>
      <c r="N141" s="49">
        <v>34.441634538173702</v>
      </c>
      <c r="O141" s="16">
        <f t="shared" si="29"/>
        <v>0</v>
      </c>
      <c r="P141" s="18">
        <v>0</v>
      </c>
      <c r="Q141" s="18">
        <v>2.8112449799209599E-2</v>
      </c>
      <c r="R141" s="16">
        <f t="shared" si="30"/>
        <v>0</v>
      </c>
      <c r="T141" s="19"/>
      <c r="U141" s="19" t="str">
        <f t="shared" si="31"/>
        <v/>
      </c>
      <c r="V141" s="19"/>
      <c r="W141" s="19" t="str">
        <f t="shared" si="32"/>
        <v/>
      </c>
      <c r="X141" s="19"/>
      <c r="Y141" s="19" t="str">
        <f t="shared" si="33"/>
        <v/>
      </c>
      <c r="Z141" s="19"/>
      <c r="AA141" s="19" t="str">
        <f t="shared" si="34"/>
        <v/>
      </c>
      <c r="AB141" s="19"/>
      <c r="AC141" s="19" t="str">
        <f t="shared" si="35"/>
        <v/>
      </c>
      <c r="AD141" s="19"/>
      <c r="AE141" s="19" t="str">
        <f t="shared" si="36"/>
        <v/>
      </c>
      <c r="AF141" s="19"/>
      <c r="AG141" s="19" t="str">
        <f t="shared" si="37"/>
        <v/>
      </c>
      <c r="AH141" s="19"/>
      <c r="AI141" s="19" t="str">
        <f t="shared" si="38"/>
        <v/>
      </c>
      <c r="AJ141" s="19"/>
      <c r="AK141" s="19" t="str">
        <f t="shared" si="39"/>
        <v/>
      </c>
      <c r="AL141" s="19"/>
      <c r="AM141" s="19" t="str">
        <f t="shared" si="40"/>
        <v/>
      </c>
      <c r="AN141" s="19"/>
      <c r="AO141" s="19" t="str">
        <f t="shared" si="41"/>
        <v/>
      </c>
      <c r="AP141" s="20"/>
      <c r="AR141" s="16"/>
      <c r="AS141" s="16"/>
      <c r="AT141" s="16"/>
      <c r="AU141" s="16"/>
      <c r="AV141" s="21"/>
      <c r="AW141" s="21"/>
      <c r="AX141" s="22"/>
      <c r="AY141" s="16"/>
      <c r="AZ141" s="16">
        <v>0</v>
      </c>
      <c r="BA141" s="23">
        <v>43984</v>
      </c>
      <c r="BB141" s="22"/>
      <c r="BD141" s="63">
        <v>714876.10100000002</v>
      </c>
      <c r="BE141" s="16">
        <v>0.63969999999972105</v>
      </c>
      <c r="BF141" s="24">
        <v>457306.24180957</v>
      </c>
      <c r="BG141" s="16"/>
      <c r="BH141" s="73"/>
      <c r="BI141" s="71" t="s">
        <v>755</v>
      </c>
    </row>
    <row r="142" spans="2:61" x14ac:dyDescent="0.25">
      <c r="B142" s="14" t="s">
        <v>141</v>
      </c>
      <c r="C142" s="14" t="s">
        <v>560</v>
      </c>
      <c r="D142" s="15" t="s">
        <v>351</v>
      </c>
      <c r="E142" s="15" t="s">
        <v>560</v>
      </c>
      <c r="F142" s="15" t="s">
        <v>913</v>
      </c>
      <c r="G142" s="86"/>
      <c r="H142" s="17">
        <v>43937</v>
      </c>
      <c r="I142" s="49"/>
      <c r="J142" s="49">
        <v>81.890000000013998</v>
      </c>
      <c r="K142" s="16">
        <f t="shared" si="28"/>
        <v>0</v>
      </c>
      <c r="L142" s="17">
        <v>43937</v>
      </c>
      <c r="M142" s="49">
        <v>0</v>
      </c>
      <c r="N142" s="49">
        <v>2.4888152610436101</v>
      </c>
      <c r="O142" s="16">
        <f t="shared" si="29"/>
        <v>0</v>
      </c>
      <c r="P142" s="18">
        <v>0</v>
      </c>
      <c r="Q142" s="18">
        <v>8.0321285140598792E-3</v>
      </c>
      <c r="R142" s="16">
        <f t="shared" si="30"/>
        <v>0</v>
      </c>
      <c r="T142" s="19"/>
      <c r="U142" s="19" t="str">
        <f t="shared" si="31"/>
        <v/>
      </c>
      <c r="V142" s="19"/>
      <c r="W142" s="19" t="str">
        <f t="shared" si="32"/>
        <v/>
      </c>
      <c r="X142" s="19"/>
      <c r="Y142" s="19" t="str">
        <f t="shared" si="33"/>
        <v/>
      </c>
      <c r="Z142" s="19"/>
      <c r="AA142" s="19" t="str">
        <f t="shared" si="34"/>
        <v/>
      </c>
      <c r="AB142" s="19"/>
      <c r="AC142" s="19" t="str">
        <f t="shared" si="35"/>
        <v/>
      </c>
      <c r="AD142" s="19"/>
      <c r="AE142" s="19" t="str">
        <f t="shared" si="36"/>
        <v/>
      </c>
      <c r="AF142" s="19"/>
      <c r="AG142" s="19" t="str">
        <f t="shared" si="37"/>
        <v/>
      </c>
      <c r="AH142" s="19"/>
      <c r="AI142" s="19" t="str">
        <f t="shared" si="38"/>
        <v/>
      </c>
      <c r="AJ142" s="19"/>
      <c r="AK142" s="19" t="str">
        <f t="shared" si="39"/>
        <v/>
      </c>
      <c r="AL142" s="19"/>
      <c r="AM142" s="19" t="str">
        <f t="shared" si="40"/>
        <v/>
      </c>
      <c r="AN142" s="19"/>
      <c r="AO142" s="19" t="str">
        <f t="shared" si="41"/>
        <v/>
      </c>
      <c r="AP142" s="20"/>
      <c r="AR142" s="16"/>
      <c r="AS142" s="16"/>
      <c r="AT142" s="16"/>
      <c r="AU142" s="16"/>
      <c r="AV142" s="21"/>
      <c r="AW142" s="21"/>
      <c r="AX142" s="22"/>
      <c r="AY142" s="16"/>
      <c r="AZ142" s="16">
        <v>0</v>
      </c>
      <c r="BA142" s="23">
        <v>43937</v>
      </c>
      <c r="BB142" s="22"/>
      <c r="BD142" s="63">
        <v>289064.77799999999</v>
      </c>
      <c r="BE142" s="16">
        <v>0.59059999999997703</v>
      </c>
      <c r="BF142" s="24">
        <v>170721.65788671901</v>
      </c>
      <c r="BG142" s="16"/>
      <c r="BH142" s="73"/>
      <c r="BI142" s="71" t="s">
        <v>686</v>
      </c>
    </row>
    <row r="143" spans="2:61" x14ac:dyDescent="0.25">
      <c r="B143" s="14" t="s">
        <v>142</v>
      </c>
      <c r="C143" s="14" t="s">
        <v>561</v>
      </c>
      <c r="D143" s="15" t="s">
        <v>352</v>
      </c>
      <c r="E143" s="15" t="s">
        <v>561</v>
      </c>
      <c r="F143" s="15" t="s">
        <v>906</v>
      </c>
      <c r="G143" s="86">
        <v>699000000</v>
      </c>
      <c r="H143" s="17">
        <v>43999</v>
      </c>
      <c r="I143" s="49">
        <v>699</v>
      </c>
      <c r="J143" s="49">
        <v>1031.17814286985</v>
      </c>
      <c r="K143" s="16">
        <f t="shared" si="28"/>
        <v>0.67786541523720423</v>
      </c>
      <c r="L143" s="17">
        <v>43637</v>
      </c>
      <c r="M143" s="49">
        <v>293425.01899999997</v>
      </c>
      <c r="N143" s="49">
        <v>827510.40946581995</v>
      </c>
      <c r="O143" s="16">
        <f t="shared" si="29"/>
        <v>0.35458770746994428</v>
      </c>
      <c r="P143" s="18">
        <v>250</v>
      </c>
      <c r="Q143" s="18">
        <v>253.63052208838101</v>
      </c>
      <c r="R143" s="16">
        <f t="shared" si="30"/>
        <v>0.98568578395657003</v>
      </c>
      <c r="T143" s="19">
        <v>0</v>
      </c>
      <c r="U143" s="19">
        <f t="shared" si="31"/>
        <v>-1.41224009094003E-2</v>
      </c>
      <c r="V143" s="19">
        <v>5.9090909091537497E-2</v>
      </c>
      <c r="W143" s="19">
        <f t="shared" si="32"/>
        <v>-3.6281390503063407E-2</v>
      </c>
      <c r="X143" s="19">
        <v>-0.12356677883959501</v>
      </c>
      <c r="Y143" s="19">
        <f t="shared" si="33"/>
        <v>2.1194200404425004E-2</v>
      </c>
      <c r="Z143" s="19">
        <v>8.3720930231793306E-2</v>
      </c>
      <c r="AA143" s="19">
        <f t="shared" si="34"/>
        <v>-1.9021933851035691E-2</v>
      </c>
      <c r="AB143" s="19">
        <v>0.165000000000873</v>
      </c>
      <c r="AC143" s="19">
        <f t="shared" si="35"/>
        <v>-5.6160987445909999E-2</v>
      </c>
      <c r="AD143" s="19">
        <v>-0.134210690731416</v>
      </c>
      <c r="AE143" s="19">
        <f t="shared" si="36"/>
        <v>3.5935611826134001E-2</v>
      </c>
      <c r="AF143" s="19">
        <v>-0.31554897924244901</v>
      </c>
      <c r="AG143" s="19">
        <f t="shared" si="37"/>
        <v>-0.110640896347759</v>
      </c>
      <c r="AH143" s="19">
        <v>-0.27385142766259402</v>
      </c>
      <c r="AI143" s="19">
        <f t="shared" si="38"/>
        <v>-4.2434791431880114E-3</v>
      </c>
      <c r="AJ143" s="19">
        <v>-0.25897226838889797</v>
      </c>
      <c r="AK143" s="19">
        <f t="shared" si="39"/>
        <v>-8.5128076591936969E-2</v>
      </c>
      <c r="AL143" s="19">
        <v>-0.198646618989296</v>
      </c>
      <c r="AM143" s="19">
        <f t="shared" si="40"/>
        <v>-0.20332741643425808</v>
      </c>
      <c r="AN143" s="19">
        <v>-5.4932397250959199E-2</v>
      </c>
      <c r="AO143" s="19">
        <f t="shared" si="41"/>
        <v>-6.6214494482701391E-2</v>
      </c>
      <c r="AP143" s="20">
        <v>41.183816460194102</v>
      </c>
      <c r="AR143" s="16">
        <v>8.9945461693860099E-2</v>
      </c>
      <c r="AS143" s="16">
        <v>-0.13999999999941801</v>
      </c>
      <c r="AT143" s="16">
        <v>5.9090909091537497E-2</v>
      </c>
      <c r="AU143" s="16">
        <v>-8.1819462046987604E-2</v>
      </c>
      <c r="AV143" s="21">
        <v>2</v>
      </c>
      <c r="AW143" s="21">
        <v>4</v>
      </c>
      <c r="AX143" s="22">
        <v>-0.44198071765276797</v>
      </c>
      <c r="AY143" s="16">
        <v>4.8854829195406603E-2</v>
      </c>
      <c r="AZ143" s="16">
        <v>-0.34805557900224798</v>
      </c>
      <c r="BA143" s="23">
        <v>43843</v>
      </c>
      <c r="BB143" s="22">
        <v>0.40986375724014601</v>
      </c>
      <c r="BD143" s="63">
        <v>1000000</v>
      </c>
      <c r="BE143" s="16">
        <v>0.50099999999976697</v>
      </c>
      <c r="BF143" s="24">
        <v>501000</v>
      </c>
      <c r="BG143" s="16">
        <v>0.43400000000023298</v>
      </c>
      <c r="BH143" s="73">
        <v>434000</v>
      </c>
      <c r="BI143" s="71" t="s">
        <v>756</v>
      </c>
    </row>
    <row r="144" spans="2:61" x14ac:dyDescent="0.25">
      <c r="B144" s="14" t="s">
        <v>143</v>
      </c>
      <c r="C144" s="14" t="s">
        <v>562</v>
      </c>
      <c r="D144" s="15" t="s">
        <v>353</v>
      </c>
      <c r="E144" s="15" t="s">
        <v>562</v>
      </c>
      <c r="F144" s="15" t="s">
        <v>906</v>
      </c>
      <c r="G144" s="86"/>
      <c r="H144" s="17">
        <v>43866</v>
      </c>
      <c r="I144" s="49"/>
      <c r="J144" s="49">
        <v>344.071930000093</v>
      </c>
      <c r="K144" s="16">
        <f t="shared" si="28"/>
        <v>0</v>
      </c>
      <c r="L144" s="17">
        <v>43866</v>
      </c>
      <c r="M144" s="49">
        <v>0</v>
      </c>
      <c r="N144" s="49">
        <v>19.431261044174398</v>
      </c>
      <c r="O144" s="16">
        <f t="shared" si="29"/>
        <v>0</v>
      </c>
      <c r="P144" s="18">
        <v>0</v>
      </c>
      <c r="Q144" s="18">
        <v>2.8112449799209599E-2</v>
      </c>
      <c r="R144" s="16">
        <f t="shared" si="30"/>
        <v>0</v>
      </c>
      <c r="T144" s="19"/>
      <c r="U144" s="19" t="str">
        <f t="shared" si="31"/>
        <v/>
      </c>
      <c r="V144" s="19"/>
      <c r="W144" s="19" t="str">
        <f t="shared" si="32"/>
        <v/>
      </c>
      <c r="X144" s="19"/>
      <c r="Y144" s="19" t="str">
        <f t="shared" si="33"/>
        <v/>
      </c>
      <c r="Z144" s="19"/>
      <c r="AA144" s="19" t="str">
        <f t="shared" si="34"/>
        <v/>
      </c>
      <c r="AB144" s="19"/>
      <c r="AC144" s="19" t="str">
        <f t="shared" si="35"/>
        <v/>
      </c>
      <c r="AD144" s="19"/>
      <c r="AE144" s="19" t="str">
        <f t="shared" si="36"/>
        <v/>
      </c>
      <c r="AF144" s="19"/>
      <c r="AG144" s="19" t="str">
        <f t="shared" si="37"/>
        <v/>
      </c>
      <c r="AH144" s="19"/>
      <c r="AI144" s="19" t="str">
        <f t="shared" si="38"/>
        <v/>
      </c>
      <c r="AJ144" s="19"/>
      <c r="AK144" s="19" t="str">
        <f t="shared" si="39"/>
        <v/>
      </c>
      <c r="AL144" s="19"/>
      <c r="AM144" s="19" t="str">
        <f t="shared" si="40"/>
        <v/>
      </c>
      <c r="AN144" s="19"/>
      <c r="AO144" s="19" t="str">
        <f t="shared" si="41"/>
        <v/>
      </c>
      <c r="AP144" s="20"/>
      <c r="AR144" s="16">
        <v>0</v>
      </c>
      <c r="AS144" s="16">
        <v>0</v>
      </c>
      <c r="AT144" s="16"/>
      <c r="AU144" s="16"/>
      <c r="AV144" s="21"/>
      <c r="AW144" s="21"/>
      <c r="AX144" s="22"/>
      <c r="AY144" s="16"/>
      <c r="AZ144" s="16">
        <v>0</v>
      </c>
      <c r="BA144" s="23">
        <v>43865</v>
      </c>
      <c r="BB144" s="22"/>
      <c r="BD144" s="63">
        <v>23100</v>
      </c>
      <c r="BE144" s="16">
        <v>0.29140000000013999</v>
      </c>
      <c r="BF144" s="24">
        <v>6731.34</v>
      </c>
      <c r="BG144" s="16"/>
      <c r="BH144" s="73"/>
      <c r="BI144" s="71" t="s">
        <v>700</v>
      </c>
    </row>
    <row r="145" spans="2:61" x14ac:dyDescent="0.25">
      <c r="B145" s="14" t="s">
        <v>144</v>
      </c>
      <c r="C145" s="14" t="s">
        <v>563</v>
      </c>
      <c r="D145" s="15" t="s">
        <v>354</v>
      </c>
      <c r="E145" s="15" t="s">
        <v>563</v>
      </c>
      <c r="F145" s="15" t="s">
        <v>906</v>
      </c>
      <c r="G145" s="86">
        <v>552280000</v>
      </c>
      <c r="H145" s="17">
        <v>43999</v>
      </c>
      <c r="I145" s="49">
        <v>5522.7999999970198</v>
      </c>
      <c r="J145" s="49">
        <v>11144.783817067701</v>
      </c>
      <c r="K145" s="16">
        <f t="shared" si="28"/>
        <v>0.49555021350338957</v>
      </c>
      <c r="L145" s="17">
        <v>43640</v>
      </c>
      <c r="M145" s="49">
        <v>499361.27899999998</v>
      </c>
      <c r="N145" s="49">
        <v>634034.91726074205</v>
      </c>
      <c r="O145" s="16">
        <f t="shared" si="29"/>
        <v>0.78759271044159451</v>
      </c>
      <c r="P145" s="18">
        <v>90</v>
      </c>
      <c r="Q145" s="18">
        <v>179.88353413646101</v>
      </c>
      <c r="R145" s="16">
        <f t="shared" si="30"/>
        <v>0.5003237257487132</v>
      </c>
      <c r="T145" s="19">
        <v>2.92785657038621E-2</v>
      </c>
      <c r="U145" s="19">
        <f t="shared" si="31"/>
        <v>1.51561647944618E-2</v>
      </c>
      <c r="V145" s="19">
        <v>6.20769230772567E-2</v>
      </c>
      <c r="W145" s="19">
        <f t="shared" si="32"/>
        <v>-3.3295376517344204E-2</v>
      </c>
      <c r="X145" s="19">
        <v>-0.303389443461201</v>
      </c>
      <c r="Y145" s="19">
        <f t="shared" si="33"/>
        <v>-0.15862846421718099</v>
      </c>
      <c r="Z145" s="19">
        <v>7.1653904919003295E-2</v>
      </c>
      <c r="AA145" s="19">
        <f t="shared" si="34"/>
        <v>-3.1088959163825702E-2</v>
      </c>
      <c r="AB145" s="19">
        <v>0.18407648225926099</v>
      </c>
      <c r="AC145" s="19">
        <f t="shared" si="35"/>
        <v>-3.7084505187522016E-2</v>
      </c>
      <c r="AD145" s="19">
        <v>-0.32308161467080898</v>
      </c>
      <c r="AE145" s="19">
        <f t="shared" si="36"/>
        <v>-0.15293531211325898</v>
      </c>
      <c r="AF145" s="19">
        <v>-0.49583791919285403</v>
      </c>
      <c r="AG145" s="19">
        <f t="shared" si="37"/>
        <v>-0.29092983629816405</v>
      </c>
      <c r="AH145" s="19">
        <v>-0.46496830975869702</v>
      </c>
      <c r="AI145" s="19">
        <f t="shared" si="38"/>
        <v>-0.19536036123929101</v>
      </c>
      <c r="AJ145" s="19">
        <v>-0.27031253193767002</v>
      </c>
      <c r="AK145" s="19">
        <f t="shared" si="39"/>
        <v>-9.6468340140709014E-2</v>
      </c>
      <c r="AL145" s="19">
        <v>-7.0231401073251598E-2</v>
      </c>
      <c r="AM145" s="19">
        <f t="shared" si="40"/>
        <v>-7.491219851821368E-2</v>
      </c>
      <c r="AN145" s="19">
        <v>-1.69211213060407E-2</v>
      </c>
      <c r="AO145" s="19">
        <f t="shared" si="41"/>
        <v>-2.82032185377829E-2</v>
      </c>
      <c r="AP145" s="20">
        <v>56.258355462341598</v>
      </c>
      <c r="AR145" s="16">
        <v>0.11086425238871001</v>
      </c>
      <c r="AS145" s="16">
        <v>-0.20002446782484201</v>
      </c>
      <c r="AT145" s="16">
        <v>0.14963503649778401</v>
      </c>
      <c r="AU145" s="16">
        <v>-0.16137207359046399</v>
      </c>
      <c r="AV145" s="21">
        <v>2</v>
      </c>
      <c r="AW145" s="21">
        <v>4</v>
      </c>
      <c r="AX145" s="22">
        <v>-0.79848532708729203</v>
      </c>
      <c r="AY145" s="16">
        <v>6.3932585995644303E-2</v>
      </c>
      <c r="AZ145" s="16">
        <v>-0.51762394356657704</v>
      </c>
      <c r="BA145" s="23">
        <v>43819</v>
      </c>
      <c r="BB145" s="22">
        <v>0.98697585410809596</v>
      </c>
      <c r="BD145" s="63">
        <v>100000</v>
      </c>
      <c r="BE145" s="16">
        <v>0.67</v>
      </c>
      <c r="BF145" s="24">
        <v>67000</v>
      </c>
      <c r="BG145" s="16">
        <v>0.33</v>
      </c>
      <c r="BH145" s="73">
        <v>33000</v>
      </c>
      <c r="BI145" s="71" t="s">
        <v>757</v>
      </c>
    </row>
    <row r="146" spans="2:61" x14ac:dyDescent="0.25">
      <c r="B146" s="14" t="s">
        <v>145</v>
      </c>
      <c r="C146" s="14" t="s">
        <v>564</v>
      </c>
      <c r="D146" s="15" t="s">
        <v>355</v>
      </c>
      <c r="E146" s="15" t="s">
        <v>564</v>
      </c>
      <c r="F146" s="15" t="s">
        <v>906</v>
      </c>
      <c r="G146" s="86"/>
      <c r="H146" s="17">
        <v>41697</v>
      </c>
      <c r="I146" s="49"/>
      <c r="J146" s="49"/>
      <c r="K146" s="16" t="str">
        <f t="shared" si="28"/>
        <v/>
      </c>
      <c r="L146" s="17"/>
      <c r="M146" s="49">
        <v>0</v>
      </c>
      <c r="N146" s="49">
        <v>0</v>
      </c>
      <c r="O146" s="16" t="str">
        <f t="shared" si="29"/>
        <v/>
      </c>
      <c r="P146" s="18">
        <v>0</v>
      </c>
      <c r="Q146" s="18">
        <v>0</v>
      </c>
      <c r="R146" s="16" t="str">
        <f t="shared" si="30"/>
        <v/>
      </c>
      <c r="T146" s="19"/>
      <c r="U146" s="19" t="str">
        <f t="shared" si="31"/>
        <v/>
      </c>
      <c r="V146" s="19"/>
      <c r="W146" s="19" t="str">
        <f t="shared" si="32"/>
        <v/>
      </c>
      <c r="X146" s="19"/>
      <c r="Y146" s="19" t="str">
        <f t="shared" si="33"/>
        <v/>
      </c>
      <c r="Z146" s="19"/>
      <c r="AA146" s="19" t="str">
        <f t="shared" si="34"/>
        <v/>
      </c>
      <c r="AB146" s="19"/>
      <c r="AC146" s="19" t="str">
        <f t="shared" si="35"/>
        <v/>
      </c>
      <c r="AD146" s="19"/>
      <c r="AE146" s="19" t="str">
        <f t="shared" si="36"/>
        <v/>
      </c>
      <c r="AF146" s="19"/>
      <c r="AG146" s="19" t="str">
        <f t="shared" si="37"/>
        <v/>
      </c>
      <c r="AH146" s="19"/>
      <c r="AI146" s="19" t="str">
        <f t="shared" si="38"/>
        <v/>
      </c>
      <c r="AJ146" s="19"/>
      <c r="AK146" s="19" t="str">
        <f t="shared" si="39"/>
        <v/>
      </c>
      <c r="AL146" s="19"/>
      <c r="AM146" s="19" t="str">
        <f t="shared" si="40"/>
        <v/>
      </c>
      <c r="AN146" s="19"/>
      <c r="AO146" s="19" t="str">
        <f t="shared" si="41"/>
        <v/>
      </c>
      <c r="AP146" s="20"/>
      <c r="AR146" s="16"/>
      <c r="AS146" s="16"/>
      <c r="AT146" s="16"/>
      <c r="AU146" s="16"/>
      <c r="AV146" s="21"/>
      <c r="AW146" s="21"/>
      <c r="AX146" s="22"/>
      <c r="AY146" s="16"/>
      <c r="AZ146" s="16"/>
      <c r="BA146" s="23"/>
      <c r="BB146" s="22"/>
      <c r="BD146" s="63">
        <v>299921.49699999997</v>
      </c>
      <c r="BE146" s="16">
        <v>0.72559999999939495</v>
      </c>
      <c r="BF146" s="24">
        <v>217623.03822314501</v>
      </c>
      <c r="BG146" s="16">
        <v>6.1000000000058204E-3</v>
      </c>
      <c r="BH146" s="73">
        <v>1829.5211317005201</v>
      </c>
      <c r="BI146" s="71" t="s">
        <v>758</v>
      </c>
    </row>
    <row r="147" spans="2:61" x14ac:dyDescent="0.25">
      <c r="B147" s="14" t="s">
        <v>146</v>
      </c>
      <c r="C147" s="14" t="s">
        <v>565</v>
      </c>
      <c r="D147" s="15" t="s">
        <v>356</v>
      </c>
      <c r="E147" s="15" t="s">
        <v>565</v>
      </c>
      <c r="F147" s="15" t="s">
        <v>909</v>
      </c>
      <c r="G147" s="86"/>
      <c r="H147" s="17">
        <v>43958</v>
      </c>
      <c r="I147" s="49"/>
      <c r="J147" s="49">
        <v>391.92727272724699</v>
      </c>
      <c r="K147" s="16">
        <f t="shared" si="28"/>
        <v>0</v>
      </c>
      <c r="L147" s="17">
        <v>43805</v>
      </c>
      <c r="M147" s="49">
        <v>0</v>
      </c>
      <c r="N147" s="49">
        <v>4399.4440281143197</v>
      </c>
      <c r="O147" s="16">
        <f t="shared" si="29"/>
        <v>0</v>
      </c>
      <c r="P147" s="18">
        <v>0</v>
      </c>
      <c r="Q147" s="18"/>
      <c r="R147" s="16" t="str">
        <f t="shared" si="30"/>
        <v/>
      </c>
      <c r="T147" s="19"/>
      <c r="U147" s="19" t="str">
        <f t="shared" si="31"/>
        <v/>
      </c>
      <c r="V147" s="19"/>
      <c r="W147" s="19" t="str">
        <f t="shared" si="32"/>
        <v/>
      </c>
      <c r="X147" s="19"/>
      <c r="Y147" s="19" t="str">
        <f t="shared" si="33"/>
        <v/>
      </c>
      <c r="Z147" s="19"/>
      <c r="AA147" s="19" t="str">
        <f t="shared" si="34"/>
        <v/>
      </c>
      <c r="AB147" s="19"/>
      <c r="AC147" s="19" t="str">
        <f t="shared" si="35"/>
        <v/>
      </c>
      <c r="AD147" s="19"/>
      <c r="AE147" s="19" t="str">
        <f t="shared" si="36"/>
        <v/>
      </c>
      <c r="AF147" s="19"/>
      <c r="AG147" s="19" t="str">
        <f t="shared" si="37"/>
        <v/>
      </c>
      <c r="AH147" s="19"/>
      <c r="AI147" s="19" t="str">
        <f t="shared" si="38"/>
        <v/>
      </c>
      <c r="AJ147" s="19"/>
      <c r="AK147" s="19" t="str">
        <f t="shared" si="39"/>
        <v/>
      </c>
      <c r="AL147" s="19"/>
      <c r="AM147" s="19" t="str">
        <f t="shared" si="40"/>
        <v/>
      </c>
      <c r="AN147" s="19"/>
      <c r="AO147" s="19" t="str">
        <f t="shared" si="41"/>
        <v/>
      </c>
      <c r="AP147" s="20"/>
      <c r="AR147" s="16">
        <v>0</v>
      </c>
      <c r="AS147" s="16">
        <v>0</v>
      </c>
      <c r="AT147" s="16">
        <v>0</v>
      </c>
      <c r="AU147" s="16">
        <v>-2.9411764706310399E-2</v>
      </c>
      <c r="AV147" s="21"/>
      <c r="AW147" s="21"/>
      <c r="AX147" s="22"/>
      <c r="AY147" s="16"/>
      <c r="AZ147" s="16">
        <v>-2.94117647063467E-2</v>
      </c>
      <c r="BA147" s="23">
        <v>43825</v>
      </c>
      <c r="BB147" s="22"/>
      <c r="BD147" s="63">
        <v>362573.81</v>
      </c>
      <c r="BE147" s="16">
        <v>0.64930000000051202</v>
      </c>
      <c r="BF147" s="24">
        <v>235419.174833008</v>
      </c>
      <c r="BG147" s="16"/>
      <c r="BH147" s="73"/>
      <c r="BI147" s="71" t="s">
        <v>669</v>
      </c>
    </row>
    <row r="148" spans="2:61" x14ac:dyDescent="0.25">
      <c r="B148" s="14" t="s">
        <v>147</v>
      </c>
      <c r="C148" s="14" t="s">
        <v>566</v>
      </c>
      <c r="D148" s="1" t="s">
        <v>357</v>
      </c>
      <c r="E148" s="1" t="s">
        <v>566</v>
      </c>
      <c r="F148" s="1" t="s">
        <v>906</v>
      </c>
      <c r="G148" s="87">
        <v>24376290.670000002</v>
      </c>
      <c r="H148" s="26">
        <v>43999</v>
      </c>
      <c r="I148" s="45">
        <v>730</v>
      </c>
      <c r="J148" s="45">
        <v>822.14104977995203</v>
      </c>
      <c r="K148" s="25">
        <f t="shared" si="28"/>
        <v>0.88792549672028442</v>
      </c>
      <c r="L148" s="26">
        <v>43657</v>
      </c>
      <c r="M148" s="45">
        <v>99.28</v>
      </c>
      <c r="N148" s="45">
        <v>11536.681823288</v>
      </c>
      <c r="O148" s="25">
        <f t="shared" si="29"/>
        <v>8.6055940105406164E-3</v>
      </c>
      <c r="P148" s="27"/>
      <c r="Q148" s="27"/>
      <c r="R148" s="25" t="str">
        <f t="shared" si="30"/>
        <v/>
      </c>
      <c r="T148" s="28"/>
      <c r="U148" s="28" t="str">
        <f t="shared" si="31"/>
        <v/>
      </c>
      <c r="V148" s="28">
        <v>0</v>
      </c>
      <c r="W148" s="28">
        <f t="shared" si="32"/>
        <v>-9.5372299594600904E-2</v>
      </c>
      <c r="X148" s="28"/>
      <c r="Y148" s="28" t="str">
        <f t="shared" si="33"/>
        <v/>
      </c>
      <c r="Z148" s="28">
        <v>0</v>
      </c>
      <c r="AA148" s="28">
        <f t="shared" si="34"/>
        <v>-0.102742864082829</v>
      </c>
      <c r="AB148" s="28"/>
      <c r="AC148" s="28" t="str">
        <f t="shared" si="35"/>
        <v/>
      </c>
      <c r="AD148" s="28"/>
      <c r="AE148" s="28" t="str">
        <f t="shared" si="36"/>
        <v/>
      </c>
      <c r="AF148" s="28"/>
      <c r="AG148" s="28" t="str">
        <f t="shared" si="37"/>
        <v/>
      </c>
      <c r="AH148" s="28">
        <v>-0.33225731994199997</v>
      </c>
      <c r="AI148" s="28">
        <f t="shared" si="38"/>
        <v>-6.2649371422593969E-2</v>
      </c>
      <c r="AJ148" s="28"/>
      <c r="AK148" s="28" t="str">
        <f t="shared" si="39"/>
        <v/>
      </c>
      <c r="AL148" s="28"/>
      <c r="AM148" s="28" t="str">
        <f t="shared" si="40"/>
        <v/>
      </c>
      <c r="AN148" s="28">
        <v>-0.44702421009948001</v>
      </c>
      <c r="AO148" s="28">
        <f t="shared" si="41"/>
        <v>-0.45830630733122224</v>
      </c>
      <c r="AP148" s="29"/>
      <c r="AR148" s="25">
        <v>3.7993402342181098E-2</v>
      </c>
      <c r="AS148" s="25">
        <v>-2.0096517964702798E-3</v>
      </c>
      <c r="AT148" s="25">
        <v>3.7993402342181098E-2</v>
      </c>
      <c r="AU148" s="25">
        <v>-0.14117647058810701</v>
      </c>
      <c r="AV148" s="30"/>
      <c r="AW148" s="30"/>
      <c r="AX148" s="31"/>
      <c r="AY148" s="25"/>
      <c r="AZ148" s="25">
        <v>-0.16055294117570201</v>
      </c>
      <c r="BA148" s="32">
        <v>43899</v>
      </c>
      <c r="BB148" s="31"/>
      <c r="BD148" s="64">
        <v>33392.178999999996</v>
      </c>
      <c r="BE148" s="25">
        <v>0.28589999999996502</v>
      </c>
      <c r="BF148" s="33">
        <v>9546.8239761047407</v>
      </c>
      <c r="BI148" s="68" t="s">
        <v>710</v>
      </c>
    </row>
    <row r="149" spans="2:61" x14ac:dyDescent="0.25">
      <c r="B149" s="14" t="s">
        <v>148</v>
      </c>
      <c r="C149" s="14" t="s">
        <v>567</v>
      </c>
      <c r="D149" s="1" t="s">
        <v>358</v>
      </c>
      <c r="E149" s="1" t="s">
        <v>567</v>
      </c>
      <c r="F149" s="1" t="s">
        <v>916</v>
      </c>
      <c r="G149" s="87">
        <v>33679800</v>
      </c>
      <c r="H149" s="26">
        <v>43980</v>
      </c>
      <c r="J149" s="45">
        <v>1458</v>
      </c>
      <c r="K149" s="25">
        <f t="shared" si="28"/>
        <v>0</v>
      </c>
      <c r="L149" s="26">
        <v>43980</v>
      </c>
      <c r="M149" s="45">
        <v>0</v>
      </c>
      <c r="N149" s="45">
        <v>48.946104417681703</v>
      </c>
      <c r="O149" s="25">
        <f t="shared" si="29"/>
        <v>0</v>
      </c>
      <c r="P149" s="27">
        <v>0</v>
      </c>
      <c r="Q149" s="27">
        <v>1.60642570281198E-2</v>
      </c>
      <c r="R149" s="25">
        <f t="shared" si="30"/>
        <v>0</v>
      </c>
      <c r="T149" s="28"/>
      <c r="U149" s="28" t="str">
        <f t="shared" si="31"/>
        <v/>
      </c>
      <c r="V149" s="28"/>
      <c r="W149" s="28" t="str">
        <f t="shared" si="32"/>
        <v/>
      </c>
      <c r="X149" s="28"/>
      <c r="Y149" s="28" t="str">
        <f t="shared" si="33"/>
        <v/>
      </c>
      <c r="Z149" s="28"/>
      <c r="AA149" s="28" t="str">
        <f t="shared" si="34"/>
        <v/>
      </c>
      <c r="AB149" s="28"/>
      <c r="AC149" s="28" t="str">
        <f t="shared" si="35"/>
        <v/>
      </c>
      <c r="AD149" s="28"/>
      <c r="AE149" s="28" t="str">
        <f t="shared" si="36"/>
        <v/>
      </c>
      <c r="AF149" s="28"/>
      <c r="AG149" s="28" t="str">
        <f t="shared" si="37"/>
        <v/>
      </c>
      <c r="AH149" s="28"/>
      <c r="AI149" s="28" t="str">
        <f t="shared" si="38"/>
        <v/>
      </c>
      <c r="AJ149" s="28"/>
      <c r="AK149" s="28" t="str">
        <f t="shared" si="39"/>
        <v/>
      </c>
      <c r="AL149" s="28"/>
      <c r="AM149" s="28" t="str">
        <f t="shared" si="40"/>
        <v/>
      </c>
      <c r="AN149" s="28"/>
      <c r="AO149" s="28" t="str">
        <f t="shared" si="41"/>
        <v/>
      </c>
      <c r="AP149" s="29"/>
      <c r="AR149" s="25"/>
      <c r="AS149" s="25"/>
      <c r="AT149" s="25"/>
      <c r="AU149" s="25"/>
      <c r="AV149" s="30"/>
      <c r="AW149" s="30"/>
      <c r="AX149" s="31"/>
      <c r="AY149" s="25"/>
      <c r="AZ149" s="25">
        <v>0</v>
      </c>
      <c r="BA149" s="32">
        <v>43980</v>
      </c>
      <c r="BB149" s="31"/>
      <c r="BD149" s="64">
        <v>23100</v>
      </c>
      <c r="BE149" s="25">
        <v>0.31390000000014001</v>
      </c>
      <c r="BF149" s="33">
        <v>7251.09</v>
      </c>
      <c r="BI149" s="68" t="s">
        <v>700</v>
      </c>
    </row>
    <row r="150" spans="2:61" x14ac:dyDescent="0.25">
      <c r="B150" s="14" t="s">
        <v>149</v>
      </c>
      <c r="C150" s="14" t="s">
        <v>568</v>
      </c>
      <c r="D150" s="1" t="s">
        <v>359</v>
      </c>
      <c r="E150" s="1" t="s">
        <v>568</v>
      </c>
      <c r="F150" s="1" t="s">
        <v>906</v>
      </c>
      <c r="H150" s="26">
        <v>39153</v>
      </c>
      <c r="K150" s="25" t="str">
        <f t="shared" si="28"/>
        <v/>
      </c>
      <c r="L150" s="26"/>
      <c r="M150" s="45">
        <v>0</v>
      </c>
      <c r="N150" s="45">
        <v>0</v>
      </c>
      <c r="O150" s="25" t="str">
        <f t="shared" si="29"/>
        <v/>
      </c>
      <c r="P150" s="27">
        <v>0</v>
      </c>
      <c r="Q150" s="27">
        <v>0</v>
      </c>
      <c r="R150" s="25" t="str">
        <f t="shared" si="30"/>
        <v/>
      </c>
      <c r="T150" s="28"/>
      <c r="U150" s="28" t="str">
        <f t="shared" si="31"/>
        <v/>
      </c>
      <c r="V150" s="28"/>
      <c r="W150" s="28" t="str">
        <f t="shared" si="32"/>
        <v/>
      </c>
      <c r="X150" s="28"/>
      <c r="Y150" s="28" t="str">
        <f t="shared" si="33"/>
        <v/>
      </c>
      <c r="Z150" s="28"/>
      <c r="AA150" s="28" t="str">
        <f t="shared" si="34"/>
        <v/>
      </c>
      <c r="AB150" s="28"/>
      <c r="AC150" s="28" t="str">
        <f t="shared" si="35"/>
        <v/>
      </c>
      <c r="AD150" s="28"/>
      <c r="AE150" s="28" t="str">
        <f t="shared" si="36"/>
        <v/>
      </c>
      <c r="AF150" s="28"/>
      <c r="AG150" s="28" t="str">
        <f t="shared" si="37"/>
        <v/>
      </c>
      <c r="AH150" s="28"/>
      <c r="AI150" s="28" t="str">
        <f t="shared" si="38"/>
        <v/>
      </c>
      <c r="AJ150" s="28"/>
      <c r="AK150" s="28" t="str">
        <f t="shared" si="39"/>
        <v/>
      </c>
      <c r="AL150" s="28"/>
      <c r="AM150" s="28" t="str">
        <f t="shared" si="40"/>
        <v/>
      </c>
      <c r="AN150" s="28"/>
      <c r="AO150" s="28" t="str">
        <f t="shared" si="41"/>
        <v/>
      </c>
      <c r="AP150" s="29"/>
      <c r="AR150" s="25"/>
      <c r="AS150" s="25"/>
      <c r="AT150" s="25"/>
      <c r="AU150" s="25"/>
      <c r="AV150" s="30"/>
      <c r="AW150" s="30"/>
      <c r="AX150" s="31"/>
      <c r="AY150" s="25"/>
      <c r="AZ150" s="25"/>
      <c r="BA150" s="32"/>
      <c r="BB150" s="31"/>
      <c r="BD150" s="64">
        <v>298774.20299999998</v>
      </c>
      <c r="BE150" s="25">
        <v>0.82030000000027903</v>
      </c>
      <c r="BF150" s="33">
        <v>245084.47872094699</v>
      </c>
      <c r="BI150" s="68" t="s">
        <v>759</v>
      </c>
    </row>
    <row r="151" spans="2:61" x14ac:dyDescent="0.25">
      <c r="B151" s="14" t="s">
        <v>150</v>
      </c>
      <c r="C151" s="14" t="s">
        <v>569</v>
      </c>
      <c r="D151" s="1" t="s">
        <v>360</v>
      </c>
      <c r="E151" s="1" t="s">
        <v>569</v>
      </c>
      <c r="F151" s="1" t="s">
        <v>913</v>
      </c>
      <c r="G151" s="87">
        <v>278309739.61250001</v>
      </c>
      <c r="H151" s="26">
        <v>43978</v>
      </c>
      <c r="J151" s="45">
        <v>12.5</v>
      </c>
      <c r="K151" s="25">
        <f t="shared" si="28"/>
        <v>0</v>
      </c>
      <c r="L151" s="26">
        <v>43978</v>
      </c>
      <c r="M151" s="45">
        <v>0</v>
      </c>
      <c r="N151" s="45">
        <v>494.16138152599302</v>
      </c>
      <c r="O151" s="25">
        <f t="shared" si="29"/>
        <v>0</v>
      </c>
      <c r="P151" s="27">
        <v>0</v>
      </c>
      <c r="Q151" s="27">
        <v>0.389558232931904</v>
      </c>
      <c r="R151" s="25">
        <f t="shared" si="30"/>
        <v>0</v>
      </c>
      <c r="T151" s="28"/>
      <c r="U151" s="28" t="str">
        <f t="shared" si="31"/>
        <v/>
      </c>
      <c r="V151" s="28"/>
      <c r="W151" s="28" t="str">
        <f t="shared" si="32"/>
        <v/>
      </c>
      <c r="X151" s="28"/>
      <c r="Y151" s="28" t="str">
        <f t="shared" si="33"/>
        <v/>
      </c>
      <c r="Z151" s="28"/>
      <c r="AA151" s="28" t="str">
        <f t="shared" si="34"/>
        <v/>
      </c>
      <c r="AB151" s="28"/>
      <c r="AC151" s="28" t="str">
        <f t="shared" si="35"/>
        <v/>
      </c>
      <c r="AD151" s="28"/>
      <c r="AE151" s="28" t="str">
        <f t="shared" si="36"/>
        <v/>
      </c>
      <c r="AF151" s="28"/>
      <c r="AG151" s="28" t="str">
        <f t="shared" si="37"/>
        <v/>
      </c>
      <c r="AH151" s="28"/>
      <c r="AI151" s="28" t="str">
        <f t="shared" si="38"/>
        <v/>
      </c>
      <c r="AJ151" s="28"/>
      <c r="AK151" s="28" t="str">
        <f t="shared" si="39"/>
        <v/>
      </c>
      <c r="AL151" s="28"/>
      <c r="AM151" s="28" t="str">
        <f t="shared" si="40"/>
        <v/>
      </c>
      <c r="AN151" s="28"/>
      <c r="AO151" s="28" t="str">
        <f t="shared" si="41"/>
        <v/>
      </c>
      <c r="AP151" s="29"/>
      <c r="AR151" s="25">
        <v>9.0909090909990498E-2</v>
      </c>
      <c r="AS151" s="25">
        <v>0</v>
      </c>
      <c r="AT151" s="25">
        <v>1.1186440677952501</v>
      </c>
      <c r="AU151" s="25">
        <v>0</v>
      </c>
      <c r="AV151" s="30"/>
      <c r="AW151" s="30"/>
      <c r="AX151" s="31"/>
      <c r="AY151" s="25"/>
      <c r="AZ151" s="25">
        <v>0</v>
      </c>
      <c r="BA151" s="32">
        <v>43901</v>
      </c>
      <c r="BB151" s="31"/>
      <c r="BD151" s="64">
        <v>22264779.169</v>
      </c>
      <c r="BE151" s="25">
        <v>0.75940000000060504</v>
      </c>
      <c r="BF151" s="33">
        <v>16907873.3009375</v>
      </c>
      <c r="BI151" s="68" t="s">
        <v>760</v>
      </c>
    </row>
    <row r="152" spans="2:61" x14ac:dyDescent="0.25">
      <c r="B152" s="14" t="s">
        <v>151</v>
      </c>
      <c r="C152" s="14" t="s">
        <v>570</v>
      </c>
      <c r="D152" s="1" t="s">
        <v>361</v>
      </c>
      <c r="E152" s="1" t="s">
        <v>570</v>
      </c>
      <c r="F152" s="1" t="s">
        <v>913</v>
      </c>
      <c r="H152" s="26">
        <v>43594</v>
      </c>
      <c r="K152" s="25" t="str">
        <f t="shared" si="28"/>
        <v/>
      </c>
      <c r="L152" s="26"/>
      <c r="M152" s="45">
        <v>0</v>
      </c>
      <c r="N152" s="45">
        <v>0</v>
      </c>
      <c r="O152" s="25" t="str">
        <f t="shared" si="29"/>
        <v/>
      </c>
      <c r="P152" s="27">
        <v>0</v>
      </c>
      <c r="Q152" s="27">
        <v>0</v>
      </c>
      <c r="R152" s="25" t="str">
        <f t="shared" si="30"/>
        <v/>
      </c>
      <c r="T152" s="28"/>
      <c r="U152" s="28" t="str">
        <f t="shared" si="31"/>
        <v/>
      </c>
      <c r="V152" s="28"/>
      <c r="W152" s="28" t="str">
        <f t="shared" si="32"/>
        <v/>
      </c>
      <c r="X152" s="28"/>
      <c r="Y152" s="28" t="str">
        <f t="shared" si="33"/>
        <v/>
      </c>
      <c r="Z152" s="28"/>
      <c r="AA152" s="28" t="str">
        <f t="shared" si="34"/>
        <v/>
      </c>
      <c r="AB152" s="28"/>
      <c r="AC152" s="28" t="str">
        <f t="shared" si="35"/>
        <v/>
      </c>
      <c r="AD152" s="28"/>
      <c r="AE152" s="28" t="str">
        <f t="shared" si="36"/>
        <v/>
      </c>
      <c r="AF152" s="28"/>
      <c r="AG152" s="28" t="str">
        <f t="shared" si="37"/>
        <v/>
      </c>
      <c r="AH152" s="28"/>
      <c r="AI152" s="28" t="str">
        <f t="shared" si="38"/>
        <v/>
      </c>
      <c r="AJ152" s="28"/>
      <c r="AK152" s="28" t="str">
        <f t="shared" si="39"/>
        <v/>
      </c>
      <c r="AL152" s="28"/>
      <c r="AM152" s="28" t="str">
        <f t="shared" si="40"/>
        <v/>
      </c>
      <c r="AN152" s="28"/>
      <c r="AO152" s="28" t="str">
        <f t="shared" si="41"/>
        <v/>
      </c>
      <c r="AP152" s="29"/>
      <c r="AR152" s="25"/>
      <c r="AS152" s="25"/>
      <c r="AT152" s="25"/>
      <c r="AU152" s="25"/>
      <c r="AV152" s="30"/>
      <c r="AW152" s="30"/>
      <c r="AX152" s="31"/>
      <c r="AY152" s="25"/>
      <c r="AZ152" s="25"/>
      <c r="BA152" s="32"/>
      <c r="BB152" s="31"/>
      <c r="BD152" s="64">
        <v>10993.232</v>
      </c>
      <c r="BE152" s="25">
        <v>0.28999999999999998</v>
      </c>
      <c r="BF152" s="33">
        <v>3188.0372799987799</v>
      </c>
      <c r="BI152" s="68" t="s">
        <v>761</v>
      </c>
    </row>
    <row r="153" spans="2:61" x14ac:dyDescent="0.25">
      <c r="B153" s="14" t="s">
        <v>152</v>
      </c>
      <c r="C153" s="14" t="s">
        <v>571</v>
      </c>
      <c r="D153" s="1" t="s">
        <v>362</v>
      </c>
      <c r="E153" s="1" t="s">
        <v>571</v>
      </c>
      <c r="F153" s="1" t="s">
        <v>908</v>
      </c>
      <c r="G153" s="87">
        <v>751945539.32000005</v>
      </c>
      <c r="H153" s="26">
        <v>43999</v>
      </c>
      <c r="I153" s="45">
        <v>1240</v>
      </c>
      <c r="J153" s="45">
        <v>8669.49583910406</v>
      </c>
      <c r="K153" s="25">
        <f t="shared" si="28"/>
        <v>0.14303023186272693</v>
      </c>
      <c r="L153" s="26">
        <v>43818</v>
      </c>
      <c r="M153" s="45">
        <v>8615050.5350000001</v>
      </c>
      <c r="N153" s="45">
        <v>6350875.6374609396</v>
      </c>
      <c r="O153" s="25">
        <f t="shared" si="29"/>
        <v>1.3565138142815643</v>
      </c>
      <c r="P153" s="27">
        <v>3764</v>
      </c>
      <c r="Q153" s="27">
        <v>1477.02409638464</v>
      </c>
      <c r="R153" s="25">
        <f t="shared" si="30"/>
        <v>2.5483673619227103</v>
      </c>
      <c r="T153" s="28">
        <v>3.3333333332848297E-2</v>
      </c>
      <c r="U153" s="28">
        <f t="shared" si="31"/>
        <v>1.9210932423447999E-2</v>
      </c>
      <c r="V153" s="28">
        <v>0.44186046511633298</v>
      </c>
      <c r="W153" s="28">
        <f t="shared" si="32"/>
        <v>0.34648816552173206</v>
      </c>
      <c r="X153" s="28">
        <v>-0.82950113911530898</v>
      </c>
      <c r="Y153" s="28">
        <f t="shared" si="33"/>
        <v>-0.684740159871289</v>
      </c>
      <c r="Z153" s="28">
        <v>-0.42800626706332001</v>
      </c>
      <c r="AA153" s="28">
        <f t="shared" si="34"/>
        <v>-0.53074913114614897</v>
      </c>
      <c r="AB153" s="28">
        <v>-0.53559064787987198</v>
      </c>
      <c r="AC153" s="28">
        <f t="shared" si="35"/>
        <v>-0.75675163532665501</v>
      </c>
      <c r="AD153" s="28">
        <v>-0.85381660166196505</v>
      </c>
      <c r="AE153" s="28">
        <f t="shared" si="36"/>
        <v>-0.68367029910441501</v>
      </c>
      <c r="AF153" s="28">
        <v>-0.79413754334789699</v>
      </c>
      <c r="AG153" s="28">
        <f t="shared" si="37"/>
        <v>-0.58922946045320701</v>
      </c>
      <c r="AH153" s="28">
        <v>-0.82405406253528801</v>
      </c>
      <c r="AI153" s="28">
        <f t="shared" si="38"/>
        <v>-0.55444611401588206</v>
      </c>
      <c r="AJ153" s="28">
        <v>-0.82374788710381797</v>
      </c>
      <c r="AK153" s="28">
        <f t="shared" si="39"/>
        <v>-0.64990369530685699</v>
      </c>
      <c r="AL153" s="28">
        <v>-0.70289301571319796</v>
      </c>
      <c r="AM153" s="28">
        <f t="shared" si="40"/>
        <v>-0.70757381315816004</v>
      </c>
      <c r="AN153" s="28">
        <v>-0.72357848484185505</v>
      </c>
      <c r="AO153" s="28">
        <f t="shared" si="41"/>
        <v>-0.73486058207359728</v>
      </c>
      <c r="AP153" s="29">
        <v>138.84194857953099</v>
      </c>
      <c r="AR153" s="25">
        <v>0.37634408602199998</v>
      </c>
      <c r="AS153" s="25">
        <v>-0.44453124999999999</v>
      </c>
      <c r="AT153" s="25">
        <v>0.44186046511633298</v>
      </c>
      <c r="AU153" s="25">
        <v>-0.71721385444980101</v>
      </c>
      <c r="AV153" s="30">
        <v>2</v>
      </c>
      <c r="AW153" s="30">
        <v>4</v>
      </c>
      <c r="AX153" s="31">
        <v>-0.52188315334206004</v>
      </c>
      <c r="AY153" s="25">
        <v>0.174266573981149</v>
      </c>
      <c r="AZ153" s="25">
        <v>-0.91798831060179498</v>
      </c>
      <c r="BA153" s="32">
        <v>43818</v>
      </c>
      <c r="BB153" s="31">
        <v>4.6823046350036703</v>
      </c>
      <c r="BD153" s="64">
        <v>606407.69299999997</v>
      </c>
      <c r="BE153" s="25">
        <v>0.2</v>
      </c>
      <c r="BF153" s="33">
        <v>121281.538599976</v>
      </c>
      <c r="BG153" s="25">
        <v>0.72089999999967402</v>
      </c>
      <c r="BH153" s="72">
        <v>437159.30588378903</v>
      </c>
      <c r="BI153" s="68" t="s">
        <v>899</v>
      </c>
    </row>
    <row r="154" spans="2:61" x14ac:dyDescent="0.25">
      <c r="B154" s="14" t="s">
        <v>153</v>
      </c>
      <c r="C154" s="14" t="s">
        <v>572</v>
      </c>
      <c r="D154" s="1" t="s">
        <v>363</v>
      </c>
      <c r="E154" s="1" t="s">
        <v>572</v>
      </c>
      <c r="F154" s="1" t="s">
        <v>910</v>
      </c>
      <c r="H154" s="26">
        <v>43901</v>
      </c>
      <c r="J154" s="45">
        <v>801000</v>
      </c>
      <c r="K154" s="25">
        <f t="shared" si="28"/>
        <v>0</v>
      </c>
      <c r="L154" s="26">
        <v>43901</v>
      </c>
      <c r="M154" s="45">
        <v>0</v>
      </c>
      <c r="N154" s="45">
        <v>41.863453815281403</v>
      </c>
      <c r="O154" s="25">
        <f t="shared" si="29"/>
        <v>0</v>
      </c>
      <c r="P154" s="27">
        <v>0</v>
      </c>
      <c r="Q154" s="27">
        <v>1.2048192771089801E-2</v>
      </c>
      <c r="R154" s="25">
        <f t="shared" si="30"/>
        <v>0</v>
      </c>
      <c r="T154" s="28"/>
      <c r="U154" s="28" t="str">
        <f t="shared" si="31"/>
        <v/>
      </c>
      <c r="V154" s="28"/>
      <c r="W154" s="28" t="str">
        <f t="shared" si="32"/>
        <v/>
      </c>
      <c r="X154" s="28"/>
      <c r="Y154" s="28" t="str">
        <f t="shared" si="33"/>
        <v/>
      </c>
      <c r="Z154" s="28"/>
      <c r="AA154" s="28" t="str">
        <f t="shared" si="34"/>
        <v/>
      </c>
      <c r="AB154" s="28"/>
      <c r="AC154" s="28" t="str">
        <f t="shared" si="35"/>
        <v/>
      </c>
      <c r="AD154" s="28"/>
      <c r="AE154" s="28" t="str">
        <f t="shared" si="36"/>
        <v/>
      </c>
      <c r="AF154" s="28"/>
      <c r="AG154" s="28" t="str">
        <f t="shared" si="37"/>
        <v/>
      </c>
      <c r="AH154" s="28"/>
      <c r="AI154" s="28" t="str">
        <f t="shared" si="38"/>
        <v/>
      </c>
      <c r="AJ154" s="28"/>
      <c r="AK154" s="28" t="str">
        <f t="shared" si="39"/>
        <v/>
      </c>
      <c r="AL154" s="28"/>
      <c r="AM154" s="28" t="str">
        <f t="shared" si="40"/>
        <v/>
      </c>
      <c r="AN154" s="28"/>
      <c r="AO154" s="28" t="str">
        <f t="shared" si="41"/>
        <v/>
      </c>
      <c r="AP154" s="29"/>
      <c r="AR154" s="25"/>
      <c r="AS154" s="25"/>
      <c r="AT154" s="25"/>
      <c r="AU154" s="25"/>
      <c r="AV154" s="30"/>
      <c r="AW154" s="30"/>
      <c r="AX154" s="31"/>
      <c r="AY154" s="25"/>
      <c r="AZ154" s="25">
        <v>0</v>
      </c>
      <c r="BA154" s="32">
        <v>43839</v>
      </c>
      <c r="BB154" s="31"/>
      <c r="BD154" s="64">
        <v>10.6</v>
      </c>
      <c r="BE154" s="25">
        <v>0.69132075471687104</v>
      </c>
      <c r="BF154" s="33">
        <v>7.3280000000000003</v>
      </c>
      <c r="BI154" s="68" t="s">
        <v>762</v>
      </c>
    </row>
    <row r="155" spans="2:61" x14ac:dyDescent="0.25">
      <c r="B155" s="14" t="s">
        <v>154</v>
      </c>
      <c r="C155" s="14" t="s">
        <v>573</v>
      </c>
      <c r="D155" s="1" t="s">
        <v>364</v>
      </c>
      <c r="E155" s="1" t="s">
        <v>573</v>
      </c>
      <c r="F155" s="1" t="s">
        <v>906</v>
      </c>
      <c r="H155" s="26">
        <v>43749</v>
      </c>
      <c r="J155" s="45">
        <v>48.989999999990701</v>
      </c>
      <c r="K155" s="25">
        <f t="shared" si="28"/>
        <v>0</v>
      </c>
      <c r="L155" s="26">
        <v>43749</v>
      </c>
      <c r="M155" s="45">
        <v>0</v>
      </c>
      <c r="N155" s="45">
        <v>1.17457028112374</v>
      </c>
      <c r="O155" s="25">
        <f t="shared" si="29"/>
        <v>0</v>
      </c>
      <c r="P155" s="27">
        <v>0</v>
      </c>
      <c r="Q155" s="27">
        <v>2.4096385542179601E-2</v>
      </c>
      <c r="R155" s="25">
        <f t="shared" si="30"/>
        <v>0</v>
      </c>
      <c r="T155" s="28"/>
      <c r="U155" s="28" t="str">
        <f t="shared" si="31"/>
        <v/>
      </c>
      <c r="V155" s="28"/>
      <c r="W155" s="28" t="str">
        <f t="shared" si="32"/>
        <v/>
      </c>
      <c r="X155" s="28"/>
      <c r="Y155" s="28" t="str">
        <f t="shared" si="33"/>
        <v/>
      </c>
      <c r="Z155" s="28"/>
      <c r="AA155" s="28" t="str">
        <f t="shared" si="34"/>
        <v/>
      </c>
      <c r="AB155" s="28"/>
      <c r="AC155" s="28" t="str">
        <f t="shared" si="35"/>
        <v/>
      </c>
      <c r="AD155" s="28"/>
      <c r="AE155" s="28" t="str">
        <f t="shared" si="36"/>
        <v/>
      </c>
      <c r="AF155" s="28"/>
      <c r="AG155" s="28" t="str">
        <f t="shared" si="37"/>
        <v/>
      </c>
      <c r="AH155" s="28"/>
      <c r="AI155" s="28" t="str">
        <f t="shared" si="38"/>
        <v/>
      </c>
      <c r="AJ155" s="28"/>
      <c r="AK155" s="28" t="str">
        <f t="shared" si="39"/>
        <v/>
      </c>
      <c r="AL155" s="28"/>
      <c r="AM155" s="28" t="str">
        <f t="shared" si="40"/>
        <v/>
      </c>
      <c r="AN155" s="28"/>
      <c r="AO155" s="28" t="str">
        <f t="shared" si="41"/>
        <v/>
      </c>
      <c r="AP155" s="29"/>
      <c r="AR155" s="25"/>
      <c r="AS155" s="25"/>
      <c r="AT155" s="25"/>
      <c r="AU155" s="25"/>
      <c r="AV155" s="30"/>
      <c r="AW155" s="30"/>
      <c r="AX155" s="31"/>
      <c r="AY155" s="25"/>
      <c r="AZ155" s="25"/>
      <c r="BA155" s="32"/>
      <c r="BB155" s="31"/>
      <c r="BD155" s="64">
        <v>2815004.9950000001</v>
      </c>
      <c r="BE155" s="25">
        <v>0.89619999999995303</v>
      </c>
      <c r="BF155" s="33">
        <v>2522807.4765195302</v>
      </c>
      <c r="BI155" s="68" t="s">
        <v>372</v>
      </c>
    </row>
    <row r="156" spans="2:61" x14ac:dyDescent="0.25">
      <c r="B156" s="14" t="s">
        <v>155</v>
      </c>
      <c r="C156" s="14" t="s">
        <v>574</v>
      </c>
      <c r="D156" s="1" t="s">
        <v>365</v>
      </c>
      <c r="E156" s="1" t="s">
        <v>574</v>
      </c>
      <c r="F156" s="1" t="s">
        <v>909</v>
      </c>
      <c r="G156" s="87">
        <v>132559270.47087499</v>
      </c>
      <c r="H156" s="26">
        <v>43999</v>
      </c>
      <c r="I156" s="45">
        <v>16.9100000000035</v>
      </c>
      <c r="J156" s="45">
        <v>45.0599999999977</v>
      </c>
      <c r="K156" s="25">
        <f t="shared" si="28"/>
        <v>0.37527740790067382</v>
      </c>
      <c r="L156" s="26">
        <v>43637</v>
      </c>
      <c r="M156" s="45">
        <v>35941.082000000002</v>
      </c>
      <c r="N156" s="45">
        <v>91729.165875488296</v>
      </c>
      <c r="O156" s="25">
        <f t="shared" si="29"/>
        <v>0.39181738607310407</v>
      </c>
      <c r="P156" s="27">
        <v>16</v>
      </c>
      <c r="Q156" s="27">
        <v>17.1967871485977</v>
      </c>
      <c r="R156" s="25">
        <f t="shared" si="30"/>
        <v>0.93040635217170253</v>
      </c>
      <c r="T156" s="28">
        <v>2.3710729110462099E-3</v>
      </c>
      <c r="U156" s="28">
        <f t="shared" si="31"/>
        <v>-1.1751327998354089E-2</v>
      </c>
      <c r="V156" s="28">
        <v>0.224475018103549</v>
      </c>
      <c r="W156" s="28">
        <f t="shared" si="32"/>
        <v>0.12910271850894811</v>
      </c>
      <c r="X156" s="28">
        <v>-0.47419154228817201</v>
      </c>
      <c r="Y156" s="28">
        <f t="shared" si="33"/>
        <v>-0.32943056304415197</v>
      </c>
      <c r="Z156" s="28">
        <v>9.8765432099753497E-2</v>
      </c>
      <c r="AA156" s="28">
        <f t="shared" si="34"/>
        <v>-3.9774319830754995E-3</v>
      </c>
      <c r="AB156" s="28">
        <v>-0.16245666171395001</v>
      </c>
      <c r="AC156" s="28">
        <f t="shared" si="35"/>
        <v>-0.38361764916073304</v>
      </c>
      <c r="AD156" s="28">
        <v>-0.49462044231942898</v>
      </c>
      <c r="AE156" s="28">
        <f t="shared" si="36"/>
        <v>-0.324474139761879</v>
      </c>
      <c r="AF156" s="28">
        <v>-0.62522163120622298</v>
      </c>
      <c r="AG156" s="28">
        <f t="shared" si="37"/>
        <v>-0.420313548311533</v>
      </c>
      <c r="AH156" s="28">
        <v>-0.59738095238106304</v>
      </c>
      <c r="AI156" s="28">
        <f t="shared" si="38"/>
        <v>-0.32777300386165703</v>
      </c>
      <c r="AJ156" s="28">
        <v>-0.399965292473207</v>
      </c>
      <c r="AK156" s="28">
        <f t="shared" si="39"/>
        <v>-0.226121100676246</v>
      </c>
      <c r="AL156" s="28">
        <v>0.118519243440533</v>
      </c>
      <c r="AM156" s="28">
        <f t="shared" si="40"/>
        <v>0.11383844599557091</v>
      </c>
      <c r="AN156" s="28">
        <v>0.22517209500249</v>
      </c>
      <c r="AO156" s="28">
        <f t="shared" si="41"/>
        <v>0.2138899977707478</v>
      </c>
      <c r="AP156" s="29"/>
      <c r="AR156" s="25">
        <v>7.4122236670518801E-2</v>
      </c>
      <c r="AS156" s="25">
        <v>-0.10797424467542401</v>
      </c>
      <c r="AT156" s="25">
        <v>0.224475018103549</v>
      </c>
      <c r="AU156" s="25">
        <v>-0.34449374747869999</v>
      </c>
      <c r="AV156" s="30">
        <v>2</v>
      </c>
      <c r="AW156" s="30">
        <v>4</v>
      </c>
      <c r="AX156" s="31"/>
      <c r="AY156" s="25"/>
      <c r="AZ156" s="25">
        <v>-0.58432087511406305</v>
      </c>
      <c r="BA156" s="32">
        <v>43818</v>
      </c>
      <c r="BB156" s="31">
        <v>1.6092629184367999</v>
      </c>
      <c r="BD156" s="64">
        <v>7839105.2910000002</v>
      </c>
      <c r="BE156" s="25">
        <v>0.67</v>
      </c>
      <c r="BF156" s="33">
        <v>5252200.5449687503</v>
      </c>
      <c r="BG156" s="25">
        <v>0.33000000000058199</v>
      </c>
      <c r="BH156" s="72">
        <v>2586904.7460312499</v>
      </c>
      <c r="BI156" s="68" t="s">
        <v>763</v>
      </c>
    </row>
    <row r="157" spans="2:61" x14ac:dyDescent="0.25">
      <c r="B157" s="14" t="s">
        <v>156</v>
      </c>
      <c r="C157" s="14" t="s">
        <v>575</v>
      </c>
      <c r="D157" s="1" t="s">
        <v>366</v>
      </c>
      <c r="E157" s="1" t="s">
        <v>575</v>
      </c>
      <c r="F157" s="1" t="s">
        <v>913</v>
      </c>
      <c r="G157" s="87">
        <v>111781515.37725</v>
      </c>
      <c r="H157" s="26">
        <v>43997</v>
      </c>
      <c r="J157" s="45">
        <v>0.54899999999997795</v>
      </c>
      <c r="K157" s="25">
        <f t="shared" si="28"/>
        <v>0</v>
      </c>
      <c r="L157" s="26">
        <v>43655</v>
      </c>
      <c r="M157" s="45">
        <v>0</v>
      </c>
      <c r="N157" s="45">
        <v>265.827080321312</v>
      </c>
      <c r="O157" s="25">
        <f t="shared" si="29"/>
        <v>0</v>
      </c>
      <c r="P157" s="27">
        <v>0</v>
      </c>
      <c r="Q157" s="27"/>
      <c r="R157" s="25" t="str">
        <f t="shared" si="30"/>
        <v/>
      </c>
      <c r="T157" s="28"/>
      <c r="U157" s="28" t="str">
        <f t="shared" si="31"/>
        <v/>
      </c>
      <c r="V157" s="28">
        <v>-3.6144578312814701E-2</v>
      </c>
      <c r="W157" s="28">
        <f t="shared" si="32"/>
        <v>-0.13151687790741562</v>
      </c>
      <c r="X157" s="28"/>
      <c r="Y157" s="28" t="str">
        <f t="shared" si="33"/>
        <v/>
      </c>
      <c r="Z157" s="28">
        <v>-3.6144578312814701E-2</v>
      </c>
      <c r="AA157" s="28">
        <f t="shared" si="34"/>
        <v>-0.13888744239564371</v>
      </c>
      <c r="AB157" s="28"/>
      <c r="AC157" s="28" t="str">
        <f t="shared" si="35"/>
        <v/>
      </c>
      <c r="AD157" s="28">
        <v>-5.2132701421214699E-2</v>
      </c>
      <c r="AE157" s="28">
        <f t="shared" si="36"/>
        <v>0.1180136011363353</v>
      </c>
      <c r="AF157" s="28">
        <v>-0.183673469386995</v>
      </c>
      <c r="AG157" s="28">
        <f t="shared" si="37"/>
        <v>2.123461350769501E-2</v>
      </c>
      <c r="AH157" s="28"/>
      <c r="AI157" s="28" t="str">
        <f t="shared" si="38"/>
        <v/>
      </c>
      <c r="AJ157" s="28">
        <v>-0.35254013910423998</v>
      </c>
      <c r="AK157" s="28">
        <f t="shared" si="39"/>
        <v>-0.17869594730727897</v>
      </c>
      <c r="AL157" s="28">
        <v>4.7882845534331898E-2</v>
      </c>
      <c r="AM157" s="28">
        <f t="shared" si="40"/>
        <v>4.3202048089369817E-2</v>
      </c>
      <c r="AN157" s="28">
        <v>0.34668621769582397</v>
      </c>
      <c r="AO157" s="28">
        <f t="shared" si="41"/>
        <v>0.33540412046408175</v>
      </c>
      <c r="AP157" s="29"/>
      <c r="AR157" s="25">
        <v>0</v>
      </c>
      <c r="AS157" s="25">
        <v>-3.6144578312814701E-2</v>
      </c>
      <c r="AT157" s="25">
        <v>0</v>
      </c>
      <c r="AU157" s="25">
        <v>-3.6144578312814701E-2</v>
      </c>
      <c r="AV157" s="30">
        <v>0</v>
      </c>
      <c r="AW157" s="30">
        <v>2</v>
      </c>
      <c r="AX157" s="31"/>
      <c r="AY157" s="25"/>
      <c r="AZ157" s="25">
        <v>-5.2132701421651301E-2</v>
      </c>
      <c r="BA157" s="32">
        <v>43817</v>
      </c>
      <c r="BB157" s="31">
        <v>-0.10193940060924001</v>
      </c>
      <c r="BD157" s="64">
        <v>279453788.44300002</v>
      </c>
      <c r="BE157" s="25">
        <v>0.99549999999930106</v>
      </c>
      <c r="BF157" s="33">
        <v>278196246.39499998</v>
      </c>
      <c r="BI157" s="68" t="s">
        <v>764</v>
      </c>
    </row>
    <row r="158" spans="2:61" x14ac:dyDescent="0.25">
      <c r="B158" s="14" t="s">
        <v>157</v>
      </c>
      <c r="C158" s="14" t="s">
        <v>576</v>
      </c>
      <c r="D158" s="1" t="s">
        <v>367</v>
      </c>
      <c r="E158" s="1" t="s">
        <v>576</v>
      </c>
      <c r="F158" s="1" t="s">
        <v>906</v>
      </c>
      <c r="G158" s="87">
        <v>1949000000</v>
      </c>
      <c r="H158" s="26">
        <v>43992</v>
      </c>
      <c r="J158" s="45">
        <v>16118</v>
      </c>
      <c r="K158" s="25">
        <f t="shared" si="28"/>
        <v>0</v>
      </c>
      <c r="L158" s="26">
        <v>43966</v>
      </c>
      <c r="M158" s="45">
        <v>0</v>
      </c>
      <c r="N158" s="45">
        <v>33440.017373504597</v>
      </c>
      <c r="O158" s="25">
        <f t="shared" si="29"/>
        <v>0</v>
      </c>
      <c r="P158" s="27">
        <v>0</v>
      </c>
      <c r="Q158" s="27">
        <v>2.4056224899613898</v>
      </c>
      <c r="R158" s="25">
        <f t="shared" si="30"/>
        <v>0</v>
      </c>
      <c r="T158" s="28"/>
      <c r="U158" s="28" t="str">
        <f t="shared" si="31"/>
        <v/>
      </c>
      <c r="V158" s="28"/>
      <c r="W158" s="28" t="str">
        <f t="shared" si="32"/>
        <v/>
      </c>
      <c r="X158" s="28"/>
      <c r="Y158" s="28" t="str">
        <f t="shared" si="33"/>
        <v/>
      </c>
      <c r="Z158" s="28"/>
      <c r="AA158" s="28" t="str">
        <f t="shared" si="34"/>
        <v/>
      </c>
      <c r="AB158" s="28"/>
      <c r="AC158" s="28" t="str">
        <f t="shared" si="35"/>
        <v/>
      </c>
      <c r="AD158" s="28"/>
      <c r="AE158" s="28" t="str">
        <f t="shared" si="36"/>
        <v/>
      </c>
      <c r="AF158" s="28"/>
      <c r="AG158" s="28" t="str">
        <f t="shared" si="37"/>
        <v/>
      </c>
      <c r="AH158" s="28"/>
      <c r="AI158" s="28" t="str">
        <f t="shared" si="38"/>
        <v/>
      </c>
      <c r="AJ158" s="28"/>
      <c r="AK158" s="28" t="str">
        <f t="shared" si="39"/>
        <v/>
      </c>
      <c r="AL158" s="28"/>
      <c r="AM158" s="28" t="str">
        <f t="shared" si="40"/>
        <v/>
      </c>
      <c r="AN158" s="28"/>
      <c r="AO158" s="28" t="str">
        <f t="shared" si="41"/>
        <v/>
      </c>
      <c r="AP158" s="29"/>
      <c r="AR158" s="25">
        <v>0.11326234269116001</v>
      </c>
      <c r="AS158" s="25">
        <v>-2.9411764705400901E-2</v>
      </c>
      <c r="AT158" s="25">
        <v>0.24866214770008799</v>
      </c>
      <c r="AU158" s="25">
        <v>-0.13501002931661801</v>
      </c>
      <c r="AV158" s="30">
        <v>3</v>
      </c>
      <c r="AW158" s="30">
        <v>3</v>
      </c>
      <c r="AX158" s="31"/>
      <c r="AY158" s="25"/>
      <c r="AZ158" s="25">
        <v>-0.22260869565187</v>
      </c>
      <c r="BA158" s="32">
        <v>43852</v>
      </c>
      <c r="BB158" s="31">
        <v>0.71380729467637105</v>
      </c>
      <c r="BD158" s="64">
        <v>125000</v>
      </c>
      <c r="BE158" s="25">
        <v>0.46169999999983702</v>
      </c>
      <c r="BF158" s="33">
        <v>57712.5</v>
      </c>
      <c r="BG158" s="25">
        <v>0.120099999999948</v>
      </c>
      <c r="BH158" s="72">
        <v>15012.5</v>
      </c>
      <c r="BI158" s="68" t="s">
        <v>765</v>
      </c>
    </row>
    <row r="159" spans="2:61" x14ac:dyDescent="0.25">
      <c r="B159" s="14" t="s">
        <v>158</v>
      </c>
      <c r="C159" s="14" t="s">
        <v>577</v>
      </c>
      <c r="D159" s="1" t="s">
        <v>368</v>
      </c>
      <c r="E159" s="1" t="s">
        <v>577</v>
      </c>
      <c r="F159" s="1" t="s">
        <v>913</v>
      </c>
      <c r="G159" s="87">
        <v>731496172</v>
      </c>
      <c r="H159" s="26">
        <v>43998</v>
      </c>
      <c r="J159" s="45">
        <v>8173.93622357398</v>
      </c>
      <c r="K159" s="25">
        <f t="shared" si="28"/>
        <v>0</v>
      </c>
      <c r="L159" s="26">
        <v>43776</v>
      </c>
      <c r="M159" s="45">
        <v>0</v>
      </c>
      <c r="N159" s="45">
        <v>19004.613212860098</v>
      </c>
      <c r="O159" s="25">
        <f t="shared" si="29"/>
        <v>0</v>
      </c>
      <c r="P159" s="27">
        <v>0</v>
      </c>
      <c r="Q159" s="27">
        <v>1.3012048192776999</v>
      </c>
      <c r="R159" s="25">
        <f t="shared" si="30"/>
        <v>0</v>
      </c>
      <c r="T159" s="28"/>
      <c r="U159" s="28" t="str">
        <f t="shared" si="31"/>
        <v/>
      </c>
      <c r="V159" s="28">
        <v>-1.7857142856883002E-2</v>
      </c>
      <c r="W159" s="28">
        <f t="shared" si="32"/>
        <v>-0.11322944245148391</v>
      </c>
      <c r="X159" s="28">
        <v>-0.27673044321651102</v>
      </c>
      <c r="Y159" s="28">
        <f t="shared" si="33"/>
        <v>-0.13196946397249101</v>
      </c>
      <c r="Z159" s="28">
        <v>-1.7857142856883002E-2</v>
      </c>
      <c r="AA159" s="28">
        <f t="shared" si="34"/>
        <v>-0.120600006939712</v>
      </c>
      <c r="AB159" s="28">
        <v>-0.16586715560144499</v>
      </c>
      <c r="AC159" s="28">
        <f t="shared" si="35"/>
        <v>-0.38702814304822797</v>
      </c>
      <c r="AD159" s="28">
        <v>-0.30518991761171499</v>
      </c>
      <c r="AE159" s="28">
        <f t="shared" si="36"/>
        <v>-0.13504361505416498</v>
      </c>
      <c r="AF159" s="28">
        <v>-0.31479589383176099</v>
      </c>
      <c r="AG159" s="28">
        <f t="shared" si="37"/>
        <v>-0.10988781093707098</v>
      </c>
      <c r="AH159" s="28">
        <v>-0.300309756335919</v>
      </c>
      <c r="AI159" s="28">
        <f t="shared" si="38"/>
        <v>-3.0701807816512994E-2</v>
      </c>
      <c r="AJ159" s="28">
        <v>-0.12166234243341</v>
      </c>
      <c r="AK159" s="28">
        <f t="shared" si="39"/>
        <v>5.2181849363551011E-2</v>
      </c>
      <c r="AL159" s="28">
        <v>0.52726137457299005</v>
      </c>
      <c r="AM159" s="28">
        <f t="shared" si="40"/>
        <v>0.52258057712802797</v>
      </c>
      <c r="AN159" s="28">
        <v>0.28696399913315002</v>
      </c>
      <c r="AO159" s="28">
        <f t="shared" si="41"/>
        <v>0.27568190190140784</v>
      </c>
      <c r="AP159" s="29"/>
      <c r="AR159" s="25">
        <v>3.22465066346922E-3</v>
      </c>
      <c r="AS159" s="25">
        <v>-3.5905511811506599E-2</v>
      </c>
      <c r="AT159" s="25">
        <v>4.0188823195421698E-2</v>
      </c>
      <c r="AU159" s="25">
        <v>-0.270364268717531</v>
      </c>
      <c r="AV159" s="30">
        <v>3</v>
      </c>
      <c r="AW159" s="30">
        <v>3</v>
      </c>
      <c r="AX159" s="31"/>
      <c r="AY159" s="25"/>
      <c r="AZ159" s="25">
        <v>-0.32207590261881702</v>
      </c>
      <c r="BA159" s="32">
        <v>43817</v>
      </c>
      <c r="BB159" s="31">
        <v>0.74860273601007099</v>
      </c>
      <c r="BD159" s="64">
        <v>132999.304</v>
      </c>
      <c r="BE159" s="25">
        <v>0.21149999999994201</v>
      </c>
      <c r="BF159" s="33">
        <v>28129.352795989998</v>
      </c>
      <c r="BG159" s="25">
        <v>0.717399999999907</v>
      </c>
      <c r="BH159" s="72">
        <v>95413.700689575198</v>
      </c>
      <c r="BI159" s="68" t="s">
        <v>766</v>
      </c>
    </row>
    <row r="160" spans="2:61" x14ac:dyDescent="0.25">
      <c r="B160" s="14" t="s">
        <v>159</v>
      </c>
      <c r="C160" s="14" t="s">
        <v>578</v>
      </c>
      <c r="D160" s="1" t="s">
        <v>369</v>
      </c>
      <c r="E160" s="1" t="s">
        <v>578</v>
      </c>
      <c r="F160" s="1" t="s">
        <v>913</v>
      </c>
      <c r="H160" s="26">
        <v>43958</v>
      </c>
      <c r="J160" s="45">
        <v>48.832813067128903</v>
      </c>
      <c r="K160" s="25">
        <f t="shared" si="28"/>
        <v>0</v>
      </c>
      <c r="L160" s="26">
        <v>43798</v>
      </c>
      <c r="M160" s="45">
        <v>0</v>
      </c>
      <c r="N160" s="45">
        <v>9.0791164658614407E-2</v>
      </c>
      <c r="O160" s="25">
        <f t="shared" si="29"/>
        <v>0</v>
      </c>
      <c r="P160" s="27">
        <v>0</v>
      </c>
      <c r="Q160" s="27">
        <v>1.2048192771089801E-2</v>
      </c>
      <c r="R160" s="25">
        <f t="shared" si="30"/>
        <v>0</v>
      </c>
      <c r="T160" s="28"/>
      <c r="U160" s="28" t="str">
        <f t="shared" si="31"/>
        <v/>
      </c>
      <c r="V160" s="28"/>
      <c r="W160" s="28" t="str">
        <f t="shared" si="32"/>
        <v/>
      </c>
      <c r="X160" s="28"/>
      <c r="Y160" s="28" t="str">
        <f t="shared" si="33"/>
        <v/>
      </c>
      <c r="Z160" s="28"/>
      <c r="AA160" s="28" t="str">
        <f t="shared" si="34"/>
        <v/>
      </c>
      <c r="AB160" s="28"/>
      <c r="AC160" s="28" t="str">
        <f t="shared" si="35"/>
        <v/>
      </c>
      <c r="AD160" s="28"/>
      <c r="AE160" s="28" t="str">
        <f t="shared" si="36"/>
        <v/>
      </c>
      <c r="AF160" s="28"/>
      <c r="AG160" s="28" t="str">
        <f t="shared" si="37"/>
        <v/>
      </c>
      <c r="AH160" s="28"/>
      <c r="AI160" s="28" t="str">
        <f t="shared" si="38"/>
        <v/>
      </c>
      <c r="AJ160" s="28"/>
      <c r="AK160" s="28" t="str">
        <f t="shared" si="39"/>
        <v/>
      </c>
      <c r="AL160" s="28"/>
      <c r="AM160" s="28" t="str">
        <f t="shared" si="40"/>
        <v/>
      </c>
      <c r="AN160" s="28"/>
      <c r="AO160" s="28" t="str">
        <f t="shared" si="41"/>
        <v/>
      </c>
      <c r="AP160" s="29"/>
      <c r="AR160" s="25"/>
      <c r="AS160" s="25"/>
      <c r="AT160" s="25">
        <v>9.1575091591948894E-3</v>
      </c>
      <c r="AU160" s="25">
        <v>9.1575091591948894E-3</v>
      </c>
      <c r="AV160" s="30"/>
      <c r="AW160" s="30"/>
      <c r="AX160" s="31"/>
      <c r="AY160" s="25"/>
      <c r="AZ160" s="25">
        <v>0</v>
      </c>
      <c r="BA160" s="32">
        <v>43958</v>
      </c>
      <c r="BB160" s="31"/>
      <c r="BI160" s="68" t="s">
        <v>227</v>
      </c>
    </row>
    <row r="161" spans="2:61" x14ac:dyDescent="0.25">
      <c r="B161" s="14" t="s">
        <v>160</v>
      </c>
      <c r="C161" s="14" t="s">
        <v>579</v>
      </c>
      <c r="D161" s="1" t="s">
        <v>370</v>
      </c>
      <c r="E161" s="1" t="s">
        <v>579</v>
      </c>
      <c r="F161" s="1" t="s">
        <v>913</v>
      </c>
      <c r="H161" s="26">
        <v>35086</v>
      </c>
      <c r="K161" s="25" t="str">
        <f t="shared" si="28"/>
        <v/>
      </c>
      <c r="L161" s="26"/>
      <c r="M161" s="45">
        <v>0</v>
      </c>
      <c r="N161" s="45">
        <v>0</v>
      </c>
      <c r="O161" s="25" t="str">
        <f t="shared" si="29"/>
        <v/>
      </c>
      <c r="P161" s="27">
        <v>0</v>
      </c>
      <c r="Q161" s="27">
        <v>0</v>
      </c>
      <c r="R161" s="25" t="str">
        <f t="shared" si="30"/>
        <v/>
      </c>
      <c r="T161" s="28"/>
      <c r="U161" s="28" t="str">
        <f t="shared" si="31"/>
        <v/>
      </c>
      <c r="V161" s="28"/>
      <c r="W161" s="28" t="str">
        <f t="shared" si="32"/>
        <v/>
      </c>
      <c r="X161" s="28"/>
      <c r="Y161" s="28" t="str">
        <f t="shared" si="33"/>
        <v/>
      </c>
      <c r="Z161" s="28"/>
      <c r="AA161" s="28" t="str">
        <f t="shared" si="34"/>
        <v/>
      </c>
      <c r="AB161" s="28"/>
      <c r="AC161" s="28" t="str">
        <f t="shared" si="35"/>
        <v/>
      </c>
      <c r="AD161" s="28"/>
      <c r="AE161" s="28" t="str">
        <f t="shared" si="36"/>
        <v/>
      </c>
      <c r="AF161" s="28"/>
      <c r="AG161" s="28" t="str">
        <f t="shared" si="37"/>
        <v/>
      </c>
      <c r="AH161" s="28"/>
      <c r="AI161" s="28" t="str">
        <f t="shared" si="38"/>
        <v/>
      </c>
      <c r="AJ161" s="28"/>
      <c r="AK161" s="28" t="str">
        <f t="shared" si="39"/>
        <v/>
      </c>
      <c r="AL161" s="28"/>
      <c r="AM161" s="28" t="str">
        <f t="shared" si="40"/>
        <v/>
      </c>
      <c r="AN161" s="28"/>
      <c r="AO161" s="28" t="str">
        <f t="shared" si="41"/>
        <v/>
      </c>
      <c r="AP161" s="29"/>
      <c r="AR161" s="25"/>
      <c r="AS161" s="25"/>
      <c r="AT161" s="25"/>
      <c r="AU161" s="25"/>
      <c r="AV161" s="30"/>
      <c r="AW161" s="30"/>
      <c r="AX161" s="31"/>
      <c r="AY161" s="25"/>
      <c r="AZ161" s="25"/>
      <c r="BA161" s="32"/>
      <c r="BB161" s="31"/>
      <c r="BD161" s="64">
        <v>28875.307000000001</v>
      </c>
      <c r="BE161" s="25">
        <v>0.47989999999990701</v>
      </c>
      <c r="BF161" s="33">
        <v>13857.259829299899</v>
      </c>
      <c r="BI161" s="68" t="s">
        <v>767</v>
      </c>
    </row>
    <row r="162" spans="2:61" x14ac:dyDescent="0.25">
      <c r="B162" s="14" t="s">
        <v>161</v>
      </c>
      <c r="C162" s="14" t="s">
        <v>580</v>
      </c>
      <c r="D162" s="1" t="s">
        <v>371</v>
      </c>
      <c r="E162" s="1" t="s">
        <v>580</v>
      </c>
      <c r="F162" s="1" t="s">
        <v>909</v>
      </c>
      <c r="G162" s="87">
        <v>311094084.76800001</v>
      </c>
      <c r="H162" s="26">
        <v>43999</v>
      </c>
      <c r="I162" s="45">
        <v>220.530000000028</v>
      </c>
      <c r="J162" s="45">
        <v>360.78799943299998</v>
      </c>
      <c r="K162" s="25">
        <f t="shared" si="28"/>
        <v>0.61124538606218648</v>
      </c>
      <c r="L162" s="26">
        <v>43838</v>
      </c>
      <c r="M162" s="45">
        <v>894376.103</v>
      </c>
      <c r="N162" s="45">
        <v>228319.546831299</v>
      </c>
      <c r="O162" s="25">
        <f t="shared" si="29"/>
        <v>3.917212150306332</v>
      </c>
      <c r="P162" s="27">
        <v>25</v>
      </c>
      <c r="Q162" s="27"/>
      <c r="R162" s="25" t="str">
        <f t="shared" si="30"/>
        <v/>
      </c>
      <c r="T162" s="28">
        <v>2.4090909100777901E-3</v>
      </c>
      <c r="U162" s="28">
        <f t="shared" si="31"/>
        <v>-1.171330999932251E-2</v>
      </c>
      <c r="V162" s="28">
        <v>-1.5447118174961401E-2</v>
      </c>
      <c r="W162" s="28">
        <f t="shared" si="32"/>
        <v>-0.11081941776956231</v>
      </c>
      <c r="X162" s="28">
        <v>-0.33636778884916602</v>
      </c>
      <c r="Y162" s="28">
        <f t="shared" si="33"/>
        <v>-0.19160680960514601</v>
      </c>
      <c r="Z162" s="28">
        <v>7.3669088600581703E-2</v>
      </c>
      <c r="AA162" s="28">
        <f t="shared" si="34"/>
        <v>-2.9073775482247294E-2</v>
      </c>
      <c r="AB162" s="28">
        <v>-9.32523644778121E-2</v>
      </c>
      <c r="AC162" s="28">
        <f t="shared" si="35"/>
        <v>-0.31441335192459507</v>
      </c>
      <c r="AD162" s="28">
        <v>-0.349985256338259</v>
      </c>
      <c r="AE162" s="28">
        <f t="shared" si="36"/>
        <v>-0.17983895378070899</v>
      </c>
      <c r="AF162" s="28">
        <v>-0.38870505350118001</v>
      </c>
      <c r="AG162" s="28">
        <f t="shared" si="37"/>
        <v>-0.18379697060649</v>
      </c>
      <c r="AH162" s="28">
        <v>-0.24152522661374001</v>
      </c>
      <c r="AI162" s="28">
        <f t="shared" si="38"/>
        <v>2.8082721905665992E-2</v>
      </c>
      <c r="AJ162" s="28">
        <v>6.8055022935368498E-2</v>
      </c>
      <c r="AK162" s="28">
        <f t="shared" si="39"/>
        <v>0.2418992147323295</v>
      </c>
      <c r="AL162" s="28">
        <v>0.78425526422099201</v>
      </c>
      <c r="AM162" s="28">
        <f t="shared" si="40"/>
        <v>0.77957446677602993</v>
      </c>
      <c r="AN162" s="28">
        <v>1.77836500978097</v>
      </c>
      <c r="AO162" s="28">
        <f t="shared" si="41"/>
        <v>1.7670829125492278</v>
      </c>
      <c r="AP162" s="29">
        <v>36.376144017907798</v>
      </c>
      <c r="AR162" s="25">
        <v>0.12979556328908101</v>
      </c>
      <c r="AS162" s="25">
        <v>-0.113052631578321</v>
      </c>
      <c r="AT162" s="25">
        <v>4.1605539581723902E-2</v>
      </c>
      <c r="AU162" s="25">
        <v>-0.26816575650445901</v>
      </c>
      <c r="AV162" s="30">
        <v>2</v>
      </c>
      <c r="AW162" s="30">
        <v>4</v>
      </c>
      <c r="AX162" s="31">
        <v>-1.2542161386645601</v>
      </c>
      <c r="AY162" s="25">
        <v>4.4763019919482797E-2</v>
      </c>
      <c r="AZ162" s="25">
        <v>-0.43169472745445098</v>
      </c>
      <c r="BA162" s="32">
        <v>43838</v>
      </c>
      <c r="BB162" s="31">
        <v>0.75500085019484697</v>
      </c>
      <c r="BD162" s="64">
        <v>1410665.6</v>
      </c>
      <c r="BE162" s="25">
        <v>0.50099999999976697</v>
      </c>
      <c r="BF162" s="33">
        <v>706743.46559960896</v>
      </c>
      <c r="BG162" s="25">
        <v>0.35270000000018598</v>
      </c>
      <c r="BH162" s="72">
        <v>497541.75712011702</v>
      </c>
      <c r="BI162" s="68" t="s">
        <v>768</v>
      </c>
    </row>
    <row r="163" spans="2:61" x14ac:dyDescent="0.25">
      <c r="B163" s="14" t="s">
        <v>162</v>
      </c>
      <c r="C163" s="14" t="s">
        <v>581</v>
      </c>
      <c r="D163" s="1" t="s">
        <v>372</v>
      </c>
      <c r="E163" s="1" t="s">
        <v>581</v>
      </c>
      <c r="F163" s="1" t="s">
        <v>906</v>
      </c>
      <c r="H163" s="26">
        <v>43934</v>
      </c>
      <c r="J163" s="45">
        <v>802</v>
      </c>
      <c r="K163" s="25">
        <f t="shared" si="28"/>
        <v>0</v>
      </c>
      <c r="L163" s="26">
        <v>43934</v>
      </c>
      <c r="M163" s="45">
        <v>0</v>
      </c>
      <c r="N163" s="45">
        <v>1411.94510040092</v>
      </c>
      <c r="O163" s="25">
        <f t="shared" si="29"/>
        <v>0</v>
      </c>
      <c r="P163" s="27">
        <v>0</v>
      </c>
      <c r="Q163" s="27">
        <v>4.4176706827329298E-2</v>
      </c>
      <c r="R163" s="25">
        <f t="shared" si="30"/>
        <v>0</v>
      </c>
      <c r="T163" s="28"/>
      <c r="U163" s="28" t="str">
        <f t="shared" si="31"/>
        <v/>
      </c>
      <c r="V163" s="28"/>
      <c r="W163" s="28" t="str">
        <f t="shared" si="32"/>
        <v/>
      </c>
      <c r="X163" s="28"/>
      <c r="Y163" s="28" t="str">
        <f t="shared" si="33"/>
        <v/>
      </c>
      <c r="Z163" s="28"/>
      <c r="AA163" s="28" t="str">
        <f t="shared" si="34"/>
        <v/>
      </c>
      <c r="AB163" s="28"/>
      <c r="AC163" s="28" t="str">
        <f t="shared" si="35"/>
        <v/>
      </c>
      <c r="AD163" s="28"/>
      <c r="AE163" s="28" t="str">
        <f t="shared" si="36"/>
        <v/>
      </c>
      <c r="AF163" s="28"/>
      <c r="AG163" s="28" t="str">
        <f t="shared" si="37"/>
        <v/>
      </c>
      <c r="AH163" s="28"/>
      <c r="AI163" s="28" t="str">
        <f t="shared" si="38"/>
        <v/>
      </c>
      <c r="AJ163" s="28"/>
      <c r="AK163" s="28" t="str">
        <f t="shared" si="39"/>
        <v/>
      </c>
      <c r="AL163" s="28"/>
      <c r="AM163" s="28" t="str">
        <f t="shared" si="40"/>
        <v/>
      </c>
      <c r="AN163" s="28"/>
      <c r="AO163" s="28" t="str">
        <f t="shared" si="41"/>
        <v/>
      </c>
      <c r="AP163" s="29"/>
      <c r="AR163" s="25"/>
      <c r="AS163" s="25"/>
      <c r="AT163" s="25"/>
      <c r="AU163" s="25"/>
      <c r="AV163" s="30"/>
      <c r="AW163" s="30"/>
      <c r="AX163" s="31"/>
      <c r="AY163" s="25"/>
      <c r="AZ163" s="25">
        <v>0</v>
      </c>
      <c r="BA163" s="32">
        <v>43934</v>
      </c>
      <c r="BB163" s="31"/>
      <c r="BD163" s="64">
        <v>141868.92499999999</v>
      </c>
      <c r="BE163" s="25">
        <v>0.88390000000014002</v>
      </c>
      <c r="BF163" s="33">
        <v>125397.942807495</v>
      </c>
      <c r="BI163" s="68" t="s">
        <v>386</v>
      </c>
    </row>
    <row r="164" spans="2:61" x14ac:dyDescent="0.25">
      <c r="B164" s="14" t="s">
        <v>163</v>
      </c>
      <c r="C164" s="14" t="s">
        <v>582</v>
      </c>
      <c r="D164" s="1" t="s">
        <v>373</v>
      </c>
      <c r="E164" s="1" t="s">
        <v>582</v>
      </c>
      <c r="F164" s="1" t="s">
        <v>913</v>
      </c>
      <c r="H164" s="26">
        <v>43626</v>
      </c>
      <c r="K164" s="25" t="str">
        <f t="shared" si="28"/>
        <v/>
      </c>
      <c r="L164" s="26"/>
      <c r="M164" s="45">
        <v>0</v>
      </c>
      <c r="N164" s="45">
        <v>0</v>
      </c>
      <c r="O164" s="25" t="str">
        <f t="shared" si="29"/>
        <v/>
      </c>
      <c r="P164" s="27">
        <v>0</v>
      </c>
      <c r="Q164" s="27">
        <v>0</v>
      </c>
      <c r="R164" s="25" t="str">
        <f t="shared" si="30"/>
        <v/>
      </c>
      <c r="T164" s="28"/>
      <c r="U164" s="28" t="str">
        <f t="shared" si="31"/>
        <v/>
      </c>
      <c r="V164" s="28"/>
      <c r="W164" s="28" t="str">
        <f t="shared" si="32"/>
        <v/>
      </c>
      <c r="X164" s="28"/>
      <c r="Y164" s="28" t="str">
        <f t="shared" si="33"/>
        <v/>
      </c>
      <c r="Z164" s="28"/>
      <c r="AA164" s="28" t="str">
        <f t="shared" si="34"/>
        <v/>
      </c>
      <c r="AB164" s="28"/>
      <c r="AC164" s="28" t="str">
        <f t="shared" si="35"/>
        <v/>
      </c>
      <c r="AD164" s="28"/>
      <c r="AE164" s="28" t="str">
        <f t="shared" si="36"/>
        <v/>
      </c>
      <c r="AF164" s="28"/>
      <c r="AG164" s="28" t="str">
        <f t="shared" si="37"/>
        <v/>
      </c>
      <c r="AH164" s="28"/>
      <c r="AI164" s="28" t="str">
        <f t="shared" si="38"/>
        <v/>
      </c>
      <c r="AJ164" s="28"/>
      <c r="AK164" s="28" t="str">
        <f t="shared" si="39"/>
        <v/>
      </c>
      <c r="AL164" s="28"/>
      <c r="AM164" s="28" t="str">
        <f t="shared" si="40"/>
        <v/>
      </c>
      <c r="AN164" s="28"/>
      <c r="AO164" s="28" t="str">
        <f t="shared" si="41"/>
        <v/>
      </c>
      <c r="AP164" s="29"/>
      <c r="AR164" s="25"/>
      <c r="AS164" s="25"/>
      <c r="AT164" s="25"/>
      <c r="AU164" s="25"/>
      <c r="AV164" s="30"/>
      <c r="AW164" s="30"/>
      <c r="AX164" s="31"/>
      <c r="AY164" s="25"/>
      <c r="AZ164" s="25"/>
      <c r="BA164" s="32"/>
      <c r="BB164" s="31"/>
      <c r="BD164" s="64">
        <v>930</v>
      </c>
      <c r="BE164" s="25">
        <v>0.444400000000023</v>
      </c>
      <c r="BF164" s="33">
        <v>413.29199999999997</v>
      </c>
      <c r="BI164" s="68" t="s">
        <v>769</v>
      </c>
    </row>
    <row r="165" spans="2:61" x14ac:dyDescent="0.25">
      <c r="B165" s="14" t="s">
        <v>164</v>
      </c>
      <c r="C165" s="14" t="s">
        <v>583</v>
      </c>
      <c r="D165" s="1" t="s">
        <v>374</v>
      </c>
      <c r="E165" s="1" t="s">
        <v>583</v>
      </c>
      <c r="F165" s="1" t="s">
        <v>922</v>
      </c>
      <c r="G165" s="87">
        <v>78481068.143250003</v>
      </c>
      <c r="H165" s="26">
        <v>43999</v>
      </c>
      <c r="I165" s="45">
        <v>0.75</v>
      </c>
      <c r="J165" s="45">
        <v>1.2434101663002399</v>
      </c>
      <c r="K165" s="25">
        <f t="shared" si="28"/>
        <v>0.60317988410181722</v>
      </c>
      <c r="L165" s="26">
        <v>43707</v>
      </c>
      <c r="M165" s="45">
        <v>1988.17</v>
      </c>
      <c r="N165" s="45">
        <v>3616.6253373489399</v>
      </c>
      <c r="O165" s="25">
        <f t="shared" si="29"/>
        <v>0.54973070598940421</v>
      </c>
      <c r="P165" s="27"/>
      <c r="Q165" s="27"/>
      <c r="R165" s="25" t="str">
        <f t="shared" si="30"/>
        <v/>
      </c>
      <c r="T165" s="28">
        <v>0</v>
      </c>
      <c r="U165" s="28">
        <f t="shared" si="31"/>
        <v>-1.41224009094003E-2</v>
      </c>
      <c r="V165" s="28">
        <v>-0.10714285714319</v>
      </c>
      <c r="W165" s="28">
        <f t="shared" si="32"/>
        <v>-0.20251515673779091</v>
      </c>
      <c r="X165" s="28">
        <v>-0.31818181818205599</v>
      </c>
      <c r="Y165" s="28">
        <f t="shared" si="33"/>
        <v>-0.17342083893803598</v>
      </c>
      <c r="Z165" s="28"/>
      <c r="AA165" s="28" t="str">
        <f t="shared" si="34"/>
        <v/>
      </c>
      <c r="AB165" s="28"/>
      <c r="AC165" s="28" t="str">
        <f t="shared" si="35"/>
        <v/>
      </c>
      <c r="AD165" s="28">
        <v>-0.31756141947233102</v>
      </c>
      <c r="AE165" s="28">
        <f t="shared" si="36"/>
        <v>-0.14741511691478101</v>
      </c>
      <c r="AF165" s="28">
        <v>-0.39682011589757199</v>
      </c>
      <c r="AG165" s="28">
        <f t="shared" si="37"/>
        <v>-0.19191203300288198</v>
      </c>
      <c r="AH165" s="28">
        <v>-0.64895306429127197</v>
      </c>
      <c r="AI165" s="28">
        <f t="shared" si="38"/>
        <v>-0.37934511577186597</v>
      </c>
      <c r="AJ165" s="28">
        <v>-0.234628123660514</v>
      </c>
      <c r="AK165" s="28">
        <f t="shared" si="39"/>
        <v>-6.0783931863552992E-2</v>
      </c>
      <c r="AL165" s="28">
        <v>0.37531771026260702</v>
      </c>
      <c r="AM165" s="28">
        <f t="shared" si="40"/>
        <v>0.37063691281764494</v>
      </c>
      <c r="AN165" s="28">
        <v>2.4479485315387102</v>
      </c>
      <c r="AO165" s="28">
        <f t="shared" si="41"/>
        <v>2.4366664343069679</v>
      </c>
      <c r="AP165" s="29"/>
      <c r="AR165" s="25">
        <v>5.9268600252835299E-2</v>
      </c>
      <c r="AS165" s="25">
        <v>-6.0714285714348101E-2</v>
      </c>
      <c r="AT165" s="25">
        <v>5.9268600252835299E-2</v>
      </c>
      <c r="AU165" s="25">
        <v>-0.267097966729198</v>
      </c>
      <c r="AV165" s="30">
        <v>1</v>
      </c>
      <c r="AW165" s="30">
        <v>3</v>
      </c>
      <c r="AX165" s="31"/>
      <c r="AY165" s="25"/>
      <c r="AZ165" s="25">
        <v>-0.31818181818205599</v>
      </c>
      <c r="BA165" s="32">
        <v>43817</v>
      </c>
      <c r="BB165" s="31">
        <v>0.60102289853784896</v>
      </c>
      <c r="BD165" s="64">
        <v>104641424.191</v>
      </c>
      <c r="BE165" s="25">
        <v>0.76339999999967401</v>
      </c>
      <c r="BF165" s="33">
        <v>79883263.227375001</v>
      </c>
      <c r="BG165" s="25">
        <v>0.23669999999983701</v>
      </c>
      <c r="BH165" s="72">
        <v>24768625.105999999</v>
      </c>
      <c r="BI165" s="68" t="s">
        <v>375</v>
      </c>
    </row>
    <row r="166" spans="2:61" x14ac:dyDescent="0.25">
      <c r="B166" s="14" t="s">
        <v>165</v>
      </c>
      <c r="C166" s="14" t="s">
        <v>584</v>
      </c>
      <c r="D166" s="1" t="s">
        <v>375</v>
      </c>
      <c r="E166" s="1" t="s">
        <v>584</v>
      </c>
      <c r="F166" s="1" t="s">
        <v>906</v>
      </c>
      <c r="G166" s="87">
        <v>201009279.28850001</v>
      </c>
      <c r="H166" s="26">
        <v>43999</v>
      </c>
      <c r="I166" s="45">
        <v>1.89700000000084</v>
      </c>
      <c r="J166" s="45">
        <v>3.9084924218986998</v>
      </c>
      <c r="K166" s="25">
        <f t="shared" si="28"/>
        <v>0.48535337803707435</v>
      </c>
      <c r="L166" s="26">
        <v>43643</v>
      </c>
      <c r="M166" s="45">
        <v>3208.6260000000002</v>
      </c>
      <c r="N166" s="45">
        <v>37999.780799194297</v>
      </c>
      <c r="O166" s="25">
        <f t="shared" si="29"/>
        <v>8.4438013391593889E-2</v>
      </c>
      <c r="P166" s="27"/>
      <c r="Q166" s="27"/>
      <c r="R166" s="25" t="str">
        <f t="shared" si="30"/>
        <v/>
      </c>
      <c r="T166" s="28">
        <v>0</v>
      </c>
      <c r="U166" s="28">
        <f t="shared" si="31"/>
        <v>-1.41224009094003E-2</v>
      </c>
      <c r="V166" s="28">
        <v>3.6612021858673002E-2</v>
      </c>
      <c r="W166" s="28">
        <f t="shared" si="32"/>
        <v>-5.8760277735927902E-2</v>
      </c>
      <c r="X166" s="28">
        <v>-0.30690537084417902</v>
      </c>
      <c r="Y166" s="28">
        <f t="shared" si="33"/>
        <v>-0.162144391600159</v>
      </c>
      <c r="Z166" s="28">
        <v>4.7669491523265597E-3</v>
      </c>
      <c r="AA166" s="28">
        <f t="shared" si="34"/>
        <v>-9.7975914930502436E-2</v>
      </c>
      <c r="AB166" s="28">
        <v>-0.19276595744566299</v>
      </c>
      <c r="AC166" s="28">
        <f t="shared" si="35"/>
        <v>-0.41392694489244597</v>
      </c>
      <c r="AD166" s="28">
        <v>-0.29792746113991597</v>
      </c>
      <c r="AE166" s="28">
        <f t="shared" si="36"/>
        <v>-0.12778115858236597</v>
      </c>
      <c r="AF166" s="28">
        <v>-0.50104463164461799</v>
      </c>
      <c r="AG166" s="28">
        <f t="shared" si="37"/>
        <v>-0.29613654874992801</v>
      </c>
      <c r="AH166" s="28">
        <v>-0.69478469693800404</v>
      </c>
      <c r="AI166" s="28">
        <f t="shared" si="38"/>
        <v>-0.42517674841859804</v>
      </c>
      <c r="AJ166" s="28">
        <v>-0.53236616933718295</v>
      </c>
      <c r="AK166" s="28">
        <f t="shared" si="39"/>
        <v>-0.35852197754022197</v>
      </c>
      <c r="AL166" s="28">
        <v>-0.36613964054326098</v>
      </c>
      <c r="AM166" s="28">
        <f t="shared" si="40"/>
        <v>-0.37082043798822306</v>
      </c>
      <c r="AN166" s="28">
        <v>-0.100487503455952</v>
      </c>
      <c r="AO166" s="28">
        <f t="shared" si="41"/>
        <v>-0.1117696006876942</v>
      </c>
      <c r="AP166" s="29"/>
      <c r="AR166" s="25">
        <v>5.94170403583121E-2</v>
      </c>
      <c r="AS166" s="25">
        <v>-0.13154875717009401</v>
      </c>
      <c r="AT166" s="25">
        <v>5.8571428571667597E-2</v>
      </c>
      <c r="AU166" s="25">
        <v>-0.30566801619454098</v>
      </c>
      <c r="AV166" s="30">
        <v>3</v>
      </c>
      <c r="AW166" s="30">
        <v>3</v>
      </c>
      <c r="AX166" s="31"/>
      <c r="AY166" s="25"/>
      <c r="AZ166" s="25">
        <v>-0.405333333333256</v>
      </c>
      <c r="BA166" s="32">
        <v>43850</v>
      </c>
      <c r="BB166" s="31">
        <v>0.62867795509282598</v>
      </c>
      <c r="BD166" s="64">
        <v>105961665.413</v>
      </c>
      <c r="BE166" s="25">
        <v>0.67589999999967398</v>
      </c>
      <c r="BF166" s="33">
        <v>71619489.652624995</v>
      </c>
      <c r="BG166" s="25">
        <v>0.32390000000014002</v>
      </c>
      <c r="BH166" s="72">
        <v>34320983.427281298</v>
      </c>
      <c r="BI166" s="68" t="s">
        <v>770</v>
      </c>
    </row>
    <row r="167" spans="2:61" x14ac:dyDescent="0.25">
      <c r="B167" s="14" t="s">
        <v>166</v>
      </c>
      <c r="C167" s="14" t="s">
        <v>585</v>
      </c>
      <c r="D167" s="1" t="s">
        <v>376</v>
      </c>
      <c r="E167" s="1" t="s">
        <v>585</v>
      </c>
      <c r="F167" s="1" t="s">
        <v>916</v>
      </c>
      <c r="H167" s="26"/>
      <c r="K167" s="25" t="str">
        <f t="shared" si="28"/>
        <v/>
      </c>
      <c r="L167" s="26"/>
      <c r="M167" s="45">
        <v>0</v>
      </c>
      <c r="O167" s="25" t="str">
        <f t="shared" si="29"/>
        <v/>
      </c>
      <c r="P167" s="27">
        <v>0</v>
      </c>
      <c r="Q167" s="27"/>
      <c r="R167" s="25" t="str">
        <f t="shared" si="30"/>
        <v/>
      </c>
      <c r="T167" s="28"/>
      <c r="U167" s="28" t="str">
        <f t="shared" si="31"/>
        <v/>
      </c>
      <c r="V167" s="28"/>
      <c r="W167" s="28" t="str">
        <f t="shared" si="32"/>
        <v/>
      </c>
      <c r="X167" s="28"/>
      <c r="Y167" s="28" t="str">
        <f t="shared" si="33"/>
        <v/>
      </c>
      <c r="Z167" s="28"/>
      <c r="AA167" s="28" t="str">
        <f t="shared" si="34"/>
        <v/>
      </c>
      <c r="AB167" s="28"/>
      <c r="AC167" s="28" t="str">
        <f t="shared" si="35"/>
        <v/>
      </c>
      <c r="AD167" s="28"/>
      <c r="AE167" s="28" t="str">
        <f t="shared" si="36"/>
        <v/>
      </c>
      <c r="AF167" s="28"/>
      <c r="AG167" s="28" t="str">
        <f t="shared" si="37"/>
        <v/>
      </c>
      <c r="AH167" s="28"/>
      <c r="AI167" s="28" t="str">
        <f t="shared" si="38"/>
        <v/>
      </c>
      <c r="AJ167" s="28"/>
      <c r="AK167" s="28" t="str">
        <f t="shared" si="39"/>
        <v/>
      </c>
      <c r="AL167" s="28"/>
      <c r="AM167" s="28" t="str">
        <f t="shared" si="40"/>
        <v/>
      </c>
      <c r="AN167" s="28"/>
      <c r="AO167" s="28" t="str">
        <f t="shared" si="41"/>
        <v/>
      </c>
      <c r="AP167" s="29"/>
      <c r="AR167" s="25"/>
      <c r="AS167" s="25"/>
      <c r="AT167" s="25"/>
      <c r="AU167" s="25"/>
      <c r="AV167" s="30"/>
      <c r="AW167" s="30"/>
      <c r="AX167" s="31"/>
      <c r="AY167" s="25"/>
      <c r="AZ167" s="25"/>
      <c r="BA167" s="32"/>
      <c r="BB167" s="31"/>
      <c r="BD167" s="64">
        <v>579.13499999999999</v>
      </c>
      <c r="BE167" s="25">
        <v>0.79590000000083805</v>
      </c>
      <c r="BF167" s="33">
        <v>460.93354650020598</v>
      </c>
      <c r="BI167" s="68" t="s">
        <v>771</v>
      </c>
    </row>
    <row r="168" spans="2:61" x14ac:dyDescent="0.25">
      <c r="B168" s="14" t="s">
        <v>167</v>
      </c>
      <c r="C168" s="14" t="s">
        <v>586</v>
      </c>
      <c r="D168" s="1" t="s">
        <v>377</v>
      </c>
      <c r="E168" s="1" t="s">
        <v>586</v>
      </c>
      <c r="F168" s="1" t="s">
        <v>916</v>
      </c>
      <c r="G168" s="87">
        <v>1249887917.1600001</v>
      </c>
      <c r="H168" s="26">
        <v>43999</v>
      </c>
      <c r="I168" s="45">
        <v>1380</v>
      </c>
      <c r="J168" s="45">
        <v>2064.4067796617701</v>
      </c>
      <c r="K168" s="25">
        <f t="shared" si="28"/>
        <v>0.66847290640369705</v>
      </c>
      <c r="L168" s="26">
        <v>43748</v>
      </c>
      <c r="M168" s="45">
        <v>3299147.2689999999</v>
      </c>
      <c r="N168" s="45">
        <v>2316542.77410156</v>
      </c>
      <c r="O168" s="25">
        <f t="shared" si="29"/>
        <v>1.4241685091610405</v>
      </c>
      <c r="P168" s="27">
        <v>615</v>
      </c>
      <c r="Q168" s="27">
        <v>439.05622489936599</v>
      </c>
      <c r="R168" s="25">
        <f t="shared" si="30"/>
        <v>1.4007317630924405</v>
      </c>
      <c r="T168" s="28">
        <v>1.8450184501489299E-2</v>
      </c>
      <c r="U168" s="28">
        <f t="shared" si="31"/>
        <v>4.3277835920889993E-3</v>
      </c>
      <c r="V168" s="28">
        <v>2.2222222221898801E-2</v>
      </c>
      <c r="W168" s="28">
        <f t="shared" si="32"/>
        <v>-7.3150077372702099E-2</v>
      </c>
      <c r="X168" s="28">
        <v>-0.24115189823904101</v>
      </c>
      <c r="Y168" s="28">
        <f t="shared" si="33"/>
        <v>-9.6390918995021002E-2</v>
      </c>
      <c r="Z168" s="28">
        <v>6.1538461537566001E-2</v>
      </c>
      <c r="AA168" s="28">
        <f t="shared" si="34"/>
        <v>-4.1204402545262996E-2</v>
      </c>
      <c r="AB168" s="28">
        <v>0.324333116461057</v>
      </c>
      <c r="AC168" s="28">
        <f t="shared" si="35"/>
        <v>0.103172129014274</v>
      </c>
      <c r="AD168" s="28">
        <v>-0.22356576136749901</v>
      </c>
      <c r="AE168" s="28">
        <f t="shared" si="36"/>
        <v>-5.3419458809949E-2</v>
      </c>
      <c r="AF168" s="28">
        <v>-0.26313941344415098</v>
      </c>
      <c r="AG168" s="28">
        <f t="shared" si="37"/>
        <v>-5.8231330549460975E-2</v>
      </c>
      <c r="AH168" s="28">
        <v>-0.22077177048136901</v>
      </c>
      <c r="AI168" s="28">
        <f t="shared" si="38"/>
        <v>4.8836178038036998E-2</v>
      </c>
      <c r="AJ168" s="28">
        <v>-0.147149011529109</v>
      </c>
      <c r="AK168" s="28">
        <f t="shared" si="39"/>
        <v>2.6695180267852003E-2</v>
      </c>
      <c r="AL168" s="28">
        <v>0.124559758645773</v>
      </c>
      <c r="AM168" s="28">
        <f t="shared" si="40"/>
        <v>0.11987896120081092</v>
      </c>
      <c r="AN168" s="28">
        <v>0.23360955370851999</v>
      </c>
      <c r="AO168" s="28">
        <f t="shared" si="41"/>
        <v>0.22232745647677779</v>
      </c>
      <c r="AP168" s="29">
        <v>48.719186654372599</v>
      </c>
      <c r="AR168" s="25">
        <v>0.131216931216914</v>
      </c>
      <c r="AS168" s="25">
        <v>-0.236486486486683</v>
      </c>
      <c r="AT168" s="25">
        <v>0.187714080458973</v>
      </c>
      <c r="AU168" s="25">
        <v>-0.285714285713912</v>
      </c>
      <c r="AV168" s="30">
        <v>2</v>
      </c>
      <c r="AW168" s="30">
        <v>4</v>
      </c>
      <c r="AX168" s="31">
        <v>-0.53109528993809396</v>
      </c>
      <c r="AY168" s="25">
        <v>6.15533059816517E-2</v>
      </c>
      <c r="AZ168" s="25">
        <v>-0.56976336985360798</v>
      </c>
      <c r="BA168" s="32">
        <v>43840</v>
      </c>
      <c r="BB168" s="31">
        <v>1.2620770549056</v>
      </c>
      <c r="BD168" s="64">
        <v>905715.88199999998</v>
      </c>
      <c r="BE168" s="25">
        <v>0.25470000000030302</v>
      </c>
      <c r="BF168" s="33">
        <v>230685.835145508</v>
      </c>
      <c r="BG168" s="25">
        <v>0.74300000000046595</v>
      </c>
      <c r="BH168" s="72">
        <v>672946.90032617201</v>
      </c>
      <c r="BI168" s="68" t="s">
        <v>772</v>
      </c>
    </row>
    <row r="169" spans="2:61" x14ac:dyDescent="0.25">
      <c r="B169" s="14" t="s">
        <v>168</v>
      </c>
      <c r="C169" s="14" t="s">
        <v>587</v>
      </c>
      <c r="D169" s="1" t="s">
        <v>378</v>
      </c>
      <c r="E169" s="1" t="s">
        <v>587</v>
      </c>
      <c r="F169" s="1" t="s">
        <v>916</v>
      </c>
      <c r="G169" s="87">
        <v>177105751.875</v>
      </c>
      <c r="H169" s="26">
        <v>43999</v>
      </c>
      <c r="I169" s="45">
        <v>625</v>
      </c>
      <c r="J169" s="45">
        <v>1085.65763206407</v>
      </c>
      <c r="K169" s="25">
        <f t="shared" si="28"/>
        <v>0.57568793470528989</v>
      </c>
      <c r="L169" s="26">
        <v>43756</v>
      </c>
      <c r="M169" s="45">
        <v>1459.5029999999999</v>
      </c>
      <c r="N169" s="45">
        <v>112278.27314453101</v>
      </c>
      <c r="O169" s="25">
        <f t="shared" si="29"/>
        <v>1.2998979759167157E-2</v>
      </c>
      <c r="P169" s="27"/>
      <c r="Q169" s="27"/>
      <c r="R169" s="25" t="str">
        <f t="shared" si="30"/>
        <v/>
      </c>
      <c r="T169" s="28">
        <v>0</v>
      </c>
      <c r="U169" s="28">
        <f t="shared" si="31"/>
        <v>-1.41224009094003E-2</v>
      </c>
      <c r="V169" s="28">
        <v>8.69565217399213E-2</v>
      </c>
      <c r="W169" s="28">
        <f t="shared" si="32"/>
        <v>-8.4157778546796042E-3</v>
      </c>
      <c r="X169" s="28">
        <v>-3.6311863687842602E-2</v>
      </c>
      <c r="Y169" s="28">
        <f t="shared" si="33"/>
        <v>0.10844911555617741</v>
      </c>
      <c r="Z169" s="28">
        <v>0.26528463843162198</v>
      </c>
      <c r="AA169" s="28">
        <f t="shared" si="34"/>
        <v>0.16254177434879297</v>
      </c>
      <c r="AB169" s="28">
        <v>0.37704246101377098</v>
      </c>
      <c r="AC169" s="28">
        <f t="shared" si="35"/>
        <v>0.15588147356698798</v>
      </c>
      <c r="AD169" s="28">
        <v>-2.4979387268103899E-2</v>
      </c>
      <c r="AE169" s="28">
        <f t="shared" si="36"/>
        <v>0.14516691528944611</v>
      </c>
      <c r="AF169" s="28">
        <v>-0.312785206907429</v>
      </c>
      <c r="AG169" s="28">
        <f t="shared" si="37"/>
        <v>-0.107877124012739</v>
      </c>
      <c r="AH169" s="28">
        <v>-0.325815039022127</v>
      </c>
      <c r="AI169" s="28">
        <f t="shared" si="38"/>
        <v>-5.6207090502720991E-2</v>
      </c>
      <c r="AJ169" s="28">
        <v>0.14672960397729201</v>
      </c>
      <c r="AK169" s="28">
        <f t="shared" si="39"/>
        <v>0.32057379577425305</v>
      </c>
      <c r="AL169" s="28">
        <v>1.2180456556635899</v>
      </c>
      <c r="AM169" s="28">
        <f t="shared" si="40"/>
        <v>1.2133648582186278</v>
      </c>
      <c r="AN169" s="28">
        <v>1.2104149589140401</v>
      </c>
      <c r="AO169" s="28">
        <f t="shared" si="41"/>
        <v>1.1991328616822978</v>
      </c>
      <c r="AP169" s="29"/>
      <c r="AR169" s="25">
        <v>0.113048638531909</v>
      </c>
      <c r="AS169" s="25">
        <v>-0.103461869265593</v>
      </c>
      <c r="AT169" s="25">
        <v>0.289143182733969</v>
      </c>
      <c r="AU169" s="25">
        <v>-0.28765432098676702</v>
      </c>
      <c r="AV169" s="30">
        <v>3</v>
      </c>
      <c r="AW169" s="30">
        <v>3</v>
      </c>
      <c r="AX169" s="31"/>
      <c r="AY169" s="25"/>
      <c r="AZ169" s="25">
        <v>-0.38512181948230101</v>
      </c>
      <c r="BA169" s="32">
        <v>43819</v>
      </c>
      <c r="BB169" s="31">
        <v>1.4539508070975</v>
      </c>
      <c r="BD169" s="64">
        <v>283369.20299999998</v>
      </c>
      <c r="BE169" s="25">
        <v>0.140899999999965</v>
      </c>
      <c r="BF169" s="33">
        <v>39926.720702697799</v>
      </c>
      <c r="BG169" s="25">
        <v>0.56489999999990703</v>
      </c>
      <c r="BH169" s="72">
        <v>160075.26277465801</v>
      </c>
      <c r="BI169" s="68" t="s">
        <v>773</v>
      </c>
    </row>
    <row r="170" spans="2:61" x14ac:dyDescent="0.25">
      <c r="B170" s="14" t="s">
        <v>169</v>
      </c>
      <c r="C170" s="14" t="s">
        <v>588</v>
      </c>
      <c r="D170" s="1" t="s">
        <v>379</v>
      </c>
      <c r="E170" s="1" t="s">
        <v>588</v>
      </c>
      <c r="F170" s="1" t="s">
        <v>913</v>
      </c>
      <c r="H170" s="26"/>
      <c r="K170" s="25" t="str">
        <f t="shared" si="28"/>
        <v/>
      </c>
      <c r="L170" s="26"/>
      <c r="M170" s="45">
        <v>0</v>
      </c>
      <c r="O170" s="25" t="str">
        <f t="shared" si="29"/>
        <v/>
      </c>
      <c r="P170" s="27">
        <v>0</v>
      </c>
      <c r="Q170" s="27"/>
      <c r="R170" s="25" t="str">
        <f t="shared" si="30"/>
        <v/>
      </c>
      <c r="T170" s="28"/>
      <c r="U170" s="28" t="str">
        <f t="shared" si="31"/>
        <v/>
      </c>
      <c r="V170" s="28"/>
      <c r="W170" s="28" t="str">
        <f t="shared" si="32"/>
        <v/>
      </c>
      <c r="X170" s="28"/>
      <c r="Y170" s="28" t="str">
        <f t="shared" si="33"/>
        <v/>
      </c>
      <c r="Z170" s="28"/>
      <c r="AA170" s="28" t="str">
        <f t="shared" si="34"/>
        <v/>
      </c>
      <c r="AB170" s="28"/>
      <c r="AC170" s="28" t="str">
        <f t="shared" si="35"/>
        <v/>
      </c>
      <c r="AD170" s="28"/>
      <c r="AE170" s="28" t="str">
        <f t="shared" si="36"/>
        <v/>
      </c>
      <c r="AF170" s="28"/>
      <c r="AG170" s="28" t="str">
        <f t="shared" si="37"/>
        <v/>
      </c>
      <c r="AH170" s="28"/>
      <c r="AI170" s="28" t="str">
        <f t="shared" si="38"/>
        <v/>
      </c>
      <c r="AJ170" s="28"/>
      <c r="AK170" s="28" t="str">
        <f t="shared" si="39"/>
        <v/>
      </c>
      <c r="AL170" s="28"/>
      <c r="AM170" s="28" t="str">
        <f t="shared" si="40"/>
        <v/>
      </c>
      <c r="AN170" s="28"/>
      <c r="AO170" s="28" t="str">
        <f t="shared" si="41"/>
        <v/>
      </c>
      <c r="AP170" s="29"/>
      <c r="AR170" s="25"/>
      <c r="AS170" s="25"/>
      <c r="AT170" s="25"/>
      <c r="AU170" s="25"/>
      <c r="AV170" s="30"/>
      <c r="AW170" s="30"/>
      <c r="AX170" s="31"/>
      <c r="AY170" s="25"/>
      <c r="AZ170" s="25"/>
      <c r="BA170" s="32"/>
      <c r="BB170" s="31"/>
      <c r="BI170" s="68" t="s">
        <v>227</v>
      </c>
    </row>
    <row r="171" spans="2:61" x14ac:dyDescent="0.25">
      <c r="B171" s="14" t="s">
        <v>170</v>
      </c>
      <c r="C171" s="14" t="s">
        <v>589</v>
      </c>
      <c r="D171" s="1" t="s">
        <v>380</v>
      </c>
      <c r="E171" s="1" t="s">
        <v>589</v>
      </c>
      <c r="F171" s="1" t="s">
        <v>915</v>
      </c>
      <c r="G171" s="87">
        <v>2659328000</v>
      </c>
      <c r="H171" s="26">
        <v>43999</v>
      </c>
      <c r="I171" s="45">
        <v>1356.8000000007501</v>
      </c>
      <c r="J171" s="45">
        <v>1875.42897798494</v>
      </c>
      <c r="K171" s="25">
        <f t="shared" si="28"/>
        <v>0.72346114725099731</v>
      </c>
      <c r="L171" s="26">
        <v>43731</v>
      </c>
      <c r="M171" s="45">
        <v>2602202.2420000001</v>
      </c>
      <c r="N171" s="45">
        <v>1461918.27788281</v>
      </c>
      <c r="O171" s="25">
        <f t="shared" si="29"/>
        <v>1.7799915914373685</v>
      </c>
      <c r="P171" s="27">
        <v>235</v>
      </c>
      <c r="Q171" s="27">
        <v>144.83132530120201</v>
      </c>
      <c r="R171" s="25">
        <f t="shared" si="30"/>
        <v>1.6225771566425737</v>
      </c>
      <c r="T171" s="28">
        <v>3.2572298327067997E-2</v>
      </c>
      <c r="U171" s="28">
        <f t="shared" si="31"/>
        <v>1.8449897417667699E-2</v>
      </c>
      <c r="V171" s="28">
        <v>0.211428571428696</v>
      </c>
      <c r="W171" s="28">
        <f t="shared" si="32"/>
        <v>0.1160562718340951</v>
      </c>
      <c r="X171" s="28">
        <v>-0.12896763210388601</v>
      </c>
      <c r="Y171" s="28">
        <f t="shared" si="33"/>
        <v>1.5793347140134001E-2</v>
      </c>
      <c r="Z171" s="28">
        <v>0.179826086956309</v>
      </c>
      <c r="AA171" s="28">
        <f t="shared" si="34"/>
        <v>7.7083222873480003E-2</v>
      </c>
      <c r="AB171" s="28">
        <v>0.47803890298586299</v>
      </c>
      <c r="AC171" s="28">
        <f t="shared" si="35"/>
        <v>0.25687791553908002</v>
      </c>
      <c r="AD171" s="28">
        <v>-0.149921966742986</v>
      </c>
      <c r="AE171" s="28">
        <f t="shared" si="36"/>
        <v>2.022433581456401E-2</v>
      </c>
      <c r="AF171" s="28">
        <v>-0.140245071443205</v>
      </c>
      <c r="AG171" s="28">
        <f t="shared" si="37"/>
        <v>6.4663011451485009E-2</v>
      </c>
      <c r="AH171" s="28"/>
      <c r="AI171" s="28" t="str">
        <f t="shared" si="38"/>
        <v/>
      </c>
      <c r="AJ171" s="28"/>
      <c r="AK171" s="28" t="str">
        <f t="shared" si="39"/>
        <v/>
      </c>
      <c r="AL171" s="28"/>
      <c r="AM171" s="28" t="str">
        <f t="shared" si="40"/>
        <v/>
      </c>
      <c r="AN171" s="28"/>
      <c r="AO171" s="28" t="str">
        <f t="shared" si="41"/>
        <v/>
      </c>
      <c r="AP171" s="29">
        <v>50.220272726786803</v>
      </c>
      <c r="AR171" s="25">
        <v>0.13000000000101899</v>
      </c>
      <c r="AS171" s="25">
        <v>-0.193811074918776</v>
      </c>
      <c r="AT171" s="25">
        <v>0.211428571428696</v>
      </c>
      <c r="AU171" s="25">
        <v>-0.215770918770577</v>
      </c>
      <c r="AV171" s="30">
        <v>2</v>
      </c>
      <c r="AW171" s="30">
        <v>4</v>
      </c>
      <c r="AX171" s="31">
        <v>-0.37947307393596902</v>
      </c>
      <c r="AY171" s="25">
        <v>6.1824941052618702E-2</v>
      </c>
      <c r="AZ171" s="25">
        <v>-0.49537426408787699</v>
      </c>
      <c r="BA171" s="32">
        <v>43840</v>
      </c>
      <c r="BB171" s="31">
        <v>1.18657911152332</v>
      </c>
      <c r="BD171" s="64">
        <v>1960000</v>
      </c>
      <c r="BE171" s="25">
        <v>0.59280000000027899</v>
      </c>
      <c r="BF171" s="33">
        <v>1161888</v>
      </c>
      <c r="BG171" s="25">
        <v>1</v>
      </c>
      <c r="BH171" s="72">
        <v>1960000</v>
      </c>
      <c r="BI171" s="68" t="s">
        <v>774</v>
      </c>
    </row>
    <row r="172" spans="2:61" x14ac:dyDescent="0.25">
      <c r="B172" s="14" t="s">
        <v>171</v>
      </c>
      <c r="C172" s="14" t="s">
        <v>590</v>
      </c>
      <c r="D172" s="1" t="s">
        <v>381</v>
      </c>
      <c r="E172" s="1" t="s">
        <v>590</v>
      </c>
      <c r="F172" s="1" t="s">
        <v>906</v>
      </c>
      <c r="G172" s="87">
        <v>52425882.972437501</v>
      </c>
      <c r="H172" s="26">
        <v>43987</v>
      </c>
      <c r="J172" s="45">
        <v>491.385731712915</v>
      </c>
      <c r="K172" s="25">
        <f t="shared" si="28"/>
        <v>0</v>
      </c>
      <c r="L172" s="26">
        <v>43643</v>
      </c>
      <c r="M172" s="45">
        <v>0</v>
      </c>
      <c r="N172" s="45">
        <v>667.34770281124099</v>
      </c>
      <c r="O172" s="25">
        <f t="shared" si="29"/>
        <v>0</v>
      </c>
      <c r="P172" s="27">
        <v>0</v>
      </c>
      <c r="Q172" s="27">
        <v>0.20080321285149699</v>
      </c>
      <c r="R172" s="25">
        <f t="shared" si="30"/>
        <v>0</v>
      </c>
      <c r="T172" s="28"/>
      <c r="U172" s="28" t="str">
        <f t="shared" si="31"/>
        <v/>
      </c>
      <c r="V172" s="28"/>
      <c r="W172" s="28" t="str">
        <f t="shared" si="32"/>
        <v/>
      </c>
      <c r="X172" s="28"/>
      <c r="Y172" s="28" t="str">
        <f t="shared" si="33"/>
        <v/>
      </c>
      <c r="Z172" s="28"/>
      <c r="AA172" s="28" t="str">
        <f t="shared" si="34"/>
        <v/>
      </c>
      <c r="AB172" s="28"/>
      <c r="AC172" s="28" t="str">
        <f t="shared" si="35"/>
        <v/>
      </c>
      <c r="AD172" s="28"/>
      <c r="AE172" s="28" t="str">
        <f t="shared" si="36"/>
        <v/>
      </c>
      <c r="AF172" s="28"/>
      <c r="AG172" s="28" t="str">
        <f t="shared" si="37"/>
        <v/>
      </c>
      <c r="AH172" s="28"/>
      <c r="AI172" s="28" t="str">
        <f t="shared" si="38"/>
        <v/>
      </c>
      <c r="AJ172" s="28"/>
      <c r="AK172" s="28" t="str">
        <f t="shared" si="39"/>
        <v/>
      </c>
      <c r="AL172" s="28"/>
      <c r="AM172" s="28" t="str">
        <f t="shared" si="40"/>
        <v/>
      </c>
      <c r="AN172" s="28"/>
      <c r="AO172" s="28" t="str">
        <f t="shared" si="41"/>
        <v/>
      </c>
      <c r="AP172" s="29"/>
      <c r="AR172" s="25">
        <v>0</v>
      </c>
      <c r="AS172" s="25">
        <v>0</v>
      </c>
      <c r="AT172" s="25">
        <v>3.0087658364209301E-2</v>
      </c>
      <c r="AU172" s="25">
        <v>-2.1598272142000501E-3</v>
      </c>
      <c r="AV172" s="30">
        <v>2</v>
      </c>
      <c r="AW172" s="30">
        <v>1</v>
      </c>
      <c r="AX172" s="31"/>
      <c r="AY172" s="25"/>
      <c r="AZ172" s="25">
        <v>-2.1598272138226098E-3</v>
      </c>
      <c r="BA172" s="32">
        <v>43950</v>
      </c>
      <c r="BB172" s="31">
        <v>7.40316739228319E-2</v>
      </c>
      <c r="BD172" s="64">
        <v>113238.186</v>
      </c>
      <c r="BE172" s="25">
        <v>0.91930000000051204</v>
      </c>
      <c r="BF172" s="33">
        <v>104099.864389771</v>
      </c>
      <c r="BI172" s="68" t="s">
        <v>664</v>
      </c>
    </row>
    <row r="173" spans="2:61" x14ac:dyDescent="0.25">
      <c r="B173" s="14" t="s">
        <v>172</v>
      </c>
      <c r="C173" s="14" t="s">
        <v>591</v>
      </c>
      <c r="D173" s="1" t="s">
        <v>382</v>
      </c>
      <c r="E173" s="1" t="s">
        <v>591</v>
      </c>
      <c r="F173" s="1" t="s">
        <v>906</v>
      </c>
      <c r="G173" s="87">
        <v>174240019.88999999</v>
      </c>
      <c r="H173" s="26">
        <v>43987</v>
      </c>
      <c r="J173" s="45">
        <v>90</v>
      </c>
      <c r="K173" s="25">
        <f t="shared" si="28"/>
        <v>0</v>
      </c>
      <c r="L173" s="26">
        <v>43987</v>
      </c>
      <c r="M173" s="45">
        <v>0</v>
      </c>
      <c r="N173" s="45">
        <v>28.475682730913199</v>
      </c>
      <c r="O173" s="25">
        <f t="shared" si="29"/>
        <v>0</v>
      </c>
      <c r="P173" s="27">
        <v>0</v>
      </c>
      <c r="Q173" s="27">
        <v>4.0160642570299401E-2</v>
      </c>
      <c r="R173" s="25">
        <f t="shared" si="30"/>
        <v>0</v>
      </c>
      <c r="T173" s="28"/>
      <c r="U173" s="28" t="str">
        <f t="shared" si="31"/>
        <v/>
      </c>
      <c r="V173" s="28"/>
      <c r="W173" s="28" t="str">
        <f t="shared" si="32"/>
        <v/>
      </c>
      <c r="X173" s="28"/>
      <c r="Y173" s="28" t="str">
        <f t="shared" si="33"/>
        <v/>
      </c>
      <c r="Z173" s="28"/>
      <c r="AA173" s="28" t="str">
        <f t="shared" si="34"/>
        <v/>
      </c>
      <c r="AB173" s="28"/>
      <c r="AC173" s="28" t="str">
        <f t="shared" si="35"/>
        <v/>
      </c>
      <c r="AD173" s="28"/>
      <c r="AE173" s="28" t="str">
        <f t="shared" si="36"/>
        <v/>
      </c>
      <c r="AF173" s="28"/>
      <c r="AG173" s="28" t="str">
        <f t="shared" si="37"/>
        <v/>
      </c>
      <c r="AH173" s="28"/>
      <c r="AI173" s="28" t="str">
        <f t="shared" si="38"/>
        <v/>
      </c>
      <c r="AJ173" s="28"/>
      <c r="AK173" s="28" t="str">
        <f t="shared" si="39"/>
        <v/>
      </c>
      <c r="AL173" s="28"/>
      <c r="AM173" s="28" t="str">
        <f t="shared" si="40"/>
        <v/>
      </c>
      <c r="AN173" s="28"/>
      <c r="AO173" s="28" t="str">
        <f t="shared" si="41"/>
        <v/>
      </c>
      <c r="AP173" s="29"/>
      <c r="AR173" s="25"/>
      <c r="AS173" s="25"/>
      <c r="AT173" s="25"/>
      <c r="AU173" s="25"/>
      <c r="AV173" s="30"/>
      <c r="AW173" s="30"/>
      <c r="AX173" s="31"/>
      <c r="AY173" s="25"/>
      <c r="AZ173" s="25">
        <v>0</v>
      </c>
      <c r="BA173" s="32">
        <v>43987</v>
      </c>
      <c r="BB173" s="31"/>
      <c r="BD173" s="64">
        <v>1815079.5049999999</v>
      </c>
      <c r="BE173" s="25">
        <v>0.98890000000014</v>
      </c>
      <c r="BF173" s="33">
        <v>1914510.6185468701</v>
      </c>
      <c r="BI173" s="68" t="s">
        <v>374</v>
      </c>
    </row>
    <row r="174" spans="2:61" x14ac:dyDescent="0.25">
      <c r="B174" s="14" t="s">
        <v>173</v>
      </c>
      <c r="C174" s="14" t="s">
        <v>592</v>
      </c>
      <c r="D174" s="1" t="s">
        <v>382</v>
      </c>
      <c r="E174" s="1" t="s">
        <v>592</v>
      </c>
      <c r="F174" s="1" t="s">
        <v>906</v>
      </c>
      <c r="G174" s="87">
        <v>174240019.88999999</v>
      </c>
      <c r="H174" s="26">
        <v>43579</v>
      </c>
      <c r="K174" s="25" t="str">
        <f t="shared" si="28"/>
        <v/>
      </c>
      <c r="L174" s="26"/>
      <c r="M174" s="45">
        <v>0</v>
      </c>
      <c r="N174" s="45">
        <v>0</v>
      </c>
      <c r="O174" s="25" t="str">
        <f t="shared" si="29"/>
        <v/>
      </c>
      <c r="P174" s="27">
        <v>0</v>
      </c>
      <c r="Q174" s="27">
        <v>0</v>
      </c>
      <c r="R174" s="25" t="str">
        <f t="shared" si="30"/>
        <v/>
      </c>
      <c r="T174" s="28"/>
      <c r="U174" s="28" t="str">
        <f t="shared" si="31"/>
        <v/>
      </c>
      <c r="V174" s="28"/>
      <c r="W174" s="28" t="str">
        <f t="shared" si="32"/>
        <v/>
      </c>
      <c r="X174" s="28"/>
      <c r="Y174" s="28" t="str">
        <f t="shared" si="33"/>
        <v/>
      </c>
      <c r="Z174" s="28"/>
      <c r="AA174" s="28" t="str">
        <f t="shared" si="34"/>
        <v/>
      </c>
      <c r="AB174" s="28"/>
      <c r="AC174" s="28" t="str">
        <f t="shared" si="35"/>
        <v/>
      </c>
      <c r="AD174" s="28"/>
      <c r="AE174" s="28" t="str">
        <f t="shared" si="36"/>
        <v/>
      </c>
      <c r="AF174" s="28"/>
      <c r="AG174" s="28" t="str">
        <f t="shared" si="37"/>
        <v/>
      </c>
      <c r="AH174" s="28"/>
      <c r="AI174" s="28" t="str">
        <f t="shared" si="38"/>
        <v/>
      </c>
      <c r="AJ174" s="28"/>
      <c r="AK174" s="28" t="str">
        <f t="shared" si="39"/>
        <v/>
      </c>
      <c r="AL174" s="28"/>
      <c r="AM174" s="28" t="str">
        <f t="shared" si="40"/>
        <v/>
      </c>
      <c r="AN174" s="28"/>
      <c r="AO174" s="28" t="str">
        <f t="shared" si="41"/>
        <v/>
      </c>
      <c r="AP174" s="29"/>
      <c r="AR174" s="25"/>
      <c r="AS174" s="25"/>
      <c r="AT174" s="25"/>
      <c r="AU174" s="25"/>
      <c r="AV174" s="30"/>
      <c r="AW174" s="30"/>
      <c r="AX174" s="31"/>
      <c r="AY174" s="25"/>
      <c r="AZ174" s="25"/>
      <c r="BA174" s="32"/>
      <c r="BB174" s="31"/>
      <c r="BD174" s="64">
        <v>120920.716</v>
      </c>
      <c r="BE174" s="25">
        <v>0.98890000000014</v>
      </c>
      <c r="BF174" s="33">
        <v>1914510.6185468701</v>
      </c>
      <c r="BI174" s="68" t="s">
        <v>374</v>
      </c>
    </row>
    <row r="175" spans="2:61" x14ac:dyDescent="0.25">
      <c r="B175" s="14" t="s">
        <v>174</v>
      </c>
      <c r="C175" s="14" t="s">
        <v>593</v>
      </c>
      <c r="D175" s="1" t="s">
        <v>383</v>
      </c>
      <c r="E175" s="1" t="s">
        <v>593</v>
      </c>
      <c r="F175" s="1" t="s">
        <v>910</v>
      </c>
      <c r="H175" s="26">
        <v>43613</v>
      </c>
      <c r="K175" s="25" t="str">
        <f t="shared" si="28"/>
        <v/>
      </c>
      <c r="L175" s="26"/>
      <c r="M175" s="45">
        <v>0</v>
      </c>
      <c r="N175" s="45">
        <v>0</v>
      </c>
      <c r="O175" s="25" t="str">
        <f t="shared" si="29"/>
        <v/>
      </c>
      <c r="P175" s="27">
        <v>0</v>
      </c>
      <c r="Q175" s="27">
        <v>0</v>
      </c>
      <c r="R175" s="25" t="str">
        <f t="shared" si="30"/>
        <v/>
      </c>
      <c r="T175" s="28"/>
      <c r="U175" s="28" t="str">
        <f t="shared" si="31"/>
        <v/>
      </c>
      <c r="V175" s="28"/>
      <c r="W175" s="28" t="str">
        <f t="shared" si="32"/>
        <v/>
      </c>
      <c r="X175" s="28"/>
      <c r="Y175" s="28" t="str">
        <f t="shared" si="33"/>
        <v/>
      </c>
      <c r="Z175" s="28"/>
      <c r="AA175" s="28" t="str">
        <f t="shared" si="34"/>
        <v/>
      </c>
      <c r="AB175" s="28"/>
      <c r="AC175" s="28" t="str">
        <f t="shared" si="35"/>
        <v/>
      </c>
      <c r="AD175" s="28"/>
      <c r="AE175" s="28" t="str">
        <f t="shared" si="36"/>
        <v/>
      </c>
      <c r="AF175" s="28"/>
      <c r="AG175" s="28" t="str">
        <f t="shared" si="37"/>
        <v/>
      </c>
      <c r="AH175" s="28"/>
      <c r="AI175" s="28" t="str">
        <f t="shared" si="38"/>
        <v/>
      </c>
      <c r="AJ175" s="28"/>
      <c r="AK175" s="28" t="str">
        <f t="shared" si="39"/>
        <v/>
      </c>
      <c r="AL175" s="28"/>
      <c r="AM175" s="28" t="str">
        <f t="shared" si="40"/>
        <v/>
      </c>
      <c r="AN175" s="28"/>
      <c r="AO175" s="28" t="str">
        <f t="shared" si="41"/>
        <v/>
      </c>
      <c r="AP175" s="29"/>
      <c r="AR175" s="25"/>
      <c r="AS175" s="25"/>
      <c r="AT175" s="25"/>
      <c r="AU175" s="25"/>
      <c r="AV175" s="30"/>
      <c r="AW175" s="30"/>
      <c r="AX175" s="31"/>
      <c r="AY175" s="25"/>
      <c r="AZ175" s="25"/>
      <c r="BA175" s="32"/>
      <c r="BB175" s="31"/>
      <c r="BD175" s="64">
        <v>24.753599999994002</v>
      </c>
      <c r="BE175" s="25">
        <v>0.164896774619119</v>
      </c>
      <c r="BF175" s="33">
        <v>5</v>
      </c>
      <c r="BI175" s="68" t="s">
        <v>775</v>
      </c>
    </row>
    <row r="176" spans="2:61" x14ac:dyDescent="0.25">
      <c r="B176" s="14" t="s">
        <v>175</v>
      </c>
      <c r="C176" s="14" t="s">
        <v>594</v>
      </c>
      <c r="D176" s="1" t="s">
        <v>383</v>
      </c>
      <c r="E176" s="1" t="s">
        <v>594</v>
      </c>
      <c r="F176" s="1" t="s">
        <v>910</v>
      </c>
      <c r="H176" s="26">
        <v>43004</v>
      </c>
      <c r="K176" s="25" t="str">
        <f t="shared" si="28"/>
        <v/>
      </c>
      <c r="L176" s="26"/>
      <c r="M176" s="45">
        <v>0</v>
      </c>
      <c r="N176" s="45">
        <v>0</v>
      </c>
      <c r="O176" s="25" t="str">
        <f t="shared" si="29"/>
        <v/>
      </c>
      <c r="P176" s="27">
        <v>0</v>
      </c>
      <c r="Q176" s="27">
        <v>0</v>
      </c>
      <c r="R176" s="25" t="str">
        <f t="shared" si="30"/>
        <v/>
      </c>
      <c r="T176" s="28"/>
      <c r="U176" s="28" t="str">
        <f t="shared" si="31"/>
        <v/>
      </c>
      <c r="V176" s="28"/>
      <c r="W176" s="28" t="str">
        <f t="shared" si="32"/>
        <v/>
      </c>
      <c r="X176" s="28"/>
      <c r="Y176" s="28" t="str">
        <f t="shared" si="33"/>
        <v/>
      </c>
      <c r="Z176" s="28"/>
      <c r="AA176" s="28" t="str">
        <f t="shared" si="34"/>
        <v/>
      </c>
      <c r="AB176" s="28"/>
      <c r="AC176" s="28" t="str">
        <f t="shared" si="35"/>
        <v/>
      </c>
      <c r="AD176" s="28"/>
      <c r="AE176" s="28" t="str">
        <f t="shared" si="36"/>
        <v/>
      </c>
      <c r="AF176" s="28"/>
      <c r="AG176" s="28" t="str">
        <f t="shared" si="37"/>
        <v/>
      </c>
      <c r="AH176" s="28"/>
      <c r="AI176" s="28" t="str">
        <f t="shared" si="38"/>
        <v/>
      </c>
      <c r="AJ176" s="28"/>
      <c r="AK176" s="28" t="str">
        <f t="shared" si="39"/>
        <v/>
      </c>
      <c r="AL176" s="28"/>
      <c r="AM176" s="28" t="str">
        <f t="shared" si="40"/>
        <v/>
      </c>
      <c r="AN176" s="28"/>
      <c r="AO176" s="28" t="str">
        <f t="shared" si="41"/>
        <v/>
      </c>
      <c r="AP176" s="29"/>
      <c r="AR176" s="25"/>
      <c r="AS176" s="25"/>
      <c r="AT176" s="25"/>
      <c r="AU176" s="25"/>
      <c r="AV176" s="30"/>
      <c r="AW176" s="30"/>
      <c r="AX176" s="31"/>
      <c r="AY176" s="25"/>
      <c r="AZ176" s="25"/>
      <c r="BA176" s="32"/>
      <c r="BB176" s="31"/>
      <c r="BD176" s="64">
        <v>7.2</v>
      </c>
      <c r="BE176" s="25">
        <v>0.164896774619119</v>
      </c>
      <c r="BF176" s="33">
        <v>5</v>
      </c>
      <c r="BI176" s="68" t="s">
        <v>775</v>
      </c>
    </row>
    <row r="177" spans="2:61" x14ac:dyDescent="0.25">
      <c r="B177" s="14" t="s">
        <v>176</v>
      </c>
      <c r="C177" s="14" t="s">
        <v>595</v>
      </c>
      <c r="D177" s="1" t="s">
        <v>383</v>
      </c>
      <c r="E177" s="1" t="s">
        <v>595</v>
      </c>
      <c r="F177" s="1" t="s">
        <v>910</v>
      </c>
      <c r="H177" s="26">
        <v>40969</v>
      </c>
      <c r="K177" s="25" t="str">
        <f t="shared" si="28"/>
        <v/>
      </c>
      <c r="L177" s="26"/>
      <c r="M177" s="45">
        <v>0</v>
      </c>
      <c r="N177" s="45">
        <v>0</v>
      </c>
      <c r="O177" s="25" t="str">
        <f t="shared" si="29"/>
        <v/>
      </c>
      <c r="P177" s="27">
        <v>0</v>
      </c>
      <c r="Q177" s="27">
        <v>0</v>
      </c>
      <c r="R177" s="25" t="str">
        <f t="shared" si="30"/>
        <v/>
      </c>
      <c r="T177" s="28"/>
      <c r="U177" s="28" t="str">
        <f t="shared" si="31"/>
        <v/>
      </c>
      <c r="V177" s="28"/>
      <c r="W177" s="28" t="str">
        <f t="shared" si="32"/>
        <v/>
      </c>
      <c r="X177" s="28"/>
      <c r="Y177" s="28" t="str">
        <f t="shared" si="33"/>
        <v/>
      </c>
      <c r="Z177" s="28"/>
      <c r="AA177" s="28" t="str">
        <f t="shared" si="34"/>
        <v/>
      </c>
      <c r="AB177" s="28"/>
      <c r="AC177" s="28" t="str">
        <f t="shared" si="35"/>
        <v/>
      </c>
      <c r="AD177" s="28"/>
      <c r="AE177" s="28" t="str">
        <f t="shared" si="36"/>
        <v/>
      </c>
      <c r="AF177" s="28"/>
      <c r="AG177" s="28" t="str">
        <f t="shared" si="37"/>
        <v/>
      </c>
      <c r="AH177" s="28"/>
      <c r="AI177" s="28" t="str">
        <f t="shared" si="38"/>
        <v/>
      </c>
      <c r="AJ177" s="28"/>
      <c r="AK177" s="28" t="str">
        <f t="shared" si="39"/>
        <v/>
      </c>
      <c r="AL177" s="28"/>
      <c r="AM177" s="28" t="str">
        <f t="shared" si="40"/>
        <v/>
      </c>
      <c r="AN177" s="28"/>
      <c r="AO177" s="28" t="str">
        <f t="shared" si="41"/>
        <v/>
      </c>
      <c r="AP177" s="29"/>
      <c r="AR177" s="25"/>
      <c r="AS177" s="25"/>
      <c r="AT177" s="25"/>
      <c r="AU177" s="25"/>
      <c r="AV177" s="30"/>
      <c r="AW177" s="30"/>
      <c r="AX177" s="31"/>
      <c r="AY177" s="25"/>
      <c r="AZ177" s="25"/>
      <c r="BA177" s="32"/>
      <c r="BB177" s="31"/>
      <c r="BD177" s="64">
        <v>1.522</v>
      </c>
      <c r="BE177" s="25">
        <v>0.164896774619119</v>
      </c>
      <c r="BF177" s="33">
        <v>5</v>
      </c>
      <c r="BI177" s="68" t="s">
        <v>775</v>
      </c>
    </row>
    <row r="178" spans="2:61" x14ac:dyDescent="0.25">
      <c r="B178" s="14" t="s">
        <v>177</v>
      </c>
      <c r="C178" s="14" t="s">
        <v>596</v>
      </c>
      <c r="D178" s="1" t="s">
        <v>384</v>
      </c>
      <c r="E178" s="1" t="s">
        <v>596</v>
      </c>
      <c r="F178" s="1" t="s">
        <v>908</v>
      </c>
      <c r="G178" s="87">
        <v>206895331.62</v>
      </c>
      <c r="H178" s="26">
        <v>43992</v>
      </c>
      <c r="J178" s="45">
        <v>187.56968602980501</v>
      </c>
      <c r="K178" s="25">
        <f t="shared" si="28"/>
        <v>0</v>
      </c>
      <c r="L178" s="26">
        <v>43777</v>
      </c>
      <c r="M178" s="45">
        <v>0</v>
      </c>
      <c r="N178" s="45">
        <v>8637.96779518127</v>
      </c>
      <c r="O178" s="25">
        <f t="shared" si="29"/>
        <v>0</v>
      </c>
      <c r="P178" s="27">
        <v>0</v>
      </c>
      <c r="Q178" s="27">
        <v>0.31726907630536499</v>
      </c>
      <c r="R178" s="25">
        <f t="shared" si="30"/>
        <v>0</v>
      </c>
      <c r="T178" s="28"/>
      <c r="U178" s="28" t="str">
        <f t="shared" si="31"/>
        <v/>
      </c>
      <c r="V178" s="28"/>
      <c r="W178" s="28" t="str">
        <f t="shared" si="32"/>
        <v/>
      </c>
      <c r="X178" s="28"/>
      <c r="Y178" s="28" t="str">
        <f t="shared" si="33"/>
        <v/>
      </c>
      <c r="Z178" s="28"/>
      <c r="AA178" s="28" t="str">
        <f t="shared" si="34"/>
        <v/>
      </c>
      <c r="AB178" s="28"/>
      <c r="AC178" s="28" t="str">
        <f t="shared" si="35"/>
        <v/>
      </c>
      <c r="AD178" s="28"/>
      <c r="AE178" s="28" t="str">
        <f t="shared" si="36"/>
        <v/>
      </c>
      <c r="AF178" s="28"/>
      <c r="AG178" s="28" t="str">
        <f t="shared" si="37"/>
        <v/>
      </c>
      <c r="AH178" s="28"/>
      <c r="AI178" s="28" t="str">
        <f t="shared" si="38"/>
        <v/>
      </c>
      <c r="AJ178" s="28"/>
      <c r="AK178" s="28" t="str">
        <f t="shared" si="39"/>
        <v/>
      </c>
      <c r="AL178" s="28"/>
      <c r="AM178" s="28" t="str">
        <f t="shared" si="40"/>
        <v/>
      </c>
      <c r="AN178" s="28"/>
      <c r="AO178" s="28" t="str">
        <f t="shared" si="41"/>
        <v/>
      </c>
      <c r="AP178" s="29"/>
      <c r="AR178" s="25">
        <v>0</v>
      </c>
      <c r="AS178" s="25">
        <v>0</v>
      </c>
      <c r="AT178" s="25">
        <v>3.4181129369244397E-2</v>
      </c>
      <c r="AU178" s="25">
        <v>-2.8914252268805299E-2</v>
      </c>
      <c r="AV178" s="30">
        <v>3</v>
      </c>
      <c r="AW178" s="30">
        <v>3</v>
      </c>
      <c r="AX178" s="31"/>
      <c r="AY178" s="25"/>
      <c r="AZ178" s="25">
        <v>-8.0066537289822007E-2</v>
      </c>
      <c r="BA178" s="32">
        <v>43817</v>
      </c>
      <c r="BB178" s="31">
        <v>0.149353041992526</v>
      </c>
      <c r="BD178" s="64">
        <v>1202879.835</v>
      </c>
      <c r="BE178" s="25">
        <v>0.43030000000027901</v>
      </c>
      <c r="BF178" s="33">
        <v>517599.19300048798</v>
      </c>
      <c r="BI178" s="68" t="s">
        <v>776</v>
      </c>
    </row>
    <row r="179" spans="2:61" x14ac:dyDescent="0.25">
      <c r="B179" s="14" t="s">
        <v>178</v>
      </c>
      <c r="C179" s="14" t="s">
        <v>597</v>
      </c>
      <c r="D179" s="1" t="s">
        <v>385</v>
      </c>
      <c r="E179" s="1" t="s">
        <v>597</v>
      </c>
      <c r="F179" s="1" t="s">
        <v>908</v>
      </c>
      <c r="H179" s="26">
        <v>43881</v>
      </c>
      <c r="J179" s="45">
        <v>1457.8000000007501</v>
      </c>
      <c r="K179" s="25">
        <f t="shared" si="28"/>
        <v>0</v>
      </c>
      <c r="L179" s="26">
        <v>43675</v>
      </c>
      <c r="M179" s="45">
        <v>0</v>
      </c>
      <c r="N179" s="45">
        <v>6831.7168955841098</v>
      </c>
      <c r="O179" s="25">
        <f t="shared" si="29"/>
        <v>0</v>
      </c>
      <c r="P179" s="27">
        <v>0</v>
      </c>
      <c r="Q179" s="27">
        <v>1.3935742971880201</v>
      </c>
      <c r="R179" s="25">
        <f t="shared" si="30"/>
        <v>0</v>
      </c>
      <c r="T179" s="28"/>
      <c r="U179" s="28" t="str">
        <f t="shared" si="31"/>
        <v/>
      </c>
      <c r="V179" s="28"/>
      <c r="W179" s="28" t="str">
        <f t="shared" si="32"/>
        <v/>
      </c>
      <c r="X179" s="28"/>
      <c r="Y179" s="28" t="str">
        <f t="shared" si="33"/>
        <v/>
      </c>
      <c r="Z179" s="28"/>
      <c r="AA179" s="28" t="str">
        <f t="shared" si="34"/>
        <v/>
      </c>
      <c r="AB179" s="28"/>
      <c r="AC179" s="28" t="str">
        <f t="shared" si="35"/>
        <v/>
      </c>
      <c r="AD179" s="28"/>
      <c r="AE179" s="28" t="str">
        <f t="shared" si="36"/>
        <v/>
      </c>
      <c r="AF179" s="28"/>
      <c r="AG179" s="28" t="str">
        <f t="shared" si="37"/>
        <v/>
      </c>
      <c r="AH179" s="28"/>
      <c r="AI179" s="28" t="str">
        <f t="shared" si="38"/>
        <v/>
      </c>
      <c r="AJ179" s="28"/>
      <c r="AK179" s="28" t="str">
        <f t="shared" si="39"/>
        <v/>
      </c>
      <c r="AL179" s="28"/>
      <c r="AM179" s="28" t="str">
        <f t="shared" si="40"/>
        <v/>
      </c>
      <c r="AN179" s="28"/>
      <c r="AO179" s="28" t="str">
        <f t="shared" si="41"/>
        <v/>
      </c>
      <c r="AP179" s="29"/>
      <c r="AR179" s="25"/>
      <c r="AS179" s="25"/>
      <c r="AT179" s="25"/>
      <c r="AU179" s="25"/>
      <c r="AV179" s="30"/>
      <c r="AW179" s="30"/>
      <c r="AX179" s="31"/>
      <c r="AY179" s="25"/>
      <c r="AZ179" s="25">
        <v>0</v>
      </c>
      <c r="BA179" s="32">
        <v>43881</v>
      </c>
      <c r="BB179" s="31"/>
      <c r="BD179" s="64">
        <v>230000</v>
      </c>
      <c r="BE179" s="25">
        <v>0.99790000000037304</v>
      </c>
      <c r="BF179" s="33">
        <v>229517</v>
      </c>
      <c r="BI179" s="68" t="s">
        <v>777</v>
      </c>
    </row>
    <row r="180" spans="2:61" x14ac:dyDescent="0.25">
      <c r="B180" s="14" t="s">
        <v>179</v>
      </c>
      <c r="C180" s="14" t="s">
        <v>598</v>
      </c>
      <c r="D180" s="1" t="s">
        <v>386</v>
      </c>
      <c r="E180" s="1" t="s">
        <v>598</v>
      </c>
      <c r="F180" s="1" t="s">
        <v>906</v>
      </c>
      <c r="H180" s="26">
        <v>43858</v>
      </c>
      <c r="J180" s="45">
        <v>780</v>
      </c>
      <c r="K180" s="25">
        <f t="shared" si="28"/>
        <v>0</v>
      </c>
      <c r="L180" s="26">
        <v>43858</v>
      </c>
      <c r="M180" s="45">
        <v>0</v>
      </c>
      <c r="N180" s="45">
        <v>30.664096385538599</v>
      </c>
      <c r="O180" s="25">
        <f t="shared" si="29"/>
        <v>0</v>
      </c>
      <c r="P180" s="27">
        <v>0</v>
      </c>
      <c r="Q180" s="27">
        <v>2.8112449799209599E-2</v>
      </c>
      <c r="R180" s="25">
        <f t="shared" si="30"/>
        <v>0</v>
      </c>
      <c r="T180" s="28"/>
      <c r="U180" s="28" t="str">
        <f t="shared" si="31"/>
        <v/>
      </c>
      <c r="V180" s="28"/>
      <c r="W180" s="28" t="str">
        <f t="shared" si="32"/>
        <v/>
      </c>
      <c r="X180" s="28"/>
      <c r="Y180" s="28" t="str">
        <f t="shared" si="33"/>
        <v/>
      </c>
      <c r="Z180" s="28"/>
      <c r="AA180" s="28" t="str">
        <f t="shared" si="34"/>
        <v/>
      </c>
      <c r="AB180" s="28"/>
      <c r="AC180" s="28" t="str">
        <f t="shared" si="35"/>
        <v/>
      </c>
      <c r="AD180" s="28"/>
      <c r="AE180" s="28" t="str">
        <f t="shared" si="36"/>
        <v/>
      </c>
      <c r="AF180" s="28"/>
      <c r="AG180" s="28" t="str">
        <f t="shared" si="37"/>
        <v/>
      </c>
      <c r="AH180" s="28"/>
      <c r="AI180" s="28" t="str">
        <f t="shared" si="38"/>
        <v/>
      </c>
      <c r="AJ180" s="28"/>
      <c r="AK180" s="28" t="str">
        <f t="shared" si="39"/>
        <v/>
      </c>
      <c r="AL180" s="28"/>
      <c r="AM180" s="28" t="str">
        <f t="shared" si="40"/>
        <v/>
      </c>
      <c r="AN180" s="28"/>
      <c r="AO180" s="28" t="str">
        <f t="shared" si="41"/>
        <v/>
      </c>
      <c r="AP180" s="29"/>
      <c r="AR180" s="25"/>
      <c r="AS180" s="25"/>
      <c r="AT180" s="25"/>
      <c r="AU180" s="25"/>
      <c r="AV180" s="30"/>
      <c r="AW180" s="30"/>
      <c r="AX180" s="31"/>
      <c r="AY180" s="25"/>
      <c r="AZ180" s="25">
        <v>0</v>
      </c>
      <c r="BA180" s="32">
        <v>43858</v>
      </c>
      <c r="BB180" s="31"/>
      <c r="BD180" s="64">
        <v>122019.272</v>
      </c>
      <c r="BE180" s="25">
        <v>0.845799999999581</v>
      </c>
      <c r="BF180" s="33">
        <v>103203.90025756801</v>
      </c>
      <c r="BI180" s="68" t="s">
        <v>706</v>
      </c>
    </row>
    <row r="181" spans="2:61" x14ac:dyDescent="0.25">
      <c r="B181" s="14" t="s">
        <v>180</v>
      </c>
      <c r="C181" s="14" t="s">
        <v>599</v>
      </c>
      <c r="D181" s="1" t="s">
        <v>387</v>
      </c>
      <c r="E181" s="1" t="s">
        <v>599</v>
      </c>
      <c r="F181" s="1" t="s">
        <v>916</v>
      </c>
      <c r="H181" s="26">
        <v>43812</v>
      </c>
      <c r="J181" s="45">
        <v>573</v>
      </c>
      <c r="K181" s="25">
        <f t="shared" si="28"/>
        <v>0</v>
      </c>
      <c r="L181" s="26">
        <v>43812</v>
      </c>
      <c r="M181" s="45">
        <v>0</v>
      </c>
      <c r="N181" s="45">
        <v>10.1185140562207</v>
      </c>
      <c r="O181" s="25">
        <f t="shared" si="29"/>
        <v>0</v>
      </c>
      <c r="P181" s="27">
        <v>0</v>
      </c>
      <c r="Q181" s="27">
        <v>2.0080321285149701E-2</v>
      </c>
      <c r="R181" s="25">
        <f t="shared" si="30"/>
        <v>0</v>
      </c>
      <c r="T181" s="28"/>
      <c r="U181" s="28" t="str">
        <f t="shared" si="31"/>
        <v/>
      </c>
      <c r="V181" s="28"/>
      <c r="W181" s="28" t="str">
        <f t="shared" si="32"/>
        <v/>
      </c>
      <c r="X181" s="28"/>
      <c r="Y181" s="28" t="str">
        <f t="shared" si="33"/>
        <v/>
      </c>
      <c r="Z181" s="28"/>
      <c r="AA181" s="28" t="str">
        <f t="shared" si="34"/>
        <v/>
      </c>
      <c r="AB181" s="28"/>
      <c r="AC181" s="28" t="str">
        <f t="shared" si="35"/>
        <v/>
      </c>
      <c r="AD181" s="28"/>
      <c r="AE181" s="28" t="str">
        <f t="shared" si="36"/>
        <v/>
      </c>
      <c r="AF181" s="28"/>
      <c r="AG181" s="28" t="str">
        <f t="shared" si="37"/>
        <v/>
      </c>
      <c r="AH181" s="28"/>
      <c r="AI181" s="28" t="str">
        <f t="shared" si="38"/>
        <v/>
      </c>
      <c r="AJ181" s="28"/>
      <c r="AK181" s="28" t="str">
        <f t="shared" si="39"/>
        <v/>
      </c>
      <c r="AL181" s="28"/>
      <c r="AM181" s="28" t="str">
        <f t="shared" si="40"/>
        <v/>
      </c>
      <c r="AN181" s="28"/>
      <c r="AO181" s="28" t="str">
        <f t="shared" si="41"/>
        <v/>
      </c>
      <c r="AP181" s="29"/>
      <c r="AR181" s="25"/>
      <c r="AS181" s="25"/>
      <c r="AT181" s="25"/>
      <c r="AU181" s="25"/>
      <c r="AV181" s="30"/>
      <c r="AW181" s="30"/>
      <c r="AX181" s="31"/>
      <c r="AY181" s="25"/>
      <c r="AZ181" s="25"/>
      <c r="BA181" s="32"/>
      <c r="BB181" s="31"/>
      <c r="BD181" s="64">
        <v>20000</v>
      </c>
      <c r="BE181" s="25">
        <v>0.49409999999974402</v>
      </c>
      <c r="BF181" s="33">
        <v>9882</v>
      </c>
      <c r="BI181" s="68" t="s">
        <v>778</v>
      </c>
    </row>
    <row r="182" spans="2:61" x14ac:dyDescent="0.25">
      <c r="B182" s="14" t="s">
        <v>181</v>
      </c>
      <c r="C182" s="14" t="s">
        <v>600</v>
      </c>
      <c r="D182" s="1" t="s">
        <v>388</v>
      </c>
      <c r="E182" s="1" t="s">
        <v>600</v>
      </c>
      <c r="F182" s="1" t="s">
        <v>906</v>
      </c>
      <c r="G182" s="87">
        <v>1962056319.74</v>
      </c>
      <c r="H182" s="26">
        <v>43999</v>
      </c>
      <c r="I182" s="45">
        <v>1180</v>
      </c>
      <c r="J182" s="45">
        <v>1842.3815915826699</v>
      </c>
      <c r="K182" s="25">
        <f t="shared" si="28"/>
        <v>0.64047535287537205</v>
      </c>
      <c r="L182" s="26">
        <v>43677</v>
      </c>
      <c r="M182" s="45">
        <v>515230.22499999998</v>
      </c>
      <c r="N182" s="45">
        <v>591690.616564453</v>
      </c>
      <c r="O182" s="25">
        <f t="shared" si="29"/>
        <v>0.87077639999024026</v>
      </c>
      <c r="P182" s="27">
        <v>74</v>
      </c>
      <c r="Q182" s="27">
        <v>25.983935742959101</v>
      </c>
      <c r="R182" s="25">
        <f t="shared" si="30"/>
        <v>2.8479134466783722</v>
      </c>
      <c r="T182" s="28">
        <v>1.2875536480351E-2</v>
      </c>
      <c r="U182" s="28">
        <f t="shared" si="31"/>
        <v>-1.2468644290492999E-3</v>
      </c>
      <c r="V182" s="28">
        <v>3.16488896660303E-2</v>
      </c>
      <c r="W182" s="28">
        <f t="shared" si="32"/>
        <v>-6.3723409928570604E-2</v>
      </c>
      <c r="X182" s="28">
        <v>-0.20748735235247301</v>
      </c>
      <c r="Y182" s="28">
        <f t="shared" si="33"/>
        <v>-6.2726373108452999E-2</v>
      </c>
      <c r="Z182" s="28">
        <v>6.5682845688570498E-3</v>
      </c>
      <c r="AA182" s="28">
        <f t="shared" si="34"/>
        <v>-9.6174579513971944E-2</v>
      </c>
      <c r="AB182" s="28">
        <v>0.22945591535972201</v>
      </c>
      <c r="AC182" s="28">
        <f t="shared" si="35"/>
        <v>8.2949279129390097E-3</v>
      </c>
      <c r="AD182" s="28">
        <v>-0.20479437334957801</v>
      </c>
      <c r="AE182" s="28">
        <f t="shared" si="36"/>
        <v>-3.4648070792028002E-2</v>
      </c>
      <c r="AF182" s="28">
        <v>-0.31542350896517701</v>
      </c>
      <c r="AG182" s="28">
        <f t="shared" si="37"/>
        <v>-0.11051542607048701</v>
      </c>
      <c r="AH182" s="28">
        <v>-0.34875366068445102</v>
      </c>
      <c r="AI182" s="28">
        <f t="shared" si="38"/>
        <v>-7.9145712165045012E-2</v>
      </c>
      <c r="AJ182" s="28">
        <v>-0.295251152731071</v>
      </c>
      <c r="AK182" s="28">
        <f t="shared" si="39"/>
        <v>-0.12140696093410999</v>
      </c>
      <c r="AL182" s="28">
        <v>2.3600042259204201E-3</v>
      </c>
      <c r="AM182" s="28">
        <f t="shared" si="40"/>
        <v>-2.3207932190416596E-3</v>
      </c>
      <c r="AN182" s="28">
        <v>1.5215666062431399E-3</v>
      </c>
      <c r="AO182" s="28">
        <f t="shared" si="41"/>
        <v>-9.7605306254990604E-3</v>
      </c>
      <c r="AP182" s="29">
        <v>30.960376636357999</v>
      </c>
      <c r="AR182" s="25">
        <v>7.6869565216839006E-2</v>
      </c>
      <c r="AS182" s="25">
        <v>-0.111881906913331</v>
      </c>
      <c r="AT182" s="25">
        <v>0.23214231627585799</v>
      </c>
      <c r="AU182" s="25">
        <v>-0.30585885486099901</v>
      </c>
      <c r="AV182" s="30">
        <v>3</v>
      </c>
      <c r="AW182" s="30">
        <v>3</v>
      </c>
      <c r="AX182" s="31">
        <v>-0.73953412414903097</v>
      </c>
      <c r="AY182" s="25">
        <v>4.0750395162467597E-2</v>
      </c>
      <c r="AZ182" s="25">
        <v>-0.444479715573252</v>
      </c>
      <c r="BA182" s="32">
        <v>43838</v>
      </c>
      <c r="BB182" s="31">
        <v>1.2774667518460801</v>
      </c>
      <c r="BD182" s="64">
        <v>1662759.5930000001</v>
      </c>
      <c r="BE182" s="25">
        <v>0.41289999999978999</v>
      </c>
      <c r="BF182" s="33">
        <v>686553.43594921904</v>
      </c>
      <c r="BG182" s="25">
        <v>0.18559999999997701</v>
      </c>
      <c r="BH182" s="72">
        <v>308608.18046093697</v>
      </c>
      <c r="BI182" s="68" t="s">
        <v>779</v>
      </c>
    </row>
    <row r="183" spans="2:61" x14ac:dyDescent="0.25">
      <c r="B183" s="14" t="s">
        <v>182</v>
      </c>
      <c r="C183" s="14" t="s">
        <v>601</v>
      </c>
      <c r="D183" s="1" t="s">
        <v>389</v>
      </c>
      <c r="E183" s="1" t="s">
        <v>601</v>
      </c>
      <c r="F183" s="1" t="s">
        <v>227</v>
      </c>
      <c r="H183" s="26"/>
      <c r="K183" s="25" t="str">
        <f t="shared" si="28"/>
        <v/>
      </c>
      <c r="L183" s="26"/>
      <c r="M183" s="45">
        <v>0</v>
      </c>
      <c r="O183" s="25" t="str">
        <f t="shared" si="29"/>
        <v/>
      </c>
      <c r="P183" s="27">
        <v>0</v>
      </c>
      <c r="Q183" s="27"/>
      <c r="R183" s="25" t="str">
        <f t="shared" si="30"/>
        <v/>
      </c>
      <c r="T183" s="28"/>
      <c r="U183" s="28" t="str">
        <f t="shared" si="31"/>
        <v/>
      </c>
      <c r="V183" s="28"/>
      <c r="W183" s="28" t="str">
        <f t="shared" si="32"/>
        <v/>
      </c>
      <c r="X183" s="28"/>
      <c r="Y183" s="28" t="str">
        <f t="shared" si="33"/>
        <v/>
      </c>
      <c r="Z183" s="28"/>
      <c r="AA183" s="28" t="str">
        <f t="shared" si="34"/>
        <v/>
      </c>
      <c r="AB183" s="28"/>
      <c r="AC183" s="28" t="str">
        <f t="shared" si="35"/>
        <v/>
      </c>
      <c r="AD183" s="28"/>
      <c r="AE183" s="28" t="str">
        <f t="shared" si="36"/>
        <v/>
      </c>
      <c r="AF183" s="28"/>
      <c r="AG183" s="28" t="str">
        <f t="shared" si="37"/>
        <v/>
      </c>
      <c r="AH183" s="28"/>
      <c r="AI183" s="28" t="str">
        <f t="shared" si="38"/>
        <v/>
      </c>
      <c r="AJ183" s="28"/>
      <c r="AK183" s="28" t="str">
        <f t="shared" si="39"/>
        <v/>
      </c>
      <c r="AL183" s="28"/>
      <c r="AM183" s="28" t="str">
        <f t="shared" si="40"/>
        <v/>
      </c>
      <c r="AN183" s="28"/>
      <c r="AO183" s="28" t="str">
        <f t="shared" si="41"/>
        <v/>
      </c>
      <c r="AP183" s="29"/>
      <c r="AR183" s="25"/>
      <c r="AS183" s="25"/>
      <c r="AT183" s="25"/>
      <c r="AU183" s="25"/>
      <c r="AV183" s="30"/>
      <c r="AW183" s="30"/>
      <c r="AX183" s="31"/>
      <c r="AY183" s="25"/>
      <c r="AZ183" s="25"/>
      <c r="BA183" s="32"/>
      <c r="BB183" s="31"/>
      <c r="BI183" s="68" t="s">
        <v>227</v>
      </c>
    </row>
    <row r="184" spans="2:61" x14ac:dyDescent="0.25">
      <c r="B184" s="14" t="s">
        <v>183</v>
      </c>
      <c r="C184" s="14" t="s">
        <v>602</v>
      </c>
      <c r="D184" s="1" t="s">
        <v>390</v>
      </c>
      <c r="E184" s="1" t="s">
        <v>602</v>
      </c>
      <c r="F184" s="1" t="s">
        <v>913</v>
      </c>
      <c r="H184" s="26">
        <v>43689</v>
      </c>
      <c r="J184" s="45">
        <v>0.5</v>
      </c>
      <c r="K184" s="25">
        <f t="shared" si="28"/>
        <v>0</v>
      </c>
      <c r="L184" s="26">
        <v>43689</v>
      </c>
      <c r="M184" s="45">
        <v>0</v>
      </c>
      <c r="N184" s="45">
        <v>2.7037469879500602</v>
      </c>
      <c r="O184" s="25">
        <f t="shared" si="29"/>
        <v>0</v>
      </c>
      <c r="P184" s="27">
        <v>0</v>
      </c>
      <c r="Q184" s="27">
        <v>1.60642570281198E-2</v>
      </c>
      <c r="R184" s="25">
        <f t="shared" si="30"/>
        <v>0</v>
      </c>
      <c r="T184" s="28"/>
      <c r="U184" s="28" t="str">
        <f t="shared" si="31"/>
        <v/>
      </c>
      <c r="V184" s="28"/>
      <c r="W184" s="28" t="str">
        <f t="shared" si="32"/>
        <v/>
      </c>
      <c r="X184" s="28"/>
      <c r="Y184" s="28" t="str">
        <f t="shared" si="33"/>
        <v/>
      </c>
      <c r="Z184" s="28"/>
      <c r="AA184" s="28" t="str">
        <f t="shared" si="34"/>
        <v/>
      </c>
      <c r="AB184" s="28"/>
      <c r="AC184" s="28" t="str">
        <f t="shared" si="35"/>
        <v/>
      </c>
      <c r="AD184" s="28"/>
      <c r="AE184" s="28" t="str">
        <f t="shared" si="36"/>
        <v/>
      </c>
      <c r="AF184" s="28"/>
      <c r="AG184" s="28" t="str">
        <f t="shared" si="37"/>
        <v/>
      </c>
      <c r="AH184" s="28"/>
      <c r="AI184" s="28" t="str">
        <f t="shared" si="38"/>
        <v/>
      </c>
      <c r="AJ184" s="28"/>
      <c r="AK184" s="28" t="str">
        <f t="shared" si="39"/>
        <v/>
      </c>
      <c r="AL184" s="28"/>
      <c r="AM184" s="28" t="str">
        <f t="shared" si="40"/>
        <v/>
      </c>
      <c r="AN184" s="28"/>
      <c r="AO184" s="28" t="str">
        <f t="shared" si="41"/>
        <v/>
      </c>
      <c r="AP184" s="29"/>
      <c r="AR184" s="25"/>
      <c r="AS184" s="25"/>
      <c r="AT184" s="25"/>
      <c r="AU184" s="25"/>
      <c r="AV184" s="30"/>
      <c r="AW184" s="30"/>
      <c r="AX184" s="31"/>
      <c r="AY184" s="25"/>
      <c r="AZ184" s="25"/>
      <c r="BA184" s="32"/>
      <c r="BB184" s="31"/>
      <c r="BD184" s="64">
        <v>4084606.304</v>
      </c>
      <c r="BE184" s="25">
        <v>0.46270000000018602</v>
      </c>
      <c r="BF184" s="33">
        <v>2432444.5691445302</v>
      </c>
      <c r="BI184" s="68" t="s">
        <v>780</v>
      </c>
    </row>
    <row r="185" spans="2:61" x14ac:dyDescent="0.25">
      <c r="B185" s="14" t="s">
        <v>184</v>
      </c>
      <c r="C185" s="14" t="s">
        <v>603</v>
      </c>
      <c r="D185" s="1" t="s">
        <v>390</v>
      </c>
      <c r="E185" s="1" t="s">
        <v>603</v>
      </c>
      <c r="F185" s="1" t="s">
        <v>913</v>
      </c>
      <c r="H185" s="26">
        <v>43882</v>
      </c>
      <c r="J185" s="45">
        <v>0.60000000000036402</v>
      </c>
      <c r="K185" s="25">
        <f t="shared" si="28"/>
        <v>0</v>
      </c>
      <c r="L185" s="26">
        <v>43882</v>
      </c>
      <c r="M185" s="45">
        <v>0</v>
      </c>
      <c r="N185" s="45">
        <v>3.29477911646664</v>
      </c>
      <c r="O185" s="25">
        <f t="shared" si="29"/>
        <v>0</v>
      </c>
      <c r="P185" s="27">
        <v>0</v>
      </c>
      <c r="Q185" s="27">
        <v>1.2048192771089801E-2</v>
      </c>
      <c r="R185" s="25">
        <f t="shared" si="30"/>
        <v>0</v>
      </c>
      <c r="T185" s="28"/>
      <c r="U185" s="28" t="str">
        <f t="shared" si="31"/>
        <v/>
      </c>
      <c r="V185" s="28"/>
      <c r="W185" s="28" t="str">
        <f t="shared" si="32"/>
        <v/>
      </c>
      <c r="X185" s="28"/>
      <c r="Y185" s="28" t="str">
        <f t="shared" si="33"/>
        <v/>
      </c>
      <c r="Z185" s="28"/>
      <c r="AA185" s="28" t="str">
        <f t="shared" si="34"/>
        <v/>
      </c>
      <c r="AB185" s="28"/>
      <c r="AC185" s="28" t="str">
        <f t="shared" si="35"/>
        <v/>
      </c>
      <c r="AD185" s="28"/>
      <c r="AE185" s="28" t="str">
        <f t="shared" si="36"/>
        <v/>
      </c>
      <c r="AF185" s="28"/>
      <c r="AG185" s="28" t="str">
        <f t="shared" si="37"/>
        <v/>
      </c>
      <c r="AH185" s="28"/>
      <c r="AI185" s="28" t="str">
        <f t="shared" si="38"/>
        <v/>
      </c>
      <c r="AJ185" s="28"/>
      <c r="AK185" s="28" t="str">
        <f t="shared" si="39"/>
        <v/>
      </c>
      <c r="AL185" s="28"/>
      <c r="AM185" s="28" t="str">
        <f t="shared" si="40"/>
        <v/>
      </c>
      <c r="AN185" s="28"/>
      <c r="AO185" s="28" t="str">
        <f t="shared" si="41"/>
        <v/>
      </c>
      <c r="AP185" s="29"/>
      <c r="AR185" s="25"/>
      <c r="AS185" s="25"/>
      <c r="AT185" s="25"/>
      <c r="AU185" s="25"/>
      <c r="AV185" s="30"/>
      <c r="AW185" s="30"/>
      <c r="AX185" s="31"/>
      <c r="AY185" s="25"/>
      <c r="AZ185" s="25">
        <v>0</v>
      </c>
      <c r="BA185" s="32">
        <v>43882</v>
      </c>
      <c r="BB185" s="31"/>
      <c r="BD185" s="64">
        <v>1172459.9790000001</v>
      </c>
      <c r="BE185" s="25">
        <v>0.46270000000018602</v>
      </c>
      <c r="BF185" s="33">
        <v>2432444.5691445302</v>
      </c>
      <c r="BI185" s="68" t="s">
        <v>780</v>
      </c>
    </row>
    <row r="186" spans="2:61" x14ac:dyDescent="0.25">
      <c r="B186" s="14" t="s">
        <v>185</v>
      </c>
      <c r="C186" s="14" t="s">
        <v>604</v>
      </c>
      <c r="D186" s="1" t="s">
        <v>391</v>
      </c>
      <c r="E186" s="1" t="s">
        <v>604</v>
      </c>
      <c r="F186" s="1" t="s">
        <v>915</v>
      </c>
      <c r="G186" s="87">
        <v>484013074.5</v>
      </c>
      <c r="H186" s="26">
        <v>43999</v>
      </c>
      <c r="I186" s="45">
        <v>250</v>
      </c>
      <c r="J186" s="45">
        <v>522.30022978503303</v>
      </c>
      <c r="K186" s="25">
        <f t="shared" si="28"/>
        <v>0.47865190506022626</v>
      </c>
      <c r="L186" s="26">
        <v>43640</v>
      </c>
      <c r="M186" s="45">
        <v>1722850.9820000001</v>
      </c>
      <c r="N186" s="45">
        <v>739932.89210449206</v>
      </c>
      <c r="O186" s="25">
        <f t="shared" si="29"/>
        <v>2.32838815571494</v>
      </c>
      <c r="P186" s="27">
        <v>229</v>
      </c>
      <c r="Q186" s="27">
        <v>161.62248995993301</v>
      </c>
      <c r="R186" s="25">
        <f t="shared" si="30"/>
        <v>1.4168820196791314</v>
      </c>
      <c r="T186" s="28">
        <v>-2.2138778063890599E-2</v>
      </c>
      <c r="U186" s="28">
        <f t="shared" si="31"/>
        <v>-3.6261178973290897E-2</v>
      </c>
      <c r="V186" s="28">
        <v>0.196172248803196</v>
      </c>
      <c r="W186" s="28">
        <f t="shared" si="32"/>
        <v>0.1007999492085951</v>
      </c>
      <c r="X186" s="28">
        <v>-0.219715492629039</v>
      </c>
      <c r="Y186" s="28">
        <f t="shared" si="33"/>
        <v>-7.4954513385018989E-2</v>
      </c>
      <c r="Z186" s="28">
        <v>0.259548773243441</v>
      </c>
      <c r="AA186" s="28">
        <f t="shared" si="34"/>
        <v>0.15680590916061199</v>
      </c>
      <c r="AB186" s="28">
        <v>0.14719104783042</v>
      </c>
      <c r="AC186" s="28">
        <f t="shared" si="35"/>
        <v>-7.3969939616363001E-2</v>
      </c>
      <c r="AD186" s="28">
        <v>-0.246075247190602</v>
      </c>
      <c r="AE186" s="28">
        <f t="shared" si="36"/>
        <v>-7.5928944633051998E-2</v>
      </c>
      <c r="AF186" s="28">
        <v>-0.49534947212145197</v>
      </c>
      <c r="AG186" s="28">
        <f t="shared" si="37"/>
        <v>-0.29044138922676199</v>
      </c>
      <c r="AH186" s="28">
        <v>-0.57761229132593195</v>
      </c>
      <c r="AI186" s="28">
        <f t="shared" si="38"/>
        <v>-0.30800434280652594</v>
      </c>
      <c r="AJ186" s="28">
        <v>-0.46929016149602798</v>
      </c>
      <c r="AK186" s="28">
        <f t="shared" si="39"/>
        <v>-0.295445969699067</v>
      </c>
      <c r="AL186" s="28">
        <v>-0.15829876854331801</v>
      </c>
      <c r="AM186" s="28">
        <f t="shared" si="40"/>
        <v>-0.16297956598828009</v>
      </c>
      <c r="AN186" s="28">
        <v>8.6113680175913004E-2</v>
      </c>
      <c r="AO186" s="28">
        <f t="shared" si="41"/>
        <v>7.4831582944170805E-2</v>
      </c>
      <c r="AP186" s="29">
        <v>52.335078675125303</v>
      </c>
      <c r="AR186" s="25">
        <v>8.61904761914047E-2</v>
      </c>
      <c r="AS186" s="25">
        <v>-0.17410958904190901</v>
      </c>
      <c r="AT186" s="25">
        <v>0.33641737342462902</v>
      </c>
      <c r="AU186" s="25">
        <v>-0.39203124999941802</v>
      </c>
      <c r="AV186" s="30">
        <v>3</v>
      </c>
      <c r="AW186" s="30">
        <v>3</v>
      </c>
      <c r="AX186" s="31">
        <v>-0.48918139490069701</v>
      </c>
      <c r="AY186" s="25">
        <v>6.4454785205671203E-2</v>
      </c>
      <c r="AZ186" s="25">
        <v>-0.61113866967381902</v>
      </c>
      <c r="BA186" s="32">
        <v>43846</v>
      </c>
      <c r="BB186" s="31">
        <v>2.3398925735164098</v>
      </c>
      <c r="BD186" s="64">
        <v>1936052.298</v>
      </c>
      <c r="BE186" s="25">
        <v>0.36010000000009301</v>
      </c>
      <c r="BF186" s="33">
        <v>697172.43250976596</v>
      </c>
      <c r="BG186" s="25">
        <v>0.5</v>
      </c>
      <c r="BH186" s="72">
        <v>968026.14899999998</v>
      </c>
      <c r="BI186" s="68" t="s">
        <v>781</v>
      </c>
    </row>
    <row r="187" spans="2:61" x14ac:dyDescent="0.25">
      <c r="B187" s="14" t="s">
        <v>186</v>
      </c>
      <c r="C187" s="14" t="s">
        <v>605</v>
      </c>
      <c r="D187" s="1" t="s">
        <v>392</v>
      </c>
      <c r="E187" s="1" t="s">
        <v>605</v>
      </c>
      <c r="F187" s="1" t="s">
        <v>916</v>
      </c>
      <c r="H187" s="26">
        <v>43868</v>
      </c>
      <c r="J187" s="45">
        <v>1785000</v>
      </c>
      <c r="K187" s="25">
        <f t="shared" si="28"/>
        <v>0</v>
      </c>
      <c r="L187" s="26">
        <v>43868</v>
      </c>
      <c r="M187" s="45">
        <v>0</v>
      </c>
      <c r="N187" s="45">
        <v>57.212048192799102</v>
      </c>
      <c r="O187" s="25">
        <f t="shared" si="29"/>
        <v>0</v>
      </c>
      <c r="P187" s="27">
        <v>0</v>
      </c>
      <c r="Q187" s="27">
        <v>2.8112449799209599E-2</v>
      </c>
      <c r="R187" s="25">
        <f t="shared" si="30"/>
        <v>0</v>
      </c>
      <c r="T187" s="28"/>
      <c r="U187" s="28" t="str">
        <f t="shared" si="31"/>
        <v/>
      </c>
      <c r="V187" s="28"/>
      <c r="W187" s="28" t="str">
        <f t="shared" si="32"/>
        <v/>
      </c>
      <c r="X187" s="28"/>
      <c r="Y187" s="28" t="str">
        <f t="shared" si="33"/>
        <v/>
      </c>
      <c r="Z187" s="28"/>
      <c r="AA187" s="28" t="str">
        <f t="shared" si="34"/>
        <v/>
      </c>
      <c r="AB187" s="28"/>
      <c r="AC187" s="28" t="str">
        <f t="shared" si="35"/>
        <v/>
      </c>
      <c r="AD187" s="28"/>
      <c r="AE187" s="28" t="str">
        <f t="shared" si="36"/>
        <v/>
      </c>
      <c r="AF187" s="28"/>
      <c r="AG187" s="28" t="str">
        <f t="shared" si="37"/>
        <v/>
      </c>
      <c r="AH187" s="28"/>
      <c r="AI187" s="28" t="str">
        <f t="shared" si="38"/>
        <v/>
      </c>
      <c r="AJ187" s="28"/>
      <c r="AK187" s="28" t="str">
        <f t="shared" si="39"/>
        <v/>
      </c>
      <c r="AL187" s="28"/>
      <c r="AM187" s="28" t="str">
        <f t="shared" si="40"/>
        <v/>
      </c>
      <c r="AN187" s="28"/>
      <c r="AO187" s="28" t="str">
        <f t="shared" si="41"/>
        <v/>
      </c>
      <c r="AP187" s="29"/>
      <c r="AR187" s="25"/>
      <c r="AS187" s="25"/>
      <c r="AT187" s="25">
        <v>0</v>
      </c>
      <c r="AU187" s="25">
        <v>0</v>
      </c>
      <c r="AV187" s="30"/>
      <c r="AW187" s="30"/>
      <c r="AX187" s="31"/>
      <c r="AY187" s="25"/>
      <c r="AZ187" s="25">
        <v>0</v>
      </c>
      <c r="BA187" s="32">
        <v>43858</v>
      </c>
      <c r="BB187" s="31"/>
      <c r="BD187" s="64">
        <v>5.8789999999999996</v>
      </c>
      <c r="BE187" s="25">
        <v>9.0899999999965106E-2</v>
      </c>
      <c r="BF187" s="33">
        <v>0.534401100000367</v>
      </c>
      <c r="BI187" s="68" t="s">
        <v>782</v>
      </c>
    </row>
    <row r="188" spans="2:61" x14ac:dyDescent="0.25">
      <c r="B188" s="14" t="s">
        <v>187</v>
      </c>
      <c r="C188" s="14" t="s">
        <v>606</v>
      </c>
      <c r="D188" s="1" t="s">
        <v>393</v>
      </c>
      <c r="E188" s="1" t="s">
        <v>606</v>
      </c>
      <c r="F188" s="1" t="s">
        <v>912</v>
      </c>
      <c r="G188" s="87">
        <v>186708826.60499999</v>
      </c>
      <c r="H188" s="26">
        <v>43999</v>
      </c>
      <c r="I188" s="45">
        <v>415</v>
      </c>
      <c r="J188" s="45">
        <v>850.43407230079197</v>
      </c>
      <c r="K188" s="25">
        <f t="shared" si="28"/>
        <v>0.48798609265177428</v>
      </c>
      <c r="L188" s="26">
        <v>43640</v>
      </c>
      <c r="M188" s="45">
        <v>214680.198</v>
      </c>
      <c r="N188" s="45">
        <v>393049.40996386699</v>
      </c>
      <c r="O188" s="25">
        <f t="shared" si="29"/>
        <v>0.54619137583678234</v>
      </c>
      <c r="P188" s="27">
        <v>147</v>
      </c>
      <c r="Q188" s="27">
        <v>124.81124497996601</v>
      </c>
      <c r="R188" s="25">
        <f t="shared" si="30"/>
        <v>1.1777784928240689</v>
      </c>
      <c r="T188" s="28">
        <v>3.6489422813247102E-2</v>
      </c>
      <c r="U188" s="28">
        <f t="shared" si="31"/>
        <v>2.2367021903846804E-2</v>
      </c>
      <c r="V188" s="28">
        <v>0.16901408450765301</v>
      </c>
      <c r="W188" s="28">
        <f t="shared" si="32"/>
        <v>7.3641784913052108E-2</v>
      </c>
      <c r="X188" s="28">
        <v>4.0696926917007702E-3</v>
      </c>
      <c r="Y188" s="28">
        <f t="shared" si="33"/>
        <v>0.14883067193572078</v>
      </c>
      <c r="Z188" s="28">
        <v>0.40009575704403699</v>
      </c>
      <c r="AA188" s="28">
        <f t="shared" si="34"/>
        <v>0.29735289296120798</v>
      </c>
      <c r="AB188" s="28">
        <v>0.29946413733356197</v>
      </c>
      <c r="AC188" s="28">
        <f t="shared" si="35"/>
        <v>7.8303149886778972E-2</v>
      </c>
      <c r="AD188" s="28">
        <v>-3.8569800257391797E-2</v>
      </c>
      <c r="AE188" s="28">
        <f t="shared" si="36"/>
        <v>0.13157650230015822</v>
      </c>
      <c r="AF188" s="28">
        <v>-0.47714259313477703</v>
      </c>
      <c r="AG188" s="28">
        <f t="shared" si="37"/>
        <v>-0.27223451024008705</v>
      </c>
      <c r="AH188" s="28">
        <v>-0.59578399569436402</v>
      </c>
      <c r="AI188" s="28">
        <f t="shared" si="38"/>
        <v>-0.32617604717495802</v>
      </c>
      <c r="AJ188" s="28">
        <v>-0.42665075330645802</v>
      </c>
      <c r="AK188" s="28">
        <f t="shared" si="39"/>
        <v>-0.25280656150949699</v>
      </c>
      <c r="AL188" s="28">
        <v>9.38527410653478E-2</v>
      </c>
      <c r="AM188" s="28">
        <f t="shared" si="40"/>
        <v>8.9171943620385719E-2</v>
      </c>
      <c r="AN188" s="28">
        <v>5.2475109845545403E-2</v>
      </c>
      <c r="AO188" s="28">
        <f t="shared" si="41"/>
        <v>4.1193012613803204E-2</v>
      </c>
      <c r="AP188" s="29">
        <v>56.421190205553998</v>
      </c>
      <c r="AR188" s="25">
        <v>0.129999999999272</v>
      </c>
      <c r="AS188" s="25">
        <v>-0.149546464829618</v>
      </c>
      <c r="AT188" s="25">
        <v>0.28964285714202598</v>
      </c>
      <c r="AU188" s="25">
        <v>-0.27066239483247001</v>
      </c>
      <c r="AV188" s="30">
        <v>3</v>
      </c>
      <c r="AW188" s="30">
        <v>3</v>
      </c>
      <c r="AX188" s="31">
        <v>1.99156102657412E-2</v>
      </c>
      <c r="AY188" s="25">
        <v>6.4357675432038394E-2</v>
      </c>
      <c r="AZ188" s="25">
        <v>-0.50477397884358699</v>
      </c>
      <c r="BA188" s="32">
        <v>43837</v>
      </c>
      <c r="BB188" s="31">
        <v>1.57621279406521</v>
      </c>
      <c r="BD188" s="64">
        <v>449900.78700000001</v>
      </c>
      <c r="BE188" s="25">
        <v>0.12619999999995299</v>
      </c>
      <c r="BF188" s="33">
        <v>56777.479319397004</v>
      </c>
      <c r="BG188" s="25">
        <v>1</v>
      </c>
      <c r="BH188" s="72">
        <v>449900.78700000001</v>
      </c>
      <c r="BI188" s="68" t="s">
        <v>773</v>
      </c>
    </row>
    <row r="189" spans="2:61" x14ac:dyDescent="0.25">
      <c r="B189" s="14" t="s">
        <v>188</v>
      </c>
      <c r="C189" s="14" t="s">
        <v>607</v>
      </c>
      <c r="D189" s="1" t="s">
        <v>394</v>
      </c>
      <c r="E189" s="1" t="s">
        <v>607</v>
      </c>
      <c r="F189" s="1" t="s">
        <v>909</v>
      </c>
      <c r="H189" s="26">
        <v>43998</v>
      </c>
      <c r="J189" s="45">
        <v>6259.5040934979897</v>
      </c>
      <c r="K189" s="25">
        <f t="shared" si="28"/>
        <v>0</v>
      </c>
      <c r="L189" s="26">
        <v>43844</v>
      </c>
      <c r="M189" s="45">
        <v>0</v>
      </c>
      <c r="N189" s="45">
        <v>115389.8857229</v>
      </c>
      <c r="O189" s="25">
        <f t="shared" si="29"/>
        <v>0</v>
      </c>
      <c r="P189" s="27">
        <v>0</v>
      </c>
      <c r="Q189" s="27">
        <v>1.71485943775042</v>
      </c>
      <c r="R189" s="25">
        <f t="shared" si="30"/>
        <v>0</v>
      </c>
      <c r="T189" s="28"/>
      <c r="U189" s="28" t="str">
        <f t="shared" si="31"/>
        <v/>
      </c>
      <c r="V189" s="28">
        <v>8.5583714166277802E-2</v>
      </c>
      <c r="W189" s="28">
        <f t="shared" si="32"/>
        <v>-9.7885854283231016E-3</v>
      </c>
      <c r="X189" s="28">
        <v>-0.22019920008111499</v>
      </c>
      <c r="Y189" s="28">
        <f t="shared" si="33"/>
        <v>-7.5438220837094977E-2</v>
      </c>
      <c r="Z189" s="28">
        <v>0.15059445178310901</v>
      </c>
      <c r="AA189" s="28">
        <f t="shared" si="34"/>
        <v>4.7851587700280016E-2</v>
      </c>
      <c r="AB189" s="28">
        <v>-2.41048421776213E-3</v>
      </c>
      <c r="AC189" s="28">
        <f t="shared" si="35"/>
        <v>-0.22357147166454513</v>
      </c>
      <c r="AD189" s="28">
        <v>-0.17289118068234499</v>
      </c>
      <c r="AE189" s="28">
        <f t="shared" si="36"/>
        <v>-2.7448781247949861E-3</v>
      </c>
      <c r="AF189" s="28">
        <v>-0.164968789293198</v>
      </c>
      <c r="AG189" s="28">
        <f t="shared" si="37"/>
        <v>3.993929360149201E-2</v>
      </c>
      <c r="AH189" s="28"/>
      <c r="AI189" s="28" t="str">
        <f t="shared" si="38"/>
        <v/>
      </c>
      <c r="AJ189" s="28"/>
      <c r="AK189" s="28" t="str">
        <f t="shared" si="39"/>
        <v/>
      </c>
      <c r="AL189" s="28"/>
      <c r="AM189" s="28" t="str">
        <f t="shared" si="40"/>
        <v/>
      </c>
      <c r="AN189" s="28"/>
      <c r="AO189" s="28" t="str">
        <f t="shared" si="41"/>
        <v/>
      </c>
      <c r="AP189" s="29"/>
      <c r="AR189" s="25">
        <v>4.3120260021169102E-2</v>
      </c>
      <c r="AS189" s="25">
        <v>-6.9444164635569905E-2</v>
      </c>
      <c r="AT189" s="25">
        <v>8.5583714166277802E-2</v>
      </c>
      <c r="AU189" s="25">
        <v>-0.26965019859286299</v>
      </c>
      <c r="AV189" s="30">
        <v>4</v>
      </c>
      <c r="AW189" s="30">
        <v>2</v>
      </c>
      <c r="AX189" s="31"/>
      <c r="AY189" s="25"/>
      <c r="AZ189" s="25">
        <v>-0.36646433990856198</v>
      </c>
      <c r="BA189" s="32">
        <v>43844</v>
      </c>
      <c r="BB189" s="31">
        <v>0.93745950499487696</v>
      </c>
      <c r="BE189" s="25">
        <v>0.7</v>
      </c>
      <c r="BF189" s="33">
        <v>46200</v>
      </c>
      <c r="BG189" s="25">
        <v>1</v>
      </c>
      <c r="BH189" s="72">
        <v>66000</v>
      </c>
      <c r="BI189" s="68" t="s">
        <v>669</v>
      </c>
    </row>
    <row r="190" spans="2:61" x14ac:dyDescent="0.25">
      <c r="B190" s="14" t="s">
        <v>189</v>
      </c>
      <c r="C190" s="14" t="s">
        <v>608</v>
      </c>
      <c r="D190" s="1" t="s">
        <v>395</v>
      </c>
      <c r="E190" s="1" t="s">
        <v>608</v>
      </c>
      <c r="F190" s="1" t="s">
        <v>913</v>
      </c>
      <c r="H190" s="26">
        <v>43698</v>
      </c>
      <c r="J190" s="45">
        <v>15.9510399999999</v>
      </c>
      <c r="K190" s="25">
        <f t="shared" si="28"/>
        <v>0</v>
      </c>
      <c r="L190" s="26">
        <v>43698</v>
      </c>
      <c r="M190" s="45">
        <v>0</v>
      </c>
      <c r="N190" s="45">
        <v>2.39342971887439</v>
      </c>
      <c r="O190" s="25">
        <f t="shared" si="29"/>
        <v>0</v>
      </c>
      <c r="P190" s="27">
        <v>0</v>
      </c>
      <c r="Q190" s="27">
        <v>2.0080321285149701E-2</v>
      </c>
      <c r="R190" s="25">
        <f t="shared" si="30"/>
        <v>0</v>
      </c>
      <c r="T190" s="28"/>
      <c r="U190" s="28" t="str">
        <f t="shared" si="31"/>
        <v/>
      </c>
      <c r="V190" s="28"/>
      <c r="W190" s="28" t="str">
        <f t="shared" si="32"/>
        <v/>
      </c>
      <c r="X190" s="28"/>
      <c r="Y190" s="28" t="str">
        <f t="shared" si="33"/>
        <v/>
      </c>
      <c r="Z190" s="28"/>
      <c r="AA190" s="28" t="str">
        <f t="shared" si="34"/>
        <v/>
      </c>
      <c r="AB190" s="28"/>
      <c r="AC190" s="28" t="str">
        <f t="shared" si="35"/>
        <v/>
      </c>
      <c r="AD190" s="28"/>
      <c r="AE190" s="28" t="str">
        <f t="shared" si="36"/>
        <v/>
      </c>
      <c r="AF190" s="28"/>
      <c r="AG190" s="28" t="str">
        <f t="shared" si="37"/>
        <v/>
      </c>
      <c r="AH190" s="28"/>
      <c r="AI190" s="28" t="str">
        <f t="shared" si="38"/>
        <v/>
      </c>
      <c r="AJ190" s="28"/>
      <c r="AK190" s="28" t="str">
        <f t="shared" si="39"/>
        <v/>
      </c>
      <c r="AL190" s="28"/>
      <c r="AM190" s="28" t="str">
        <f t="shared" si="40"/>
        <v/>
      </c>
      <c r="AN190" s="28"/>
      <c r="AO190" s="28" t="str">
        <f t="shared" si="41"/>
        <v/>
      </c>
      <c r="AP190" s="29"/>
      <c r="AR190" s="25"/>
      <c r="AS190" s="25"/>
      <c r="AT190" s="25"/>
      <c r="AU190" s="25"/>
      <c r="AV190" s="30"/>
      <c r="AW190" s="30"/>
      <c r="AX190" s="31"/>
      <c r="AY190" s="25"/>
      <c r="AZ190" s="25"/>
      <c r="BA190" s="32"/>
      <c r="BB190" s="31"/>
      <c r="BD190" s="64">
        <v>12273975.814999999</v>
      </c>
      <c r="BE190" s="25">
        <v>0.99750000000000005</v>
      </c>
      <c r="BF190" s="33">
        <v>12243290.875468699</v>
      </c>
      <c r="BI190" s="68" t="s">
        <v>710</v>
      </c>
    </row>
    <row r="191" spans="2:61" x14ac:dyDescent="0.25">
      <c r="B191" s="14" t="s">
        <v>190</v>
      </c>
      <c r="C191" s="14" t="s">
        <v>609</v>
      </c>
      <c r="D191" s="1" t="s">
        <v>396</v>
      </c>
      <c r="E191" s="1" t="s">
        <v>609</v>
      </c>
      <c r="F191" s="1" t="s">
        <v>909</v>
      </c>
      <c r="G191" s="87">
        <v>9245583.197625</v>
      </c>
      <c r="H191" s="26">
        <v>43999</v>
      </c>
      <c r="I191" s="45">
        <v>0.770000000000437</v>
      </c>
      <c r="J191" s="45">
        <v>1.0020000000004099</v>
      </c>
      <c r="K191" s="25">
        <f t="shared" si="28"/>
        <v>0.76846307385241719</v>
      </c>
      <c r="L191" s="26">
        <v>43993</v>
      </c>
      <c r="M191" s="45">
        <v>11488.986000000001</v>
      </c>
      <c r="N191" s="45">
        <v>3349.4252128524799</v>
      </c>
      <c r="O191" s="25">
        <f t="shared" si="29"/>
        <v>3.4301365965462489</v>
      </c>
      <c r="P191" s="27">
        <v>19</v>
      </c>
      <c r="Q191" s="27"/>
      <c r="R191" s="25" t="str">
        <f t="shared" si="30"/>
        <v/>
      </c>
      <c r="T191" s="28">
        <v>-1.4084507041843599E-2</v>
      </c>
      <c r="U191" s="28">
        <f t="shared" si="31"/>
        <v>-2.8206907951243899E-2</v>
      </c>
      <c r="V191" s="28">
        <v>1.23188405797235</v>
      </c>
      <c r="W191" s="28">
        <f t="shared" si="32"/>
        <v>1.1365117583777491</v>
      </c>
      <c r="X191" s="28">
        <v>0.920199501247844</v>
      </c>
      <c r="Y191" s="28">
        <f t="shared" si="33"/>
        <v>1.064960480491864</v>
      </c>
      <c r="Z191" s="28">
        <v>1.26470588235301</v>
      </c>
      <c r="AA191" s="28">
        <f t="shared" si="34"/>
        <v>1.161963018270181</v>
      </c>
      <c r="AB191" s="28">
        <v>1.0810810810839799</v>
      </c>
      <c r="AC191" s="28">
        <f t="shared" si="35"/>
        <v>0.8599200936371969</v>
      </c>
      <c r="AD191" s="28">
        <v>0.97435897436109398</v>
      </c>
      <c r="AE191" s="28">
        <f t="shared" si="36"/>
        <v>1.1445052769186439</v>
      </c>
      <c r="AF191" s="28">
        <v>0.379928315412835</v>
      </c>
      <c r="AG191" s="28">
        <f t="shared" si="37"/>
        <v>0.58483639830752499</v>
      </c>
      <c r="AH191" s="28">
        <v>0.203125</v>
      </c>
      <c r="AI191" s="28">
        <f t="shared" si="38"/>
        <v>0.472732948519406</v>
      </c>
      <c r="AJ191" s="28">
        <v>-0.163043478260224</v>
      </c>
      <c r="AK191" s="28">
        <f t="shared" si="39"/>
        <v>1.0800713536737006E-2</v>
      </c>
      <c r="AL191" s="28">
        <v>0.16666666666802499</v>
      </c>
      <c r="AM191" s="28">
        <f t="shared" si="40"/>
        <v>0.16198586922306291</v>
      </c>
      <c r="AN191" s="28">
        <v>-3.9900249375932603E-2</v>
      </c>
      <c r="AO191" s="28">
        <f t="shared" si="41"/>
        <v>-5.1182346607674803E-2</v>
      </c>
      <c r="AP191" s="29"/>
      <c r="AR191" s="25">
        <v>0.49684210526349498</v>
      </c>
      <c r="AS191" s="25">
        <v>-0.220558882236364</v>
      </c>
      <c r="AT191" s="25">
        <v>1.23188405797235</v>
      </c>
      <c r="AU191" s="25">
        <v>-0.131578947369271</v>
      </c>
      <c r="AV191" s="30">
        <v>3</v>
      </c>
      <c r="AW191" s="30">
        <v>3</v>
      </c>
      <c r="AX191" s="31"/>
      <c r="AY191" s="25"/>
      <c r="AZ191" s="25">
        <v>-0.33786848072544701</v>
      </c>
      <c r="BA191" s="32">
        <v>43832</v>
      </c>
      <c r="BB191" s="31">
        <v>1.76539962580136</v>
      </c>
      <c r="BD191" s="64">
        <v>12007250.905999999</v>
      </c>
      <c r="BE191" s="25">
        <v>0.14729999999995899</v>
      </c>
      <c r="BF191" s="33">
        <v>1768668.0584531201</v>
      </c>
      <c r="BG191" s="25">
        <v>0.877700000000186</v>
      </c>
      <c r="BH191" s="72">
        <v>10538764.1202031</v>
      </c>
      <c r="BI191" s="68" t="s">
        <v>737</v>
      </c>
    </row>
    <row r="192" spans="2:61" x14ac:dyDescent="0.25">
      <c r="B192" s="14" t="s">
        <v>191</v>
      </c>
      <c r="C192" s="14" t="s">
        <v>610</v>
      </c>
      <c r="D192" s="1" t="s">
        <v>397</v>
      </c>
      <c r="E192" s="1" t="s">
        <v>610</v>
      </c>
      <c r="F192" s="1" t="s">
        <v>906</v>
      </c>
      <c r="H192" s="26">
        <v>43997</v>
      </c>
      <c r="J192" s="45">
        <v>351.43905145488702</v>
      </c>
      <c r="K192" s="25">
        <f t="shared" si="28"/>
        <v>0</v>
      </c>
      <c r="L192" s="26">
        <v>43656</v>
      </c>
      <c r="M192" s="45">
        <v>0</v>
      </c>
      <c r="N192" s="45">
        <v>2539.0827831306501</v>
      </c>
      <c r="O192" s="25">
        <f t="shared" si="29"/>
        <v>0</v>
      </c>
      <c r="P192" s="27">
        <v>0</v>
      </c>
      <c r="Q192" s="27">
        <v>0.14859437751010801</v>
      </c>
      <c r="R192" s="25">
        <f t="shared" si="30"/>
        <v>0</v>
      </c>
      <c r="T192" s="28"/>
      <c r="U192" s="28" t="str">
        <f t="shared" si="31"/>
        <v/>
      </c>
      <c r="V192" s="28">
        <v>0</v>
      </c>
      <c r="W192" s="28">
        <f t="shared" si="32"/>
        <v>-9.5372299594600904E-2</v>
      </c>
      <c r="X192" s="28"/>
      <c r="Y192" s="28" t="str">
        <f t="shared" si="33"/>
        <v/>
      </c>
      <c r="Z192" s="28"/>
      <c r="AA192" s="28" t="str">
        <f t="shared" si="34"/>
        <v/>
      </c>
      <c r="AB192" s="28"/>
      <c r="AC192" s="28" t="str">
        <f t="shared" si="35"/>
        <v/>
      </c>
      <c r="AD192" s="28">
        <v>5.2728768952874802E-2</v>
      </c>
      <c r="AE192" s="28">
        <f t="shared" si="36"/>
        <v>0.22287507151042479</v>
      </c>
      <c r="AF192" s="28"/>
      <c r="AG192" s="28" t="str">
        <f t="shared" si="37"/>
        <v/>
      </c>
      <c r="AH192" s="28"/>
      <c r="AI192" s="28" t="str">
        <f t="shared" si="38"/>
        <v/>
      </c>
      <c r="AJ192" s="28"/>
      <c r="AK192" s="28" t="str">
        <f t="shared" si="39"/>
        <v/>
      </c>
      <c r="AL192" s="28"/>
      <c r="AM192" s="28" t="str">
        <f t="shared" si="40"/>
        <v/>
      </c>
      <c r="AN192" s="28">
        <v>2.5970491027086999</v>
      </c>
      <c r="AO192" s="28">
        <f t="shared" si="41"/>
        <v>2.5857670054769577</v>
      </c>
      <c r="AP192" s="29"/>
      <c r="AR192" s="25"/>
      <c r="AS192" s="25"/>
      <c r="AT192" s="25">
        <v>0</v>
      </c>
      <c r="AU192" s="25">
        <v>0</v>
      </c>
      <c r="AV192" s="30"/>
      <c r="AW192" s="30"/>
      <c r="AX192" s="31"/>
      <c r="AY192" s="25"/>
      <c r="AZ192" s="25">
        <v>0</v>
      </c>
      <c r="BA192" s="32">
        <v>43916</v>
      </c>
      <c r="BB192" s="31"/>
      <c r="BD192" s="64">
        <v>10948465.6513594</v>
      </c>
      <c r="BE192" s="25">
        <v>6.7799999999988397E-2</v>
      </c>
      <c r="BF192" s="33">
        <v>729049.24833496101</v>
      </c>
      <c r="BI192" s="68" t="s">
        <v>783</v>
      </c>
    </row>
    <row r="193" spans="2:61" x14ac:dyDescent="0.25">
      <c r="B193" s="14" t="s">
        <v>192</v>
      </c>
      <c r="C193" s="14" t="s">
        <v>611</v>
      </c>
      <c r="D193" s="1" t="s">
        <v>398</v>
      </c>
      <c r="E193" s="1" t="s">
        <v>611</v>
      </c>
      <c r="F193" s="1" t="s">
        <v>906</v>
      </c>
      <c r="H193" s="26">
        <v>43585</v>
      </c>
      <c r="K193" s="25" t="str">
        <f t="shared" si="28"/>
        <v/>
      </c>
      <c r="L193" s="26"/>
      <c r="M193" s="45">
        <v>0</v>
      </c>
      <c r="N193" s="45">
        <v>0</v>
      </c>
      <c r="O193" s="25" t="str">
        <f t="shared" si="29"/>
        <v/>
      </c>
      <c r="P193" s="27">
        <v>0</v>
      </c>
      <c r="Q193" s="27">
        <v>0</v>
      </c>
      <c r="R193" s="25" t="str">
        <f t="shared" si="30"/>
        <v/>
      </c>
      <c r="T193" s="28"/>
      <c r="U193" s="28" t="str">
        <f t="shared" si="31"/>
        <v/>
      </c>
      <c r="V193" s="28"/>
      <c r="W193" s="28" t="str">
        <f t="shared" si="32"/>
        <v/>
      </c>
      <c r="X193" s="28"/>
      <c r="Y193" s="28" t="str">
        <f t="shared" si="33"/>
        <v/>
      </c>
      <c r="Z193" s="28"/>
      <c r="AA193" s="28" t="str">
        <f t="shared" si="34"/>
        <v/>
      </c>
      <c r="AB193" s="28"/>
      <c r="AC193" s="28" t="str">
        <f t="shared" si="35"/>
        <v/>
      </c>
      <c r="AD193" s="28"/>
      <c r="AE193" s="28" t="str">
        <f t="shared" si="36"/>
        <v/>
      </c>
      <c r="AF193" s="28"/>
      <c r="AG193" s="28" t="str">
        <f t="shared" si="37"/>
        <v/>
      </c>
      <c r="AH193" s="28"/>
      <c r="AI193" s="28" t="str">
        <f t="shared" si="38"/>
        <v/>
      </c>
      <c r="AJ193" s="28"/>
      <c r="AK193" s="28" t="str">
        <f t="shared" si="39"/>
        <v/>
      </c>
      <c r="AL193" s="28"/>
      <c r="AM193" s="28" t="str">
        <f t="shared" si="40"/>
        <v/>
      </c>
      <c r="AN193" s="28"/>
      <c r="AO193" s="28" t="str">
        <f t="shared" si="41"/>
        <v/>
      </c>
      <c r="AP193" s="29"/>
      <c r="AR193" s="25"/>
      <c r="AS193" s="25"/>
      <c r="AT193" s="25"/>
      <c r="AU193" s="25"/>
      <c r="AV193" s="30"/>
      <c r="AW193" s="30"/>
      <c r="AX193" s="31"/>
      <c r="AY193" s="25"/>
      <c r="AZ193" s="25"/>
      <c r="BA193" s="32"/>
      <c r="BB193" s="31"/>
      <c r="BD193" s="64">
        <v>478905.83299999998</v>
      </c>
      <c r="BE193" s="25">
        <v>0.99140000000013995</v>
      </c>
      <c r="BF193" s="33">
        <v>474787.24283642601</v>
      </c>
      <c r="BI193" s="68" t="s">
        <v>784</v>
      </c>
    </row>
    <row r="194" spans="2:61" x14ac:dyDescent="0.25">
      <c r="B194" s="14" t="s">
        <v>193</v>
      </c>
      <c r="C194" s="14" t="s">
        <v>612</v>
      </c>
      <c r="D194" s="1" t="s">
        <v>399</v>
      </c>
      <c r="E194" s="1" t="s">
        <v>612</v>
      </c>
      <c r="F194" s="1" t="s">
        <v>906</v>
      </c>
      <c r="G194" s="87">
        <v>817000000</v>
      </c>
      <c r="H194" s="26">
        <v>43999</v>
      </c>
      <c r="I194" s="45">
        <v>760</v>
      </c>
      <c r="J194" s="45">
        <v>1229.3815354332301</v>
      </c>
      <c r="K194" s="25">
        <f t="shared" si="28"/>
        <v>0.61819701865961285</v>
      </c>
      <c r="L194" s="26">
        <v>43650</v>
      </c>
      <c r="M194" s="45">
        <v>146252.32</v>
      </c>
      <c r="N194" s="45">
        <v>574781.18185546901</v>
      </c>
      <c r="O194" s="25">
        <f t="shared" si="29"/>
        <v>0.25444869215773269</v>
      </c>
      <c r="P194" s="27">
        <v>41</v>
      </c>
      <c r="Q194" s="27">
        <v>9.3654618473956397</v>
      </c>
      <c r="R194" s="25">
        <f t="shared" si="30"/>
        <v>4.3777873070297471</v>
      </c>
      <c r="T194" s="28">
        <v>0</v>
      </c>
      <c r="U194" s="28">
        <f t="shared" si="31"/>
        <v>-1.41224009094003E-2</v>
      </c>
      <c r="V194" s="28">
        <v>3.11279962661501E-2</v>
      </c>
      <c r="W194" s="28">
        <f t="shared" si="32"/>
        <v>-6.4244303328450797E-2</v>
      </c>
      <c r="X194" s="28">
        <v>-0.21667226646241</v>
      </c>
      <c r="Y194" s="28">
        <f t="shared" si="33"/>
        <v>-7.1911287218389991E-2</v>
      </c>
      <c r="Z194" s="28">
        <v>-9.1114720926270803E-3</v>
      </c>
      <c r="AA194" s="28">
        <f t="shared" si="34"/>
        <v>-0.11185433617545608</v>
      </c>
      <c r="AB194" s="28">
        <v>7.7075633613276295E-2</v>
      </c>
      <c r="AC194" s="28">
        <f t="shared" si="35"/>
        <v>-0.14408535383350671</v>
      </c>
      <c r="AD194" s="28">
        <v>-0.224505543797859</v>
      </c>
      <c r="AE194" s="28">
        <f t="shared" si="36"/>
        <v>-5.4359241240308998E-2</v>
      </c>
      <c r="AF194" s="28">
        <v>-0.35127473350556099</v>
      </c>
      <c r="AG194" s="28">
        <f t="shared" si="37"/>
        <v>-0.14636665061087098</v>
      </c>
      <c r="AH194" s="28">
        <v>-0.27858296616061101</v>
      </c>
      <c r="AI194" s="28">
        <f t="shared" si="38"/>
        <v>-8.9750176412050076E-3</v>
      </c>
      <c r="AJ194" s="28">
        <v>-0.10773320539650701</v>
      </c>
      <c r="AK194" s="28">
        <f t="shared" si="39"/>
        <v>6.6110986400454E-2</v>
      </c>
      <c r="AL194" s="28">
        <v>-2.86802729469855E-2</v>
      </c>
      <c r="AM194" s="28">
        <f t="shared" si="40"/>
        <v>-3.3361070391947578E-2</v>
      </c>
      <c r="AN194" s="28">
        <v>-7.5490065393751096E-2</v>
      </c>
      <c r="AO194" s="28">
        <f t="shared" si="41"/>
        <v>-8.6772162625493296E-2</v>
      </c>
      <c r="AP194" s="29"/>
      <c r="AR194" s="25">
        <v>5.65533980570763E-2</v>
      </c>
      <c r="AS194" s="25">
        <v>-7.3406774426112001E-2</v>
      </c>
      <c r="AT194" s="25">
        <v>0.101853486319742</v>
      </c>
      <c r="AU194" s="25">
        <v>-0.163124999999127</v>
      </c>
      <c r="AV194" s="30">
        <v>3</v>
      </c>
      <c r="AW194" s="30">
        <v>3</v>
      </c>
      <c r="AX194" s="31"/>
      <c r="AY194" s="25"/>
      <c r="AZ194" s="25">
        <v>-0.33330064718553298</v>
      </c>
      <c r="BA194" s="32">
        <v>43850</v>
      </c>
      <c r="BB194" s="31">
        <v>0.855773949212562</v>
      </c>
      <c r="BD194" s="64">
        <v>1075000</v>
      </c>
      <c r="BE194" s="25">
        <v>9.3200000000069894E-2</v>
      </c>
      <c r="BF194" s="33">
        <v>100190</v>
      </c>
      <c r="BG194" s="25">
        <v>0.26010000000009298</v>
      </c>
      <c r="BH194" s="72">
        <v>279607.5</v>
      </c>
      <c r="BI194" s="68" t="s">
        <v>785</v>
      </c>
    </row>
    <row r="195" spans="2:61" x14ac:dyDescent="0.25">
      <c r="B195" s="14" t="s">
        <v>194</v>
      </c>
      <c r="C195" s="14" t="s">
        <v>613</v>
      </c>
      <c r="D195" s="1" t="s">
        <v>400</v>
      </c>
      <c r="E195" s="1" t="s">
        <v>613</v>
      </c>
      <c r="F195" s="1" t="s">
        <v>906</v>
      </c>
      <c r="G195" s="87">
        <v>10827483.6</v>
      </c>
      <c r="H195" s="26">
        <v>43997</v>
      </c>
      <c r="J195" s="45">
        <v>102</v>
      </c>
      <c r="K195" s="25">
        <f t="shared" si="28"/>
        <v>0</v>
      </c>
      <c r="L195" s="26">
        <v>43997</v>
      </c>
      <c r="M195" s="45">
        <v>0</v>
      </c>
      <c r="N195" s="45">
        <v>39.196606425702598</v>
      </c>
      <c r="O195" s="25">
        <f t="shared" si="29"/>
        <v>0</v>
      </c>
      <c r="P195" s="27">
        <v>0</v>
      </c>
      <c r="Q195" s="27">
        <v>0.12851405622495801</v>
      </c>
      <c r="R195" s="25">
        <f t="shared" si="30"/>
        <v>0</v>
      </c>
      <c r="T195" s="28"/>
      <c r="U195" s="28" t="str">
        <f t="shared" si="31"/>
        <v/>
      </c>
      <c r="V195" s="28"/>
      <c r="W195" s="28" t="str">
        <f t="shared" si="32"/>
        <v/>
      </c>
      <c r="X195" s="28"/>
      <c r="Y195" s="28" t="str">
        <f t="shared" si="33"/>
        <v/>
      </c>
      <c r="Z195" s="28"/>
      <c r="AA195" s="28" t="str">
        <f t="shared" si="34"/>
        <v/>
      </c>
      <c r="AB195" s="28"/>
      <c r="AC195" s="28" t="str">
        <f t="shared" si="35"/>
        <v/>
      </c>
      <c r="AD195" s="28"/>
      <c r="AE195" s="28" t="str">
        <f t="shared" si="36"/>
        <v/>
      </c>
      <c r="AF195" s="28"/>
      <c r="AG195" s="28" t="str">
        <f t="shared" si="37"/>
        <v/>
      </c>
      <c r="AH195" s="28">
        <v>-0.202832498973294</v>
      </c>
      <c r="AI195" s="28">
        <f t="shared" si="38"/>
        <v>6.6775449546112003E-2</v>
      </c>
      <c r="AJ195" s="28">
        <v>-0.23789164306334001</v>
      </c>
      <c r="AK195" s="28">
        <f t="shared" si="39"/>
        <v>-6.4047451266379007E-2</v>
      </c>
      <c r="AL195" s="28"/>
      <c r="AM195" s="28" t="str">
        <f t="shared" si="40"/>
        <v/>
      </c>
      <c r="AN195" s="28"/>
      <c r="AO195" s="28" t="str">
        <f t="shared" si="41"/>
        <v/>
      </c>
      <c r="AP195" s="29"/>
      <c r="AR195" s="25"/>
      <c r="AS195" s="25"/>
      <c r="AT195" s="25">
        <v>0</v>
      </c>
      <c r="AU195" s="25">
        <v>0</v>
      </c>
      <c r="AV195" s="30"/>
      <c r="AW195" s="30"/>
      <c r="AX195" s="31"/>
      <c r="AY195" s="25"/>
      <c r="AZ195" s="25">
        <v>0</v>
      </c>
      <c r="BA195" s="32">
        <v>43993</v>
      </c>
      <c r="BB195" s="31"/>
      <c r="BD195" s="64">
        <v>106151.8</v>
      </c>
      <c r="BE195" s="25">
        <v>0.97300000000046605</v>
      </c>
      <c r="BF195" s="33">
        <v>103285.701400024</v>
      </c>
      <c r="BI195" s="68" t="s">
        <v>786</v>
      </c>
    </row>
    <row r="196" spans="2:61" x14ac:dyDescent="0.25">
      <c r="B196" s="14" t="s">
        <v>195</v>
      </c>
      <c r="C196" s="14" t="s">
        <v>614</v>
      </c>
      <c r="D196" s="1" t="s">
        <v>401</v>
      </c>
      <c r="E196" s="1" t="s">
        <v>614</v>
      </c>
      <c r="F196" s="1" t="s">
        <v>915</v>
      </c>
      <c r="G196" s="87">
        <v>874314490.61000001</v>
      </c>
      <c r="H196" s="26">
        <v>43999</v>
      </c>
      <c r="I196" s="45">
        <v>151.459999999963</v>
      </c>
      <c r="J196" s="45">
        <v>177.50395672791601</v>
      </c>
      <c r="K196" s="25">
        <f t="shared" si="28"/>
        <v>0.8532767538930186</v>
      </c>
      <c r="L196" s="26">
        <v>43664</v>
      </c>
      <c r="M196" s="45">
        <v>297630.23800000001</v>
      </c>
      <c r="N196" s="45">
        <v>582274.64017285197</v>
      </c>
      <c r="O196" s="25">
        <f t="shared" si="29"/>
        <v>0.51115095431881863</v>
      </c>
      <c r="P196" s="27">
        <v>231</v>
      </c>
      <c r="Q196" s="27">
        <v>61.614457831310602</v>
      </c>
      <c r="R196" s="25">
        <f t="shared" si="30"/>
        <v>3.7491200625742227</v>
      </c>
      <c r="T196" s="28">
        <v>-1.58544509422427E-2</v>
      </c>
      <c r="U196" s="28">
        <f t="shared" si="31"/>
        <v>-2.9976851851642998E-2</v>
      </c>
      <c r="V196" s="28">
        <v>0.12192592592517</v>
      </c>
      <c r="W196" s="28">
        <f t="shared" si="32"/>
        <v>2.6553626330569097E-2</v>
      </c>
      <c r="X196" s="28">
        <v>6.59863760374719E-2</v>
      </c>
      <c r="Y196" s="28">
        <f t="shared" si="33"/>
        <v>0.21074735528149191</v>
      </c>
      <c r="Z196" s="28">
        <v>0.201014986916562</v>
      </c>
      <c r="AA196" s="28">
        <f t="shared" si="34"/>
        <v>9.8272122833733003E-2</v>
      </c>
      <c r="AB196" s="28">
        <v>0.39829252610274102</v>
      </c>
      <c r="AC196" s="28">
        <f t="shared" si="35"/>
        <v>0.17713153865595802</v>
      </c>
      <c r="AD196" s="28">
        <v>4.45245169976261E-2</v>
      </c>
      <c r="AE196" s="28">
        <f t="shared" si="36"/>
        <v>0.21467081955517611</v>
      </c>
      <c r="AF196" s="28">
        <v>-0.12435769546849799</v>
      </c>
      <c r="AG196" s="28">
        <f t="shared" si="37"/>
        <v>8.0550387426192013E-2</v>
      </c>
      <c r="AH196" s="28">
        <v>-0.192172402336728</v>
      </c>
      <c r="AI196" s="28">
        <f t="shared" si="38"/>
        <v>7.7435546182678006E-2</v>
      </c>
      <c r="AJ196" s="28">
        <v>-4.25928035911056E-2</v>
      </c>
      <c r="AK196" s="28">
        <f t="shared" si="39"/>
        <v>0.13125138820585541</v>
      </c>
      <c r="AL196" s="28"/>
      <c r="AM196" s="28" t="str">
        <f t="shared" si="40"/>
        <v/>
      </c>
      <c r="AN196" s="28"/>
      <c r="AO196" s="28" t="str">
        <f t="shared" si="41"/>
        <v/>
      </c>
      <c r="AP196" s="29">
        <v>36.0471800080268</v>
      </c>
      <c r="AR196" s="25">
        <v>7.5539268760621794E-2</v>
      </c>
      <c r="AS196" s="25">
        <v>-4.7619047618354698E-2</v>
      </c>
      <c r="AT196" s="25">
        <v>0.12192592592517</v>
      </c>
      <c r="AU196" s="25">
        <v>-0.119582433404576</v>
      </c>
      <c r="AV196" s="30">
        <v>3</v>
      </c>
      <c r="AW196" s="30">
        <v>3</v>
      </c>
      <c r="AX196" s="31">
        <v>0.55072827650201395</v>
      </c>
      <c r="AY196" s="25">
        <v>3.3505519715399702E-2</v>
      </c>
      <c r="AZ196" s="25">
        <v>-0.27186072681564799</v>
      </c>
      <c r="BA196" s="32">
        <v>43833</v>
      </c>
      <c r="BB196" s="31">
        <v>0.52284467317258498</v>
      </c>
      <c r="BD196" s="64">
        <v>5772576.8559999997</v>
      </c>
      <c r="BE196" s="25">
        <v>0.23350000000034901</v>
      </c>
      <c r="BF196" s="33">
        <v>1347896.6958769499</v>
      </c>
      <c r="BG196" s="25">
        <v>0.46040000000037301</v>
      </c>
      <c r="BH196" s="72">
        <v>2657694.3845039099</v>
      </c>
      <c r="BI196" s="68" t="s">
        <v>787</v>
      </c>
    </row>
    <row r="197" spans="2:61" x14ac:dyDescent="0.25">
      <c r="B197" s="14" t="s">
        <v>196</v>
      </c>
      <c r="C197" s="14" t="s">
        <v>615</v>
      </c>
      <c r="D197" s="1" t="s">
        <v>402</v>
      </c>
      <c r="E197" s="1" t="s">
        <v>615</v>
      </c>
      <c r="F197" s="1" t="s">
        <v>910</v>
      </c>
      <c r="H197" s="26">
        <v>43951</v>
      </c>
      <c r="J197" s="45">
        <v>19000000</v>
      </c>
      <c r="K197" s="25">
        <f t="shared" si="28"/>
        <v>0</v>
      </c>
      <c r="L197" s="26">
        <v>43809</v>
      </c>
      <c r="M197" s="45">
        <v>0</v>
      </c>
      <c r="N197" s="45">
        <v>1606.70682730865</v>
      </c>
      <c r="O197" s="25">
        <f t="shared" si="29"/>
        <v>0</v>
      </c>
      <c r="P197" s="27">
        <v>0</v>
      </c>
      <c r="Q197" s="27">
        <v>4.81927710843593E-2</v>
      </c>
      <c r="R197" s="25">
        <f t="shared" si="30"/>
        <v>0</v>
      </c>
      <c r="T197" s="28"/>
      <c r="U197" s="28" t="str">
        <f t="shared" si="31"/>
        <v/>
      </c>
      <c r="V197" s="28"/>
      <c r="W197" s="28" t="str">
        <f t="shared" si="32"/>
        <v/>
      </c>
      <c r="X197" s="28"/>
      <c r="Y197" s="28" t="str">
        <f t="shared" si="33"/>
        <v/>
      </c>
      <c r="Z197" s="28"/>
      <c r="AA197" s="28" t="str">
        <f t="shared" si="34"/>
        <v/>
      </c>
      <c r="AB197" s="28"/>
      <c r="AC197" s="28" t="str">
        <f t="shared" si="35"/>
        <v/>
      </c>
      <c r="AD197" s="28"/>
      <c r="AE197" s="28" t="str">
        <f t="shared" si="36"/>
        <v/>
      </c>
      <c r="AF197" s="28"/>
      <c r="AG197" s="28" t="str">
        <f t="shared" si="37"/>
        <v/>
      </c>
      <c r="AH197" s="28"/>
      <c r="AI197" s="28" t="str">
        <f t="shared" si="38"/>
        <v/>
      </c>
      <c r="AJ197" s="28"/>
      <c r="AK197" s="28" t="str">
        <f t="shared" si="39"/>
        <v/>
      </c>
      <c r="AL197" s="28"/>
      <c r="AM197" s="28" t="str">
        <f t="shared" si="40"/>
        <v/>
      </c>
      <c r="AN197" s="28"/>
      <c r="AO197" s="28" t="str">
        <f t="shared" si="41"/>
        <v/>
      </c>
      <c r="AP197" s="29"/>
      <c r="AR197" s="25">
        <v>0</v>
      </c>
      <c r="AS197" s="25">
        <v>0</v>
      </c>
      <c r="AT197" s="25">
        <v>-5.2631578947548399E-2</v>
      </c>
      <c r="AU197" s="25">
        <v>-5.2631578947548399E-2</v>
      </c>
      <c r="AV197" s="30"/>
      <c r="AW197" s="30"/>
      <c r="AX197" s="31"/>
      <c r="AY197" s="25"/>
      <c r="AZ197" s="25">
        <v>-0.11111111111109501</v>
      </c>
      <c r="BA197" s="32">
        <v>43844</v>
      </c>
      <c r="BB197" s="31"/>
      <c r="BD197" s="64">
        <v>3</v>
      </c>
      <c r="BE197" s="25">
        <v>5.29999999999745E-3</v>
      </c>
      <c r="BF197" s="33">
        <v>1.58999999999942E-2</v>
      </c>
      <c r="BI197" s="68" t="s">
        <v>710</v>
      </c>
    </row>
    <row r="198" spans="2:61" x14ac:dyDescent="0.25">
      <c r="B198" s="14" t="s">
        <v>197</v>
      </c>
      <c r="C198" s="14" t="s">
        <v>616</v>
      </c>
      <c r="D198" s="1" t="s">
        <v>403</v>
      </c>
      <c r="E198" s="1" t="s">
        <v>616</v>
      </c>
      <c r="F198" s="1" t="s">
        <v>920</v>
      </c>
      <c r="H198" s="26"/>
      <c r="K198" s="25" t="str">
        <f t="shared" si="28"/>
        <v/>
      </c>
      <c r="L198" s="26"/>
      <c r="M198" s="45">
        <v>0</v>
      </c>
      <c r="O198" s="25" t="str">
        <f t="shared" si="29"/>
        <v/>
      </c>
      <c r="P198" s="27">
        <v>0</v>
      </c>
      <c r="Q198" s="27"/>
      <c r="R198" s="25" t="str">
        <f t="shared" si="30"/>
        <v/>
      </c>
      <c r="T198" s="28"/>
      <c r="U198" s="28" t="str">
        <f t="shared" si="31"/>
        <v/>
      </c>
      <c r="V198" s="28"/>
      <c r="W198" s="28" t="str">
        <f t="shared" si="32"/>
        <v/>
      </c>
      <c r="X198" s="28"/>
      <c r="Y198" s="28" t="str">
        <f t="shared" si="33"/>
        <v/>
      </c>
      <c r="Z198" s="28"/>
      <c r="AA198" s="28" t="str">
        <f t="shared" si="34"/>
        <v/>
      </c>
      <c r="AB198" s="28"/>
      <c r="AC198" s="28" t="str">
        <f t="shared" si="35"/>
        <v/>
      </c>
      <c r="AD198" s="28"/>
      <c r="AE198" s="28" t="str">
        <f t="shared" si="36"/>
        <v/>
      </c>
      <c r="AF198" s="28"/>
      <c r="AG198" s="28" t="str">
        <f t="shared" si="37"/>
        <v/>
      </c>
      <c r="AH198" s="28"/>
      <c r="AI198" s="28" t="str">
        <f t="shared" si="38"/>
        <v/>
      </c>
      <c r="AJ198" s="28"/>
      <c r="AK198" s="28" t="str">
        <f t="shared" si="39"/>
        <v/>
      </c>
      <c r="AL198" s="28"/>
      <c r="AM198" s="28" t="str">
        <f t="shared" si="40"/>
        <v/>
      </c>
      <c r="AN198" s="28"/>
      <c r="AO198" s="28" t="str">
        <f t="shared" si="41"/>
        <v/>
      </c>
      <c r="AP198" s="29"/>
      <c r="AR198" s="25"/>
      <c r="AS198" s="25"/>
      <c r="AT198" s="25"/>
      <c r="AU198" s="25"/>
      <c r="AV198" s="30"/>
      <c r="AW198" s="30"/>
      <c r="AX198" s="31"/>
      <c r="AY198" s="25"/>
      <c r="AZ198" s="25"/>
      <c r="BA198" s="32"/>
      <c r="BB198" s="31"/>
      <c r="BD198" s="64">
        <v>383.15499999999997</v>
      </c>
      <c r="BE198" s="25">
        <v>0.32489999999990699</v>
      </c>
      <c r="BF198" s="33">
        <v>124.487059499979</v>
      </c>
      <c r="BI198" s="68" t="s">
        <v>788</v>
      </c>
    </row>
    <row r="199" spans="2:61" x14ac:dyDescent="0.25">
      <c r="B199" s="14" t="s">
        <v>198</v>
      </c>
      <c r="C199" s="14" t="s">
        <v>617</v>
      </c>
      <c r="D199" s="1" t="s">
        <v>404</v>
      </c>
      <c r="E199" s="1" t="s">
        <v>617</v>
      </c>
      <c r="F199" s="1" t="s">
        <v>909</v>
      </c>
      <c r="H199" s="26">
        <v>43677</v>
      </c>
      <c r="J199" s="45">
        <v>1959.15952000022</v>
      </c>
      <c r="K199" s="25">
        <f t="shared" si="28"/>
        <v>0</v>
      </c>
      <c r="L199" s="26">
        <v>43677</v>
      </c>
      <c r="M199" s="45">
        <v>0</v>
      </c>
      <c r="N199" s="45">
        <v>6.1791164658665698</v>
      </c>
      <c r="O199" s="25">
        <f t="shared" si="29"/>
        <v>0</v>
      </c>
      <c r="P199" s="27">
        <v>0</v>
      </c>
      <c r="Q199" s="27">
        <v>1.60642570281198E-2</v>
      </c>
      <c r="R199" s="25">
        <f t="shared" si="30"/>
        <v>0</v>
      </c>
      <c r="T199" s="28"/>
      <c r="U199" s="28" t="str">
        <f t="shared" si="31"/>
        <v/>
      </c>
      <c r="V199" s="28"/>
      <c r="W199" s="28" t="str">
        <f t="shared" si="32"/>
        <v/>
      </c>
      <c r="X199" s="28"/>
      <c r="Y199" s="28" t="str">
        <f t="shared" si="33"/>
        <v/>
      </c>
      <c r="Z199" s="28"/>
      <c r="AA199" s="28" t="str">
        <f t="shared" si="34"/>
        <v/>
      </c>
      <c r="AB199" s="28"/>
      <c r="AC199" s="28" t="str">
        <f t="shared" si="35"/>
        <v/>
      </c>
      <c r="AD199" s="28"/>
      <c r="AE199" s="28" t="str">
        <f t="shared" si="36"/>
        <v/>
      </c>
      <c r="AF199" s="28"/>
      <c r="AG199" s="28" t="str">
        <f t="shared" si="37"/>
        <v/>
      </c>
      <c r="AH199" s="28"/>
      <c r="AI199" s="28" t="str">
        <f t="shared" si="38"/>
        <v/>
      </c>
      <c r="AJ199" s="28"/>
      <c r="AK199" s="28" t="str">
        <f t="shared" si="39"/>
        <v/>
      </c>
      <c r="AL199" s="28"/>
      <c r="AM199" s="28" t="str">
        <f t="shared" si="40"/>
        <v/>
      </c>
      <c r="AN199" s="28"/>
      <c r="AO199" s="28" t="str">
        <f t="shared" si="41"/>
        <v/>
      </c>
      <c r="AP199" s="29"/>
      <c r="AR199" s="25"/>
      <c r="AS199" s="25"/>
      <c r="AT199" s="25"/>
      <c r="AU199" s="25"/>
      <c r="AV199" s="30"/>
      <c r="AW199" s="30"/>
      <c r="AX199" s="31"/>
      <c r="AY199" s="25"/>
      <c r="AZ199" s="25"/>
      <c r="BA199" s="26"/>
      <c r="BD199" s="64">
        <v>11000</v>
      </c>
      <c r="BE199" s="25">
        <v>0.50349999999976702</v>
      </c>
      <c r="BF199" s="33">
        <v>5538.5</v>
      </c>
      <c r="BI199" s="68" t="s">
        <v>789</v>
      </c>
    </row>
    <row r="200" spans="2:61" x14ac:dyDescent="0.25">
      <c r="B200" s="14" t="s">
        <v>199</v>
      </c>
      <c r="C200" s="14" t="s">
        <v>618</v>
      </c>
      <c r="D200" s="1" t="s">
        <v>405</v>
      </c>
      <c r="E200" s="1" t="s">
        <v>618</v>
      </c>
      <c r="F200" s="1" t="s">
        <v>913</v>
      </c>
      <c r="H200" s="26">
        <v>43889</v>
      </c>
      <c r="J200" s="45">
        <v>142.05539999995401</v>
      </c>
      <c r="K200" s="25">
        <f t="shared" si="28"/>
        <v>0</v>
      </c>
      <c r="L200" s="26">
        <v>43889</v>
      </c>
      <c r="M200" s="45">
        <v>0</v>
      </c>
      <c r="N200" s="45">
        <v>0.37687550200801301</v>
      </c>
      <c r="O200" s="25">
        <f t="shared" si="29"/>
        <v>0</v>
      </c>
      <c r="P200" s="27">
        <v>0</v>
      </c>
      <c r="Q200" s="27">
        <v>1.2048192771089801E-2</v>
      </c>
      <c r="R200" s="25">
        <f t="shared" si="30"/>
        <v>0</v>
      </c>
      <c r="T200" s="28"/>
      <c r="U200" s="28" t="str">
        <f t="shared" si="31"/>
        <v/>
      </c>
      <c r="V200" s="28"/>
      <c r="W200" s="28" t="str">
        <f t="shared" si="32"/>
        <v/>
      </c>
      <c r="X200" s="28"/>
      <c r="Y200" s="28" t="str">
        <f t="shared" si="33"/>
        <v/>
      </c>
      <c r="Z200" s="28"/>
      <c r="AA200" s="28" t="str">
        <f t="shared" si="34"/>
        <v/>
      </c>
      <c r="AB200" s="28"/>
      <c r="AC200" s="28" t="str">
        <f t="shared" si="35"/>
        <v/>
      </c>
      <c r="AD200" s="28"/>
      <c r="AE200" s="28" t="str">
        <f t="shared" si="36"/>
        <v/>
      </c>
      <c r="AF200" s="28"/>
      <c r="AG200" s="28" t="str">
        <f t="shared" si="37"/>
        <v/>
      </c>
      <c r="AH200" s="28"/>
      <c r="AI200" s="28" t="str">
        <f t="shared" si="38"/>
        <v/>
      </c>
      <c r="AJ200" s="28"/>
      <c r="AK200" s="28" t="str">
        <f t="shared" si="39"/>
        <v/>
      </c>
      <c r="AL200" s="28"/>
      <c r="AM200" s="28" t="str">
        <f t="shared" si="40"/>
        <v/>
      </c>
      <c r="AN200" s="28"/>
      <c r="AO200" s="28" t="str">
        <f t="shared" si="41"/>
        <v/>
      </c>
      <c r="AP200" s="29"/>
      <c r="AR200" s="25"/>
      <c r="AS200" s="25"/>
      <c r="AT200" s="25"/>
      <c r="AU200" s="25"/>
      <c r="AV200" s="30"/>
      <c r="AW200" s="30"/>
      <c r="AX200" s="31"/>
      <c r="AY200" s="25"/>
      <c r="AZ200" s="25">
        <v>0</v>
      </c>
      <c r="BA200" s="26">
        <v>43889</v>
      </c>
      <c r="BD200" s="64">
        <v>1034572.184</v>
      </c>
      <c r="BE200" s="25">
        <v>0.60559999999997705</v>
      </c>
      <c r="BF200" s="33">
        <v>626536.91463085904</v>
      </c>
      <c r="BI200" s="68" t="s">
        <v>289</v>
      </c>
    </row>
    <row r="201" spans="2:61" x14ac:dyDescent="0.25">
      <c r="B201" s="14" t="s">
        <v>200</v>
      </c>
      <c r="C201" s="14" t="s">
        <v>619</v>
      </c>
      <c r="D201" s="1" t="s">
        <v>406</v>
      </c>
      <c r="E201" s="1" t="s">
        <v>619</v>
      </c>
      <c r="F201" s="1" t="s">
        <v>906</v>
      </c>
      <c r="G201" s="87">
        <v>27109084.028999999</v>
      </c>
      <c r="H201" s="26">
        <v>43992</v>
      </c>
      <c r="J201" s="45">
        <v>29</v>
      </c>
      <c r="K201" s="25">
        <f t="shared" si="28"/>
        <v>0</v>
      </c>
      <c r="L201" s="26">
        <v>43992</v>
      </c>
      <c r="M201" s="45">
        <v>0</v>
      </c>
      <c r="N201" s="45">
        <v>70.1953333333731</v>
      </c>
      <c r="O201" s="25">
        <f t="shared" si="29"/>
        <v>0</v>
      </c>
      <c r="P201" s="27">
        <v>0</v>
      </c>
      <c r="Q201" s="27">
        <v>0.136546184739018</v>
      </c>
      <c r="R201" s="25">
        <f t="shared" si="30"/>
        <v>0</v>
      </c>
      <c r="T201" s="28"/>
      <c r="U201" s="28" t="str">
        <f t="shared" si="31"/>
        <v/>
      </c>
      <c r="V201" s="28"/>
      <c r="W201" s="28" t="str">
        <f t="shared" si="32"/>
        <v/>
      </c>
      <c r="X201" s="28"/>
      <c r="Y201" s="28" t="str">
        <f t="shared" si="33"/>
        <v/>
      </c>
      <c r="Z201" s="28"/>
      <c r="AA201" s="28" t="str">
        <f t="shared" si="34"/>
        <v/>
      </c>
      <c r="AB201" s="28"/>
      <c r="AC201" s="28" t="str">
        <f t="shared" si="35"/>
        <v/>
      </c>
      <c r="AD201" s="28"/>
      <c r="AE201" s="28" t="str">
        <f t="shared" si="36"/>
        <v/>
      </c>
      <c r="AF201" s="28"/>
      <c r="AG201" s="28" t="str">
        <f t="shared" si="37"/>
        <v/>
      </c>
      <c r="AH201" s="28"/>
      <c r="AI201" s="28" t="str">
        <f t="shared" si="38"/>
        <v/>
      </c>
      <c r="AJ201" s="28"/>
      <c r="AK201" s="28" t="str">
        <f t="shared" si="39"/>
        <v/>
      </c>
      <c r="AL201" s="28"/>
      <c r="AM201" s="28" t="str">
        <f t="shared" si="40"/>
        <v/>
      </c>
      <c r="AN201" s="28"/>
      <c r="AO201" s="28" t="str">
        <f t="shared" si="41"/>
        <v/>
      </c>
      <c r="AP201" s="29"/>
      <c r="AR201" s="25">
        <v>0</v>
      </c>
      <c r="AS201" s="25">
        <v>0</v>
      </c>
      <c r="AT201" s="25">
        <v>0</v>
      </c>
      <c r="AU201" s="25">
        <v>0</v>
      </c>
      <c r="AV201" s="30"/>
      <c r="AW201" s="30"/>
      <c r="AX201" s="31"/>
      <c r="AY201" s="25"/>
      <c r="AZ201" s="25">
        <v>0</v>
      </c>
      <c r="BA201" s="26">
        <v>43817</v>
      </c>
      <c r="BD201" s="64">
        <v>934796.00100000005</v>
      </c>
      <c r="BE201" s="25">
        <v>0.93150000000023303</v>
      </c>
      <c r="BF201" s="33">
        <v>870762.47493164102</v>
      </c>
      <c r="BI201" s="68" t="s">
        <v>728</v>
      </c>
    </row>
    <row r="202" spans="2:61" x14ac:dyDescent="0.25">
      <c r="B202" s="14" t="s">
        <v>201</v>
      </c>
      <c r="C202" s="14" t="s">
        <v>620</v>
      </c>
      <c r="D202" s="1" t="s">
        <v>407</v>
      </c>
      <c r="E202" s="1" t="s">
        <v>620</v>
      </c>
      <c r="F202" s="1" t="s">
        <v>906</v>
      </c>
      <c r="G202" s="87">
        <v>246196349.15799999</v>
      </c>
      <c r="H202" s="26">
        <v>43999</v>
      </c>
      <c r="I202" s="45">
        <v>1.7980000000006799</v>
      </c>
      <c r="J202" s="45">
        <v>3.7034151084662899</v>
      </c>
      <c r="K202" s="25">
        <f t="shared" si="28"/>
        <v>0.48549783033781835</v>
      </c>
      <c r="L202" s="26">
        <v>43634</v>
      </c>
      <c r="M202" s="45">
        <v>15888.871999999999</v>
      </c>
      <c r="N202" s="45">
        <v>89651.384257080106</v>
      </c>
      <c r="O202" s="25">
        <f t="shared" si="29"/>
        <v>0.17722952223958768</v>
      </c>
      <c r="P202" s="27">
        <v>53</v>
      </c>
      <c r="Q202" s="27">
        <v>40.353413654607699</v>
      </c>
      <c r="R202" s="25">
        <f t="shared" si="30"/>
        <v>1.3133957006372934</v>
      </c>
      <c r="T202" s="28">
        <v>-3.6957686127607303E-2</v>
      </c>
      <c r="U202" s="28">
        <f t="shared" si="31"/>
        <v>-5.1080087037007602E-2</v>
      </c>
      <c r="V202" s="28">
        <v>2.2144109510918501E-2</v>
      </c>
      <c r="W202" s="28">
        <f t="shared" si="32"/>
        <v>-7.3228190083682407E-2</v>
      </c>
      <c r="X202" s="28">
        <v>-0.28518566818180302</v>
      </c>
      <c r="Y202" s="28">
        <f t="shared" si="33"/>
        <v>-0.14042468893778301</v>
      </c>
      <c r="Z202" s="28">
        <v>0.16272176981525299</v>
      </c>
      <c r="AA202" s="28">
        <f t="shared" si="34"/>
        <v>5.9978905732423995E-2</v>
      </c>
      <c r="AB202" s="28">
        <v>0.23832653924182501</v>
      </c>
      <c r="AC202" s="28">
        <f t="shared" si="35"/>
        <v>1.7165551795042006E-2</v>
      </c>
      <c r="AD202" s="28">
        <v>-0.30522462602500999</v>
      </c>
      <c r="AE202" s="28">
        <f t="shared" si="36"/>
        <v>-0.13507832346745999</v>
      </c>
      <c r="AF202" s="28">
        <v>-0.50688342665380304</v>
      </c>
      <c r="AG202" s="28">
        <f t="shared" si="37"/>
        <v>-0.30197534375911306</v>
      </c>
      <c r="AH202" s="28">
        <v>-0.69929881441872599</v>
      </c>
      <c r="AI202" s="28">
        <f t="shared" si="38"/>
        <v>-0.42969086589931998</v>
      </c>
      <c r="AJ202" s="28">
        <v>-0.59553317007608697</v>
      </c>
      <c r="AK202" s="28">
        <f t="shared" si="39"/>
        <v>-0.42168897827912599</v>
      </c>
      <c r="AL202" s="28">
        <v>-0.429072170834988</v>
      </c>
      <c r="AM202" s="28">
        <f t="shared" si="40"/>
        <v>-0.43375296827995008</v>
      </c>
      <c r="AN202" s="28">
        <v>8.0285165535315201E-2</v>
      </c>
      <c r="AO202" s="28">
        <f t="shared" si="41"/>
        <v>6.9003068303573001E-2</v>
      </c>
      <c r="AP202" s="29">
        <v>59.047293168841897</v>
      </c>
      <c r="AR202" s="25">
        <v>0.18511796733218899</v>
      </c>
      <c r="AS202" s="25">
        <v>-0.24845995893148901</v>
      </c>
      <c r="AT202" s="25">
        <v>0.106282101935067</v>
      </c>
      <c r="AU202" s="25">
        <v>-0.37017804154311301</v>
      </c>
      <c r="AV202" s="30">
        <v>3</v>
      </c>
      <c r="AW202" s="30">
        <v>3</v>
      </c>
      <c r="AX202" s="31">
        <v>-0.56874417261315102</v>
      </c>
      <c r="AY202" s="25">
        <v>7.2814838619015096E-2</v>
      </c>
      <c r="AZ202" s="25">
        <v>-0.62741771292814497</v>
      </c>
      <c r="BA202" s="26">
        <v>43846</v>
      </c>
      <c r="BB202" s="58">
        <v>0.99348080133677297</v>
      </c>
      <c r="BD202" s="64">
        <v>136927891.634</v>
      </c>
      <c r="BE202" s="25">
        <v>0.76829999999958098</v>
      </c>
      <c r="BF202" s="33">
        <v>105201699.14237501</v>
      </c>
      <c r="BG202" s="25">
        <v>0.231700000000128</v>
      </c>
      <c r="BH202" s="72">
        <v>31726192.4915937</v>
      </c>
      <c r="BI202" s="68" t="s">
        <v>375</v>
      </c>
    </row>
    <row r="203" spans="2:61" x14ac:dyDescent="0.25">
      <c r="B203" s="34" t="s">
        <v>202</v>
      </c>
      <c r="C203" s="14" t="s">
        <v>621</v>
      </c>
      <c r="D203" s="1" t="s">
        <v>408</v>
      </c>
      <c r="E203" s="1" t="s">
        <v>621</v>
      </c>
      <c r="F203" s="1" t="s">
        <v>906</v>
      </c>
      <c r="G203" s="87">
        <v>455162141.59500003</v>
      </c>
      <c r="H203" s="26">
        <v>43993</v>
      </c>
      <c r="J203" s="45">
        <v>301.31914940802397</v>
      </c>
      <c r="K203" s="25"/>
      <c r="L203" s="26">
        <v>43665</v>
      </c>
      <c r="M203" s="45">
        <v>0</v>
      </c>
      <c r="N203" s="45">
        <v>346.99321285152399</v>
      </c>
      <c r="O203" s="25"/>
      <c r="P203" s="27">
        <v>0</v>
      </c>
      <c r="Q203" s="27"/>
      <c r="R203" s="25"/>
      <c r="T203" s="28"/>
      <c r="U203" s="28"/>
      <c r="V203" s="28"/>
      <c r="W203" s="28"/>
      <c r="X203" s="28">
        <v>1.8271349141286902E-2</v>
      </c>
      <c r="Y203" s="28"/>
      <c r="Z203" s="28">
        <v>-5.5451496536988998E-2</v>
      </c>
      <c r="AA203" s="28"/>
      <c r="AB203" s="28"/>
      <c r="AC203" s="28"/>
      <c r="AD203" s="28">
        <v>1.8271349141286902E-2</v>
      </c>
      <c r="AE203" s="28"/>
      <c r="AF203" s="28">
        <v>-0.22009603285550799</v>
      </c>
      <c r="AG203" s="28"/>
      <c r="AH203" s="28">
        <v>-0.61815655678394299</v>
      </c>
      <c r="AI203" s="28"/>
      <c r="AJ203" s="28">
        <v>-0.455608221095754</v>
      </c>
      <c r="AK203" s="28"/>
      <c r="AL203" s="28">
        <v>-0.41606154892710001</v>
      </c>
      <c r="AM203" s="28"/>
      <c r="AN203" s="28"/>
      <c r="AO203" s="28"/>
      <c r="AP203" s="29"/>
      <c r="AR203" s="25">
        <v>4.4351613189064699E-2</v>
      </c>
      <c r="AS203" s="25">
        <v>-9.0534314121177906E-2</v>
      </c>
      <c r="AT203" s="25">
        <v>7.80508840034599E-2</v>
      </c>
      <c r="AU203" s="25">
        <v>-4.5602110314575797E-2</v>
      </c>
      <c r="AV203" s="30"/>
      <c r="AW203" s="30"/>
      <c r="AX203" s="31"/>
      <c r="AY203" s="25"/>
      <c r="AZ203" s="25">
        <v>-9.9919999999983702E-2</v>
      </c>
      <c r="BA203" s="26">
        <v>43881</v>
      </c>
      <c r="BD203" s="64">
        <v>1815875.6189999999</v>
      </c>
      <c r="BE203" s="25">
        <v>0.88640000000013996</v>
      </c>
      <c r="BF203" s="33">
        <v>1716832.8608925799</v>
      </c>
      <c r="BI203" s="68" t="s">
        <v>790</v>
      </c>
    </row>
    <row r="204" spans="2:61" x14ac:dyDescent="0.25">
      <c r="B204" s="34" t="s">
        <v>203</v>
      </c>
      <c r="C204" s="14" t="s">
        <v>622</v>
      </c>
      <c r="D204" s="1" t="s">
        <v>408</v>
      </c>
      <c r="E204" s="1" t="s">
        <v>622</v>
      </c>
      <c r="F204" s="1" t="s">
        <v>906</v>
      </c>
      <c r="G204" s="87">
        <v>455162141.59500003</v>
      </c>
      <c r="H204" s="26">
        <v>43937</v>
      </c>
      <c r="J204" s="45">
        <v>283.75517999986198</v>
      </c>
      <c r="K204" s="25"/>
      <c r="L204" s="26">
        <v>43937</v>
      </c>
      <c r="M204" s="45">
        <v>0</v>
      </c>
      <c r="N204" s="45">
        <v>5.9687550200819999</v>
      </c>
      <c r="O204" s="25"/>
      <c r="P204" s="27">
        <v>0</v>
      </c>
      <c r="Q204" s="27">
        <v>8.0321285140598792E-3</v>
      </c>
      <c r="R204" s="25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9"/>
      <c r="AR204" s="25"/>
      <c r="AS204" s="25"/>
      <c r="AT204" s="25"/>
      <c r="AU204" s="25"/>
      <c r="AV204" s="30"/>
      <c r="AW204" s="30"/>
      <c r="AX204" s="31"/>
      <c r="AY204" s="25"/>
      <c r="AZ204" s="25">
        <v>0</v>
      </c>
      <c r="BA204" s="26">
        <v>43937</v>
      </c>
      <c r="BD204" s="64">
        <v>120984.558</v>
      </c>
      <c r="BE204" s="25">
        <v>0.88640000000013996</v>
      </c>
      <c r="BF204" s="33">
        <v>1716832.8608925799</v>
      </c>
      <c r="BI204" s="68" t="s">
        <v>790</v>
      </c>
    </row>
    <row r="205" spans="2:61" x14ac:dyDescent="0.25">
      <c r="B205" s="34" t="s">
        <v>204</v>
      </c>
      <c r="C205" s="14" t="s">
        <v>623</v>
      </c>
      <c r="D205" s="1" t="s">
        <v>409</v>
      </c>
      <c r="E205" s="1" t="s">
        <v>623</v>
      </c>
      <c r="F205" s="1" t="s">
        <v>906</v>
      </c>
      <c r="H205" s="26">
        <v>43962</v>
      </c>
      <c r="J205" s="45">
        <v>430000</v>
      </c>
      <c r="K205" s="25"/>
      <c r="L205" s="26">
        <v>43962</v>
      </c>
      <c r="M205" s="45">
        <v>0</v>
      </c>
      <c r="N205" s="45">
        <v>32.008032128512902</v>
      </c>
      <c r="O205" s="25"/>
      <c r="P205" s="27">
        <v>0</v>
      </c>
      <c r="Q205" s="27">
        <v>8.0321285140598792E-3</v>
      </c>
      <c r="R205" s="25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9"/>
      <c r="AR205" s="25"/>
      <c r="AS205" s="25"/>
      <c r="AT205" s="25"/>
      <c r="AU205" s="25"/>
      <c r="AV205" s="30"/>
      <c r="AW205" s="30"/>
      <c r="AX205" s="31"/>
      <c r="AY205" s="25"/>
      <c r="AZ205" s="25">
        <v>0</v>
      </c>
      <c r="BA205" s="26">
        <v>43962</v>
      </c>
      <c r="BD205" s="64">
        <v>68.771000000000001</v>
      </c>
      <c r="BE205" s="25">
        <v>0.108700000000099</v>
      </c>
      <c r="BF205" s="33">
        <v>7.5080177000016004</v>
      </c>
      <c r="BI205" s="68" t="s">
        <v>791</v>
      </c>
    </row>
    <row r="206" spans="2:61" x14ac:dyDescent="0.25">
      <c r="B206" s="34" t="s">
        <v>205</v>
      </c>
      <c r="C206" s="14" t="s">
        <v>624</v>
      </c>
      <c r="D206" s="1" t="s">
        <v>409</v>
      </c>
      <c r="E206" s="1" t="s">
        <v>624</v>
      </c>
      <c r="F206" s="1" t="s">
        <v>906</v>
      </c>
      <c r="H206" s="26">
        <v>43809</v>
      </c>
      <c r="J206" s="45">
        <v>3000000</v>
      </c>
      <c r="K206" s="25"/>
      <c r="L206" s="26">
        <v>43809</v>
      </c>
      <c r="M206" s="45">
        <v>0</v>
      </c>
      <c r="N206" s="45">
        <v>9.0361445783078693</v>
      </c>
      <c r="O206" s="25"/>
      <c r="P206" s="27">
        <v>0</v>
      </c>
      <c r="Q206" s="27">
        <v>4.0160642570299396E-3</v>
      </c>
      <c r="R206" s="25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9"/>
      <c r="AR206" s="25"/>
      <c r="AS206" s="25"/>
      <c r="AT206" s="25"/>
      <c r="AU206" s="25"/>
      <c r="AV206" s="30"/>
      <c r="AW206" s="30"/>
      <c r="AX206" s="31"/>
      <c r="AY206" s="25"/>
      <c r="AZ206" s="25"/>
      <c r="BA206" s="26"/>
      <c r="BD206" s="64">
        <v>0.3</v>
      </c>
      <c r="BE206" s="25">
        <v>0.108700000000099</v>
      </c>
      <c r="BF206" s="33">
        <v>7.5080177000016004</v>
      </c>
      <c r="BI206" s="68" t="s">
        <v>791</v>
      </c>
    </row>
    <row r="207" spans="2:61" x14ac:dyDescent="0.25">
      <c r="B207" s="34" t="s">
        <v>206</v>
      </c>
      <c r="C207" s="14" t="s">
        <v>625</v>
      </c>
      <c r="D207" s="1" t="s">
        <v>410</v>
      </c>
      <c r="E207" s="1" t="s">
        <v>625</v>
      </c>
      <c r="F207" s="1" t="s">
        <v>916</v>
      </c>
      <c r="H207" s="26">
        <v>43691</v>
      </c>
      <c r="J207" s="45">
        <v>100000</v>
      </c>
      <c r="K207" s="25"/>
      <c r="L207" s="26">
        <v>43691</v>
      </c>
      <c r="M207" s="45">
        <v>0</v>
      </c>
      <c r="N207" s="45">
        <v>11.646586345374599</v>
      </c>
      <c r="O207" s="25"/>
      <c r="P207" s="27">
        <v>0</v>
      </c>
      <c r="Q207" s="27">
        <v>4.0160642570299396E-3</v>
      </c>
      <c r="R207" s="25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9"/>
      <c r="AR207" s="25"/>
      <c r="AS207" s="25"/>
      <c r="AT207" s="25"/>
      <c r="AU207" s="25"/>
      <c r="AV207" s="30"/>
      <c r="AW207" s="30"/>
      <c r="AX207" s="31"/>
      <c r="AY207" s="25"/>
      <c r="AZ207" s="25"/>
      <c r="BA207" s="26"/>
      <c r="BD207" s="64">
        <v>0.872</v>
      </c>
      <c r="BE207" s="25">
        <v>0.41509999999951103</v>
      </c>
      <c r="BF207" s="33">
        <v>0.36196719999983901</v>
      </c>
      <c r="BI207" s="68" t="s">
        <v>792</v>
      </c>
    </row>
    <row r="208" spans="2:61" x14ac:dyDescent="0.25">
      <c r="B208" s="34" t="s">
        <v>207</v>
      </c>
      <c r="C208" s="14" t="s">
        <v>626</v>
      </c>
      <c r="D208" s="1" t="s">
        <v>411</v>
      </c>
      <c r="E208" s="1" t="s">
        <v>626</v>
      </c>
      <c r="F208" s="1" t="s">
        <v>906</v>
      </c>
      <c r="G208" s="87">
        <v>496576391.13300002</v>
      </c>
      <c r="H208" s="26">
        <v>43999</v>
      </c>
      <c r="I208" s="45">
        <v>51</v>
      </c>
      <c r="J208" s="45">
        <v>62.251414027181497</v>
      </c>
      <c r="K208" s="25"/>
      <c r="L208" s="26">
        <v>43755</v>
      </c>
      <c r="M208" s="45">
        <v>342279.11499999999</v>
      </c>
      <c r="N208" s="45">
        <v>268363.550124512</v>
      </c>
      <c r="O208" s="25"/>
      <c r="P208" s="27">
        <v>56</v>
      </c>
      <c r="Q208" s="27">
        <v>35.851405622495797</v>
      </c>
      <c r="R208" s="25"/>
      <c r="T208" s="28">
        <v>1.4925373134246901E-2</v>
      </c>
      <c r="U208" s="28"/>
      <c r="V208" s="28">
        <v>5.5205047319759597E-3</v>
      </c>
      <c r="W208" s="28"/>
      <c r="X208" s="28">
        <v>-8.4782313532778097E-2</v>
      </c>
      <c r="Y208" s="28"/>
      <c r="Z208" s="28">
        <v>4.6798029557976399E-2</v>
      </c>
      <c r="AA208" s="28"/>
      <c r="AB208" s="28">
        <v>0.16960979702707801</v>
      </c>
      <c r="AC208" s="28"/>
      <c r="AD208" s="28">
        <v>-7.8072277639002999E-2</v>
      </c>
      <c r="AE208" s="28"/>
      <c r="AF208" s="28">
        <v>-0.16621340144221899</v>
      </c>
      <c r="AG208" s="28"/>
      <c r="AH208" s="28">
        <v>-0.124355288801744</v>
      </c>
      <c r="AI208" s="28"/>
      <c r="AJ208" s="28">
        <v>-8.4767725440615296E-2</v>
      </c>
      <c r="AK208" s="28"/>
      <c r="AL208" s="28">
        <v>0.25537300515512501</v>
      </c>
      <c r="AM208" s="28"/>
      <c r="AN208" s="28">
        <v>0.15935059168085</v>
      </c>
      <c r="AO208" s="28"/>
      <c r="AP208" s="29">
        <v>30.587121442396899</v>
      </c>
      <c r="AR208" s="25">
        <v>6.6530612246424398E-2</v>
      </c>
      <c r="AS208" s="25">
        <v>-6.9219121780406595E-2</v>
      </c>
      <c r="AT208" s="25">
        <v>7.51464653621952E-2</v>
      </c>
      <c r="AU208" s="25">
        <v>-0.12188976377918199</v>
      </c>
      <c r="AV208" s="30">
        <v>4</v>
      </c>
      <c r="AW208" s="30">
        <v>2</v>
      </c>
      <c r="AX208" s="31">
        <v>-0.47075209288186698</v>
      </c>
      <c r="AY208" s="25">
        <v>3.8929996354272599E-2</v>
      </c>
      <c r="AZ208" s="25">
        <v>-0.32818110850872501</v>
      </c>
      <c r="BA208" s="26">
        <v>43854</v>
      </c>
      <c r="BB208" s="58">
        <v>0.57885071882719796</v>
      </c>
      <c r="BD208" s="64">
        <v>9736791.9829999991</v>
      </c>
      <c r="BE208" s="25">
        <v>0.33250000000000002</v>
      </c>
      <c r="BF208" s="33">
        <v>3237483.3343476602</v>
      </c>
      <c r="BG208" s="25">
        <v>0.47799999999988402</v>
      </c>
      <c r="BH208" s="72">
        <v>4654186.5678749997</v>
      </c>
      <c r="BI208" s="68" t="s">
        <v>709</v>
      </c>
    </row>
    <row r="209" spans="2:61" x14ac:dyDescent="0.25">
      <c r="B209" s="34" t="s">
        <v>208</v>
      </c>
      <c r="C209" s="14" t="s">
        <v>627</v>
      </c>
      <c r="D209" s="1" t="s">
        <v>412</v>
      </c>
      <c r="E209" s="1" t="s">
        <v>627</v>
      </c>
      <c r="F209" s="1" t="s">
        <v>909</v>
      </c>
      <c r="G209" s="87">
        <v>6796869.6960000005</v>
      </c>
      <c r="H209" s="26">
        <v>43970</v>
      </c>
      <c r="J209" s="45">
        <v>41.899772631586501</v>
      </c>
      <c r="K209" s="25"/>
      <c r="L209" s="26">
        <v>43640</v>
      </c>
      <c r="M209" s="45">
        <v>0</v>
      </c>
      <c r="N209" s="45">
        <v>45.921698795199397</v>
      </c>
      <c r="O209" s="25"/>
      <c r="P209" s="27">
        <v>0</v>
      </c>
      <c r="Q209" s="27">
        <v>0.26104417670694602</v>
      </c>
      <c r="R209" s="25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9"/>
      <c r="AR209" s="25">
        <v>0</v>
      </c>
      <c r="AS209" s="25">
        <v>0</v>
      </c>
      <c r="AT209" s="25">
        <v>0</v>
      </c>
      <c r="AU209" s="25">
        <v>0</v>
      </c>
      <c r="AV209" s="30"/>
      <c r="AW209" s="30"/>
      <c r="AX209" s="31"/>
      <c r="AY209" s="25"/>
      <c r="AZ209" s="25">
        <v>0</v>
      </c>
      <c r="BA209" s="26">
        <v>43819</v>
      </c>
      <c r="BD209" s="64">
        <v>178864.992</v>
      </c>
      <c r="BE209" s="25">
        <v>0.33320000000007</v>
      </c>
      <c r="BF209" s="33">
        <v>59597.8153344116</v>
      </c>
      <c r="BI209" s="68" t="s">
        <v>793</v>
      </c>
    </row>
    <row r="210" spans="2:61" x14ac:dyDescent="0.25">
      <c r="B210" s="34" t="s">
        <v>209</v>
      </c>
      <c r="C210" s="14" t="s">
        <v>628</v>
      </c>
      <c r="D210" s="1" t="s">
        <v>413</v>
      </c>
      <c r="E210" s="1" t="s">
        <v>628</v>
      </c>
      <c r="F210" s="1" t="s">
        <v>922</v>
      </c>
      <c r="G210" s="87">
        <v>354270138.28750002</v>
      </c>
      <c r="H210" s="26">
        <v>43994</v>
      </c>
      <c r="J210" s="45">
        <v>3106.8434074521101</v>
      </c>
      <c r="K210" s="25"/>
      <c r="L210" s="26">
        <v>43651</v>
      </c>
      <c r="M210" s="45">
        <v>0</v>
      </c>
      <c r="N210" s="45">
        <v>25941.367453826901</v>
      </c>
      <c r="O210" s="25"/>
      <c r="P210" s="27">
        <v>0</v>
      </c>
      <c r="Q210" s="27"/>
      <c r="R210" s="25"/>
      <c r="T210" s="28"/>
      <c r="U210" s="28"/>
      <c r="V210" s="28">
        <v>8.0042567746277202E-2</v>
      </c>
      <c r="W210" s="28"/>
      <c r="X210" s="28">
        <v>-1.05199406061729E-2</v>
      </c>
      <c r="Y210" s="28"/>
      <c r="Z210" s="28">
        <v>8.0042567746277202E-2</v>
      </c>
      <c r="AA210" s="28"/>
      <c r="AB210" s="28">
        <v>0.17384646196674999</v>
      </c>
      <c r="AC210" s="28"/>
      <c r="AD210" s="28">
        <v>-1.5450904357749101E-2</v>
      </c>
      <c r="AE210" s="28"/>
      <c r="AF210" s="28">
        <v>-7.4197820093104397E-2</v>
      </c>
      <c r="AG210" s="28"/>
      <c r="AH210" s="28">
        <v>-0.216155008970527</v>
      </c>
      <c r="AI210" s="28"/>
      <c r="AJ210" s="28">
        <v>4.0827993278071503E-2</v>
      </c>
      <c r="AK210" s="28"/>
      <c r="AL210" s="28">
        <v>0.67949001535307596</v>
      </c>
      <c r="AM210" s="28"/>
      <c r="AN210" s="28"/>
      <c r="AO210" s="28"/>
      <c r="AP210" s="29"/>
      <c r="AR210" s="25">
        <v>6.6608695651666494E-2</v>
      </c>
      <c r="AS210" s="25">
        <v>-6.5274538116718794E-2</v>
      </c>
      <c r="AT210" s="25">
        <v>0.20204903068952301</v>
      </c>
      <c r="AU210" s="25">
        <v>-0.2246075085341</v>
      </c>
      <c r="AV210" s="30">
        <v>3</v>
      </c>
      <c r="AW210" s="30">
        <v>3</v>
      </c>
      <c r="AX210" s="31"/>
      <c r="AY210" s="25"/>
      <c r="AZ210" s="25">
        <v>-0.26712903225939999</v>
      </c>
      <c r="BA210" s="26">
        <v>43844</v>
      </c>
      <c r="BB210" s="58">
        <v>1.08741918515625</v>
      </c>
      <c r="BD210" s="64">
        <v>120475.261672974</v>
      </c>
      <c r="BE210" s="25">
        <v>0.26240000000019797</v>
      </c>
      <c r="BF210" s="33">
        <v>32712.983174408</v>
      </c>
      <c r="BG210" s="25">
        <v>0.15330000000001701</v>
      </c>
      <c r="BH210" s="72">
        <v>19111.662807312001</v>
      </c>
      <c r="BI210" s="68" t="s">
        <v>794</v>
      </c>
    </row>
    <row r="211" spans="2:61" x14ac:dyDescent="0.25">
      <c r="B211" s="34" t="s">
        <v>210</v>
      </c>
      <c r="C211" s="14" t="s">
        <v>629</v>
      </c>
      <c r="D211" s="1" t="s">
        <v>414</v>
      </c>
      <c r="E211" s="1" t="s">
        <v>629</v>
      </c>
      <c r="F211" s="1" t="s">
        <v>922</v>
      </c>
      <c r="G211" s="87">
        <v>5306450506.632</v>
      </c>
      <c r="H211" s="26">
        <v>43998</v>
      </c>
      <c r="J211" s="45">
        <v>22938.841705232899</v>
      </c>
      <c r="K211" s="25"/>
      <c r="L211" s="26">
        <v>43892</v>
      </c>
      <c r="M211" s="45">
        <v>0</v>
      </c>
      <c r="N211" s="45">
        <v>99639.611172729507</v>
      </c>
      <c r="O211" s="25"/>
      <c r="P211" s="27">
        <v>0</v>
      </c>
      <c r="Q211" s="27"/>
      <c r="R211" s="25"/>
      <c r="T211" s="28"/>
      <c r="U211" s="28"/>
      <c r="V211" s="28">
        <v>1.5413070930662799E-2</v>
      </c>
      <c r="W211" s="28"/>
      <c r="X211" s="28">
        <v>-1.87574740002674E-2</v>
      </c>
      <c r="Y211" s="28"/>
      <c r="Z211" s="28">
        <v>8.9629498192225598E-2</v>
      </c>
      <c r="AA211" s="28"/>
      <c r="AB211" s="28">
        <v>0.226491829842562</v>
      </c>
      <c r="AC211" s="28"/>
      <c r="AD211" s="28">
        <v>-1.8855593346415799E-2</v>
      </c>
      <c r="AE211" s="28"/>
      <c r="AF211" s="28">
        <v>-6.36706038585544E-2</v>
      </c>
      <c r="AG211" s="28"/>
      <c r="AH211" s="28">
        <v>-0.34116456609335699</v>
      </c>
      <c r="AI211" s="28"/>
      <c r="AJ211" s="28">
        <v>-0.114941888302419</v>
      </c>
      <c r="AK211" s="28"/>
      <c r="AL211" s="28">
        <v>0.19927005186938901</v>
      </c>
      <c r="AM211" s="28"/>
      <c r="AN211" s="28">
        <v>0.44897754941484902</v>
      </c>
      <c r="AO211" s="28"/>
      <c r="AP211" s="29"/>
      <c r="AR211" s="25">
        <v>0.28053257355903</v>
      </c>
      <c r="AS211" s="25">
        <v>-0.144238586282881</v>
      </c>
      <c r="AT211" s="25">
        <v>3.3641564172285102E-2</v>
      </c>
      <c r="AU211" s="25">
        <v>-0.11398611583179399</v>
      </c>
      <c r="AV211" s="30">
        <v>4</v>
      </c>
      <c r="AW211" s="30">
        <v>2</v>
      </c>
      <c r="AX211" s="31"/>
      <c r="AY211" s="25"/>
      <c r="AZ211" s="25">
        <v>-0.37957297505461601</v>
      </c>
      <c r="BA211" s="26">
        <v>43892</v>
      </c>
      <c r="BB211" s="58">
        <v>0.20430099386612699</v>
      </c>
      <c r="BD211" s="64">
        <v>142819.552</v>
      </c>
      <c r="BE211" s="25">
        <v>0.23770000000018601</v>
      </c>
      <c r="BF211" s="33">
        <v>62561.8137548218</v>
      </c>
      <c r="BG211" s="25">
        <v>0.68</v>
      </c>
      <c r="BH211" s="72">
        <v>178973.63632006801</v>
      </c>
      <c r="BI211" s="68" t="s">
        <v>795</v>
      </c>
    </row>
    <row r="212" spans="2:61" x14ac:dyDescent="0.25">
      <c r="B212" s="34" t="s">
        <v>211</v>
      </c>
      <c r="C212" s="14" t="s">
        <v>630</v>
      </c>
      <c r="D212" s="1" t="s">
        <v>414</v>
      </c>
      <c r="E212" s="1" t="s">
        <v>630</v>
      </c>
      <c r="F212" s="1" t="s">
        <v>922</v>
      </c>
      <c r="G212" s="87">
        <v>5306450506.632</v>
      </c>
      <c r="H212" s="26">
        <v>43999</v>
      </c>
      <c r="I212" s="45">
        <v>21230</v>
      </c>
      <c r="J212" s="45">
        <v>25540.973245680299</v>
      </c>
      <c r="K212" s="25"/>
      <c r="L212" s="26">
        <v>43881</v>
      </c>
      <c r="M212" s="45">
        <v>5719336.801</v>
      </c>
      <c r="N212" s="45">
        <v>7042146.1227656202</v>
      </c>
      <c r="O212" s="25"/>
      <c r="P212" s="27">
        <v>927</v>
      </c>
      <c r="Q212" s="27">
        <v>935.87148594390601</v>
      </c>
      <c r="R212" s="25"/>
      <c r="T212" s="28">
        <v>-1.03519668755325E-3</v>
      </c>
      <c r="U212" s="28"/>
      <c r="V212" s="28">
        <v>8.7400771899410798E-2</v>
      </c>
      <c r="W212" s="28"/>
      <c r="X212" s="28">
        <v>7.4253459422834595E-2</v>
      </c>
      <c r="Y212" s="28"/>
      <c r="Z212" s="28">
        <v>0.170822388461675</v>
      </c>
      <c r="AA212" s="28"/>
      <c r="AB212" s="28">
        <v>0.331888845192152</v>
      </c>
      <c r="AC212" s="28"/>
      <c r="AD212" s="28">
        <v>2.5015993025590402E-2</v>
      </c>
      <c r="AE212" s="28"/>
      <c r="AF212" s="28">
        <v>1.9157728220307001E-3</v>
      </c>
      <c r="AG212" s="28"/>
      <c r="AH212" s="28">
        <v>-0.27399744375463297</v>
      </c>
      <c r="AI212" s="28"/>
      <c r="AJ212" s="28">
        <v>3.2855394565558499E-2</v>
      </c>
      <c r="AK212" s="28"/>
      <c r="AL212" s="28">
        <v>0.508657031030743</v>
      </c>
      <c r="AM212" s="28"/>
      <c r="AN212" s="28">
        <v>1.17445932519389</v>
      </c>
      <c r="AO212" s="28"/>
      <c r="AP212" s="29">
        <v>53.828930306306603</v>
      </c>
      <c r="AR212" s="25">
        <v>0.149841269840254</v>
      </c>
      <c r="AS212" s="25">
        <v>-0.15989304812770599</v>
      </c>
      <c r="AT212" s="25">
        <v>0.108901044255617</v>
      </c>
      <c r="AU212" s="25">
        <v>-8.9299030573747606E-2</v>
      </c>
      <c r="AV212" s="30">
        <v>4</v>
      </c>
      <c r="AW212" s="30">
        <v>2</v>
      </c>
      <c r="AX212" s="31">
        <v>0.15695337693546199</v>
      </c>
      <c r="AY212" s="25">
        <v>6.8097897901971002E-2</v>
      </c>
      <c r="AZ212" s="25">
        <v>-0.46514043862989601</v>
      </c>
      <c r="BA212" s="26">
        <v>43881</v>
      </c>
      <c r="BB212" s="58">
        <v>0.424134358007905</v>
      </c>
      <c r="BD212" s="64">
        <v>120376.97199999999</v>
      </c>
      <c r="BE212" s="25">
        <v>0.23770000000018601</v>
      </c>
      <c r="BF212" s="33">
        <v>62561.8137548218</v>
      </c>
      <c r="BG212" s="25">
        <v>0.68</v>
      </c>
      <c r="BH212" s="72">
        <v>178973.63632006801</v>
      </c>
      <c r="BI212" s="68" t="s">
        <v>795</v>
      </c>
    </row>
    <row r="213" spans="2:61" x14ac:dyDescent="0.25">
      <c r="B213" s="34" t="s">
        <v>212</v>
      </c>
      <c r="C213" s="14" t="s">
        <v>631</v>
      </c>
      <c r="D213" s="1" t="s">
        <v>415</v>
      </c>
      <c r="E213" s="1" t="s">
        <v>631</v>
      </c>
      <c r="F213" s="1" t="s">
        <v>912</v>
      </c>
      <c r="G213" s="87">
        <v>289705578.05949998</v>
      </c>
      <c r="H213" s="26">
        <v>43998</v>
      </c>
      <c r="J213" s="45">
        <v>369.49519230751298</v>
      </c>
      <c r="K213" s="25"/>
      <c r="L213" s="26">
        <v>43756</v>
      </c>
      <c r="M213" s="45">
        <v>0</v>
      </c>
      <c r="N213" s="45">
        <v>69882.021192749002</v>
      </c>
      <c r="O213" s="25"/>
      <c r="P213" s="27">
        <v>0</v>
      </c>
      <c r="Q213" s="27">
        <v>4.1686746987979904</v>
      </c>
      <c r="R213" s="25"/>
      <c r="T213" s="28"/>
      <c r="U213" s="28"/>
      <c r="V213" s="28">
        <v>0.21384615384537001</v>
      </c>
      <c r="W213" s="28"/>
      <c r="X213" s="28">
        <v>-4.5374827310297398E-2</v>
      </c>
      <c r="Y213" s="28"/>
      <c r="Z213" s="28">
        <v>0.28599369770760003</v>
      </c>
      <c r="AA213" s="28"/>
      <c r="AB213" s="28">
        <v>0.45731213503342599</v>
      </c>
      <c r="AC213" s="28"/>
      <c r="AD213" s="28">
        <v>-6.37330037089123E-2</v>
      </c>
      <c r="AE213" s="28"/>
      <c r="AF213" s="28">
        <v>-0.34208265125460502</v>
      </c>
      <c r="AG213" s="28"/>
      <c r="AH213" s="28">
        <v>-0.354874235382304</v>
      </c>
      <c r="AI213" s="28"/>
      <c r="AJ213" s="28">
        <v>-6.48143191901909E-2</v>
      </c>
      <c r="AK213" s="28"/>
      <c r="AL213" s="28">
        <v>1.1001165898377101</v>
      </c>
      <c r="AM213" s="28"/>
      <c r="AN213" s="28">
        <v>1.3216943646082699</v>
      </c>
      <c r="AO213" s="28"/>
      <c r="AP213" s="29"/>
      <c r="AR213" s="25">
        <v>0.112401693890279</v>
      </c>
      <c r="AS213" s="25">
        <v>-5.4355668862626799E-2</v>
      </c>
      <c r="AT213" s="25">
        <v>0.21384615384537001</v>
      </c>
      <c r="AU213" s="25">
        <v>-0.191404255318921</v>
      </c>
      <c r="AV213" s="30">
        <v>3</v>
      </c>
      <c r="AW213" s="30">
        <v>3</v>
      </c>
      <c r="AX213" s="31"/>
      <c r="AY213" s="25"/>
      <c r="AZ213" s="25">
        <v>-0.41034615384647599</v>
      </c>
      <c r="BA213" s="26">
        <v>43817</v>
      </c>
      <c r="BB213" s="58">
        <v>1.29963858836709</v>
      </c>
      <c r="BD213" s="64">
        <v>1223935.6910000001</v>
      </c>
      <c r="BE213" s="25">
        <v>0.24220000000001199</v>
      </c>
      <c r="BF213" s="33">
        <v>296437.22436035197</v>
      </c>
      <c r="BG213" s="25">
        <v>0.473600000000442</v>
      </c>
      <c r="BH213" s="72">
        <v>579655.94325781299</v>
      </c>
      <c r="BI213" s="68" t="s">
        <v>796</v>
      </c>
    </row>
    <row r="214" spans="2:61" x14ac:dyDescent="0.25">
      <c r="B214" s="34" t="s">
        <v>213</v>
      </c>
      <c r="C214" s="14" t="s">
        <v>632</v>
      </c>
      <c r="D214" s="1" t="s">
        <v>416</v>
      </c>
      <c r="E214" s="1" t="s">
        <v>632</v>
      </c>
      <c r="F214" s="1" t="s">
        <v>920</v>
      </c>
      <c r="G214" s="87">
        <v>472984046.02499998</v>
      </c>
      <c r="H214" s="26">
        <v>43999</v>
      </c>
      <c r="I214" s="45">
        <v>543</v>
      </c>
      <c r="J214" s="45">
        <v>971.94280296471004</v>
      </c>
      <c r="K214" s="25"/>
      <c r="L214" s="26">
        <v>43661</v>
      </c>
      <c r="M214" s="45">
        <v>1378651.703</v>
      </c>
      <c r="N214" s="45">
        <v>857872.65330078104</v>
      </c>
      <c r="O214" s="25"/>
      <c r="P214" s="27">
        <v>203</v>
      </c>
      <c r="Q214" s="27">
        <v>176.212851405609</v>
      </c>
      <c r="R214" s="25"/>
      <c r="T214" s="28">
        <v>2.21946123001544E-2</v>
      </c>
      <c r="U214" s="28"/>
      <c r="V214" s="28">
        <v>0.13125000000043699</v>
      </c>
      <c r="W214" s="28"/>
      <c r="X214" s="28">
        <v>-0.151653514413774</v>
      </c>
      <c r="Y214" s="28"/>
      <c r="Z214" s="28">
        <v>0.196351458535064</v>
      </c>
      <c r="AA214" s="28"/>
      <c r="AB214" s="28">
        <v>0.22556568580504999</v>
      </c>
      <c r="AC214" s="28"/>
      <c r="AD214" s="28">
        <v>-0.17238378567795701</v>
      </c>
      <c r="AE214" s="28"/>
      <c r="AF214" s="28">
        <v>-0.40228933837381198</v>
      </c>
      <c r="AG214" s="28"/>
      <c r="AH214" s="28">
        <v>-0.45592345503973802</v>
      </c>
      <c r="AI214" s="28"/>
      <c r="AJ214" s="28">
        <v>-0.466323605662328</v>
      </c>
      <c r="AK214" s="28"/>
      <c r="AL214" s="28">
        <v>-0.52744243334047503</v>
      </c>
      <c r="AM214" s="28"/>
      <c r="AN214" s="28">
        <v>-0.55247633980645305</v>
      </c>
      <c r="AO214" s="28"/>
      <c r="AP214" s="29">
        <v>44.1757113361964</v>
      </c>
      <c r="AR214" s="25">
        <v>8.6448939799156493E-2</v>
      </c>
      <c r="AS214" s="25">
        <v>-0.158260404836328</v>
      </c>
      <c r="AT214" s="25">
        <v>0.138992616588512</v>
      </c>
      <c r="AU214" s="25">
        <v>-0.223711714202072</v>
      </c>
      <c r="AV214" s="30">
        <v>2</v>
      </c>
      <c r="AW214" s="30">
        <v>4</v>
      </c>
      <c r="AX214" s="31">
        <v>-0.62635410650909795</v>
      </c>
      <c r="AY214" s="25">
        <v>5.3586019866706899E-2</v>
      </c>
      <c r="AZ214" s="25">
        <v>-0.45611510791350202</v>
      </c>
      <c r="BA214" s="26">
        <v>43840</v>
      </c>
      <c r="BB214" s="58">
        <v>1.1555567281975501</v>
      </c>
      <c r="BD214" s="64">
        <v>871057.17500000005</v>
      </c>
      <c r="BE214" s="25">
        <v>0.377700000000186</v>
      </c>
      <c r="BF214" s="33">
        <v>328998.29499755899</v>
      </c>
      <c r="BG214" s="25">
        <v>0.58640000000014003</v>
      </c>
      <c r="BH214" s="72">
        <v>510787.92741992202</v>
      </c>
      <c r="BI214" s="68" t="s">
        <v>797</v>
      </c>
    </row>
    <row r="215" spans="2:61" x14ac:dyDescent="0.25">
      <c r="B215" s="34" t="s">
        <v>214</v>
      </c>
      <c r="C215" s="14" t="s">
        <v>633</v>
      </c>
      <c r="D215" s="1" t="s">
        <v>417</v>
      </c>
      <c r="E215" s="1" t="s">
        <v>633</v>
      </c>
      <c r="F215" s="1" t="s">
        <v>922</v>
      </c>
      <c r="H215" s="26">
        <v>43880</v>
      </c>
      <c r="J215" s="45">
        <v>279.99000000022397</v>
      </c>
      <c r="K215" s="25"/>
      <c r="L215" s="26">
        <v>43721</v>
      </c>
      <c r="M215" s="45">
        <v>0</v>
      </c>
      <c r="N215" s="45">
        <v>261.74550602412199</v>
      </c>
      <c r="O215" s="25"/>
      <c r="P215" s="27">
        <v>0</v>
      </c>
      <c r="Q215" s="27"/>
      <c r="R215" s="2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9"/>
      <c r="AR215" s="25">
        <v>1.8518518518249E-3</v>
      </c>
      <c r="AS215" s="25">
        <v>0</v>
      </c>
      <c r="AT215" s="25">
        <v>1.8518518518249E-3</v>
      </c>
      <c r="AU215" s="25">
        <v>0</v>
      </c>
      <c r="AV215" s="30"/>
      <c r="AW215" s="30"/>
      <c r="AX215" s="31"/>
      <c r="AY215" s="25"/>
      <c r="AZ215" s="25">
        <v>0</v>
      </c>
      <c r="BA215" s="26">
        <v>43832</v>
      </c>
      <c r="BD215" s="64">
        <v>9850</v>
      </c>
      <c r="BE215" s="25">
        <v>0.58320000000007</v>
      </c>
      <c r="BF215" s="33">
        <v>5744.52</v>
      </c>
      <c r="BI215" s="68" t="s">
        <v>798</v>
      </c>
    </row>
    <row r="216" spans="2:61" x14ac:dyDescent="0.25">
      <c r="B216" s="34" t="s">
        <v>215</v>
      </c>
      <c r="C216" s="14" t="s">
        <v>634</v>
      </c>
      <c r="D216" s="1" t="s">
        <v>418</v>
      </c>
      <c r="E216" s="1" t="s">
        <v>634</v>
      </c>
      <c r="F216" s="1" t="s">
        <v>914</v>
      </c>
      <c r="G216" s="87">
        <v>42999879.511812501</v>
      </c>
      <c r="H216" s="26">
        <v>43999</v>
      </c>
      <c r="I216" s="45">
        <v>158.020000000019</v>
      </c>
      <c r="J216" s="45">
        <v>175.74088590498999</v>
      </c>
      <c r="K216" s="25"/>
      <c r="L216" s="26">
        <v>43959</v>
      </c>
      <c r="M216" s="45">
        <v>235.404</v>
      </c>
      <c r="N216" s="45">
        <v>20988.829473907499</v>
      </c>
      <c r="O216" s="25"/>
      <c r="P216" s="27"/>
      <c r="Q216" s="27"/>
      <c r="R216" s="25"/>
      <c r="T216" s="28">
        <v>0</v>
      </c>
      <c r="U216" s="28"/>
      <c r="V216" s="28">
        <v>6.9147496617006296E-2</v>
      </c>
      <c r="W216" s="28"/>
      <c r="X216" s="28">
        <v>0.18433412654849199</v>
      </c>
      <c r="Y216" s="28"/>
      <c r="Z216" s="28">
        <v>-1.1571902171454001E-2</v>
      </c>
      <c r="AA216" s="28"/>
      <c r="AB216" s="28">
        <v>0.22318853005534001</v>
      </c>
      <c r="AC216" s="28"/>
      <c r="AD216" s="28">
        <v>0.15016788144392201</v>
      </c>
      <c r="AE216" s="28"/>
      <c r="AF216" s="28">
        <v>0.4215558085253</v>
      </c>
      <c r="AG216" s="28"/>
      <c r="AH216" s="28">
        <v>0.20031893634237299</v>
      </c>
      <c r="AI216" s="28"/>
      <c r="AJ216" s="28">
        <v>0.14876409418866399</v>
      </c>
      <c r="AK216" s="28"/>
      <c r="AL216" s="28">
        <v>0.95357708160532595</v>
      </c>
      <c r="AM216" s="28"/>
      <c r="AN216" s="28">
        <v>1.27352658945485</v>
      </c>
      <c r="AO216" s="28"/>
      <c r="AP216" s="29"/>
      <c r="AR216" s="25">
        <v>7.6655276900055497E-2</v>
      </c>
      <c r="AS216" s="25">
        <v>-4.5740039314332501E-2</v>
      </c>
      <c r="AT216" s="25">
        <v>0.18945432249893199</v>
      </c>
      <c r="AU216" s="25">
        <v>-8.5032165940938306E-2</v>
      </c>
      <c r="AV216" s="30">
        <v>4</v>
      </c>
      <c r="AW216" s="30">
        <v>2</v>
      </c>
      <c r="AX216" s="31"/>
      <c r="AY216" s="25"/>
      <c r="AZ216" s="25">
        <v>-0.180611846478132</v>
      </c>
      <c r="BA216" s="26">
        <v>43959</v>
      </c>
      <c r="BB216" s="58">
        <v>0.56940851968283801</v>
      </c>
      <c r="BD216" s="64">
        <v>272116.69099999999</v>
      </c>
      <c r="BE216" s="25">
        <v>0.60639999999955796</v>
      </c>
      <c r="BF216" s="33">
        <v>165011.56142236301</v>
      </c>
      <c r="BG216" s="25">
        <v>0.39360000000044199</v>
      </c>
      <c r="BH216" s="72">
        <v>107105.129577637</v>
      </c>
      <c r="BI216" s="68" t="s">
        <v>799</v>
      </c>
    </row>
    <row r="217" spans="2:61" x14ac:dyDescent="0.25">
      <c r="B217" s="34" t="s">
        <v>216</v>
      </c>
      <c r="C217" s="14" t="s">
        <v>635</v>
      </c>
      <c r="D217" s="1" t="s">
        <v>419</v>
      </c>
      <c r="E217" s="1" t="s">
        <v>635</v>
      </c>
      <c r="F217" s="1" t="s">
        <v>918</v>
      </c>
      <c r="G217" s="87">
        <v>359242233.24000001</v>
      </c>
      <c r="H217" s="26">
        <v>43993</v>
      </c>
      <c r="J217" s="45">
        <v>389.47368421079602</v>
      </c>
      <c r="K217" s="25"/>
      <c r="L217" s="26">
        <v>43671</v>
      </c>
      <c r="M217" s="45">
        <v>0</v>
      </c>
      <c r="N217" s="45">
        <v>143.62199598383901</v>
      </c>
      <c r="O217" s="25"/>
      <c r="P217" s="27">
        <v>0</v>
      </c>
      <c r="Q217" s="27">
        <v>0.22088353413664699</v>
      </c>
      <c r="R217" s="25"/>
      <c r="T217" s="28"/>
      <c r="U217" s="28"/>
      <c r="V217" s="28"/>
      <c r="W217" s="28"/>
      <c r="X217" s="28">
        <v>2.7027027026633701E-2</v>
      </c>
      <c r="Y217" s="28"/>
      <c r="Z217" s="28"/>
      <c r="AA217" s="28"/>
      <c r="AB217" s="28"/>
      <c r="AC217" s="28"/>
      <c r="AD217" s="28">
        <v>2.7027027026633701E-2</v>
      </c>
      <c r="AE217" s="28"/>
      <c r="AF217" s="28"/>
      <c r="AG217" s="28"/>
      <c r="AH217" s="28">
        <v>-5.9023154262831702E-2</v>
      </c>
      <c r="AI217" s="28"/>
      <c r="AJ217" s="28">
        <v>-3.3906505339473397E-2</v>
      </c>
      <c r="AK217" s="28"/>
      <c r="AL217" s="28"/>
      <c r="AM217" s="28"/>
      <c r="AN217" s="28">
        <v>2.1652979475073502</v>
      </c>
      <c r="AO217" s="28"/>
      <c r="AP217" s="29"/>
      <c r="AR217" s="25">
        <v>0</v>
      </c>
      <c r="AS217" s="25">
        <v>0</v>
      </c>
      <c r="AT217" s="25">
        <v>2.7027027026633701E-2</v>
      </c>
      <c r="AU217" s="25">
        <v>0</v>
      </c>
      <c r="AV217" s="30">
        <v>1</v>
      </c>
      <c r="AW217" s="30">
        <v>0</v>
      </c>
      <c r="AX217" s="31"/>
      <c r="AY217" s="25"/>
      <c r="AZ217" s="25">
        <v>0</v>
      </c>
      <c r="BA217" s="26">
        <v>43992</v>
      </c>
      <c r="BB217" s="58">
        <v>4.5843483758005697E-2</v>
      </c>
      <c r="BD217" s="64">
        <v>945374.29799999995</v>
      </c>
      <c r="BE217" s="25">
        <v>0.99140000000013995</v>
      </c>
      <c r="BF217" s="33">
        <v>937244.07903710904</v>
      </c>
      <c r="BI217" s="68" t="s">
        <v>800</v>
      </c>
    </row>
    <row r="218" spans="2:61" x14ac:dyDescent="0.25">
      <c r="B218" s="34" t="s">
        <v>217</v>
      </c>
      <c r="C218" s="14" t="s">
        <v>636</v>
      </c>
      <c r="D218" s="1" t="s">
        <v>420</v>
      </c>
      <c r="E218" s="1" t="s">
        <v>636</v>
      </c>
      <c r="F218" s="1" t="s">
        <v>910</v>
      </c>
      <c r="H218" s="26">
        <v>43871</v>
      </c>
      <c r="J218" s="45">
        <v>1490000</v>
      </c>
      <c r="K218" s="25"/>
      <c r="L218" s="26">
        <v>43871</v>
      </c>
      <c r="M218" s="45">
        <v>0</v>
      </c>
      <c r="N218" s="45">
        <v>12.048192771077201</v>
      </c>
      <c r="O218" s="25"/>
      <c r="P218" s="27">
        <v>0</v>
      </c>
      <c r="Q218" s="27">
        <v>4.0160642570299396E-3</v>
      </c>
      <c r="R218" s="25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9"/>
      <c r="AR218" s="25"/>
      <c r="AS218" s="25"/>
      <c r="AT218" s="25"/>
      <c r="AU218" s="25"/>
      <c r="AV218" s="30"/>
      <c r="AW218" s="30"/>
      <c r="AX218" s="31"/>
      <c r="AY218" s="25"/>
      <c r="AZ218" s="25">
        <v>0</v>
      </c>
      <c r="BA218" s="26">
        <v>43871</v>
      </c>
      <c r="BD218" s="64">
        <v>4.2</v>
      </c>
      <c r="BE218" s="25">
        <v>0.45979999999981402</v>
      </c>
      <c r="BF218" s="33">
        <v>1.9311600000001501</v>
      </c>
      <c r="BI218" s="68" t="s">
        <v>801</v>
      </c>
    </row>
    <row r="219" spans="2:61" x14ac:dyDescent="0.25">
      <c r="B219" s="34" t="s">
        <v>218</v>
      </c>
      <c r="C219" s="14" t="s">
        <v>637</v>
      </c>
      <c r="D219" s="1" t="s">
        <v>421</v>
      </c>
      <c r="E219" s="1" t="s">
        <v>637</v>
      </c>
      <c r="F219" s="1" t="s">
        <v>916</v>
      </c>
      <c r="H219" s="26">
        <v>43759</v>
      </c>
      <c r="J219" s="45">
        <v>360500</v>
      </c>
      <c r="K219" s="25"/>
      <c r="L219" s="26">
        <v>43759</v>
      </c>
      <c r="M219" s="45">
        <v>0</v>
      </c>
      <c r="N219" s="45">
        <v>5.7911646586358501</v>
      </c>
      <c r="O219" s="25"/>
      <c r="P219" s="27">
        <v>0</v>
      </c>
      <c r="Q219" s="27">
        <v>1.2048192771089801E-2</v>
      </c>
      <c r="R219" s="25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9"/>
      <c r="AR219" s="25"/>
      <c r="AS219" s="25"/>
      <c r="AT219" s="25"/>
      <c r="AU219" s="25"/>
      <c r="AV219" s="30"/>
      <c r="AW219" s="30"/>
      <c r="AX219" s="31"/>
      <c r="AY219" s="25"/>
      <c r="AZ219" s="25"/>
      <c r="BA219" s="26"/>
      <c r="BD219" s="64">
        <v>9</v>
      </c>
      <c r="BE219" s="25">
        <v>5.7300000000031999E-2</v>
      </c>
      <c r="BF219" s="33">
        <v>0.51570000000018601</v>
      </c>
      <c r="BI219" s="68" t="s">
        <v>802</v>
      </c>
    </row>
    <row r="220" spans="2:61" x14ac:dyDescent="0.25">
      <c r="B220" s="34" t="s">
        <v>219</v>
      </c>
      <c r="C220" s="14" t="s">
        <v>638</v>
      </c>
      <c r="D220" s="1" t="s">
        <v>422</v>
      </c>
      <c r="E220" s="1" t="s">
        <v>638</v>
      </c>
      <c r="F220" s="1" t="s">
        <v>916</v>
      </c>
      <c r="H220" s="26">
        <v>43861</v>
      </c>
      <c r="J220" s="45">
        <v>6195825</v>
      </c>
      <c r="K220" s="25"/>
      <c r="L220" s="26">
        <v>43861</v>
      </c>
      <c r="M220" s="45">
        <v>0</v>
      </c>
      <c r="N220" s="45">
        <v>269.07630522108099</v>
      </c>
      <c r="O220" s="25"/>
      <c r="P220" s="27">
        <v>0</v>
      </c>
      <c r="Q220" s="27">
        <v>3.61445783132694E-2</v>
      </c>
      <c r="R220" s="25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9"/>
      <c r="AR220" s="25"/>
      <c r="AS220" s="25"/>
      <c r="AT220" s="25"/>
      <c r="AU220" s="25"/>
      <c r="AV220" s="30"/>
      <c r="AW220" s="30"/>
      <c r="AX220" s="31"/>
      <c r="AY220" s="25"/>
      <c r="AZ220" s="25">
        <v>0</v>
      </c>
      <c r="BA220" s="26">
        <v>43861</v>
      </c>
      <c r="BD220" s="64">
        <v>6.4</v>
      </c>
      <c r="BE220" s="25">
        <v>0.28089999999996501</v>
      </c>
      <c r="BF220" s="33">
        <v>1.79775999999978</v>
      </c>
      <c r="BI220" s="68" t="s">
        <v>803</v>
      </c>
    </row>
    <row r="221" spans="2:61" x14ac:dyDescent="0.25">
      <c r="B221" s="34" t="s">
        <v>220</v>
      </c>
      <c r="C221" s="14" t="s">
        <v>639</v>
      </c>
      <c r="D221" s="1" t="s">
        <v>423</v>
      </c>
      <c r="E221" s="1" t="s">
        <v>639</v>
      </c>
      <c r="F221" s="1" t="s">
        <v>913</v>
      </c>
      <c r="G221" s="87">
        <v>951386818.67499995</v>
      </c>
      <c r="H221" s="26">
        <v>43999</v>
      </c>
      <c r="I221" s="45">
        <v>1273.59999999963</v>
      </c>
      <c r="J221" s="45">
        <v>1455.10319904424</v>
      </c>
      <c r="K221" s="25"/>
      <c r="L221" s="26">
        <v>43790</v>
      </c>
      <c r="M221" s="45">
        <v>1215812.959</v>
      </c>
      <c r="N221" s="45">
        <v>1004695.50191309</v>
      </c>
      <c r="O221" s="25"/>
      <c r="P221" s="27">
        <v>584</v>
      </c>
      <c r="Q221" s="27">
        <v>281.17269076313801</v>
      </c>
      <c r="R221" s="25"/>
      <c r="T221" s="28">
        <v>1.49824673244439E-2</v>
      </c>
      <c r="U221" s="28"/>
      <c r="V221" s="28">
        <v>0.10747826086852</v>
      </c>
      <c r="W221" s="28"/>
      <c r="X221" s="28">
        <v>-7.5430589946336099E-2</v>
      </c>
      <c r="Y221" s="28"/>
      <c r="Z221" s="28">
        <v>9.6229987948463505E-2</v>
      </c>
      <c r="AA221" s="28"/>
      <c r="AB221" s="28">
        <v>0.307697673082585</v>
      </c>
      <c r="AC221" s="28"/>
      <c r="AD221" s="28">
        <v>-3.5021020556087003E-2</v>
      </c>
      <c r="AE221" s="28"/>
      <c r="AF221" s="28">
        <v>-8.0082272704166804E-2</v>
      </c>
      <c r="AG221" s="28"/>
      <c r="AH221" s="28">
        <v>-2.3731749297439802E-3</v>
      </c>
      <c r="AI221" s="28"/>
      <c r="AJ221" s="28">
        <v>0.29900443437160001</v>
      </c>
      <c r="AK221" s="28"/>
      <c r="AL221" s="28">
        <v>0.25719670909340497</v>
      </c>
      <c r="AM221" s="28"/>
      <c r="AN221" s="28">
        <v>0.24935910153726601</v>
      </c>
      <c r="AO221" s="28"/>
      <c r="AP221" s="29">
        <v>36.472015768464203</v>
      </c>
      <c r="AR221" s="25">
        <v>0.10934891485885601</v>
      </c>
      <c r="AS221" s="25">
        <v>-0.11245152951232699</v>
      </c>
      <c r="AT221" s="25">
        <v>0.21759259259299099</v>
      </c>
      <c r="AU221" s="25">
        <v>-0.19991240871138899</v>
      </c>
      <c r="AV221" s="30">
        <v>3</v>
      </c>
      <c r="AW221" s="30">
        <v>3</v>
      </c>
      <c r="AX221" s="31">
        <v>-0.13971288987727301</v>
      </c>
      <c r="AY221" s="25">
        <v>4.2887776520510699E-2</v>
      </c>
      <c r="AZ221" s="25">
        <v>-0.35012080536922402</v>
      </c>
      <c r="BA221" s="26">
        <v>43840</v>
      </c>
      <c r="BB221" s="58">
        <v>1.2592521022725101</v>
      </c>
      <c r="BD221" s="64">
        <v>747005.98199999996</v>
      </c>
      <c r="BE221" s="25">
        <v>0.11729999999995901</v>
      </c>
      <c r="BF221" s="33">
        <v>87623.8016885986</v>
      </c>
      <c r="BG221" s="25">
        <v>0.70829999999958104</v>
      </c>
      <c r="BH221" s="72">
        <v>529104.337050781</v>
      </c>
      <c r="BI221" s="68" t="s">
        <v>804</v>
      </c>
    </row>
    <row r="222" spans="2:61" x14ac:dyDescent="0.25">
      <c r="B222" s="34" t="s">
        <v>221</v>
      </c>
      <c r="C222" s="14" t="s">
        <v>640</v>
      </c>
      <c r="D222" s="1" t="s">
        <v>424</v>
      </c>
      <c r="E222" s="1" t="s">
        <v>640</v>
      </c>
      <c r="F222" s="1" t="s">
        <v>913</v>
      </c>
      <c r="G222" s="87">
        <v>259803028.10800001</v>
      </c>
      <c r="H222" s="26">
        <v>43998</v>
      </c>
      <c r="J222" s="45">
        <v>6.84645119439665</v>
      </c>
      <c r="K222" s="25"/>
      <c r="L222" s="26">
        <v>43826</v>
      </c>
      <c r="M222" s="45">
        <v>0</v>
      </c>
      <c r="N222" s="45">
        <v>10833.9728273163</v>
      </c>
      <c r="O222" s="25"/>
      <c r="P222" s="27">
        <v>0</v>
      </c>
      <c r="Q222" s="27">
        <v>0.74698795180756905</v>
      </c>
      <c r="R222" s="25"/>
      <c r="T222" s="28"/>
      <c r="U222" s="28"/>
      <c r="V222" s="28">
        <v>1.2461059190172799E-2</v>
      </c>
      <c r="W222" s="28"/>
      <c r="X222" s="28">
        <v>-5.0603032806102399E-2</v>
      </c>
      <c r="Y222" s="28"/>
      <c r="Z222" s="28">
        <v>1.2461059190172799E-2</v>
      </c>
      <c r="AA222" s="28"/>
      <c r="AB222" s="28">
        <v>7.9886372799592195E-2</v>
      </c>
      <c r="AC222" s="28"/>
      <c r="AD222" s="28">
        <v>4.23754000948975E-2</v>
      </c>
      <c r="AE222" s="28"/>
      <c r="AF222" s="28">
        <v>0.118542403879546</v>
      </c>
      <c r="AG222" s="28"/>
      <c r="AH222" s="28">
        <v>3.3187805047418799E-2</v>
      </c>
      <c r="AI222" s="28"/>
      <c r="AJ222" s="28">
        <v>2.10777974534722E-2</v>
      </c>
      <c r="AK222" s="28"/>
      <c r="AL222" s="28">
        <v>0.138263973080029</v>
      </c>
      <c r="AM222" s="28"/>
      <c r="AN222" s="28">
        <v>0.64725837084581195</v>
      </c>
      <c r="AO222" s="28"/>
      <c r="AP222" s="29"/>
      <c r="AR222" s="25">
        <v>4.65517241373163E-2</v>
      </c>
      <c r="AS222" s="25">
        <v>-7.9527214358677198E-2</v>
      </c>
      <c r="AT222" s="25">
        <v>0.20251728049159301</v>
      </c>
      <c r="AU222" s="25">
        <v>-0.18356923974904901</v>
      </c>
      <c r="AV222" s="30">
        <v>2</v>
      </c>
      <c r="AW222" s="30">
        <v>2</v>
      </c>
      <c r="AX222" s="31"/>
      <c r="AY222" s="25"/>
      <c r="AZ222" s="25">
        <v>-0.23484320557559801</v>
      </c>
      <c r="BA222" s="26">
        <v>43826</v>
      </c>
      <c r="BB222" s="58">
        <v>0.86479889051133796</v>
      </c>
      <c r="BD222" s="64">
        <v>39969696.631999999</v>
      </c>
      <c r="BE222" s="25">
        <v>0.83009999999892903</v>
      </c>
      <c r="BF222" s="33">
        <v>33178845.1742188</v>
      </c>
      <c r="BG222" s="25">
        <v>0.17</v>
      </c>
      <c r="BH222" s="72">
        <v>6794848.4274375001</v>
      </c>
      <c r="BI222" s="68" t="s">
        <v>805</v>
      </c>
    </row>
    <row r="223" spans="2:61" x14ac:dyDescent="0.25">
      <c r="B223" s="34" t="s">
        <v>222</v>
      </c>
      <c r="C223" s="14" t="s">
        <v>641</v>
      </c>
      <c r="D223" s="1" t="s">
        <v>425</v>
      </c>
      <c r="E223" s="1" t="s">
        <v>641</v>
      </c>
      <c r="F223" s="1" t="s">
        <v>913</v>
      </c>
      <c r="G223" s="87">
        <v>20365714.304000001</v>
      </c>
      <c r="H223" s="26">
        <v>43994</v>
      </c>
      <c r="J223" s="45">
        <v>34.9453125</v>
      </c>
      <c r="K223" s="25"/>
      <c r="L223" s="26">
        <v>43679</v>
      </c>
      <c r="M223" s="45">
        <v>0</v>
      </c>
      <c r="N223" s="45">
        <v>199.77567871475199</v>
      </c>
      <c r="O223" s="25"/>
      <c r="P223" s="27">
        <v>0</v>
      </c>
      <c r="Q223" s="27">
        <v>0.136546184739018</v>
      </c>
      <c r="R223" s="25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>
        <v>-9.59406611582381E-2</v>
      </c>
      <c r="AI223" s="28"/>
      <c r="AJ223" s="28"/>
      <c r="AK223" s="28"/>
      <c r="AL223" s="28">
        <v>-4.4448785198255798E-2</v>
      </c>
      <c r="AM223" s="28"/>
      <c r="AN223" s="28"/>
      <c r="AO223" s="28"/>
      <c r="AP223" s="29"/>
      <c r="AR223" s="25">
        <v>0</v>
      </c>
      <c r="AS223" s="25">
        <v>-5.8823529411747601E-2</v>
      </c>
      <c r="AT223" s="25">
        <v>1.5873015872784901E-2</v>
      </c>
      <c r="AU223" s="25">
        <v>-5.8823529411747601E-2</v>
      </c>
      <c r="AV223" s="30">
        <v>1</v>
      </c>
      <c r="AW223" s="30">
        <v>1</v>
      </c>
      <c r="AX223" s="31"/>
      <c r="AY223" s="25"/>
      <c r="AZ223" s="25">
        <v>-5.8823529411747601E-2</v>
      </c>
      <c r="BA223" s="26">
        <v>43839</v>
      </c>
      <c r="BB223" s="58">
        <v>9.5892642371495598E-2</v>
      </c>
      <c r="BD223" s="64">
        <v>636428.57200000004</v>
      </c>
      <c r="BE223" s="25">
        <v>0.197300000000105</v>
      </c>
      <c r="BF223" s="33">
        <v>125567.357255615</v>
      </c>
      <c r="BI223" s="68" t="s">
        <v>743</v>
      </c>
    </row>
    <row r="224" spans="2:61" x14ac:dyDescent="0.25">
      <c r="B224" s="34" t="s">
        <v>223</v>
      </c>
      <c r="C224" s="14" t="s">
        <v>642</v>
      </c>
      <c r="D224" s="1" t="s">
        <v>426</v>
      </c>
      <c r="E224" s="1" t="s">
        <v>642</v>
      </c>
      <c r="F224" s="1" t="s">
        <v>913</v>
      </c>
      <c r="H224" s="26"/>
      <c r="K224" s="25"/>
      <c r="L224" s="26"/>
      <c r="M224" s="45">
        <v>0</v>
      </c>
      <c r="O224" s="25"/>
      <c r="P224" s="27">
        <v>0</v>
      </c>
      <c r="Q224" s="27"/>
      <c r="R224" s="25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9"/>
      <c r="AR224" s="25"/>
      <c r="AS224" s="25"/>
      <c r="AT224" s="25"/>
      <c r="AU224" s="25"/>
      <c r="AV224" s="30"/>
      <c r="AW224" s="30"/>
      <c r="AX224" s="31"/>
      <c r="AY224" s="25"/>
      <c r="AZ224" s="25"/>
      <c r="BA224" s="26"/>
      <c r="BI224" s="68" t="s">
        <v>227</v>
      </c>
    </row>
    <row r="225" spans="2:61" x14ac:dyDescent="0.25">
      <c r="B225" s="34" t="s">
        <v>224</v>
      </c>
      <c r="C225" s="14" t="s">
        <v>643</v>
      </c>
      <c r="D225" s="1" t="s">
        <v>426</v>
      </c>
      <c r="E225" s="1" t="s">
        <v>643</v>
      </c>
      <c r="F225" s="1" t="s">
        <v>913</v>
      </c>
      <c r="H225" s="26"/>
      <c r="K225" s="25"/>
      <c r="L225" s="26"/>
      <c r="M225" s="45">
        <v>0</v>
      </c>
      <c r="O225" s="25"/>
      <c r="P225" s="27">
        <v>0</v>
      </c>
      <c r="Q225" s="27"/>
      <c r="R225" s="25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9"/>
      <c r="AR225" s="25"/>
      <c r="AS225" s="25"/>
      <c r="AT225" s="25"/>
      <c r="AU225" s="25"/>
      <c r="AV225" s="30"/>
      <c r="AW225" s="30"/>
      <c r="AX225" s="31"/>
      <c r="AY225" s="25"/>
      <c r="AZ225" s="25"/>
      <c r="BA225" s="26"/>
      <c r="BI225" s="68" t="s">
        <v>227</v>
      </c>
    </row>
    <row r="226" spans="2:61" x14ac:dyDescent="0.25">
      <c r="B226" s="34" t="s">
        <v>225</v>
      </c>
      <c r="C226" s="14" t="s">
        <v>644</v>
      </c>
      <c r="D226" s="1" t="s">
        <v>427</v>
      </c>
      <c r="E226" s="1" t="s">
        <v>644</v>
      </c>
      <c r="F226" s="1" t="s">
        <v>913</v>
      </c>
      <c r="G226" s="87">
        <v>338362204.71649998</v>
      </c>
      <c r="H226" s="26">
        <v>43998</v>
      </c>
      <c r="J226" s="45">
        <v>1100</v>
      </c>
      <c r="K226" s="25"/>
      <c r="L226" s="26">
        <v>43992</v>
      </c>
      <c r="M226" s="45">
        <v>0</v>
      </c>
      <c r="N226" s="45">
        <v>47525.942148620597</v>
      </c>
      <c r="O226" s="25"/>
      <c r="P226" s="27">
        <v>0</v>
      </c>
      <c r="Q226" s="27"/>
      <c r="R226" s="25"/>
      <c r="T226" s="28"/>
      <c r="U226" s="28"/>
      <c r="V226" s="28">
        <v>0.121358665566804</v>
      </c>
      <c r="W226" s="28"/>
      <c r="X226" s="28">
        <v>0.13794796269037801</v>
      </c>
      <c r="Y226" s="28"/>
      <c r="Z226" s="28">
        <v>0.17138742198760201</v>
      </c>
      <c r="AA226" s="28"/>
      <c r="AB226" s="28">
        <v>0.32192757342476402</v>
      </c>
      <c r="AC226" s="28"/>
      <c r="AD226" s="28">
        <v>0.13794796269037801</v>
      </c>
      <c r="AE226" s="28"/>
      <c r="AF226" s="28">
        <v>4.1329739442517201E-2</v>
      </c>
      <c r="AG226" s="28"/>
      <c r="AH226" s="28">
        <v>-7.9659750505961704E-2</v>
      </c>
      <c r="AI226" s="28"/>
      <c r="AJ226" s="28">
        <v>-6.4336711689102197E-2</v>
      </c>
      <c r="AK226" s="28"/>
      <c r="AL226" s="28">
        <v>-4.7359458248174599E-2</v>
      </c>
      <c r="AM226" s="28"/>
      <c r="AN226" s="28"/>
      <c r="AO226" s="28"/>
      <c r="AP226" s="29"/>
      <c r="AR226" s="25">
        <v>4.7414634145752602E-2</v>
      </c>
      <c r="AS226" s="25">
        <v>-6.8181818181983503E-2</v>
      </c>
      <c r="AT226" s="25">
        <v>0.15528915662624099</v>
      </c>
      <c r="AU226" s="25">
        <v>-8.7531056925363407E-2</v>
      </c>
      <c r="AV226" s="30">
        <v>3</v>
      </c>
      <c r="AW226" s="30">
        <v>3</v>
      </c>
      <c r="AX226" s="31"/>
      <c r="AY226" s="25"/>
      <c r="AZ226" s="25">
        <v>-0.19446153846161901</v>
      </c>
      <c r="BA226" s="26">
        <v>43844</v>
      </c>
      <c r="BB226" s="58">
        <v>0.74455165371364296</v>
      </c>
      <c r="BD226" s="64">
        <v>315165.98800000001</v>
      </c>
      <c r="BE226" s="25">
        <v>0.51090000000025604</v>
      </c>
      <c r="BF226" s="33">
        <v>161018.30326928699</v>
      </c>
      <c r="BG226" s="25">
        <v>0.48909999999974402</v>
      </c>
      <c r="BH226" s="72">
        <v>154147.68473071299</v>
      </c>
      <c r="BI226" s="68" t="s">
        <v>806</v>
      </c>
    </row>
    <row r="227" spans="2:61" x14ac:dyDescent="0.25">
      <c r="B227" s="34" t="s">
        <v>226</v>
      </c>
      <c r="C227" s="14" t="s">
        <v>645</v>
      </c>
      <c r="D227" s="1" t="s">
        <v>428</v>
      </c>
      <c r="E227" s="1" t="s">
        <v>645</v>
      </c>
      <c r="F227" s="1" t="s">
        <v>915</v>
      </c>
      <c r="G227" s="87">
        <v>110946335.265</v>
      </c>
      <c r="H227" s="26">
        <v>43999</v>
      </c>
      <c r="I227" s="45">
        <v>503</v>
      </c>
      <c r="J227" s="45">
        <v>745.85144250188</v>
      </c>
      <c r="K227" s="25"/>
      <c r="L227" s="26">
        <v>43669</v>
      </c>
      <c r="M227" s="45">
        <v>2238.0070000000001</v>
      </c>
      <c r="N227" s="45">
        <v>14789.3858152618</v>
      </c>
      <c r="O227" s="25"/>
      <c r="P227" s="27"/>
      <c r="Q227" s="27"/>
      <c r="R227" s="25"/>
      <c r="T227" s="28">
        <v>0</v>
      </c>
      <c r="U227" s="28"/>
      <c r="V227" s="28">
        <v>2.65306122455513E-2</v>
      </c>
      <c r="W227" s="28"/>
      <c r="X227" s="28">
        <v>-0.160273464584898</v>
      </c>
      <c r="Y227" s="28"/>
      <c r="Z227" s="28">
        <v>3.9497478190241998E-2</v>
      </c>
      <c r="AA227" s="28"/>
      <c r="AB227" s="28">
        <v>-1.5584388047500399E-3</v>
      </c>
      <c r="AC227" s="28"/>
      <c r="AD227" s="28">
        <v>-0.175002001436078</v>
      </c>
      <c r="AE227" s="28"/>
      <c r="AF227" s="28">
        <v>-0.30146871079981802</v>
      </c>
      <c r="AG227" s="28"/>
      <c r="AH227" s="28">
        <v>-0.25104302871390199</v>
      </c>
      <c r="AI227" s="28"/>
      <c r="AJ227" s="28">
        <v>-2.37226024019037E-2</v>
      </c>
      <c r="AK227" s="28"/>
      <c r="AL227" s="28">
        <v>0.29266870499122899</v>
      </c>
      <c r="AM227" s="28"/>
      <c r="AN227" s="28">
        <v>0.15052660145374799</v>
      </c>
      <c r="AO227" s="28"/>
      <c r="AP227" s="29"/>
      <c r="AR227" s="25">
        <v>4.2857142856519197E-2</v>
      </c>
      <c r="AS227" s="25">
        <v>-6.5764023211158901E-2</v>
      </c>
      <c r="AT227" s="25">
        <v>3.5049621496000299E-2</v>
      </c>
      <c r="AU227" s="25">
        <v>-0.17603678929764999</v>
      </c>
      <c r="AV227" s="30">
        <v>2</v>
      </c>
      <c r="AW227" s="30">
        <v>4</v>
      </c>
      <c r="AX227" s="31"/>
      <c r="AY227" s="25"/>
      <c r="AZ227" s="25">
        <v>-0.22292296801519099</v>
      </c>
      <c r="BA227" s="26">
        <v>43817</v>
      </c>
      <c r="BB227" s="58">
        <v>0.53412161841606598</v>
      </c>
      <c r="BD227" s="64">
        <v>220569.255</v>
      </c>
      <c r="BE227" s="25">
        <v>0.71280000000027899</v>
      </c>
      <c r="BF227" s="33">
        <v>157221.764964111</v>
      </c>
      <c r="BG227" s="25">
        <v>0.287200000000012</v>
      </c>
      <c r="BH227" s="72">
        <v>63347.490036010699</v>
      </c>
      <c r="BI227" s="68" t="s">
        <v>738</v>
      </c>
    </row>
    <row r="228" spans="2:61" x14ac:dyDescent="0.25">
      <c r="C228" s="14"/>
      <c r="H228" s="26"/>
      <c r="K228" s="25"/>
      <c r="L228" s="26"/>
      <c r="O228" s="25"/>
      <c r="P228" s="27"/>
      <c r="Q228" s="27"/>
      <c r="R228" s="25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9"/>
      <c r="AR228" s="25"/>
      <c r="AS228" s="25"/>
      <c r="AT228" s="25"/>
      <c r="AU228" s="25"/>
      <c r="AV228" s="30"/>
      <c r="AW228" s="30"/>
      <c r="AX228" s="31"/>
      <c r="AY228" s="25"/>
      <c r="AZ228" s="25"/>
      <c r="BA228" s="26"/>
    </row>
    <row r="229" spans="2:61" x14ac:dyDescent="0.25">
      <c r="C229" s="14"/>
      <c r="H229" s="26"/>
      <c r="K229" s="25"/>
      <c r="L229" s="26"/>
      <c r="O229" s="25"/>
      <c r="P229" s="27"/>
      <c r="Q229" s="27"/>
      <c r="R229" s="25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9"/>
      <c r="AR229" s="25"/>
      <c r="AS229" s="25"/>
      <c r="AT229" s="25"/>
      <c r="AU229" s="25"/>
      <c r="AV229" s="30"/>
      <c r="AW229" s="30"/>
      <c r="AX229" s="31"/>
      <c r="AY229" s="25"/>
      <c r="AZ229" s="25"/>
      <c r="BA229" s="26"/>
    </row>
    <row r="230" spans="2:61" x14ac:dyDescent="0.25">
      <c r="C230" s="14"/>
      <c r="H230" s="26"/>
      <c r="K230" s="25"/>
      <c r="L230" s="26"/>
      <c r="O230" s="25"/>
      <c r="P230" s="27"/>
      <c r="Q230" s="27"/>
      <c r="R230" s="25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9"/>
      <c r="AR230" s="25"/>
      <c r="AS230" s="25"/>
      <c r="AT230" s="25"/>
      <c r="AU230" s="25"/>
      <c r="AV230" s="30"/>
      <c r="AW230" s="30"/>
      <c r="AX230" s="31"/>
      <c r="AY230" s="25"/>
      <c r="AZ230" s="25"/>
      <c r="BA230" s="26"/>
    </row>
    <row r="231" spans="2:61" x14ac:dyDescent="0.25">
      <c r="C231" s="14"/>
      <c r="H231" s="26"/>
      <c r="K231" s="25"/>
      <c r="L231" s="26"/>
      <c r="O231" s="25"/>
      <c r="P231" s="27"/>
      <c r="Q231" s="27"/>
      <c r="R231" s="25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9"/>
      <c r="AR231" s="25"/>
      <c r="AS231" s="25"/>
      <c r="AT231" s="25"/>
      <c r="AU231" s="25"/>
      <c r="AV231" s="30"/>
      <c r="AW231" s="30"/>
      <c r="AX231" s="31"/>
      <c r="AY231" s="25"/>
      <c r="AZ231" s="25"/>
      <c r="BA231" s="26"/>
    </row>
    <row r="232" spans="2:61" x14ac:dyDescent="0.25">
      <c r="C232" s="14"/>
      <c r="H232" s="26"/>
      <c r="K232" s="25"/>
      <c r="L232" s="26"/>
      <c r="O232" s="25"/>
      <c r="P232" s="27"/>
      <c r="Q232" s="27"/>
      <c r="R232" s="25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9"/>
      <c r="AR232" s="25"/>
      <c r="AS232" s="25"/>
      <c r="AT232" s="25"/>
      <c r="AU232" s="25"/>
      <c r="AV232" s="30"/>
      <c r="AW232" s="30"/>
      <c r="AX232" s="31"/>
      <c r="AY232" s="25"/>
      <c r="AZ232" s="25"/>
      <c r="BA232" s="26"/>
    </row>
    <row r="233" spans="2:61" x14ac:dyDescent="0.25">
      <c r="C233" s="14"/>
      <c r="H233" s="26"/>
      <c r="K233" s="25"/>
      <c r="L233" s="26"/>
      <c r="O233" s="25"/>
      <c r="P233" s="27"/>
      <c r="Q233" s="27"/>
      <c r="R233" s="25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9"/>
      <c r="AR233" s="25"/>
      <c r="AS233" s="25"/>
      <c r="AT233" s="25"/>
      <c r="AU233" s="25"/>
      <c r="AV233" s="30"/>
      <c r="AW233" s="30"/>
      <c r="AX233" s="31"/>
      <c r="AY233" s="25"/>
      <c r="AZ233" s="25"/>
      <c r="BA233" s="26"/>
    </row>
    <row r="234" spans="2:61" x14ac:dyDescent="0.25">
      <c r="C234" s="14"/>
      <c r="H234" s="26"/>
      <c r="K234" s="25"/>
      <c r="L234" s="26"/>
      <c r="O234" s="25"/>
      <c r="P234" s="27"/>
      <c r="Q234" s="27"/>
      <c r="R234" s="25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9"/>
      <c r="AR234" s="25"/>
      <c r="AS234" s="25"/>
      <c r="AT234" s="25"/>
      <c r="AU234" s="25"/>
      <c r="AV234" s="30"/>
      <c r="AW234" s="30"/>
      <c r="AX234" s="31"/>
      <c r="AY234" s="25"/>
      <c r="AZ234" s="25"/>
      <c r="BA234" s="26"/>
    </row>
    <row r="235" spans="2:61" x14ac:dyDescent="0.25">
      <c r="C235" s="14"/>
      <c r="H235" s="26"/>
      <c r="K235" s="25"/>
      <c r="L235" s="26"/>
      <c r="O235" s="25"/>
      <c r="P235" s="27"/>
      <c r="Q235" s="27"/>
      <c r="R235" s="25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9"/>
      <c r="AR235" s="25"/>
      <c r="AS235" s="25"/>
      <c r="AT235" s="25"/>
      <c r="AU235" s="25"/>
      <c r="AV235" s="30"/>
      <c r="AW235" s="30"/>
      <c r="AX235" s="31"/>
      <c r="AY235" s="25"/>
      <c r="AZ235" s="25"/>
      <c r="BA235" s="26"/>
    </row>
    <row r="236" spans="2:61" x14ac:dyDescent="0.25">
      <c r="C236" s="14"/>
      <c r="H236" s="26"/>
      <c r="K236" s="25"/>
      <c r="L236" s="26"/>
      <c r="O236" s="25"/>
      <c r="P236" s="27"/>
      <c r="Q236" s="27"/>
      <c r="R236" s="25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9"/>
      <c r="AR236" s="25"/>
      <c r="AS236" s="25"/>
      <c r="AT236" s="25"/>
      <c r="AU236" s="25"/>
      <c r="AV236" s="30"/>
      <c r="AW236" s="30"/>
      <c r="AX236" s="31"/>
      <c r="AY236" s="25"/>
      <c r="AZ236" s="25"/>
      <c r="BA236" s="26"/>
    </row>
    <row r="237" spans="2:61" x14ac:dyDescent="0.25">
      <c r="C237" s="14"/>
      <c r="H237" s="26"/>
      <c r="K237" s="25"/>
      <c r="L237" s="26"/>
      <c r="O237" s="25"/>
      <c r="P237" s="27"/>
      <c r="Q237" s="27"/>
      <c r="R237" s="25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9"/>
      <c r="AR237" s="25"/>
      <c r="AS237" s="25"/>
      <c r="AT237" s="25"/>
      <c r="AU237" s="25"/>
      <c r="AV237" s="30"/>
      <c r="AW237" s="30"/>
      <c r="AX237" s="31"/>
      <c r="AY237" s="25"/>
      <c r="AZ237" s="25"/>
      <c r="BA237" s="26"/>
    </row>
    <row r="238" spans="2:61" x14ac:dyDescent="0.25">
      <c r="C238" s="14"/>
      <c r="H238" s="26"/>
      <c r="K238" s="25"/>
      <c r="L238" s="26"/>
      <c r="O238" s="25"/>
      <c r="P238" s="27"/>
      <c r="Q238" s="27"/>
      <c r="R238" s="25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9"/>
      <c r="AR238" s="25"/>
      <c r="AS238" s="25"/>
      <c r="AT238" s="25"/>
      <c r="AU238" s="25"/>
      <c r="AV238" s="30"/>
      <c r="AW238" s="30"/>
      <c r="AX238" s="31"/>
      <c r="AY238" s="25"/>
      <c r="AZ238" s="25"/>
      <c r="BA238" s="26"/>
    </row>
    <row r="239" spans="2:61" x14ac:dyDescent="0.25">
      <c r="C239" s="14"/>
      <c r="H239" s="26"/>
      <c r="K239" s="25"/>
      <c r="L239" s="26"/>
      <c r="O239" s="25"/>
      <c r="P239" s="27"/>
      <c r="Q239" s="27"/>
      <c r="R239" s="25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9"/>
      <c r="AR239" s="25"/>
      <c r="AS239" s="25"/>
      <c r="AT239" s="25"/>
      <c r="AU239" s="25"/>
      <c r="AV239" s="30"/>
      <c r="AW239" s="30"/>
      <c r="AX239" s="31"/>
      <c r="AY239" s="25"/>
      <c r="AZ239" s="25"/>
      <c r="BA239" s="26"/>
    </row>
    <row r="240" spans="2:61" x14ac:dyDescent="0.25">
      <c r="C240" s="14"/>
      <c r="H240" s="26"/>
      <c r="K240" s="25"/>
      <c r="L240" s="26"/>
      <c r="O240" s="25"/>
      <c r="P240" s="27"/>
      <c r="Q240" s="27"/>
      <c r="R240" s="25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9"/>
      <c r="AR240" s="25"/>
      <c r="AS240" s="25"/>
      <c r="AT240" s="25"/>
      <c r="AU240" s="25"/>
      <c r="AV240" s="30"/>
      <c r="AW240" s="30"/>
      <c r="AX240" s="31"/>
      <c r="AY240" s="25"/>
      <c r="AZ240" s="25"/>
      <c r="BA240" s="26"/>
    </row>
    <row r="241" spans="3:53" x14ac:dyDescent="0.25">
      <c r="C241" s="14"/>
      <c r="H241" s="26"/>
      <c r="K241" s="25"/>
      <c r="L241" s="26"/>
      <c r="O241" s="25"/>
      <c r="P241" s="27"/>
      <c r="Q241" s="27"/>
      <c r="R241" s="25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9"/>
      <c r="AR241" s="25"/>
      <c r="AS241" s="25"/>
      <c r="AT241" s="25"/>
      <c r="AU241" s="25"/>
      <c r="AV241" s="30"/>
      <c r="AW241" s="30"/>
      <c r="AX241" s="31"/>
      <c r="AY241" s="25"/>
      <c r="AZ241" s="25"/>
      <c r="BA241" s="26"/>
    </row>
  </sheetData>
  <dataConsolidate/>
  <mergeCells count="14">
    <mergeCell ref="I9:P9"/>
    <mergeCell ref="AN9:AO9"/>
    <mergeCell ref="AR9:AZ9"/>
    <mergeCell ref="BD9:BI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</mergeCells>
  <conditionalFormatting sqref="B11:R198 T11:AP198 AR11:BB198 BD11:BI198 BD201:BI201 AR201:BB201 T201:AP201 B201:R201 B199:B200 C203:R241 B202 T203:AP241 AR203:BB241 BD203:BI241">
    <cfRule type="expression" dxfId="9" priority="18">
      <formula>MOD(ROW(),2)</formula>
    </cfRule>
  </conditionalFormatting>
  <conditionalFormatting sqref="O11:O198 O201 O203:O241">
    <cfRule type="iconSet" priority="1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R11:R198 R201 R203:R241">
    <cfRule type="iconSet" priority="2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AR1:BB7 AR8:BA8 AR9:BB198 AR201:BB201 AR203:BB1048576">
    <cfRule type="cellIs" dxfId="8" priority="17" operator="lessThan">
      <formula>0</formula>
    </cfRule>
  </conditionalFormatting>
  <conditionalFormatting sqref="C199:R199 BD199:BI199 AR199:BB199 T199:AP199">
    <cfRule type="expression" dxfId="5" priority="10">
      <formula>MOD(ROW(),2)</formula>
    </cfRule>
  </conditionalFormatting>
  <conditionalFormatting sqref="O199">
    <cfRule type="iconSet" priority="1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R199">
    <cfRule type="iconSet" priority="1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AR199:BB199">
    <cfRule type="cellIs" dxfId="4" priority="9" operator="lessThan">
      <formula>0</formula>
    </cfRule>
  </conditionalFormatting>
  <conditionalFormatting sqref="C200:R200 BD200:BI200 AR200:BB200 T200:AP200">
    <cfRule type="expression" dxfId="3" priority="6">
      <formula>MOD(ROW(),2)</formula>
    </cfRule>
  </conditionalFormatting>
  <conditionalFormatting sqref="O200">
    <cfRule type="iconSet" priority="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R200">
    <cfRule type="iconSet" priority="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AR200:BB200">
    <cfRule type="cellIs" dxfId="2" priority="5" operator="lessThan">
      <formula>0</formula>
    </cfRule>
  </conditionalFormatting>
  <conditionalFormatting sqref="BD202:BI202 AR202:BB202 T202:AP202 C202:R202">
    <cfRule type="expression" dxfId="1" priority="2">
      <formula>MOD(ROW(),2)</formula>
    </cfRule>
  </conditionalFormatting>
  <conditionalFormatting sqref="O202">
    <cfRule type="iconSet" priority="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R202">
    <cfRule type="iconSet" priority="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AR202:BB202">
    <cfRule type="cellIs" dxfId="0" priority="1" operator="lessThan">
      <formula>0</formula>
    </cfRule>
  </conditionalFormatting>
  <dataValidations disablePrompts="1" count="4"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AP11:AP202 N11:N202 Q11:Q202 L11:L202 J11:J202 AR11:BB202" xr:uid="{00000000-0002-0000-0000-000001000000}">
      <formula1>FALSE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M11:M202 P11:P202 AD11:AD202 T11:T202 V11:V202 AF11:AF202 AJ11:AJ202 AN11:AN202 AB11:AB202 AH11:AH202 X11:X202 BD11:BI202 AL11:AL202 Z11:Z202 D11:I202" xr:uid="{00000000-0002-0000-0000-000002000000}">
      <formula1>"FALSE"</formula1>
    </dataValidation>
    <dataValidation type="list" allowBlank="1" showInputMessage="1" showErrorMessage="1" sqref="E7" xr:uid="{00000000-0002-0000-0000-000003000000}">
      <formula1>"Units,Thousands,Millions,Billions"</formula1>
    </dataValidation>
    <dataValidation type="list" allowBlank="1" showInputMessage="1" showErrorMessage="1" sqref="R9 BB9" xr:uid="{A5E73D78-5F77-46EF-A360-14F45389DE73}">
      <formula1>"1M,3M,6M,12M,24M,36M,48M"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'Referencias Benchmark'!$C$3:$C$31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8"/>
  <dimension ref="B1:F33"/>
  <sheetViews>
    <sheetView showGridLines="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2" sqref="B2"/>
    </sheetView>
  </sheetViews>
  <sheetFormatPr baseColWidth="10" defaultColWidth="9.140625" defaultRowHeight="12.75" x14ac:dyDescent="0.2"/>
  <cols>
    <col min="1" max="1" width="2.140625" style="42" customWidth="1"/>
    <col min="2" max="2" width="19.85546875" style="42" bestFit="1" customWidth="1"/>
    <col min="3" max="3" width="36.140625" style="42" bestFit="1" customWidth="1"/>
    <col min="4" max="4" width="25.140625" style="42" bestFit="1" customWidth="1"/>
    <col min="5" max="16384" width="9.140625" style="42"/>
  </cols>
  <sheetData>
    <row r="1" spans="2:4" ht="85.9" customHeight="1" thickBot="1" x14ac:dyDescent="0.25">
      <c r="B1" s="43"/>
    </row>
    <row r="2" spans="2:4" ht="14.1" customHeight="1" thickBot="1" x14ac:dyDescent="0.25">
      <c r="B2" s="81" t="str">
        <f>+_xll.ECOSECURITIES("stockindex","active",,"chl")</f>
        <v>Codigo</v>
      </c>
      <c r="C2" s="81" t="str">
        <f>+_xll.ECONOMATICA(B3:B50,"TICKER",,,,,,,,,"Codigo")</f>
        <v>Codigo</v>
      </c>
      <c r="D2" s="81" t="str">
        <f>+_xll.ECONOMATICA(B3:B40,"name",,,,,,,,,"Nombre")</f>
        <v>Nombre</v>
      </c>
    </row>
    <row r="3" spans="2:4" ht="14.1" customHeight="1" x14ac:dyDescent="0.2">
      <c r="B3" s="42" t="s">
        <v>812</v>
      </c>
      <c r="C3" s="42" t="s">
        <v>870</v>
      </c>
      <c r="D3" s="42" t="s">
        <v>841</v>
      </c>
    </row>
    <row r="4" spans="2:4" ht="14.1" customHeight="1" x14ac:dyDescent="0.2">
      <c r="B4" s="42" t="s">
        <v>813</v>
      </c>
      <c r="C4" s="42" t="s">
        <v>652</v>
      </c>
      <c r="D4" s="42" t="s">
        <v>842</v>
      </c>
    </row>
    <row r="5" spans="2:4" ht="14.1" customHeight="1" x14ac:dyDescent="0.2">
      <c r="B5" s="42" t="s">
        <v>814</v>
      </c>
      <c r="C5" s="42" t="s">
        <v>871</v>
      </c>
      <c r="D5" s="42" t="s">
        <v>843</v>
      </c>
    </row>
    <row r="6" spans="2:4" ht="14.1" customHeight="1" x14ac:dyDescent="0.2">
      <c r="B6" s="42" t="s">
        <v>815</v>
      </c>
      <c r="C6" s="42" t="s">
        <v>651</v>
      </c>
      <c r="D6" s="42" t="s">
        <v>844</v>
      </c>
    </row>
    <row r="7" spans="2:4" ht="14.1" customHeight="1" x14ac:dyDescent="0.2">
      <c r="B7" s="42" t="s">
        <v>816</v>
      </c>
      <c r="C7" s="42" t="s">
        <v>872</v>
      </c>
      <c r="D7" s="42" t="s">
        <v>845</v>
      </c>
    </row>
    <row r="8" spans="2:4" ht="14.1" customHeight="1" x14ac:dyDescent="0.2">
      <c r="B8" s="42" t="s">
        <v>817</v>
      </c>
      <c r="C8" s="42" t="s">
        <v>873</v>
      </c>
      <c r="D8" s="42" t="s">
        <v>846</v>
      </c>
    </row>
    <row r="9" spans="2:4" ht="14.1" customHeight="1" x14ac:dyDescent="0.2">
      <c r="B9" s="42" t="s">
        <v>818</v>
      </c>
      <c r="C9" s="42" t="s">
        <v>874</v>
      </c>
      <c r="D9" s="42" t="s">
        <v>847</v>
      </c>
    </row>
    <row r="10" spans="2:4" ht="14.1" customHeight="1" x14ac:dyDescent="0.2">
      <c r="B10" s="42" t="s">
        <v>819</v>
      </c>
      <c r="C10" s="42" t="s">
        <v>875</v>
      </c>
      <c r="D10" s="42" t="s">
        <v>848</v>
      </c>
    </row>
    <row r="11" spans="2:4" ht="14.1" customHeight="1" x14ac:dyDescent="0.2">
      <c r="B11" s="42" t="s">
        <v>820</v>
      </c>
      <c r="C11" s="42" t="s">
        <v>876</v>
      </c>
      <c r="D11" s="42" t="s">
        <v>849</v>
      </c>
    </row>
    <row r="12" spans="2:4" ht="14.1" customHeight="1" x14ac:dyDescent="0.2">
      <c r="B12" s="42" t="s">
        <v>821</v>
      </c>
      <c r="C12" s="42" t="s">
        <v>877</v>
      </c>
      <c r="D12" s="42" t="s">
        <v>850</v>
      </c>
    </row>
    <row r="13" spans="2:4" ht="14.1" customHeight="1" x14ac:dyDescent="0.2">
      <c r="B13" s="42" t="s">
        <v>822</v>
      </c>
      <c r="C13" s="42" t="s">
        <v>878</v>
      </c>
      <c r="D13" s="42" t="s">
        <v>851</v>
      </c>
    </row>
    <row r="14" spans="2:4" ht="14.1" customHeight="1" x14ac:dyDescent="0.2">
      <c r="B14" s="42" t="s">
        <v>823</v>
      </c>
      <c r="C14" s="42" t="s">
        <v>879</v>
      </c>
      <c r="D14" s="42" t="s">
        <v>852</v>
      </c>
    </row>
    <row r="15" spans="2:4" ht="14.1" customHeight="1" x14ac:dyDescent="0.2">
      <c r="B15" s="42" t="s">
        <v>824</v>
      </c>
      <c r="C15" s="42" t="s">
        <v>880</v>
      </c>
      <c r="D15" s="42" t="s">
        <v>853</v>
      </c>
    </row>
    <row r="16" spans="2:4" ht="14.1" customHeight="1" x14ac:dyDescent="0.2">
      <c r="B16" s="42" t="s">
        <v>825</v>
      </c>
      <c r="C16" s="42" t="s">
        <v>881</v>
      </c>
      <c r="D16" s="42" t="s">
        <v>854</v>
      </c>
    </row>
    <row r="17" spans="2:6" ht="14.1" customHeight="1" x14ac:dyDescent="0.2">
      <c r="B17" s="42" t="s">
        <v>826</v>
      </c>
      <c r="C17" s="42" t="s">
        <v>882</v>
      </c>
      <c r="D17" s="42" t="s">
        <v>855</v>
      </c>
    </row>
    <row r="18" spans="2:6" ht="14.1" customHeight="1" x14ac:dyDescent="0.2">
      <c r="B18" s="42" t="s">
        <v>827</v>
      </c>
      <c r="C18" s="42" t="s">
        <v>883</v>
      </c>
      <c r="D18" s="42" t="s">
        <v>856</v>
      </c>
    </row>
    <row r="19" spans="2:6" ht="14.1" customHeight="1" x14ac:dyDescent="0.2">
      <c r="B19" s="42" t="s">
        <v>828</v>
      </c>
      <c r="C19" s="42" t="s">
        <v>884</v>
      </c>
      <c r="D19" s="42" t="s">
        <v>857</v>
      </c>
    </row>
    <row r="20" spans="2:6" ht="14.1" customHeight="1" x14ac:dyDescent="0.2">
      <c r="B20" s="42" t="s">
        <v>829</v>
      </c>
      <c r="C20" s="42" t="s">
        <v>885</v>
      </c>
      <c r="D20" s="42" t="s">
        <v>858</v>
      </c>
    </row>
    <row r="21" spans="2:6" ht="14.1" customHeight="1" x14ac:dyDescent="0.2">
      <c r="B21" s="42" t="s">
        <v>830</v>
      </c>
      <c r="C21" s="42" t="s">
        <v>886</v>
      </c>
      <c r="D21" s="42" t="s">
        <v>859</v>
      </c>
    </row>
    <row r="22" spans="2:6" ht="14.1" customHeight="1" x14ac:dyDescent="0.2">
      <c r="B22" s="42" t="s">
        <v>831</v>
      </c>
      <c r="C22" s="42" t="s">
        <v>887</v>
      </c>
      <c r="D22" s="42" t="s">
        <v>860</v>
      </c>
    </row>
    <row r="23" spans="2:6" ht="14.1" customHeight="1" x14ac:dyDescent="0.2">
      <c r="B23" s="42" t="s">
        <v>832</v>
      </c>
      <c r="C23" s="42" t="s">
        <v>888</v>
      </c>
      <c r="D23" s="42" t="s">
        <v>861</v>
      </c>
    </row>
    <row r="24" spans="2:6" ht="14.1" customHeight="1" x14ac:dyDescent="0.2">
      <c r="B24" s="42" t="s">
        <v>833</v>
      </c>
      <c r="C24" s="42" t="s">
        <v>889</v>
      </c>
      <c r="D24" s="42" t="s">
        <v>862</v>
      </c>
    </row>
    <row r="25" spans="2:6" ht="14.1" customHeight="1" x14ac:dyDescent="0.2">
      <c r="B25" s="42" t="s">
        <v>834</v>
      </c>
      <c r="C25" s="42" t="s">
        <v>890</v>
      </c>
      <c r="D25" s="42" t="s">
        <v>863</v>
      </c>
    </row>
    <row r="26" spans="2:6" ht="14.1" customHeight="1" x14ac:dyDescent="0.2">
      <c r="B26" s="42" t="s">
        <v>835</v>
      </c>
      <c r="C26" s="42" t="s">
        <v>891</v>
      </c>
      <c r="D26" s="42" t="s">
        <v>864</v>
      </c>
    </row>
    <row r="27" spans="2:6" ht="14.1" customHeight="1" x14ac:dyDescent="0.2">
      <c r="B27" s="42" t="s">
        <v>836</v>
      </c>
      <c r="C27" s="42" t="s">
        <v>892</v>
      </c>
      <c r="D27" s="42" t="s">
        <v>865</v>
      </c>
    </row>
    <row r="28" spans="2:6" ht="14.1" customHeight="1" x14ac:dyDescent="0.2">
      <c r="B28" s="42" t="s">
        <v>837</v>
      </c>
      <c r="C28" s="42" t="s">
        <v>893</v>
      </c>
      <c r="D28" s="42" t="s">
        <v>866</v>
      </c>
    </row>
    <row r="29" spans="2:6" ht="14.1" customHeight="1" x14ac:dyDescent="0.2">
      <c r="B29" s="42" t="s">
        <v>838</v>
      </c>
      <c r="C29" s="42" t="s">
        <v>894</v>
      </c>
      <c r="D29" s="42" t="s">
        <v>867</v>
      </c>
    </row>
    <row r="30" spans="2:6" ht="14.1" customHeight="1" x14ac:dyDescent="0.25">
      <c r="B30" s="42" t="s">
        <v>839</v>
      </c>
      <c r="C30" s="42" t="s">
        <v>895</v>
      </c>
      <c r="D30" s="42" t="s">
        <v>868</v>
      </c>
      <c r="F30"/>
    </row>
    <row r="31" spans="2:6" ht="14.1" customHeight="1" x14ac:dyDescent="0.2">
      <c r="B31" s="42" t="s">
        <v>840</v>
      </c>
      <c r="C31" s="42" t="s">
        <v>896</v>
      </c>
      <c r="D31" s="42" t="s">
        <v>869</v>
      </c>
    </row>
    <row r="32" spans="2:6" ht="14.1" customHeight="1" x14ac:dyDescent="0.2"/>
    <row r="33" ht="14.1" customHeight="1" x14ac:dyDescent="0.2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</vt:lpstr>
      <vt:lpstr>Referencias Benchmark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Marcelo Sepulveda P.</cp:lastModifiedBy>
  <dcterms:created xsi:type="dcterms:W3CDTF">2018-09-20T16:52:53Z</dcterms:created>
  <dcterms:modified xsi:type="dcterms:W3CDTF">2020-06-18T00:57:16Z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1276908090</vt:lpwstr>
  </property>
  <property fmtid="{D5CDD505-2E9C-101B-9397-08002B2CF9AE}" pid="3" name="EcoUpdateMessage">
    <vt:lpwstr>2020/06/18-00:41:30</vt:lpwstr>
  </property>
  <property fmtid="{D5CDD505-2E9C-101B-9397-08002B2CF9AE}" pid="4" name="EcoUpdateStatus">
    <vt:lpwstr>2020-06-17=BRA:St,ME,Fd,TP;USA:St,ME;ARG:St,ME,TP;MEX:St,ME,Fd,TP;CHL:St,ME;COL:St,ME;PER:St,ME,Fd|2000-07-28=USA:TP|2020-06-16=ARG:Fd;CHL:Fd;COL:Fd;PER:TP|2019-10-28=CHL:TP|2014-02-26=VEN:St|2002-11-08=JPN:St|2020-06-15=GBR:St,ME|2016-08-18=NNN:St|2007-0</vt:lpwstr>
  </property>
</Properties>
</file>