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13_ncr:1_{07F0B744-2997-495F-BD43-CF285A586172}" xr6:coauthVersionLast="40" xr6:coauthVersionMax="45" xr10:uidLastSave="{00000000-0000-0000-0000-000000000000}"/>
  <bookViews>
    <workbookView xWindow="28680" yWindow="-120" windowWidth="29040" windowHeight="16440" xr2:uid="{1A04D168-80A4-44AE-A8CD-5AD164E2A20F}"/>
  </bookViews>
  <sheets>
    <sheet name="Panel de Mercado" sheetId="1" r:id="rId1"/>
    <sheet name="Base Índices" sheetId="4" r:id="rId2"/>
    <sheet name="Base Geral" sheetId="5" r:id="rId3"/>
  </sheets>
  <definedNames>
    <definedName name="_ECO_RANGE_ID1527d826902448eebbf9365c9ed4d4e1" localSheetId="2" hidden="1">'Base Geral'!$P$5:$P$36</definedName>
    <definedName name="_ECO_RANGE_ID563f434b44ed48e4bb63b3d00a006aae" localSheetId="2" hidden="1">'Base Geral'!$G$16:$G$19</definedName>
    <definedName name="_ECO_RANGE_ID5730ecbb3b6f475884ff9f1c692a5643" localSheetId="2" hidden="1">'Base Geral'!$B$16:$B$19</definedName>
    <definedName name="_ECO_RANGE_ID5c396a301d5e47d0ba10f1e7b11a986f" localSheetId="2" hidden="1">'Base Geral'!$Q$5:$Q$36</definedName>
    <definedName name="_ECO_RANGE_IDf2c659073576461d8beeb3cd92bb9656" localSheetId="2" hidden="1">'Base Geral'!$N$5:$N$36</definedName>
    <definedName name="_xlnm.Print_Area" localSheetId="0">'Panel de Mercado'!$B$1:$R$35</definedName>
    <definedName name="Ativo1">OFFSET(#REF!,0,0,MAX(1,COUNTA(#REF!)))</definedName>
    <definedName name="Ativo2">OFFSET(#REF!,0,0,MAX(1,COUNTA(#REF!)))</definedName>
    <definedName name="Ativo3">OFFSET(#REF!,0,0,MAX(1,COUNTA(#REF!)))</definedName>
    <definedName name="Ativo4">OFFSET(#REF!,0,0,MAX(1,COUNTA(#REF!)))</definedName>
    <definedName name="Ativo5">OFFSET(#REF!,0,0,MAX(1,COUNTA(#REF!)))</definedName>
    <definedName name="Ativo6">OFFSET(#REF!,0,0,MAX(1,COUNTA(#REF!)))</definedName>
    <definedName name="Ativo7">OFFSET(#REF!,0,0,MAX(1,COUNTA(#REF!)))</definedName>
    <definedName name="Ativo8">OFFSET(#REF!,0,0,MAX(1,COUNTA(#REF!)))</definedName>
    <definedName name="Data">OFFSET(#REF!,0,0,MAX(1,COUNTA(#REF!)))</definedName>
    <definedName name="Indices">OFFSET(#REF!,0,0,MAX(1,COUNTA(#REF!)))</definedName>
    <definedName name="Lista">OFFSET(#REF!,0,0,MAX(1,COUNTA(#REF!)))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5" l="1"/>
  <c r="C23" i="5"/>
  <c r="Q30" i="1" l="1"/>
  <c r="O30" i="1"/>
  <c r="I31" i="1"/>
  <c r="I32" i="1"/>
  <c r="I33" i="1"/>
  <c r="I30" i="1"/>
  <c r="M32" i="1"/>
  <c r="M30" i="1"/>
  <c r="M24" i="1"/>
  <c r="M22" i="1"/>
  <c r="I34" i="1"/>
  <c r="O6" i="5" l="1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5" i="5"/>
  <c r="L10" i="5"/>
  <c r="L9" i="5"/>
  <c r="J10" i="5"/>
  <c r="J9" i="5"/>
  <c r="N4" i="5"/>
  <c r="J32" i="1" l="1"/>
  <c r="J33" i="1"/>
  <c r="K32" i="1"/>
  <c r="K33" i="1"/>
  <c r="K9" i="5"/>
  <c r="K10" i="5"/>
  <c r="B31" i="1"/>
  <c r="G31" i="1"/>
  <c r="B32" i="1"/>
  <c r="G32" i="1"/>
  <c r="B33" i="1"/>
  <c r="G33" i="1"/>
  <c r="B34" i="1"/>
  <c r="G34" i="1"/>
  <c r="R3" i="1"/>
  <c r="J8" i="5"/>
  <c r="L8" i="5"/>
  <c r="J31" i="1" l="1"/>
  <c r="K31" i="1"/>
  <c r="K8" i="5"/>
  <c r="C3" i="5"/>
  <c r="C7" i="5"/>
  <c r="E6" i="5"/>
  <c r="E7" i="5"/>
  <c r="C8" i="5"/>
  <c r="C6" i="5"/>
  <c r="E8" i="5"/>
  <c r="C9" i="5"/>
  <c r="E9" i="5"/>
  <c r="C24" i="5"/>
  <c r="D24" i="5"/>
  <c r="C25" i="5"/>
  <c r="D25" i="5"/>
  <c r="C26" i="5"/>
  <c r="D26" i="5"/>
  <c r="J7" i="5"/>
  <c r="L7" i="5"/>
  <c r="M34" i="1"/>
  <c r="P4" i="5"/>
  <c r="D9" i="5" l="1"/>
  <c r="C19" i="5"/>
  <c r="C34" i="1" s="1"/>
  <c r="D16" i="5"/>
  <c r="D31" i="1" s="1"/>
  <c r="E18" i="5"/>
  <c r="E33" i="1" s="1"/>
  <c r="D15" i="5"/>
  <c r="D30" i="1" s="1"/>
  <c r="E17" i="5"/>
  <c r="E32" i="1" s="1"/>
  <c r="C17" i="5"/>
  <c r="C32" i="1" s="1"/>
  <c r="E16" i="5"/>
  <c r="E31" i="1" s="1"/>
  <c r="C16" i="5"/>
  <c r="C31" i="1" s="1"/>
  <c r="E15" i="5"/>
  <c r="E30" i="1" s="1"/>
  <c r="F16" i="5"/>
  <c r="F31" i="1" s="1"/>
  <c r="D17" i="5"/>
  <c r="D32" i="1" s="1"/>
  <c r="C18" i="5"/>
  <c r="C33" i="1" s="1"/>
  <c r="F19" i="5"/>
  <c r="F34" i="1" s="1"/>
  <c r="F18" i="5"/>
  <c r="F33" i="1" s="1"/>
  <c r="D18" i="5"/>
  <c r="D33" i="1" s="1"/>
  <c r="E19" i="5"/>
  <c r="E34" i="1" s="1"/>
  <c r="F15" i="5"/>
  <c r="F30" i="1" s="1"/>
  <c r="C15" i="5"/>
  <c r="C30" i="1" s="1"/>
  <c r="F17" i="5"/>
  <c r="F32" i="1" s="1"/>
  <c r="D19" i="5"/>
  <c r="D34" i="1" s="1"/>
  <c r="Q24" i="1"/>
  <c r="O24" i="1"/>
  <c r="Q22" i="1"/>
  <c r="O22" i="1"/>
  <c r="Q32" i="1"/>
  <c r="O32" i="1"/>
  <c r="J30" i="1"/>
  <c r="K30" i="1"/>
  <c r="K7" i="5"/>
  <c r="Q4" i="5"/>
  <c r="C3" i="4" l="1"/>
  <c r="BD7" i="4"/>
  <c r="X7" i="4"/>
  <c r="D7" i="4"/>
  <c r="BD6" i="4"/>
  <c r="AN6" i="4"/>
  <c r="AV6" i="4"/>
  <c r="AN7" i="4"/>
  <c r="AJ7" i="4"/>
  <c r="AB6" i="4"/>
  <c r="P6" i="4"/>
  <c r="T6" i="4"/>
  <c r="H7" i="4"/>
  <c r="BL7" i="4"/>
  <c r="BL6" i="4"/>
  <c r="L7" i="4"/>
  <c r="AB7" i="4"/>
  <c r="AF6" i="4"/>
  <c r="P7" i="4"/>
  <c r="BH7" i="4"/>
  <c r="L6" i="4"/>
  <c r="X6" i="4"/>
  <c r="AZ6" i="4"/>
  <c r="AV7" i="4"/>
  <c r="AZ7" i="4"/>
  <c r="T7" i="4"/>
  <c r="BH6" i="4"/>
  <c r="D6" i="4"/>
  <c r="AJ6" i="4"/>
  <c r="H6" i="4"/>
  <c r="AF7" i="4"/>
  <c r="AR7" i="4"/>
  <c r="AR6" i="4"/>
  <c r="AV4" i="4" l="1"/>
  <c r="AV3" i="4"/>
  <c r="AE7" i="4"/>
  <c r="AA7" i="4"/>
  <c r="AI7" i="4"/>
  <c r="W7" i="4"/>
  <c r="C7" i="4" l="1"/>
  <c r="G7" i="4"/>
  <c r="K7" i="4"/>
  <c r="O7" i="4"/>
  <c r="S7" i="4"/>
  <c r="G15" i="5"/>
  <c r="B15" i="5"/>
  <c r="B30" i="1" l="1"/>
  <c r="G30" i="1"/>
</calcChain>
</file>

<file path=xl/sharedStrings.xml><?xml version="1.0" encoding="utf-8"?>
<sst xmlns="http://schemas.openxmlformats.org/spreadsheetml/2006/main" count="154" uniqueCount="144">
  <si>
    <t>Data:</t>
  </si>
  <si>
    <t>Data</t>
  </si>
  <si>
    <t>S&amp;P 500</t>
  </si>
  <si>
    <t>DJIA</t>
  </si>
  <si>
    <t>IBOV</t>
  </si>
  <si>
    <t>MERVAL</t>
  </si>
  <si>
    <t>Nasdaq</t>
  </si>
  <si>
    <t>IBOVESPA</t>
  </si>
  <si>
    <t>DOW JONES</t>
  </si>
  <si>
    <t>NASDAQ</t>
  </si>
  <si>
    <t>BMV</t>
  </si>
  <si>
    <t>EURO</t>
  </si>
  <si>
    <t>Ordem</t>
  </si>
  <si>
    <t>5 MAIORES ALTAS %</t>
  </si>
  <si>
    <t>Mínimo</t>
  </si>
  <si>
    <t>Dia</t>
  </si>
  <si>
    <t>Máximo</t>
  </si>
  <si>
    <t>Semana</t>
  </si>
  <si>
    <t>USDCNY</t>
  </si>
  <si>
    <t>USDGBP</t>
  </si>
  <si>
    <t>USDEUR</t>
  </si>
  <si>
    <t>USDCHF</t>
  </si>
  <si>
    <t>USDJPY</t>
  </si>
  <si>
    <t>5 MAIORES BAIXAS%</t>
  </si>
  <si>
    <t>COTAÇÃO</t>
  </si>
  <si>
    <t>COMMODITIES</t>
  </si>
  <si>
    <t>▲ %</t>
  </si>
  <si>
    <t>12 Meses</t>
  </si>
  <si>
    <t>12 MESES</t>
  </si>
  <si>
    <t>ANO</t>
  </si>
  <si>
    <t>ÍNDICES</t>
  </si>
  <si>
    <t>Índices</t>
  </si>
  <si>
    <t>Dólar x Euro</t>
  </si>
  <si>
    <t>IPYC</t>
  </si>
  <si>
    <t>TIPO</t>
  </si>
  <si>
    <t>PREÇO</t>
  </si>
  <si>
    <r>
      <t xml:space="preserve">*LIBRA </t>
    </r>
    <r>
      <rPr>
        <b/>
        <sz val="8"/>
        <color theme="1" tint="0.249977111117893"/>
        <rFont val="Segoe UI"/>
        <family val="2"/>
      </rPr>
      <t>Esterlina</t>
    </r>
  </si>
  <si>
    <t>*IUAN</t>
  </si>
  <si>
    <t>Petróleo</t>
  </si>
  <si>
    <r>
      <rPr>
        <b/>
        <sz val="16"/>
        <color theme="0"/>
        <rFont val="Segoe UI"/>
        <family val="2"/>
      </rPr>
      <t>|</t>
    </r>
    <r>
      <rPr>
        <b/>
        <sz val="12"/>
        <color theme="0"/>
        <rFont val="Segoe UI"/>
        <family val="2"/>
      </rPr>
      <t xml:space="preserve"> COMMODITIES</t>
    </r>
  </si>
  <si>
    <t>SPBLPGPT</t>
  </si>
  <si>
    <t>BVL PERU</t>
  </si>
  <si>
    <t>COLCAP</t>
  </si>
  <si>
    <t>BVC COL</t>
  </si>
  <si>
    <t>Planilha auxiliar não modificar</t>
  </si>
  <si>
    <t>SP IPSA</t>
  </si>
  <si>
    <t>FERREYC1&lt;XLIM&gt;</t>
  </si>
  <si>
    <t>VOLCABC1&lt;XLIM&gt;</t>
  </si>
  <si>
    <t>ALICORC1&lt;XLIM&gt;</t>
  </si>
  <si>
    <t>CORAREI1&lt;XLIM&gt;</t>
  </si>
  <si>
    <t>BAP&lt;XLIM&gt;</t>
  </si>
  <si>
    <t>INRETC1&lt;XLIM&gt;</t>
  </si>
  <si>
    <t>BBVAC1&lt;XLIM&gt;</t>
  </si>
  <si>
    <t>CASAGRC1&lt;XLIM&gt;</t>
  </si>
  <si>
    <t>LUSURC1&lt;XLIM&gt;</t>
  </si>
  <si>
    <t>RELAPAC1&lt;XLIM&gt;</t>
  </si>
  <si>
    <t>CPACASC1&lt;XLIM&gt;</t>
  </si>
  <si>
    <t>SIDERC1&lt;XLIM&gt;</t>
  </si>
  <si>
    <t>BVN&lt;XLIM&gt;</t>
  </si>
  <si>
    <t>CREDITC1&lt;XLIM&gt;</t>
  </si>
  <si>
    <t>IFS&lt;XLIM&gt;</t>
  </si>
  <si>
    <t>TELEFBC1&lt;XLIM&gt;</t>
  </si>
  <si>
    <t>CVERDEC1&lt;XLIM&gt;</t>
  </si>
  <si>
    <t>GRAMONC1&lt;XLIM&gt;</t>
  </si>
  <si>
    <t>UNACEMC1&lt;XLIM&gt;</t>
  </si>
  <si>
    <t>MINSURI1&lt;XLIM&gt;</t>
  </si>
  <si>
    <t>BACKUSI1&lt;XLIM&gt;</t>
  </si>
  <si>
    <t>ATACOBC1&lt;XLIM&gt;</t>
  </si>
  <si>
    <t>ENGIEC1&lt;XLIM&gt;</t>
  </si>
  <si>
    <t>ENDISPC1&lt;XLIM&gt;</t>
  </si>
  <si>
    <t>NEXAPEC1&lt;XLIM&gt;</t>
  </si>
  <si>
    <t>PODERC1&lt;XLIM&gt;</t>
  </si>
  <si>
    <t>HIDRA2C1&lt;XLIM&gt;</t>
  </si>
  <si>
    <t>SCOTIAC1&lt;XLIM&gt;</t>
  </si>
  <si>
    <t>CORAREC1&lt;XLIM&gt;</t>
  </si>
  <si>
    <t>BVLAC1&lt;XLIM&gt;</t>
  </si>
  <si>
    <t>INTERBC1&lt;XLIM&gt;</t>
  </si>
  <si>
    <t>SNJUANI1&lt;XLIM&gt;</t>
  </si>
  <si>
    <t>Presence&gt;20</t>
  </si>
  <si>
    <t>ALICORC1</t>
  </si>
  <si>
    <t>BBVAC1</t>
  </si>
  <si>
    <t>CREDITC1</t>
  </si>
  <si>
    <t>BVLAC1</t>
  </si>
  <si>
    <t>BVN</t>
  </si>
  <si>
    <t>CASAGRC1</t>
  </si>
  <si>
    <t>CPACASC1</t>
  </si>
  <si>
    <t>SNJUANI1</t>
  </si>
  <si>
    <t>PODERC1</t>
  </si>
  <si>
    <t>CORAREC1</t>
  </si>
  <si>
    <t>CORAREI1</t>
  </si>
  <si>
    <t>BAP</t>
  </si>
  <si>
    <t>ENDISPC1</t>
  </si>
  <si>
    <t>ENGIEC1</t>
  </si>
  <si>
    <t>FERREYC1</t>
  </si>
  <si>
    <t>GRAMONC1</t>
  </si>
  <si>
    <t>HIDRA2C1</t>
  </si>
  <si>
    <t>INRETC1</t>
  </si>
  <si>
    <t>INTERBC1</t>
  </si>
  <si>
    <t>IFS</t>
  </si>
  <si>
    <t>LUSURC1</t>
  </si>
  <si>
    <t>MINSURI1</t>
  </si>
  <si>
    <t>ATACOBC1</t>
  </si>
  <si>
    <t>NEXAPEC1</t>
  </si>
  <si>
    <t>RELAPAC1</t>
  </si>
  <si>
    <t>SCOTIAC1</t>
  </si>
  <si>
    <t>SIDERC1</t>
  </si>
  <si>
    <t>CVERDEC1</t>
  </si>
  <si>
    <t>TELEFBC1</t>
  </si>
  <si>
    <t>BACKUSI1</t>
  </si>
  <si>
    <t>UNACEMC1</t>
  </si>
  <si>
    <t>VOLCABC1</t>
  </si>
  <si>
    <t>index Particip.=100</t>
  </si>
  <si>
    <t>Base de dados Ranking (Participação SPBLPGPTespa)</t>
  </si>
  <si>
    <t>SP Perú General Indicadores (dia anterior)</t>
  </si>
  <si>
    <t>Mes</t>
  </si>
  <si>
    <t xml:space="preserve">Apertura </t>
  </si>
  <si>
    <t>Cierre</t>
  </si>
  <si>
    <t>Precencia &gt;20</t>
  </si>
  <si>
    <t>ACCIONES - PRECIO ANTERIOR</t>
  </si>
  <si>
    <t xml:space="preserve">Cierre </t>
  </si>
  <si>
    <t>5 MAYORES ALZAS %</t>
  </si>
  <si>
    <t>5 MAYORES BAJAS%</t>
  </si>
  <si>
    <t>INFLACION E INDICES</t>
  </si>
  <si>
    <t>Año</t>
  </si>
  <si>
    <t>Cobre 3M</t>
  </si>
  <si>
    <t>Estaño 3M</t>
  </si>
  <si>
    <t>IPM</t>
  </si>
  <si>
    <t xml:space="preserve">Inflación </t>
  </si>
  <si>
    <t>DOMLV&lt;PerNa&gt;</t>
  </si>
  <si>
    <t>Eurocompe&lt;PerNa&gt;</t>
  </si>
  <si>
    <t>TAMEX</t>
  </si>
  <si>
    <t>TAMN</t>
  </si>
  <si>
    <r>
      <rPr>
        <b/>
        <sz val="16"/>
        <color theme="0"/>
        <rFont val="Segoe UI"/>
        <family val="2"/>
      </rPr>
      <t>|</t>
    </r>
    <r>
      <rPr>
        <b/>
        <sz val="12"/>
        <color theme="0"/>
        <rFont val="Segoe UI"/>
        <family val="2"/>
      </rPr>
      <t xml:space="preserve"> INFLACION</t>
    </r>
  </si>
  <si>
    <t>Oro</t>
  </si>
  <si>
    <r>
      <rPr>
        <b/>
        <sz val="16"/>
        <color theme="0"/>
        <rFont val="Segoe UI"/>
        <family val="2"/>
      </rPr>
      <t>|</t>
    </r>
    <r>
      <rPr>
        <b/>
        <sz val="12"/>
        <color theme="0"/>
        <rFont val="Segoe UI"/>
        <family val="2"/>
      </rPr>
      <t xml:space="preserve"> CAMBIO</t>
    </r>
  </si>
  <si>
    <r>
      <t xml:space="preserve">*FRANCO </t>
    </r>
    <r>
      <rPr>
        <b/>
        <sz val="9"/>
        <color theme="1" tint="0.249977111117893"/>
        <rFont val="Segoe UI"/>
        <family val="2"/>
      </rPr>
      <t>Suizo</t>
    </r>
  </si>
  <si>
    <t>DOLAR</t>
  </si>
  <si>
    <t xml:space="preserve">Plantilla Auxiliar NO MODIFICAR
</t>
  </si>
  <si>
    <t>*YEN</t>
  </si>
  <si>
    <r>
      <rPr>
        <b/>
        <sz val="16"/>
        <color theme="0"/>
        <rFont val="Segoe UI"/>
        <family val="2"/>
      </rPr>
      <t>|</t>
    </r>
    <r>
      <rPr>
        <b/>
        <sz val="12"/>
        <color theme="0"/>
        <rFont val="Segoe UI"/>
        <family val="2"/>
      </rPr>
      <t xml:space="preserve"> PRINCIPALES ÍNDICES DE AMERICA</t>
    </r>
  </si>
  <si>
    <t>Fecha:</t>
  </si>
  <si>
    <t>Tasas de Interés</t>
  </si>
  <si>
    <t>| MAYORES ALZAS / MAYORES BAJAS (día)</t>
  </si>
  <si>
    <r>
      <t xml:space="preserve">PANEL DE MERCADO </t>
    </r>
    <r>
      <rPr>
        <sz val="12"/>
        <color theme="1" tint="0.34998626667073579"/>
        <rFont val="Segoe UI"/>
        <family val="2"/>
      </rPr>
      <t>(Acciones con Frecuencia de Negociación Mayor de 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</si>
</sst>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%;[Red]\-#,##0.0%"/>
    <numFmt numFmtId="165" formatCode="_-* #,##0_-;\-* #,##0_-;_-* &quot;-&quot;??_-;_-@_-"/>
    <numFmt numFmtId="166" formatCode="#,##0.00%;[Red]\-#,##0.00%"/>
    <numFmt numFmtId="167" formatCode="_-* #,##0.0000_-;\-* #,##0.0000_-;_-* &quot;-&quot;??_-;_-@_-"/>
    <numFmt numFmtId="168" formatCode="_(* #,##0.00_);_(* \(#,##0.00\);_(* &quot;-&quot;??_);_(@_)"/>
    <numFmt numFmtId="169" formatCode="0.0%"/>
    <numFmt numFmtId="170" formatCode="_-[$R$-416]\ * #,##0.00_-;\-[$R$-416]\ * #,##0.00_-;_-[$R$-416]\ * &quot;-&quot;??_-;_-@_-"/>
    <numFmt numFmtId="171" formatCode="&quot;R$&quot;\ #,##0.00"/>
    <numFmt numFmtId="173" formatCode="_-[$$-409]* #,##0.00_ ;_-[$$-409]* \-#,##0.00\ ;_-[$$-409]* &quot;-&quot;??_ ;_-@_ "/>
    <numFmt numFmtId="174" formatCode="[$$-409]#,##0.00"/>
    <numFmt numFmtId="175" formatCode="d/mm/yyyy"/>
    <numFmt numFmtId="177" formatCode="yyyy"/>
  </numFmts>
  <fonts count="4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Segoe UI"/>
      <family val="2"/>
    </font>
    <font>
      <b/>
      <sz val="11"/>
      <color rgb="FF006B66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0"/>
      <name val="Segoe UI"/>
      <family val="2"/>
    </font>
    <font>
      <sz val="11"/>
      <color theme="1"/>
      <name val="Calibri"/>
      <family val="2"/>
      <scheme val="minor"/>
    </font>
    <font>
      <b/>
      <sz val="12"/>
      <color theme="0"/>
      <name val="Segoe UI"/>
      <family val="2"/>
    </font>
    <font>
      <b/>
      <sz val="16"/>
      <color theme="0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sz val="11"/>
      <color theme="1"/>
      <name val="Wingdings 3"/>
      <family val="1"/>
      <charset val="2"/>
    </font>
    <font>
      <b/>
      <sz val="11"/>
      <name val="Segoe UI"/>
      <family val="2"/>
    </font>
    <font>
      <b/>
      <sz val="11"/>
      <color theme="1" tint="0.249977111117893"/>
      <name val="Segoe UI"/>
      <family val="2"/>
    </font>
    <font>
      <b/>
      <sz val="20"/>
      <color rgb="FFC59C00"/>
      <name val="Segoe UI"/>
      <family val="2"/>
    </font>
    <font>
      <sz val="11"/>
      <color theme="0"/>
      <name val="Calibri"/>
      <family val="2"/>
      <scheme val="minor"/>
    </font>
    <font>
      <b/>
      <u val="doubleAccounting"/>
      <sz val="10"/>
      <color theme="0" tint="-4.9989318521683403E-2"/>
      <name val="Segoe UI"/>
      <family val="2"/>
    </font>
    <font>
      <b/>
      <sz val="10"/>
      <color rgb="FF006B66"/>
      <name val="Segoe UI"/>
      <family val="2"/>
    </font>
    <font>
      <sz val="10"/>
      <color rgb="FF006B66"/>
      <name val="Segoe UI"/>
      <family val="2"/>
    </font>
    <font>
      <b/>
      <sz val="18"/>
      <color rgb="FFC59C00"/>
      <name val="Segoe UI"/>
      <family val="2"/>
    </font>
    <font>
      <sz val="10"/>
      <color theme="1" tint="0.249977111117893"/>
      <name val="Segoe UI"/>
      <family val="2"/>
    </font>
    <font>
      <sz val="11"/>
      <color rgb="FF006B66"/>
      <name val="Segoe UI"/>
      <family val="2"/>
    </font>
    <font>
      <b/>
      <sz val="18"/>
      <color theme="1" tint="0.249977111117893"/>
      <name val="Segoe UI"/>
      <family val="2"/>
    </font>
    <font>
      <b/>
      <sz val="10"/>
      <color theme="0" tint="-4.9989318521683403E-2"/>
      <name val="Segoe UI"/>
      <family val="2"/>
    </font>
    <font>
      <b/>
      <sz val="8"/>
      <color theme="1" tint="0.249977111117893"/>
      <name val="Segoe UI"/>
      <family val="2"/>
    </font>
    <font>
      <b/>
      <sz val="9"/>
      <color theme="1" tint="0.249977111117893"/>
      <name val="Segoe UI"/>
      <family val="2"/>
    </font>
    <font>
      <b/>
      <sz val="12"/>
      <color rgb="FF006B66"/>
      <name val="Segoe UI"/>
      <family val="2"/>
    </font>
    <font>
      <b/>
      <sz val="20"/>
      <color theme="1" tint="0.249977111117893"/>
      <name val="Segoe UI"/>
      <family val="2"/>
    </font>
    <font>
      <sz val="12"/>
      <color theme="1" tint="0.249977111117893"/>
      <name val="Segoe UI"/>
      <family val="2"/>
    </font>
    <font>
      <b/>
      <sz val="12"/>
      <color theme="1"/>
      <name val="Segoe UI"/>
      <family val="2"/>
    </font>
    <font>
      <sz val="10"/>
      <name val="Segoe UI"/>
      <family val="2"/>
    </font>
    <font>
      <sz val="9"/>
      <color theme="1" tint="0.249977111117893"/>
      <name val="Segoe UI"/>
      <family val="2"/>
    </font>
    <font>
      <sz val="8"/>
      <color theme="1" tint="0.249977111117893"/>
      <name val="Segoe UI"/>
      <family val="2"/>
    </font>
    <font>
      <sz val="9"/>
      <color theme="1" tint="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FF0000"/>
      <name val="Segoe UI"/>
      <family val="2"/>
    </font>
    <font>
      <sz val="12"/>
      <color theme="1" tint="0.34998626667073579"/>
      <name val="Segoe UI"/>
      <family val="2"/>
    </font>
    <font>
      <b/>
      <sz val="16"/>
      <color theme="1" tint="0.249977111117893"/>
      <name val="Segoe UI"/>
      <family val="2"/>
    </font>
    <font>
      <sz val="10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66"/>
        <bgColor indexed="64"/>
      </patternFill>
    </fill>
    <fill>
      <patternFill patternType="solid">
        <fgColor rgb="FFFFC7CE"/>
      </patternFill>
    </fill>
    <fill>
      <patternFill patternType="solid">
        <fgColor rgb="FFDAE2DD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 tint="-0.34998626667073579"/>
      </bottom>
      <diagonal/>
    </border>
    <border>
      <left style="thick">
        <color rgb="FF006B66"/>
      </left>
      <right/>
      <top/>
      <bottom/>
      <diagonal/>
    </border>
    <border>
      <left/>
      <right style="thick">
        <color rgb="FF006B66"/>
      </right>
      <top/>
      <bottom/>
      <diagonal/>
    </border>
    <border>
      <left style="thick">
        <color rgb="FF006B66"/>
      </left>
      <right/>
      <top/>
      <bottom style="thick">
        <color rgb="FF006B66"/>
      </bottom>
      <diagonal/>
    </border>
    <border>
      <left/>
      <right/>
      <top/>
      <bottom style="thick">
        <color rgb="FF006B66"/>
      </bottom>
      <diagonal/>
    </border>
    <border>
      <left/>
      <right style="thick">
        <color rgb="FF006B66"/>
      </right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006B66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dashed">
        <color theme="1" tint="0.24994659260841701"/>
      </right>
      <top style="thin">
        <color theme="0"/>
      </top>
      <bottom/>
      <diagonal/>
    </border>
    <border>
      <left/>
      <right style="dashed">
        <color theme="1" tint="0.24994659260841701"/>
      </right>
      <top/>
      <bottom/>
      <diagonal/>
    </border>
    <border>
      <left style="dashed">
        <color theme="1" tint="0.24994659260841701"/>
      </left>
      <right/>
      <top style="thin">
        <color theme="0"/>
      </top>
      <bottom/>
      <diagonal/>
    </border>
    <border>
      <left style="dashed">
        <color theme="1" tint="0.2499465926084170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dashed">
        <color theme="1" tint="0.24994659260841701"/>
      </right>
      <top/>
      <bottom style="thin">
        <color theme="0" tint="-0.14996795556505021"/>
      </bottom>
      <diagonal/>
    </border>
    <border>
      <left style="dashed">
        <color theme="1" tint="0.24994659260841701"/>
      </left>
      <right/>
      <top/>
      <bottom style="thin">
        <color theme="0" tint="-0.1499679555650502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ashed">
        <color theme="1" tint="0.24994659260841701"/>
      </left>
      <right/>
      <top style="thin">
        <color theme="0" tint="-0.14996795556505021"/>
      </top>
      <bottom/>
      <diagonal/>
    </border>
    <border>
      <left/>
      <right style="dashed">
        <color theme="1" tint="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</borders>
  <cellStyleXfs count="5">
    <xf numFmtId="0" fontId="0" fillId="0" borderId="0"/>
    <xf numFmtId="0" fontId="1" fillId="3" borderId="0" applyNumberFormat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9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0" applyFont="1"/>
    <xf numFmtId="0" fontId="7" fillId="2" borderId="0" xfId="0" applyFont="1" applyFill="1"/>
    <xf numFmtId="0" fontId="4" fillId="0" borderId="0" xfId="0" applyFont="1"/>
    <xf numFmtId="0" fontId="2" fillId="0" borderId="0" xfId="0" applyFont="1"/>
    <xf numFmtId="14" fontId="8" fillId="2" borderId="0" xfId="1" applyNumberFormat="1" applyFont="1" applyFill="1" applyAlignment="1">
      <alignment horizontal="left" vertical="center"/>
    </xf>
    <xf numFmtId="14" fontId="10" fillId="2" borderId="0" xfId="1" applyNumberFormat="1" applyFont="1" applyFill="1" applyAlignment="1">
      <alignment horizontal="left" vertical="center"/>
    </xf>
    <xf numFmtId="0" fontId="5" fillId="0" borderId="1" xfId="0" applyFont="1" applyBorder="1"/>
    <xf numFmtId="14" fontId="6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/>
    </xf>
    <xf numFmtId="0" fontId="17" fillId="0" borderId="1" xfId="0" applyFont="1" applyBorder="1" applyAlignment="1">
      <alignment horizontal="left" vertical="center"/>
    </xf>
    <xf numFmtId="165" fontId="16" fillId="0" borderId="0" xfId="2" applyNumberFormat="1" applyFont="1" applyAlignment="1">
      <alignment horizontal="right" vertical="center"/>
    </xf>
    <xf numFmtId="166" fontId="12" fillId="0" borderId="0" xfId="3" applyNumberFormat="1" applyFont="1" applyAlignment="1">
      <alignment horizontal="right" vertical="center"/>
    </xf>
    <xf numFmtId="164" fontId="12" fillId="0" borderId="0" xfId="3" applyNumberFormat="1" applyFont="1" applyAlignment="1">
      <alignment horizontal="right"/>
    </xf>
    <xf numFmtId="164" fontId="2" fillId="0" borderId="0" xfId="3" applyNumberFormat="1" applyFont="1" applyAlignment="1">
      <alignment horizontal="right"/>
    </xf>
    <xf numFmtId="0" fontId="16" fillId="0" borderId="2" xfId="0" applyFont="1" applyBorder="1" applyAlignment="1">
      <alignment horizontal="center"/>
    </xf>
    <xf numFmtId="14" fontId="6" fillId="0" borderId="0" xfId="0" applyNumberFormat="1" applyFont="1"/>
    <xf numFmtId="167" fontId="16" fillId="0" borderId="0" xfId="2" applyNumberFormat="1" applyFont="1" applyAlignment="1">
      <alignment horizontal="right" vertical="center"/>
    </xf>
    <xf numFmtId="0" fontId="16" fillId="0" borderId="2" xfId="0" applyFont="1" applyBorder="1" applyAlignment="1">
      <alignment horizontal="left"/>
    </xf>
    <xf numFmtId="0" fontId="18" fillId="2" borderId="0" xfId="0" applyFont="1" applyFill="1"/>
    <xf numFmtId="14" fontId="10" fillId="2" borderId="0" xfId="1" applyNumberFormat="1" applyFont="1" applyFill="1" applyAlignment="1">
      <alignment horizontal="left" vertical="center" indent="1"/>
    </xf>
    <xf numFmtId="10" fontId="2" fillId="0" borderId="0" xfId="3" applyNumberFormat="1" applyFont="1" applyAlignment="1">
      <alignment horizontal="center"/>
    </xf>
    <xf numFmtId="14" fontId="2" fillId="0" borderId="0" xfId="0" applyNumberFormat="1" applyFont="1"/>
    <xf numFmtId="10" fontId="12" fillId="0" borderId="0" xfId="3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3" applyNumberFormat="1" applyFont="1" applyAlignment="1">
      <alignment horizontal="center"/>
    </xf>
    <xf numFmtId="3" fontId="19" fillId="2" borderId="0" xfId="4" applyNumberFormat="1" applyFont="1" applyFill="1" applyAlignment="1">
      <alignment vertical="center"/>
    </xf>
    <xf numFmtId="3" fontId="19" fillId="2" borderId="4" xfId="4" applyNumberFormat="1" applyFont="1" applyFill="1" applyBorder="1" applyAlignment="1">
      <alignment vertical="center"/>
    </xf>
    <xf numFmtId="0" fontId="20" fillId="0" borderId="3" xfId="0" applyFont="1" applyBorder="1" applyAlignment="1">
      <alignment horizontal="right"/>
    </xf>
    <xf numFmtId="3" fontId="12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10" fontId="12" fillId="0" borderId="4" xfId="3" applyNumberFormat="1" applyFont="1" applyBorder="1" applyAlignment="1">
      <alignment horizontal="center"/>
    </xf>
    <xf numFmtId="0" fontId="20" fillId="0" borderId="5" xfId="0" applyFont="1" applyBorder="1" applyAlignment="1">
      <alignment horizontal="right" shrinkToFit="1"/>
    </xf>
    <xf numFmtId="3" fontId="12" fillId="0" borderId="6" xfId="0" applyNumberFormat="1" applyFont="1" applyBorder="1" applyAlignment="1">
      <alignment horizontal="center"/>
    </xf>
    <xf numFmtId="10" fontId="12" fillId="0" borderId="7" xfId="3" applyNumberFormat="1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21" fillId="4" borderId="8" xfId="0" applyFont="1" applyFill="1" applyBorder="1" applyAlignment="1">
      <alignment horizontal="center"/>
    </xf>
    <xf numFmtId="0" fontId="21" fillId="4" borderId="8" xfId="0" applyFont="1" applyFill="1" applyBorder="1"/>
    <xf numFmtId="2" fontId="2" fillId="0" borderId="0" xfId="0" applyNumberFormat="1" applyFont="1" applyAlignment="1">
      <alignment horizontal="center"/>
    </xf>
    <xf numFmtId="169" fontId="2" fillId="0" borderId="0" xfId="3" applyNumberFormat="1" applyFont="1" applyAlignment="1">
      <alignment horizontal="right"/>
    </xf>
    <xf numFmtId="169" fontId="2" fillId="0" borderId="0" xfId="3" applyNumberFormat="1" applyFont="1" applyAlignment="1">
      <alignment horizontal="center"/>
    </xf>
    <xf numFmtId="169" fontId="2" fillId="0" borderId="0" xfId="3" applyNumberFormat="1" applyFont="1" applyAlignment="1">
      <alignment horizontal="left"/>
    </xf>
    <xf numFmtId="0" fontId="5" fillId="2" borderId="0" xfId="0" applyFont="1" applyFill="1"/>
    <xf numFmtId="0" fontId="21" fillId="4" borderId="8" xfId="0" applyFont="1" applyFill="1" applyBorder="1" applyAlignment="1">
      <alignment horizontal="centerContinuous"/>
    </xf>
    <xf numFmtId="0" fontId="22" fillId="0" borderId="0" xfId="0" applyFont="1" applyAlignment="1">
      <alignment horizontal="left" vertical="center"/>
    </xf>
    <xf numFmtId="0" fontId="0" fillId="0" borderId="9" xfId="0" applyBorder="1"/>
    <xf numFmtId="0" fontId="24" fillId="0" borderId="0" xfId="0" applyFont="1" applyAlignment="1">
      <alignment horizontal="center" vertical="center"/>
    </xf>
    <xf numFmtId="170" fontId="2" fillId="0" borderId="0" xfId="0" applyNumberFormat="1" applyFont="1" applyAlignment="1">
      <alignment horizontal="center"/>
    </xf>
    <xf numFmtId="166" fontId="12" fillId="0" borderId="0" xfId="3" applyNumberFormat="1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1" fillId="4" borderId="12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/>
    </xf>
    <xf numFmtId="10" fontId="23" fillId="0" borderId="0" xfId="3" applyNumberFormat="1" applyFont="1" applyAlignment="1">
      <alignment horizontal="right"/>
    </xf>
    <xf numFmtId="10" fontId="23" fillId="0" borderId="0" xfId="3" applyNumberFormat="1" applyFont="1" applyAlignment="1">
      <alignment horizontal="left"/>
    </xf>
    <xf numFmtId="2" fontId="23" fillId="0" borderId="9" xfId="0" applyNumberFormat="1" applyFont="1" applyBorder="1" applyAlignment="1">
      <alignment horizontal="center"/>
    </xf>
    <xf numFmtId="3" fontId="26" fillId="2" borderId="3" xfId="4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horizontal="centerContinuous"/>
    </xf>
    <xf numFmtId="0" fontId="21" fillId="4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Continuous"/>
    </xf>
    <xf numFmtId="0" fontId="2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0" fontId="23" fillId="0" borderId="0" xfId="3" applyNumberFormat="1" applyFont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0" fontId="23" fillId="0" borderId="1" xfId="3" applyNumberFormat="1" applyFont="1" applyBorder="1" applyAlignment="1">
      <alignment horizontal="right"/>
    </xf>
    <xf numFmtId="10" fontId="23" fillId="0" borderId="1" xfId="3" applyNumberFormat="1" applyFont="1" applyBorder="1" applyAlignment="1">
      <alignment horizontal="center"/>
    </xf>
    <xf numFmtId="10" fontId="23" fillId="0" borderId="1" xfId="3" applyNumberFormat="1" applyFont="1" applyBorder="1" applyAlignment="1">
      <alignment horizontal="left"/>
    </xf>
    <xf numFmtId="0" fontId="16" fillId="0" borderId="17" xfId="0" applyFont="1" applyBorder="1"/>
    <xf numFmtId="171" fontId="31" fillId="0" borderId="17" xfId="0" applyNumberFormat="1" applyFont="1" applyBorder="1" applyAlignment="1">
      <alignment horizontal="center"/>
    </xf>
    <xf numFmtId="166" fontId="32" fillId="0" borderId="17" xfId="3" applyNumberFormat="1" applyFont="1" applyBorder="1" applyAlignment="1">
      <alignment vertical="center"/>
    </xf>
    <xf numFmtId="0" fontId="34" fillId="0" borderId="0" xfId="0" applyFont="1"/>
    <xf numFmtId="15" fontId="36" fillId="0" borderId="0" xfId="0" applyNumberFormat="1" applyFont="1" applyAlignment="1">
      <alignment horizontal="center"/>
    </xf>
    <xf numFmtId="14" fontId="37" fillId="5" borderId="20" xfId="0" applyNumberFormat="1" applyFont="1" applyFill="1" applyBorder="1" applyAlignment="1">
      <alignment horizontal="center"/>
    </xf>
    <xf numFmtId="0" fontId="38" fillId="0" borderId="0" xfId="0" applyFont="1"/>
    <xf numFmtId="0" fontId="0" fillId="0" borderId="0" xfId="0" applyAlignment="1">
      <alignment horizontal="right"/>
    </xf>
    <xf numFmtId="0" fontId="39" fillId="0" borderId="0" xfId="0" applyFont="1"/>
    <xf numFmtId="14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0" fontId="12" fillId="0" borderId="0" xfId="3" applyNumberFormat="1" applyFont="1" applyAlignment="1">
      <alignment horizontal="left"/>
    </xf>
    <xf numFmtId="173" fontId="2" fillId="0" borderId="0" xfId="0" applyNumberFormat="1" applyFont="1" applyAlignment="1">
      <alignment horizontal="center"/>
    </xf>
    <xf numFmtId="174" fontId="31" fillId="0" borderId="17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10" fontId="25" fillId="0" borderId="15" xfId="0" applyNumberFormat="1" applyFont="1" applyBorder="1" applyAlignment="1">
      <alignment horizontal="center" vertical="center"/>
    </xf>
    <xf numFmtId="10" fontId="25" fillId="0" borderId="13" xfId="0" applyNumberFormat="1" applyFont="1" applyBorder="1" applyAlignment="1">
      <alignment horizontal="center" vertical="center"/>
    </xf>
    <xf numFmtId="10" fontId="25" fillId="0" borderId="19" xfId="0" applyNumberFormat="1" applyFont="1" applyBorder="1" applyAlignment="1">
      <alignment horizontal="center" vertical="center"/>
    </xf>
    <xf numFmtId="10" fontId="25" fillId="0" borderId="18" xfId="0" applyNumberFormat="1" applyFont="1" applyBorder="1" applyAlignment="1">
      <alignment horizontal="center" vertical="center"/>
    </xf>
    <xf numFmtId="10" fontId="25" fillId="0" borderId="10" xfId="0" applyNumberFormat="1" applyFont="1" applyBorder="1" applyAlignment="1">
      <alignment horizontal="center" vertical="center"/>
    </xf>
    <xf numFmtId="10" fontId="25" fillId="0" borderId="17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14" xfId="0" applyFont="1" applyBorder="1" applyAlignment="1">
      <alignment horizontal="center"/>
    </xf>
    <xf numFmtId="10" fontId="25" fillId="0" borderId="16" xfId="0" applyNumberFormat="1" applyFont="1" applyBorder="1" applyAlignment="1">
      <alignment horizontal="center" vertical="center"/>
    </xf>
    <xf numFmtId="10" fontId="25" fillId="0" borderId="14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 vertical="center"/>
    </xf>
    <xf numFmtId="10" fontId="41" fillId="0" borderId="15" xfId="0" applyNumberFormat="1" applyFont="1" applyBorder="1" applyAlignment="1">
      <alignment horizontal="center" vertical="center"/>
    </xf>
    <xf numFmtId="10" fontId="41" fillId="0" borderId="13" xfId="0" applyNumberFormat="1" applyFont="1" applyBorder="1" applyAlignment="1">
      <alignment horizontal="center" vertical="center"/>
    </xf>
    <xf numFmtId="10" fontId="41" fillId="0" borderId="19" xfId="0" applyNumberFormat="1" applyFont="1" applyBorder="1" applyAlignment="1">
      <alignment horizontal="center" vertical="center"/>
    </xf>
    <xf numFmtId="10" fontId="41" fillId="0" borderId="18" xfId="0" applyNumberFormat="1" applyFont="1" applyBorder="1" applyAlignment="1">
      <alignment horizontal="center" vertical="center"/>
    </xf>
    <xf numFmtId="10" fontId="41" fillId="0" borderId="10" xfId="0" applyNumberFormat="1" applyFont="1" applyBorder="1" applyAlignment="1">
      <alignment horizontal="center" vertical="center"/>
    </xf>
    <xf numFmtId="10" fontId="41" fillId="0" borderId="17" xfId="0" applyNumberFormat="1" applyFont="1" applyBorder="1" applyAlignment="1">
      <alignment horizontal="center" vertical="center"/>
    </xf>
    <xf numFmtId="10" fontId="41" fillId="0" borderId="21" xfId="0" applyNumberFormat="1" applyFont="1" applyBorder="1" applyAlignment="1">
      <alignment horizontal="center" vertical="center"/>
    </xf>
    <xf numFmtId="10" fontId="41" fillId="0" borderId="22" xfId="0" applyNumberFormat="1" applyFont="1" applyBorder="1" applyAlignment="1">
      <alignment horizontal="center" vertical="center"/>
    </xf>
    <xf numFmtId="10" fontId="41" fillId="0" borderId="16" xfId="0" applyNumberFormat="1" applyFont="1" applyBorder="1" applyAlignment="1">
      <alignment horizontal="center" vertical="center"/>
    </xf>
    <xf numFmtId="10" fontId="41" fillId="0" borderId="14" xfId="0" applyNumberFormat="1" applyFont="1" applyBorder="1" applyAlignment="1">
      <alignment horizontal="center" vertical="center"/>
    </xf>
    <xf numFmtId="10" fontId="41" fillId="0" borderId="23" xfId="0" applyNumberFormat="1" applyFont="1" applyBorder="1" applyAlignment="1">
      <alignment horizontal="center" vertical="center"/>
    </xf>
    <xf numFmtId="10" fontId="41" fillId="0" borderId="0" xfId="0" applyNumberFormat="1" applyFont="1" applyAlignment="1">
      <alignment horizontal="center" vertical="center"/>
    </xf>
    <xf numFmtId="14" fontId="33" fillId="0" borderId="0" xfId="0" applyNumberFormat="1" applyFont="1" applyAlignment="1">
      <alignment horizontal="center"/>
    </xf>
    <xf numFmtId="175" fontId="23" fillId="0" borderId="0" xfId="0" applyNumberFormat="1" applyFont="1" applyAlignment="1">
      <alignment horizontal="center"/>
    </xf>
    <xf numFmtId="175" fontId="42" fillId="0" borderId="9" xfId="0" applyNumberFormat="1" applyFont="1" applyBorder="1"/>
    <xf numFmtId="175" fontId="35" fillId="0" borderId="0" xfId="0" applyNumberFormat="1" applyFont="1"/>
    <xf numFmtId="177" fontId="20" fillId="0" borderId="6" xfId="0" quotePrefix="1" applyNumberFormat="1" applyFont="1" applyBorder="1" applyAlignment="1">
      <alignment horizontal="center"/>
    </xf>
    <xf numFmtId="14" fontId="11" fillId="2" borderId="0" xfId="1" applyNumberFormat="1" applyFont="1" applyFill="1" applyAlignment="1">
      <alignment horizontal="left" vertical="center" indent="1"/>
    </xf>
    <xf numFmtId="0" fontId="39" fillId="0" borderId="0" xfId="0" applyFont="1" applyAlignment="1"/>
    <xf numFmtId="0" fontId="2" fillId="0" borderId="0" xfId="0" applyFont="1" applyAlignment="1"/>
    <xf numFmtId="43" fontId="2" fillId="0" borderId="0" xfId="0" applyNumberFormat="1" applyFont="1"/>
  </cellXfs>
  <cellStyles count="5">
    <cellStyle name="Incorrecto" xfId="1" builtinId="27"/>
    <cellStyle name="Millares" xfId="2" builtinId="3"/>
    <cellStyle name="Normal" xfId="0" builtinId="0"/>
    <cellStyle name="Porcentaje" xfId="3" builtinId="5"/>
    <cellStyle name="Vírgula 2" xfId="4" xr:uid="{3C4B7691-CFB6-4782-A487-9692FF302CB2}"/>
  </cellStyles>
  <dxfs count="42"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6B66"/>
      <color rgb="FFC59C00"/>
      <color rgb="FFDAE2DD"/>
      <color rgb="FF00CC00"/>
      <color rgb="FF3366CC"/>
      <color rgb="FFFF00FF"/>
      <color rgb="FFBD9613"/>
      <color rgb="FFF1F7ED"/>
      <color rgb="FF0099CC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75b6f222fe2d420b9cca863b8f3c05a2">
      <tp t="e">
        <v>#N/A</v>
        <stp/>
        <stp>8b131170-e244-4480-9155-89947730cc0a</stp>
        <stp>1</stp>
        <tr r="L8" s="5"/>
      </tp>
    </main>
    <main first="rtdsrv.75b6f222fe2d420b9cca863b8f3c05a2">
      <tp t="e">
        <v>#N/A</v>
        <stp/>
        <stp>0af96c53-206c-4c81-9030-99891bc755a7</stp>
        <stp>1</stp>
        <tr r="AZ7" s="4"/>
      </tp>
      <tp t="e">
        <v>#N/A</v>
        <stp/>
        <stp>a54fe9f6-ee87-476b-a986-f25a88f8e358</stp>
        <stp>1</stp>
        <tr r="M34" s="1"/>
      </tp>
      <tp t="e">
        <v>#N/A</v>
        <stp/>
        <stp>b7ce67c8-952c-4748-b753-8b7a3af2dbd7</stp>
        <stp>1</stp>
        <tr r="D25" s="5"/>
      </tp>
    </main>
    <main first="rtdsrv.75b6f222fe2d420b9cca863b8f3c05a2">
      <tp t="e">
        <v>#N/A</v>
        <stp/>
        <stp>d86a88e7-aa2f-445c-aae2-ba6d9118a6b3</stp>
        <stp>1</stp>
        <tr r="AJ6" s="4"/>
      </tp>
    </main>
    <main first="rtdsrv.75b6f222fe2d420b9cca863b8f3c05a2">
      <tp t="e">
        <v>#N/A</v>
        <stp/>
        <stp>b44f55a0-e323-4536-9757-b143d7b4cd32</stp>
        <stp>1</stp>
        <tr r="D23" s="5"/>
      </tp>
    </main>
    <main first="rtdsrv.75b6f222fe2d420b9cca863b8f3c05a2">
      <tp t="e">
        <v>#N/A</v>
        <stp/>
        <stp>007ad00a-64b5-4f80-a37c-67ba5c2909ba</stp>
        <stp>1</stp>
        <tr r="BL7" s="4"/>
      </tp>
    </main>
    <main first="rtdsrv.75b6f222fe2d420b9cca863b8f3c05a2">
      <tp t="e">
        <v>#N/A</v>
        <stp/>
        <stp>fd74ff77-22c2-4cf4-b18e-bc5ecf4f95e8</stp>
        <stp>1</stp>
        <tr r="J10" s="5"/>
      </tp>
    </main>
    <main first="rtdsrv.75b6f222fe2d420b9cca863b8f3c05a2">
      <tp t="e">
        <v>#N/A</v>
        <stp/>
        <stp>2c986337-6785-4887-9f9d-0e47e15c9198</stp>
        <stp>1</stp>
        <tr r="E9" s="5"/>
      </tp>
      <tp t="e">
        <v>#N/A</v>
        <stp/>
        <stp>49e6966e-0eeb-4340-8ca4-bb436c713f1f</stp>
        <stp>1</stp>
        <tr r="AZ6" s="4"/>
      </tp>
    </main>
    <main first="rtdsrv.75b6f222fe2d420b9cca863b8f3c05a2">
      <tp t="e">
        <v>#N/A</v>
        <stp/>
        <stp>5450d176-0432-4527-9602-004673ed3a42</stp>
        <stp>1</stp>
        <tr r="P6" s="4"/>
      </tp>
      <tp t="e">
        <v>#N/A</v>
        <stp/>
        <stp>e5c45526-be80-4223-a3b6-9ae5381ae87d</stp>
        <stp>1</stp>
        <tr r="AV6" s="4"/>
      </tp>
      <tp t="e">
        <v>#N/A</v>
        <stp/>
        <stp>1e2341ba-3146-4ba9-9c48-c5b15dcdd9d1</stp>
        <stp>1</stp>
        <tr r="X7" s="4"/>
      </tp>
    </main>
    <main first="rtdsrv.75b6f222fe2d420b9cca863b8f3c05a2">
      <tp t="e">
        <v>#N/A</v>
        <stp/>
        <stp>a8aa1827-ea9f-4c4b-88cd-8e187b86cb5b</stp>
        <stp>1</stp>
        <tr r="T6" s="4"/>
      </tp>
    </main>
    <main first="rtdsrv.75b6f222fe2d420b9cca863b8f3c05a2">
      <tp t="e">
        <v>#N/A</v>
        <stp/>
        <stp>3e18f727-5ab4-4e6b-8923-a50bb23d980a</stp>
        <stp>1</stp>
        <tr r="AB6" s="4"/>
      </tp>
      <tp t="e">
        <v>#N/A</v>
        <stp/>
        <stp>703f55cd-b96d-4791-bf93-42c7b12bed3c</stp>
        <stp>1</stp>
        <tr r="BD7" s="4"/>
      </tp>
    </main>
    <main first="rtdsrv.75b6f222fe2d420b9cca863b8f3c05a2">
      <tp t="e">
        <v>#N/A</v>
        <stp/>
        <stp>ad44ee2d-d62e-4b12-9521-bc6267793f5e</stp>
        <stp>1</stp>
        <tr r="T7" s="4"/>
      </tp>
    </main>
    <main first="rtdsrv.75b6f222fe2d420b9cca863b8f3c05a2">
      <tp t="e">
        <v>#N/A</v>
        <stp/>
        <stp>3a31e8a4-104f-474b-aa1a-972daf446d6a</stp>
        <stp>1</stp>
        <tr r="H6" s="4"/>
      </tp>
      <tp t="e">
        <v>#N/A</v>
        <stp/>
        <stp>3b885fba-167e-493e-a6c7-4dbf0e62c294</stp>
        <stp>1</stp>
        <tr r="BH7" s="4"/>
      </tp>
    </main>
    <main first="rtdsrv.75b6f222fe2d420b9cca863b8f3c05a2">
      <tp t="e">
        <v>#N/A</v>
        <stp/>
        <stp>99cba066-8fd2-4b25-b415-eb5ef5eac9ea</stp>
        <stp>1</stp>
        <tr r="J7" s="5"/>
      </tp>
    </main>
    <main first="rtdsrv.75b6f222fe2d420b9cca863b8f3c05a2">
      <tp t="e">
        <v>#N/A</v>
        <stp/>
        <stp>3463f277-f792-4136-91dd-f1ec7a815dd3</stp>
        <stp>1</stp>
        <tr r="E6" s="5"/>
      </tp>
      <tp t="e">
        <v>#N/A</v>
        <stp/>
        <stp>7976e206-a9d4-4cbe-b0ad-82397db9e986</stp>
        <stp>1</stp>
        <tr r="H7" s="4"/>
      </tp>
      <tp t="e">
        <v>#N/A</v>
        <stp/>
        <stp>51817459-0f1a-4a12-8d61-479f67eeae70</stp>
        <stp>1</stp>
        <tr r="J9" s="5"/>
      </tp>
      <tp t="e">
        <v>#N/A</v>
        <stp/>
        <stp>9a95f116-7cbd-4d2d-ab7b-9fbbb5636a1f</stp>
        <stp>1</stp>
        <tr r="E7" s="5"/>
      </tp>
    </main>
    <main first="rtdsrv.75b6f222fe2d420b9cca863b8f3c05a2">
      <tp t="e">
        <v>#N/A</v>
        <stp/>
        <stp>ff790bfe-7c36-457b-809b-04bfc935207c</stp>
        <stp>1</stp>
        <tr r="BL6" s="4"/>
      </tp>
      <tp t="e">
        <v>#N/A</v>
        <stp/>
        <stp>f2959971-2f15-40a3-be6d-8bc3af255293</stp>
        <stp>1</stp>
        <tr r="BH6" s="4"/>
      </tp>
    </main>
    <main first="rtdsrv.75b6f222fe2d420b9cca863b8f3c05a2">
      <tp t="e">
        <v>#N/A</v>
        <stp/>
        <stp>dbc8cbb6-aa38-4fff-9720-fa9000a38230</stp>
        <stp>1</stp>
        <tr r="D6" s="4"/>
      </tp>
    </main>
    <main first="rtdsrv.75b6f222fe2d420b9cca863b8f3c05a2">
      <tp t="e">
        <v>#N/A</v>
        <stp/>
        <stp>d352f836-1a57-4960-bfe2-85a2d511ebb9</stp>
        <stp>1</stp>
        <tr r="Q4" s="5"/>
      </tp>
      <tp t="e">
        <v>#N/A</v>
        <stp/>
        <stp>77307000-e939-4152-b693-2f7fabc0170f</stp>
        <stp>1</stp>
        <tr r="D26" s="5"/>
      </tp>
      <tp t="e">
        <v>#N/A</v>
        <stp/>
        <stp>e9f71053-44a5-4098-b399-5d4a27255cc3</stp>
        <stp>1</stp>
        <tr r="C25" s="5"/>
      </tp>
      <tp t="e">
        <v>#N/A</v>
        <stp/>
        <stp>a311fe2d-3f39-4a87-a16a-2d1b37cbef56</stp>
        <stp>1</stp>
        <tr r="AV7" s="4"/>
      </tp>
      <tp t="e">
        <v>#N/A</v>
        <stp/>
        <stp>5a359444-3e95-4515-85f6-901c6f9dc59b</stp>
        <stp>1</stp>
        <tr r="E8" s="5"/>
      </tp>
      <tp t="e">
        <v>#N/A</v>
        <stp/>
        <stp>afb60455-9047-41b1-acb6-0d6fe11a0030</stp>
        <stp>1</stp>
        <tr r="L7" s="5"/>
      </tp>
    </main>
    <main first="rtdsrv.75b6f222fe2d420b9cca863b8f3c05a2">
      <tp t="e">
        <v>#N/A</v>
        <stp/>
        <stp>a8194302-2c77-4931-8256-082b589344fb</stp>
        <stp>1</stp>
        <tr r="C26" s="5"/>
      </tp>
      <tp t="e">
        <v>#N/A</v>
        <stp/>
        <stp>9a848c42-6062-4783-80ed-1dee95b09bcd</stp>
        <stp>1</stp>
        <tr r="C23" s="5"/>
      </tp>
    </main>
    <main first="rtdsrv.75b6f222fe2d420b9cca863b8f3c05a2">
      <tp t="e">
        <v>#N/A</v>
        <stp/>
        <stp>e6e7dfc4-24b7-4555-a805-5aa0b2717c09</stp>
        <stp>1</stp>
        <tr r="AN6" s="4"/>
      </tp>
    </main>
    <main first="rtdsrv.75b6f222fe2d420b9cca863b8f3c05a2">
      <tp t="e">
        <v>#N/A</v>
        <stp/>
        <stp>e4c3b0eb-a891-4aff-bfc4-5a0dcc55f307</stp>
        <stp>1</stp>
        <tr r="G15" s="5"/>
      </tp>
      <tp t="e">
        <v>#N/A</v>
        <stp/>
        <stp>1d864a91-94ec-4491-bb78-36a84fb5dd85</stp>
        <stp>1</stp>
        <tr r="AF7" s="4"/>
      </tp>
      <tp t="e">
        <v>#N/A</v>
        <stp/>
        <stp>14c3a2a6-a376-4cfb-a856-c7ef6058b33b</stp>
        <stp>1</stp>
        <tr r="P4" s="5"/>
      </tp>
    </main>
    <main first="rtdsrv.75b6f222fe2d420b9cca863b8f3c05a2">
      <tp t="e">
        <v>#N/A</v>
        <stp/>
        <stp>221560eb-08af-4990-b77b-7f60fa83317e</stp>
        <stp>1</stp>
        <tr r="C9" s="5"/>
      </tp>
      <tp t="e">
        <v>#N/A</v>
        <stp/>
        <stp>c36b4675-ed4d-4978-9890-516281db6c18</stp>
        <stp>1</stp>
        <tr r="AF6" s="4"/>
      </tp>
      <tp t="e">
        <v>#N/A</v>
        <stp/>
        <stp>1ad5e608-e46e-4689-a943-0e9cf87ae93e</stp>
        <stp>1</stp>
        <tr r="L7" s="4"/>
      </tp>
      <tp t="e">
        <v>#N/A</v>
        <stp/>
        <stp>2c5c7f90-799e-4a76-a3a2-25159aebb107</stp>
        <stp>1</stp>
        <tr r="BD6" s="4"/>
      </tp>
    </main>
    <main first="rtdsrv.75b6f222fe2d420b9cca863b8f3c05a2">
      <tp t="e">
        <v>#N/A</v>
        <stp/>
        <stp>f4a1f2a6-1fa6-4bf0-bad5-b8ba1bd9b8f4</stp>
        <stp>1</stp>
        <tr r="C7" s="5"/>
      </tp>
      <tp t="e">
        <v>#N/A</v>
        <stp/>
        <stp>6feafe48-9ac0-4682-8870-6c99e633d427</stp>
        <stp>1</stp>
        <tr r="L6" s="4"/>
      </tp>
      <tp t="e">
        <v>#N/A</v>
        <stp/>
        <stp>da5f3994-1358-4d76-8b9e-0204c182acd4</stp>
        <stp>1</stp>
        <tr r="C24" s="5"/>
      </tp>
      <tp t="e">
        <v>#N/A</v>
        <stp/>
        <stp>d8919755-4c75-4009-9f5d-792746449100</stp>
        <stp>1</stp>
        <tr r="P7" s="4"/>
      </tp>
    </main>
    <main first="rtdsrv.75b6f222fe2d420b9cca863b8f3c05a2">
      <tp t="e">
        <v>#N/A</v>
        <stp/>
        <stp>cbc09bcb-9d35-49bc-889f-c403156cfc78</stp>
        <stp>1</stp>
        <tr r="AJ7" s="4"/>
      </tp>
    </main>
    <main first="rtdsrv.75b6f222fe2d420b9cca863b8f3c05a2">
      <tp t="e">
        <v>#N/A</v>
        <stp/>
        <stp>d68baed9-e51b-47ad-8cd7-c9e082acfac1</stp>
        <stp>1</stp>
        <tr r="L10" s="5"/>
      </tp>
      <tp t="e">
        <v>#N/A</v>
        <stp/>
        <stp>dd2d64c5-9b3d-4db8-b9c0-2de8281b4509</stp>
        <stp>1</stp>
        <tr r="D7" s="4"/>
      </tp>
      <tp t="e">
        <v>#N/A</v>
        <stp/>
        <stp>c7cea9f3-1dd3-4a65-b21f-9f1769163267</stp>
        <stp>1</stp>
        <tr r="N4" s="5"/>
      </tp>
      <tp t="e">
        <v>#N/A</v>
        <stp/>
        <stp>23bb0166-312a-4653-ac49-8d3441f001d2</stp>
        <stp>1</stp>
        <tr r="L9" s="5"/>
      </tp>
      <tp t="e">
        <v>#N/A</v>
        <stp/>
        <stp>e8d8007a-025d-4ad7-866d-15ea4d2ade62</stp>
        <stp>1</stp>
        <tr r="I34" s="1"/>
      </tp>
    </main>
    <main first="rtdsrv.75b6f222fe2d420b9cca863b8f3c05a2">
      <tp t="e">
        <v>#N/A</v>
        <stp/>
        <stp>a31d47a9-b456-4856-9ac6-9f79f05b9004</stp>
        <stp>1</stp>
        <tr r="X6" s="4"/>
      </tp>
    </main>
    <main first="rtdsrv.75b6f222fe2d420b9cca863b8f3c05a2">
      <tp t="e">
        <v>#N/A</v>
        <stp/>
        <stp>9596bd94-c4ca-4686-bd44-2d6ee51cc506</stp>
        <stp>1</stp>
        <tr r="AR6" s="4"/>
      </tp>
    </main>
    <main first="rtdsrv.75b6f222fe2d420b9cca863b8f3c05a2">
      <tp t="e">
        <v>#N/A</v>
        <stp/>
        <stp>d120af54-3768-40c4-b670-86347553b82b</stp>
        <stp>1</stp>
        <tr r="D24" s="5"/>
      </tp>
      <tp t="e">
        <v>#N/A</v>
        <stp/>
        <stp>fdf29e7a-d36f-44b0-9b2f-bc634249f76f</stp>
        <stp>1</stp>
        <tr r="R3" s="1"/>
      </tp>
      <tp t="e">
        <v>#N/A</v>
        <stp/>
        <stp>c5cd274e-1c71-4c10-b525-c1814f3ab80d</stp>
        <stp>1</stp>
        <tr r="C6" s="5"/>
      </tp>
    </main>
    <main first="rtdsrv.75b6f222fe2d420b9cca863b8f3c05a2">
      <tp t="e">
        <v>#N/A</v>
        <stp/>
        <stp>ea4a8605-d172-4b8b-b644-72a3821737ae</stp>
        <stp>1</stp>
        <tr r="AB7" s="4"/>
      </tp>
    </main>
    <main first="rtdsrv.75b6f222fe2d420b9cca863b8f3c05a2">
      <tp t="e">
        <v>#N/A</v>
        <stp/>
        <stp>4420cfdd-d64a-4372-a6fc-9d01504167a0</stp>
        <stp>1</stp>
        <tr r="AN7" s="4"/>
      </tp>
    </main>
    <main first="rtdsrv.75b6f222fe2d420b9cca863b8f3c05a2">
      <tp t="e">
        <v>#N/A</v>
        <stp/>
        <stp>11883488-1e0d-4e09-a572-049457059c74</stp>
        <stp>1</stp>
        <tr r="AR7" s="4"/>
      </tp>
    </main>
    <main first="rtdsrv.75b6f222fe2d420b9cca863b8f3c05a2">
      <tp t="e">
        <v>#N/A</v>
        <stp/>
        <stp>7e670433-f684-4d4e-9b47-bd3ecd3ac30d</stp>
        <stp>1</stp>
        <tr r="J8" s="5"/>
      </tp>
    </main>
    <main first="rtdsrv.75b6f222fe2d420b9cca863b8f3c05a2">
      <tp t="e">
        <v>#N/A</v>
        <stp/>
        <stp>2579cfe7-b977-4b1e-b4f5-9889b92f97ef</stp>
        <stp>1</stp>
        <tr r="C8" s="5"/>
      </tp>
      <tp t="e">
        <v>#N/A</v>
        <stp/>
        <stp>ac83005c-d39f-4b13-8f9f-75a4ac717b16</stp>
        <stp>1</stp>
        <tr r="B15" s="5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emf"/><Relationship Id="rId18" Type="http://schemas.openxmlformats.org/officeDocument/2006/relationships/image" Target="../media/image17.png"/><Relationship Id="rId26" Type="http://schemas.openxmlformats.org/officeDocument/2006/relationships/image" Target="../media/image25.emf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7" Type="http://schemas.openxmlformats.org/officeDocument/2006/relationships/image" Target="../media/image6.emf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emf"/><Relationship Id="rId33" Type="http://schemas.openxmlformats.org/officeDocument/2006/relationships/image" Target="../media/image32.png"/><Relationship Id="rId2" Type="http://schemas.openxmlformats.org/officeDocument/2006/relationships/image" Target="../media/image2.png"/><Relationship Id="rId16" Type="http://schemas.openxmlformats.org/officeDocument/2006/relationships/image" Target="../media/image15.emf"/><Relationship Id="rId20" Type="http://schemas.openxmlformats.org/officeDocument/2006/relationships/image" Target="../media/image19.emf"/><Relationship Id="rId29" Type="http://schemas.openxmlformats.org/officeDocument/2006/relationships/image" Target="../media/image28.emf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11" Type="http://schemas.openxmlformats.org/officeDocument/2006/relationships/image" Target="../media/image10.emf"/><Relationship Id="rId24" Type="http://schemas.openxmlformats.org/officeDocument/2006/relationships/image" Target="../media/image23.png"/><Relationship Id="rId32" Type="http://schemas.openxmlformats.org/officeDocument/2006/relationships/image" Target="../media/image31.emf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emf"/><Relationship Id="rId36" Type="http://schemas.openxmlformats.org/officeDocument/2006/relationships/image" Target="../media/image35.emf"/><Relationship Id="rId10" Type="http://schemas.openxmlformats.org/officeDocument/2006/relationships/image" Target="../media/image9.png"/><Relationship Id="rId19" Type="http://schemas.openxmlformats.org/officeDocument/2006/relationships/image" Target="../media/image18.emf"/><Relationship Id="rId31" Type="http://schemas.openxmlformats.org/officeDocument/2006/relationships/image" Target="../media/image30.emf"/><Relationship Id="rId4" Type="http://schemas.microsoft.com/office/2007/relationships/hdphoto" Target="../media/hdphoto1.wdp"/><Relationship Id="rId9" Type="http://schemas.openxmlformats.org/officeDocument/2006/relationships/image" Target="../media/image8.emf"/><Relationship Id="rId14" Type="http://schemas.openxmlformats.org/officeDocument/2006/relationships/image" Target="../media/image13.emf"/><Relationship Id="rId22" Type="http://schemas.openxmlformats.org/officeDocument/2006/relationships/image" Target="../media/image21.png"/><Relationship Id="rId27" Type="http://schemas.openxmlformats.org/officeDocument/2006/relationships/image" Target="../media/image26.emf"/><Relationship Id="rId30" Type="http://schemas.openxmlformats.org/officeDocument/2006/relationships/image" Target="../media/image29.emf"/><Relationship Id="rId35" Type="http://schemas.openxmlformats.org/officeDocument/2006/relationships/image" Target="../media/image34.emf"/><Relationship Id="rId8" Type="http://schemas.openxmlformats.org/officeDocument/2006/relationships/image" Target="../media/image7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3.emf"/><Relationship Id="rId13" Type="http://schemas.openxmlformats.org/officeDocument/2006/relationships/image" Target="../media/image48.emf"/><Relationship Id="rId18" Type="http://schemas.openxmlformats.org/officeDocument/2006/relationships/image" Target="../media/image53.emf"/><Relationship Id="rId3" Type="http://schemas.openxmlformats.org/officeDocument/2006/relationships/image" Target="../media/image38.emf"/><Relationship Id="rId7" Type="http://schemas.openxmlformats.org/officeDocument/2006/relationships/image" Target="../media/image42.emf"/><Relationship Id="rId12" Type="http://schemas.openxmlformats.org/officeDocument/2006/relationships/image" Target="../media/image47.emf"/><Relationship Id="rId17" Type="http://schemas.openxmlformats.org/officeDocument/2006/relationships/image" Target="../media/image52.emf"/><Relationship Id="rId2" Type="http://schemas.openxmlformats.org/officeDocument/2006/relationships/image" Target="../media/image37.emf"/><Relationship Id="rId16" Type="http://schemas.openxmlformats.org/officeDocument/2006/relationships/image" Target="../media/image51.emf"/><Relationship Id="rId20" Type="http://schemas.openxmlformats.org/officeDocument/2006/relationships/image" Target="../media/image55.emf"/><Relationship Id="rId1" Type="http://schemas.openxmlformats.org/officeDocument/2006/relationships/image" Target="../media/image36.emf"/><Relationship Id="rId6" Type="http://schemas.openxmlformats.org/officeDocument/2006/relationships/image" Target="../media/image41.emf"/><Relationship Id="rId11" Type="http://schemas.openxmlformats.org/officeDocument/2006/relationships/image" Target="../media/image46.emf"/><Relationship Id="rId5" Type="http://schemas.openxmlformats.org/officeDocument/2006/relationships/image" Target="../media/image40.emf"/><Relationship Id="rId15" Type="http://schemas.openxmlformats.org/officeDocument/2006/relationships/image" Target="../media/image50.emf"/><Relationship Id="rId10" Type="http://schemas.openxmlformats.org/officeDocument/2006/relationships/image" Target="../media/image45.emf"/><Relationship Id="rId19" Type="http://schemas.openxmlformats.org/officeDocument/2006/relationships/image" Target="../media/image54.emf"/><Relationship Id="rId4" Type="http://schemas.openxmlformats.org/officeDocument/2006/relationships/image" Target="../media/image39.emf"/><Relationship Id="rId9" Type="http://schemas.openxmlformats.org/officeDocument/2006/relationships/image" Target="../media/image44.emf"/><Relationship Id="rId14" Type="http://schemas.openxmlformats.org/officeDocument/2006/relationships/image" Target="../media/image4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3ED8F3F5-238B-4BAE-819F-3F25A6E99CEF}"/>
            </a:ext>
          </a:extLst>
        </xdr:cNvPr>
        <xdr:cNvSpPr/>
      </xdr:nvSpPr>
      <xdr:spPr>
        <a:xfrm>
          <a:off x="0" y="0"/>
          <a:ext cx="11703844" cy="47625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0</xdr:colOff>
      <xdr:row>0</xdr:row>
      <xdr:rowOff>19050</xdr:rowOff>
    </xdr:from>
    <xdr:to>
      <xdr:col>4</xdr:col>
      <xdr:colOff>85725</xdr:colOff>
      <xdr:row>1</xdr:row>
      <xdr:rowOff>47523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49D45D1D-5739-43AB-B137-F1210F316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050"/>
          <a:ext cx="2295525" cy="504723"/>
        </a:xfrm>
        <a:prstGeom prst="rect">
          <a:avLst/>
        </a:prstGeom>
      </xdr:spPr>
    </xdr:pic>
    <xdr:clientData/>
  </xdr:twoCellAnchor>
  <xdr:twoCellAnchor editAs="oneCell">
    <xdr:from>
      <xdr:col>14</xdr:col>
      <xdr:colOff>83343</xdr:colOff>
      <xdr:row>6</xdr:row>
      <xdr:rowOff>142875</xdr:rowOff>
    </xdr:from>
    <xdr:to>
      <xdr:col>14</xdr:col>
      <xdr:colOff>443343</xdr:colOff>
      <xdr:row>8</xdr:row>
      <xdr:rowOff>83775</xdr:rowOff>
    </xdr:to>
    <xdr:pic>
      <xdr:nvPicPr>
        <xdr:cNvPr id="15" name="Imagem 14" descr="eu.png">
          <a:extLst>
            <a:ext uri="{FF2B5EF4-FFF2-40B4-BE49-F238E27FC236}">
              <a16:creationId xmlns:a16="http://schemas.microsoft.com/office/drawing/2014/main" id="{81ADF72B-B849-495A-8BBD-4CA7868BF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543" y="141922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95248</xdr:colOff>
      <xdr:row>6</xdr:row>
      <xdr:rowOff>85725</xdr:rowOff>
    </xdr:from>
    <xdr:to>
      <xdr:col>8</xdr:col>
      <xdr:colOff>330903</xdr:colOff>
      <xdr:row>25</xdr:row>
      <xdr:rowOff>200025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823A7B2-A804-469D-BCAE-EEACC4FD14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323" b="98271" l="0" r="44499">
                      <a14:foregroundMark x1="3178" y1="10086" x2="367" y2="28242"/>
                      <a14:foregroundMark x1="367" y1="28242" x2="6112" y2="16138"/>
                      <a14:foregroundMark x1="6112" y1="16138" x2="3667" y2="11527"/>
                      <a14:foregroundMark x1="13570" y1="5187" x2="44743" y2="288"/>
                      <a14:foregroundMark x1="44743" y1="288" x2="47433" y2="16715"/>
                      <a14:foregroundMark x1="47433" y1="16715" x2="12347" y2="10375"/>
                      <a14:foregroundMark x1="12347" y1="10375" x2="12469" y2="7493"/>
                      <a14:foregroundMark x1="19927" y1="38329" x2="20538" y2="59366"/>
                      <a14:foregroundMark x1="20538" y1="59366" x2="24694" y2="75504"/>
                      <a14:foregroundMark x1="24694" y1="75504" x2="35575" y2="73775"/>
                      <a14:foregroundMark x1="35575" y1="73775" x2="37653" y2="53026"/>
                      <a14:foregroundMark x1="37653" y1="53026" x2="34474" y2="36888"/>
                      <a14:foregroundMark x1="34474" y1="36888" x2="18826" y2="36888"/>
                      <a14:foregroundMark x1="2200" y1="33718" x2="1711" y2="91066"/>
                      <a14:foregroundMark x1="1711" y1="91066" x2="10636" y2="97695"/>
                      <a14:foregroundMark x1="10636" y1="97695" x2="18704" y2="77810"/>
                      <a14:foregroundMark x1="18704" y1="77810" x2="22005" y2="54755"/>
                      <a14:foregroundMark x1="22005" y1="54755" x2="20416" y2="36311"/>
                      <a14:foregroundMark x1="20416" y1="36311" x2="6601" y2="23919"/>
                      <a14:foregroundMark x1="244" y1="9798" x2="1100" y2="93948"/>
                      <a14:foregroundMark x1="1100" y1="93948" x2="17971" y2="83285"/>
                      <a14:foregroundMark x1="17971" y1="83285" x2="22249" y2="61671"/>
                      <a14:foregroundMark x1="22249" y1="61671" x2="21883" y2="14409"/>
                      <a14:foregroundMark x1="21883" y1="14409" x2="5623" y2="4323"/>
                      <a14:foregroundMark x1="5623" y1="4323" x2="489" y2="11527"/>
                      <a14:foregroundMark x1="23350" y1="31988" x2="13570" y2="60231"/>
                      <a14:foregroundMark x1="13570" y1="60231" x2="12225" y2="85591"/>
                      <a14:foregroundMark x1="12225" y1="85591" x2="38264" y2="96542"/>
                      <a14:foregroundMark x1="38264" y1="96542" x2="39976" y2="78674"/>
                      <a14:foregroundMark x1="39976" y1="78674" x2="37531" y2="38329"/>
                      <a14:foregroundMark x1="37531" y1="38329" x2="22983" y2="32277"/>
                      <a14:foregroundMark x1="23594" y1="43228" x2="31051" y2="51009"/>
                      <a14:foregroundMark x1="31051" y1="51009" x2="23961" y2="44092"/>
                      <a14:foregroundMark x1="23961" y1="44092" x2="22494" y2="43804"/>
                      <a14:foregroundMark x1="1834" y1="41499" x2="3545" y2="59078"/>
                      <a14:foregroundMark x1="3545" y1="59078" x2="7457" y2="43804"/>
                      <a14:foregroundMark x1="7457" y1="43804" x2="1467" y2="42075"/>
                      <a14:foregroundMark x1="733" y1="63112" x2="5990" y2="78674"/>
                      <a14:foregroundMark x1="5990" y1="78674" x2="13325" y2="72046"/>
                      <a14:foregroundMark x1="13325" y1="72046" x2="6479" y2="59942"/>
                      <a14:foregroundMark x1="6479" y1="59942" x2="122" y2="62536"/>
                      <a14:foregroundMark x1="16870" y1="68588" x2="19193" y2="89049"/>
                      <a14:foregroundMark x1="19193" y1="89049" x2="26773" y2="97983"/>
                      <a14:foregroundMark x1="26773" y1="97983" x2="35819" y2="98271"/>
                      <a14:foregroundMark x1="35819" y1="98271" x2="15892" y2="71758"/>
                      <a14:foregroundMark x1="15892" y1="71758" x2="14059" y2="65418"/>
                      <a14:foregroundMark x1="32641" y1="80115" x2="36186" y2="96542"/>
                      <a14:foregroundMark x1="36186" y1="96542" x2="35697" y2="78386"/>
                      <a14:foregroundMark x1="35697" y1="78386" x2="34108" y2="743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50522"/>
        <a:stretch/>
      </xdr:blipFill>
      <xdr:spPr>
        <a:xfrm>
          <a:off x="209548" y="1343025"/>
          <a:ext cx="4902905" cy="4191000"/>
        </a:xfrm>
        <a:prstGeom prst="rect">
          <a:avLst/>
        </a:prstGeom>
      </xdr:spPr>
    </xdr:pic>
    <xdr:clientData/>
  </xdr:twoCellAnchor>
  <xdr:twoCellAnchor editAs="oneCell">
    <xdr:from>
      <xdr:col>7</xdr:col>
      <xdr:colOff>32034</xdr:colOff>
      <xdr:row>8</xdr:row>
      <xdr:rowOff>0</xdr:rowOff>
    </xdr:from>
    <xdr:to>
      <xdr:col>8</xdr:col>
      <xdr:colOff>145460</xdr:colOff>
      <xdr:row>9</xdr:row>
      <xdr:rowOff>150450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5477AF0-C2BA-4CBA-AEBD-C13300249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5934" y="1676400"/>
          <a:ext cx="361076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146675</xdr:colOff>
          <xdr:row>11</xdr:row>
          <xdr:rowOff>123825</xdr:rowOff>
        </xdr:from>
        <xdr:to>
          <xdr:col>8</xdr:col>
          <xdr:colOff>596429</xdr:colOff>
          <xdr:row>14</xdr:row>
          <xdr:rowOff>180975</xdr:rowOff>
        </xdr:to>
        <xdr:grpSp>
          <xdr:nvGrpSpPr>
            <xdr:cNvPr id="61" name="Agrupar 60">
              <a:extLst>
                <a:ext uri="{FF2B5EF4-FFF2-40B4-BE49-F238E27FC236}">
                  <a16:creationId xmlns:a16="http://schemas.microsoft.com/office/drawing/2014/main" id="{DA48BAE9-CECB-4DFC-886E-13F96B9A056F}"/>
                </a:ext>
              </a:extLst>
            </xdr:cNvPr>
            <xdr:cNvGrpSpPr/>
          </xdr:nvGrpSpPr>
          <xdr:grpSpPr>
            <a:xfrm>
              <a:off x="4794875" y="2428875"/>
              <a:ext cx="697404" cy="685800"/>
              <a:chOff x="6505575" y="3438525"/>
              <a:chExt cx="695325" cy="685800"/>
            </a:xfrm>
          </xdr:grpSpPr>
          <xdr:pic>
            <xdr:nvPicPr>
              <xdr:cNvPr id="57" name="Imagem 56">
                <a:extLst>
                  <a:ext uri="{FF2B5EF4-FFF2-40B4-BE49-F238E27FC236}">
                    <a16:creationId xmlns:a16="http://schemas.microsoft.com/office/drawing/2014/main" id="{6439DBF0-2281-41F4-859C-8496313F7F5D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'Base Índices'!$L$5:$L$7" spid="_x0000_s63528"/>
                  </a:ext>
                </a:extLst>
              </xdr:cNvPicPr>
            </xdr:nvPicPr>
            <xdr:blipFill>
              <a:blip xmlns:r="http://schemas.openxmlformats.org/officeDocument/2006/relationships" r:embed="rId6"/>
              <a:srcRect/>
              <a:stretch>
                <a:fillRect/>
              </a:stretch>
            </xdr:blipFill>
            <xdr:spPr bwMode="auto">
              <a:xfrm>
                <a:off x="6505575" y="3438525"/>
                <a:ext cx="695325" cy="67627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0" name="Imagem 59">
                <a:extLst>
                  <a:ext uri="{FF2B5EF4-FFF2-40B4-BE49-F238E27FC236}">
                    <a16:creationId xmlns:a16="http://schemas.microsoft.com/office/drawing/2014/main" id="{E399A54A-9B5C-4CFF-8E4D-1DE7B07E0AB7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'Base Índices'!$K$7" spid="_x0000_s63529"/>
                  </a:ext>
                </a:extLst>
              </xdr:cNvPicPr>
            </xdr:nvPicPr>
            <xdr:blipFill>
              <a:blip xmlns:r="http://schemas.openxmlformats.org/officeDocument/2006/relationships" r:embed="rId7"/>
              <a:srcRect/>
              <a:stretch>
                <a:fillRect/>
              </a:stretch>
            </xdr:blipFill>
            <xdr:spPr bwMode="auto">
              <a:xfrm>
                <a:off x="6629400" y="3886200"/>
                <a:ext cx="161925" cy="2381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672857</xdr:colOff>
          <xdr:row>7</xdr:row>
          <xdr:rowOff>142875</xdr:rowOff>
        </xdr:from>
        <xdr:to>
          <xdr:col>10</xdr:col>
          <xdr:colOff>46969</xdr:colOff>
          <xdr:row>10</xdr:row>
          <xdr:rowOff>190500</xdr:rowOff>
        </xdr:to>
        <xdr:grpSp>
          <xdr:nvGrpSpPr>
            <xdr:cNvPr id="65" name="Agrupar 64">
              <a:extLst>
                <a:ext uri="{FF2B5EF4-FFF2-40B4-BE49-F238E27FC236}">
                  <a16:creationId xmlns:a16="http://schemas.microsoft.com/office/drawing/2014/main" id="{9BFFA5A3-09DB-4EDE-A54D-B414139FA5C2}"/>
                </a:ext>
              </a:extLst>
            </xdr:cNvPr>
            <xdr:cNvGrpSpPr/>
          </xdr:nvGrpSpPr>
          <xdr:grpSpPr>
            <a:xfrm>
              <a:off x="5568707" y="1609725"/>
              <a:ext cx="964787" cy="676275"/>
              <a:chOff x="5562600" y="1562100"/>
              <a:chExt cx="923925" cy="676275"/>
            </a:xfrm>
          </xdr:grpSpPr>
          <xdr:pic>
            <xdr:nvPicPr>
              <xdr:cNvPr id="62" name="Imagem 61">
                <a:extLst>
                  <a:ext uri="{FF2B5EF4-FFF2-40B4-BE49-F238E27FC236}">
                    <a16:creationId xmlns:a16="http://schemas.microsoft.com/office/drawing/2014/main" id="{5381CBAF-9E1E-4D71-A037-593E797FFDE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'Base Índices'!$H$5:$H$7" spid="_x0000_s63530"/>
                  </a:ext>
                </a:extLst>
              </xdr:cNvPicPr>
            </xdr:nvPicPr>
            <xdr:blipFill>
              <a:blip xmlns:r="http://schemas.openxmlformats.org/officeDocument/2006/relationships" r:embed="rId8"/>
              <a:srcRect/>
              <a:stretch>
                <a:fillRect/>
              </a:stretch>
            </xdr:blipFill>
            <xdr:spPr bwMode="auto">
              <a:xfrm>
                <a:off x="5562600" y="1562100"/>
                <a:ext cx="923925" cy="67627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4" name="Imagem 63">
                <a:extLst>
                  <a:ext uri="{FF2B5EF4-FFF2-40B4-BE49-F238E27FC236}">
                    <a16:creationId xmlns:a16="http://schemas.microsoft.com/office/drawing/2014/main" id="{A0A9517A-19DB-465C-B79A-A034AEA7A2FC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'Base Índices'!$G$7" spid="_x0000_s63531"/>
                  </a:ext>
                </a:extLst>
              </xdr:cNvPicPr>
            </xdr:nvPicPr>
            <xdr:blipFill>
              <a:blip xmlns:r="http://schemas.openxmlformats.org/officeDocument/2006/relationships" r:embed="rId7"/>
              <a:srcRect/>
              <a:stretch>
                <a:fillRect/>
              </a:stretch>
            </xdr:blipFill>
            <xdr:spPr bwMode="auto">
              <a:xfrm>
                <a:off x="5905500" y="2000250"/>
                <a:ext cx="161925" cy="2381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225951</xdr:colOff>
          <xdr:row>11</xdr:row>
          <xdr:rowOff>123825</xdr:rowOff>
        </xdr:from>
        <xdr:to>
          <xdr:col>10</xdr:col>
          <xdr:colOff>46969</xdr:colOff>
          <xdr:row>14</xdr:row>
          <xdr:rowOff>180975</xdr:rowOff>
        </xdr:to>
        <xdr:grpSp>
          <xdr:nvGrpSpPr>
            <xdr:cNvPr id="68" name="Agrupar 67">
              <a:extLst>
                <a:ext uri="{FF2B5EF4-FFF2-40B4-BE49-F238E27FC236}">
                  <a16:creationId xmlns:a16="http://schemas.microsoft.com/office/drawing/2014/main" id="{4BE6F450-1B37-4843-ABD3-087C095FCA3D}"/>
                </a:ext>
              </a:extLst>
            </xdr:cNvPr>
            <xdr:cNvGrpSpPr/>
          </xdr:nvGrpSpPr>
          <xdr:grpSpPr>
            <a:xfrm>
              <a:off x="5845701" y="2428875"/>
              <a:ext cx="687793" cy="685800"/>
              <a:chOff x="5772150" y="2324100"/>
              <a:chExt cx="666750" cy="685800"/>
            </a:xfrm>
          </xdr:grpSpPr>
          <xdr:pic>
            <xdr:nvPicPr>
              <xdr:cNvPr id="66" name="Imagem 65">
                <a:extLst>
                  <a:ext uri="{FF2B5EF4-FFF2-40B4-BE49-F238E27FC236}">
                    <a16:creationId xmlns:a16="http://schemas.microsoft.com/office/drawing/2014/main" id="{A447243D-1985-4508-B763-B23892EB9795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'Base Índices'!$D$5:$D$7" spid="_x0000_s63532"/>
                  </a:ext>
                </a:extLst>
              </xdr:cNvPicPr>
            </xdr:nvPicPr>
            <xdr:blipFill>
              <a:blip xmlns:r="http://schemas.openxmlformats.org/officeDocument/2006/relationships" r:embed="rId9"/>
              <a:srcRect/>
              <a:stretch>
                <a:fillRect/>
              </a:stretch>
            </xdr:blipFill>
            <xdr:spPr bwMode="auto">
              <a:xfrm>
                <a:off x="5772150" y="2324100"/>
                <a:ext cx="666750" cy="67627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7" name="Imagem 66">
                <a:extLst>
                  <a:ext uri="{FF2B5EF4-FFF2-40B4-BE49-F238E27FC236}">
                    <a16:creationId xmlns:a16="http://schemas.microsoft.com/office/drawing/2014/main" id="{FC49AB7D-E0E7-4BAA-9A18-B6A9AC2AEC23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'Base Índices'!$C$7" spid="_x0000_s63533"/>
                  </a:ext>
                </a:extLst>
              </xdr:cNvPicPr>
            </xdr:nvPicPr>
            <xdr:blipFill>
              <a:blip xmlns:r="http://schemas.openxmlformats.org/officeDocument/2006/relationships" r:embed="rId7"/>
              <a:srcRect/>
              <a:stretch>
                <a:fillRect/>
              </a:stretch>
            </xdr:blipFill>
            <xdr:spPr bwMode="auto">
              <a:xfrm>
                <a:off x="5867400" y="2771775"/>
                <a:ext cx="161925" cy="2381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clientData/>
      </xdr:twoCellAnchor>
    </mc:Choice>
    <mc:Fallback/>
  </mc:AlternateContent>
  <xdr:twoCellAnchor editAs="oneCell">
    <xdr:from>
      <xdr:col>4</xdr:col>
      <xdr:colOff>550869</xdr:colOff>
      <xdr:row>7</xdr:row>
      <xdr:rowOff>47623</xdr:rowOff>
    </xdr:from>
    <xdr:to>
      <xdr:col>10</xdr:col>
      <xdr:colOff>266700</xdr:colOff>
      <xdr:row>15</xdr:row>
      <xdr:rowOff>38100</xdr:rowOff>
    </xdr:to>
    <xdr:grpSp>
      <xdr:nvGrpSpPr>
        <xdr:cNvPr id="83" name="Agrupar 82">
          <a:extLst>
            <a:ext uri="{FF2B5EF4-FFF2-40B4-BE49-F238E27FC236}">
              <a16:creationId xmlns:a16="http://schemas.microsoft.com/office/drawing/2014/main" id="{C6B3E6D3-20B3-4538-9539-1F3FE1D70028}"/>
            </a:ext>
          </a:extLst>
        </xdr:cNvPr>
        <xdr:cNvGrpSpPr/>
      </xdr:nvGrpSpPr>
      <xdr:grpSpPr>
        <a:xfrm>
          <a:off x="2932119" y="1514473"/>
          <a:ext cx="3821106" cy="1666877"/>
          <a:chOff x="2771775" y="1447798"/>
          <a:chExt cx="3714751" cy="1666877"/>
        </a:xfrm>
      </xdr:grpSpPr>
      <xdr:sp macro="" textlink="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F03A9347-6014-4C63-BFE5-133B7CFB8F8D}"/>
              </a:ext>
            </a:extLst>
          </xdr:cNvPr>
          <xdr:cNvSpPr/>
        </xdr:nvSpPr>
        <xdr:spPr>
          <a:xfrm>
            <a:off x="4314826" y="1447798"/>
            <a:ext cx="2171700" cy="1666877"/>
          </a:xfrm>
          <a:prstGeom prst="roundRect">
            <a:avLst/>
          </a:prstGeom>
          <a:noFill/>
          <a:ln w="19050" cap="flat" cmpd="sng" algn="ctr">
            <a:solidFill>
              <a:schemeClr val="accent3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3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cxnSp macro="">
        <xdr:nvCxnSpPr>
          <xdr:cNvPr id="81" name="Conector reto 80">
            <a:extLst>
              <a:ext uri="{FF2B5EF4-FFF2-40B4-BE49-F238E27FC236}">
                <a16:creationId xmlns:a16="http://schemas.microsoft.com/office/drawing/2014/main" id="{F96368CD-1FBF-48FB-9789-A5F54912BC1F}"/>
              </a:ext>
            </a:extLst>
          </xdr:cNvPr>
          <xdr:cNvCxnSpPr/>
        </xdr:nvCxnSpPr>
        <xdr:spPr>
          <a:xfrm flipH="1" flipV="1">
            <a:off x="2771775" y="2724150"/>
            <a:ext cx="1495425" cy="0"/>
          </a:xfrm>
          <a:prstGeom prst="line">
            <a:avLst/>
          </a:prstGeom>
          <a:ln w="12700" cap="rnd" cmpd="sng" algn="ctr">
            <a:solidFill>
              <a:srgbClr val="006B66"/>
            </a:solidFill>
            <a:prstDash val="dash"/>
            <a:round/>
            <a:headEnd type="none" w="med" len="med"/>
            <a:tailEnd type="oval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</xdr:col>
      <xdr:colOff>543850</xdr:colOff>
      <xdr:row>18</xdr:row>
      <xdr:rowOff>114298</xdr:rowOff>
    </xdr:from>
    <xdr:to>
      <xdr:col>9</xdr:col>
      <xdr:colOff>569875</xdr:colOff>
      <xdr:row>21</xdr:row>
      <xdr:rowOff>114300</xdr:rowOff>
    </xdr:to>
    <xdr:grpSp>
      <xdr:nvGrpSpPr>
        <xdr:cNvPr id="86" name="Agrupar 85">
          <a:extLst>
            <a:ext uri="{FF2B5EF4-FFF2-40B4-BE49-F238E27FC236}">
              <a16:creationId xmlns:a16="http://schemas.microsoft.com/office/drawing/2014/main" id="{B99096BD-6743-4D8B-A515-BA42633323EC}"/>
            </a:ext>
          </a:extLst>
        </xdr:cNvPr>
        <xdr:cNvGrpSpPr/>
      </xdr:nvGrpSpPr>
      <xdr:grpSpPr>
        <a:xfrm>
          <a:off x="3791875" y="3886198"/>
          <a:ext cx="2397750" cy="723902"/>
          <a:chOff x="3609975" y="3819523"/>
          <a:chExt cx="2333625" cy="723902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9D6FE8DA-1D04-490E-B549-348C5380DE06}"/>
              </a:ext>
            </a:extLst>
          </xdr:cNvPr>
          <xdr:cNvGrpSpPr/>
        </xdr:nvGrpSpPr>
        <xdr:grpSpPr>
          <a:xfrm>
            <a:off x="4476750" y="3819523"/>
            <a:ext cx="1466850" cy="723902"/>
            <a:chOff x="4743450" y="3505198"/>
            <a:chExt cx="1466850" cy="723902"/>
          </a:xfrm>
        </xdr:grpSpPr>
        <xdr:pic>
          <xdr:nvPicPr>
            <xdr:cNvPr id="7" name="Imagem 6">
              <a:extLst>
                <a:ext uri="{FF2B5EF4-FFF2-40B4-BE49-F238E27FC236}">
                  <a16:creationId xmlns:a16="http://schemas.microsoft.com/office/drawing/2014/main" id="{C706CF68-17EE-4F20-833C-DB24CA3857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829175" y="3690936"/>
              <a:ext cx="360000" cy="360000"/>
            </a:xfrm>
            <a:prstGeom prst="rect">
              <a:avLst/>
            </a:prstGeom>
          </xdr:spPr>
        </xdr:pic>
        <xdr:sp macro="" textlink="">
          <xdr:nvSpPr>
            <xdr:cNvPr id="19" name="Retângulo: Cantos Arredondados 18">
              <a:extLst>
                <a:ext uri="{FF2B5EF4-FFF2-40B4-BE49-F238E27FC236}">
                  <a16:creationId xmlns:a16="http://schemas.microsoft.com/office/drawing/2014/main" id="{B90A036B-54B6-4709-87EB-EA55B1B072C9}"/>
                </a:ext>
              </a:extLst>
            </xdr:cNvPr>
            <xdr:cNvSpPr/>
          </xdr:nvSpPr>
          <xdr:spPr>
            <a:xfrm>
              <a:off x="4743450" y="3505198"/>
              <a:ext cx="1466850" cy="714377"/>
            </a:xfrm>
            <a:prstGeom prst="roundRect">
              <a:avLst/>
            </a:prstGeom>
            <a:noFill/>
            <a:ln w="19050" cap="flat" cmpd="sng" algn="ctr">
              <a:solidFill>
                <a:schemeClr val="accent3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3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23" name="Imagem 22">
                  <a:extLst>
                    <a:ext uri="{FF2B5EF4-FFF2-40B4-BE49-F238E27FC236}">
                      <a16:creationId xmlns:a16="http://schemas.microsoft.com/office/drawing/2014/main" id="{AF69A0EC-40F3-40F8-ACF9-D3D1528FD5A1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'Base Índices'!$P$5:$P$7" spid="_x0000_s63534"/>
                    </a:ext>
                  </a:extLst>
                </xdr:cNvPicPr>
              </xdr:nvPicPr>
              <xdr:blipFill>
                <a:blip xmlns:r="http://schemas.openxmlformats.org/officeDocument/2006/relationships" r:embed="rId11"/>
                <a:srcRect/>
                <a:stretch>
                  <a:fillRect/>
                </a:stretch>
              </xdr:blipFill>
              <xdr:spPr bwMode="auto">
                <a:xfrm>
                  <a:off x="5295900" y="3543300"/>
                  <a:ext cx="771525" cy="6762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24" name="Imagem 23">
                  <a:extLst>
                    <a:ext uri="{FF2B5EF4-FFF2-40B4-BE49-F238E27FC236}">
                      <a16:creationId xmlns:a16="http://schemas.microsoft.com/office/drawing/2014/main" id="{A2822FA3-8EB4-4DDD-AA7A-A8B3366803F5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'Base Índices'!$O$7" spid="_x0000_s63535"/>
                    </a:ext>
                  </a:extLst>
                </xdr:cNvPicPr>
              </xdr:nvPicPr>
              <xdr:blipFill>
                <a:blip xmlns:r="http://schemas.openxmlformats.org/officeDocument/2006/relationships" r:embed="rId7"/>
                <a:srcRect/>
                <a:stretch>
                  <a:fillRect/>
                </a:stretch>
              </xdr:blipFill>
              <xdr:spPr bwMode="auto">
                <a:xfrm>
                  <a:off x="5476875" y="3990975"/>
                  <a:ext cx="161925" cy="238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</xdr:grpSp>
      <xdr:cxnSp macro="">
        <xdr:nvCxnSpPr>
          <xdr:cNvPr id="82" name="Conector reto 81">
            <a:extLst>
              <a:ext uri="{FF2B5EF4-FFF2-40B4-BE49-F238E27FC236}">
                <a16:creationId xmlns:a16="http://schemas.microsoft.com/office/drawing/2014/main" id="{94DEB1B5-FFC5-4746-881E-7F3BD909D188}"/>
              </a:ext>
            </a:extLst>
          </xdr:cNvPr>
          <xdr:cNvCxnSpPr/>
        </xdr:nvCxnSpPr>
        <xdr:spPr>
          <a:xfrm flipH="1" flipV="1">
            <a:off x="3609976" y="4286250"/>
            <a:ext cx="828000" cy="0"/>
          </a:xfrm>
          <a:prstGeom prst="line">
            <a:avLst/>
          </a:prstGeom>
          <a:ln w="12700" cap="rnd" cmpd="sng" algn="ctr">
            <a:solidFill>
              <a:srgbClr val="006B66"/>
            </a:solidFill>
            <a:prstDash val="dash"/>
            <a:round/>
            <a:headEnd type="none" w="med" len="med"/>
            <a:tailEnd type="oval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</xdr:col>
      <xdr:colOff>8855</xdr:colOff>
      <xdr:row>22</xdr:row>
      <xdr:rowOff>0</xdr:rowOff>
    </xdr:from>
    <xdr:to>
      <xdr:col>9</xdr:col>
      <xdr:colOff>569876</xdr:colOff>
      <xdr:row>25</xdr:row>
      <xdr:rowOff>85727</xdr:rowOff>
    </xdr:to>
    <xdr:grpSp>
      <xdr:nvGrpSpPr>
        <xdr:cNvPr id="91" name="Agrupar 90">
          <a:extLst>
            <a:ext uri="{FF2B5EF4-FFF2-40B4-BE49-F238E27FC236}">
              <a16:creationId xmlns:a16="http://schemas.microsoft.com/office/drawing/2014/main" id="{6DC6B5F7-9BAF-4DC2-A5BC-86E064E8FF2B}"/>
            </a:ext>
          </a:extLst>
        </xdr:cNvPr>
        <xdr:cNvGrpSpPr/>
      </xdr:nvGrpSpPr>
      <xdr:grpSpPr>
        <a:xfrm>
          <a:off x="3256880" y="4705350"/>
          <a:ext cx="2932746" cy="714377"/>
          <a:chOff x="3076575" y="4638675"/>
          <a:chExt cx="2867025" cy="714377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DB782D04-8812-48C0-A72E-4F3006CCFEF5}"/>
              </a:ext>
            </a:extLst>
          </xdr:cNvPr>
          <xdr:cNvGrpSpPr/>
        </xdr:nvGrpSpPr>
        <xdr:grpSpPr>
          <a:xfrm>
            <a:off x="4476750" y="4638675"/>
            <a:ext cx="1466850" cy="714377"/>
            <a:chOff x="5257800" y="4714875"/>
            <a:chExt cx="1466850" cy="714377"/>
          </a:xfrm>
        </xdr:grpSpPr>
        <xdr:pic>
          <xdr:nvPicPr>
            <xdr:cNvPr id="16" name="Imagem 15" descr="ar.png">
              <a:extLst>
                <a:ext uri="{FF2B5EF4-FFF2-40B4-BE49-F238E27FC236}">
                  <a16:creationId xmlns:a16="http://schemas.microsoft.com/office/drawing/2014/main" id="{B31F9F47-8013-4935-8955-3152F6AEF0C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53050" y="4886324"/>
              <a:ext cx="360000" cy="36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3" name="Retângulo: Cantos Arredondados 42">
              <a:extLst>
                <a:ext uri="{FF2B5EF4-FFF2-40B4-BE49-F238E27FC236}">
                  <a16:creationId xmlns:a16="http://schemas.microsoft.com/office/drawing/2014/main" id="{0624DB83-9282-4101-97AB-BCE96661F42B}"/>
                </a:ext>
              </a:extLst>
            </xdr:cNvPr>
            <xdr:cNvSpPr/>
          </xdr:nvSpPr>
          <xdr:spPr>
            <a:xfrm>
              <a:off x="5257800" y="4714875"/>
              <a:ext cx="1466850" cy="714377"/>
            </a:xfrm>
            <a:prstGeom prst="roundRect">
              <a:avLst/>
            </a:prstGeom>
            <a:noFill/>
            <a:ln w="19050" cap="flat" cmpd="sng" algn="ctr">
              <a:solidFill>
                <a:schemeClr val="accent3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3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46" name="Imagem 45">
                  <a:extLst>
                    <a:ext uri="{FF2B5EF4-FFF2-40B4-BE49-F238E27FC236}">
                      <a16:creationId xmlns:a16="http://schemas.microsoft.com/office/drawing/2014/main" id="{18427F47-0000-40AE-A54E-89ABC937DF9A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'Base Índices'!$T$5:$T$7" spid="_x0000_s63536"/>
                    </a:ext>
                  </a:extLst>
                </xdr:cNvPicPr>
              </xdr:nvPicPr>
              <xdr:blipFill>
                <a:blip xmlns:r="http://schemas.openxmlformats.org/officeDocument/2006/relationships" r:embed="rId13"/>
                <a:srcRect/>
                <a:stretch>
                  <a:fillRect/>
                </a:stretch>
              </xdr:blipFill>
              <xdr:spPr bwMode="auto">
                <a:xfrm>
                  <a:off x="5943600" y="4733925"/>
                  <a:ext cx="666750" cy="6762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47" name="Imagem 46">
                  <a:extLst>
                    <a:ext uri="{FF2B5EF4-FFF2-40B4-BE49-F238E27FC236}">
                      <a16:creationId xmlns:a16="http://schemas.microsoft.com/office/drawing/2014/main" id="{0D7388AC-3C8C-4F77-99D1-6956D2D0B25E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'Base Índices'!$S$7" spid="_x0000_s63537"/>
                    </a:ext>
                  </a:extLst>
                </xdr:cNvPicPr>
              </xdr:nvPicPr>
              <xdr:blipFill>
                <a:blip xmlns:r="http://schemas.openxmlformats.org/officeDocument/2006/relationships" r:embed="rId14"/>
                <a:srcRect/>
                <a:stretch>
                  <a:fillRect/>
                </a:stretch>
              </xdr:blipFill>
              <xdr:spPr bwMode="auto">
                <a:xfrm>
                  <a:off x="6038850" y="5181600"/>
                  <a:ext cx="161925" cy="238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</xdr:grpSp>
      <xdr:cxnSp macro="">
        <xdr:nvCxnSpPr>
          <xdr:cNvPr id="88" name="Conector reto 87">
            <a:extLst>
              <a:ext uri="{FF2B5EF4-FFF2-40B4-BE49-F238E27FC236}">
                <a16:creationId xmlns:a16="http://schemas.microsoft.com/office/drawing/2014/main" id="{4D2667D4-D1A8-4D4E-9DD0-D7C1E9A55637}"/>
              </a:ext>
            </a:extLst>
          </xdr:cNvPr>
          <xdr:cNvCxnSpPr/>
        </xdr:nvCxnSpPr>
        <xdr:spPr>
          <a:xfrm flipH="1" flipV="1">
            <a:off x="3076575" y="4733925"/>
            <a:ext cx="1370927" cy="161923"/>
          </a:xfrm>
          <a:prstGeom prst="line">
            <a:avLst/>
          </a:prstGeom>
          <a:ln w="12700" cap="rnd" cmpd="sng" algn="ctr">
            <a:solidFill>
              <a:srgbClr val="006B66"/>
            </a:solidFill>
            <a:prstDash val="dash"/>
            <a:round/>
            <a:headEnd type="none" w="med" len="med"/>
            <a:tailEnd type="oval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40007</xdr:colOff>
      <xdr:row>21</xdr:row>
      <xdr:rowOff>114300</xdr:rowOff>
    </xdr:from>
    <xdr:to>
      <xdr:col>4</xdr:col>
      <xdr:colOff>742950</xdr:colOff>
      <xdr:row>26</xdr:row>
      <xdr:rowOff>123825</xdr:rowOff>
    </xdr:to>
    <xdr:grpSp>
      <xdr:nvGrpSpPr>
        <xdr:cNvPr id="96" name="Agrupar 95">
          <a:extLst>
            <a:ext uri="{FF2B5EF4-FFF2-40B4-BE49-F238E27FC236}">
              <a16:creationId xmlns:a16="http://schemas.microsoft.com/office/drawing/2014/main" id="{4A483EB0-6E24-4DFD-A700-36C64D0163A8}"/>
            </a:ext>
          </a:extLst>
        </xdr:cNvPr>
        <xdr:cNvGrpSpPr/>
      </xdr:nvGrpSpPr>
      <xdr:grpSpPr>
        <a:xfrm>
          <a:off x="154307" y="4610100"/>
          <a:ext cx="2969893" cy="1057275"/>
          <a:chOff x="752475" y="4191000"/>
          <a:chExt cx="2904061" cy="1057275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6EF33D43-D339-401B-B255-C58CE24E1EDB}"/>
              </a:ext>
            </a:extLst>
          </xdr:cNvPr>
          <xdr:cNvGrpSpPr/>
        </xdr:nvGrpSpPr>
        <xdr:grpSpPr>
          <a:xfrm>
            <a:off x="752475" y="4533898"/>
            <a:ext cx="1466850" cy="714377"/>
            <a:chOff x="752475" y="4533898"/>
            <a:chExt cx="1466850" cy="714377"/>
          </a:xfrm>
        </xdr:grpSpPr>
        <xdr:pic>
          <xdr:nvPicPr>
            <xdr:cNvPr id="17" name="Imagem 16" descr="cl.png">
              <a:extLst>
                <a:ext uri="{FF2B5EF4-FFF2-40B4-BE49-F238E27FC236}">
                  <a16:creationId xmlns:a16="http://schemas.microsoft.com/office/drawing/2014/main" id="{2762CDCE-6E58-4252-8454-9EEE5562BF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47725" y="4714874"/>
              <a:ext cx="360000" cy="36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6" name="Retângulo: Cantos Arredondados 35">
              <a:extLst>
                <a:ext uri="{FF2B5EF4-FFF2-40B4-BE49-F238E27FC236}">
                  <a16:creationId xmlns:a16="http://schemas.microsoft.com/office/drawing/2014/main" id="{928E708E-9B59-473D-8FD8-C219FE020F4C}"/>
                </a:ext>
              </a:extLst>
            </xdr:cNvPr>
            <xdr:cNvSpPr/>
          </xdr:nvSpPr>
          <xdr:spPr>
            <a:xfrm>
              <a:off x="752475" y="4533898"/>
              <a:ext cx="1466850" cy="714377"/>
            </a:xfrm>
            <a:prstGeom prst="roundRect">
              <a:avLst/>
            </a:prstGeom>
            <a:noFill/>
            <a:ln w="19050" cap="flat" cmpd="sng" algn="ctr">
              <a:solidFill>
                <a:schemeClr val="accent3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3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39" name="Imagem 38">
                  <a:extLst>
                    <a:ext uri="{FF2B5EF4-FFF2-40B4-BE49-F238E27FC236}">
                      <a16:creationId xmlns:a16="http://schemas.microsoft.com/office/drawing/2014/main" id="{F6AEE16E-173E-44D2-A837-E7DB3A66C0F7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'Base Índices'!$X$5:$X$7" spid="_x0000_s63538"/>
                    </a:ext>
                  </a:extLst>
                </xdr:cNvPicPr>
              </xdr:nvPicPr>
              <xdr:blipFill>
                <a:blip xmlns:r="http://schemas.openxmlformats.org/officeDocument/2006/relationships" r:embed="rId16"/>
                <a:srcRect/>
                <a:stretch>
                  <a:fillRect/>
                </a:stretch>
              </xdr:blipFill>
              <xdr:spPr bwMode="auto">
                <a:xfrm>
                  <a:off x="1285875" y="4552950"/>
                  <a:ext cx="819150" cy="6762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40" name="Imagem 39">
                  <a:extLst>
                    <a:ext uri="{FF2B5EF4-FFF2-40B4-BE49-F238E27FC236}">
                      <a16:creationId xmlns:a16="http://schemas.microsoft.com/office/drawing/2014/main" id="{2DEA54E8-B305-40EC-AB52-950B5D96B9AB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'Base Índices'!$W$7" spid="_x0000_s63539"/>
                    </a:ext>
                  </a:extLst>
                </xdr:cNvPicPr>
              </xdr:nvPicPr>
              <xdr:blipFill>
                <a:blip xmlns:r="http://schemas.openxmlformats.org/officeDocument/2006/relationships" r:embed="rId7"/>
                <a:srcRect/>
                <a:stretch>
                  <a:fillRect/>
                </a:stretch>
              </xdr:blipFill>
              <xdr:spPr bwMode="auto">
                <a:xfrm>
                  <a:off x="1524029" y="4991100"/>
                  <a:ext cx="161925" cy="238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</xdr:grpSp>
      <xdr:cxnSp macro="">
        <xdr:nvCxnSpPr>
          <xdr:cNvPr id="92" name="Conector reto 91">
            <a:extLst>
              <a:ext uri="{FF2B5EF4-FFF2-40B4-BE49-F238E27FC236}">
                <a16:creationId xmlns:a16="http://schemas.microsoft.com/office/drawing/2014/main" id="{D920136C-042A-47B6-8DD0-71D80D03AB15}"/>
              </a:ext>
            </a:extLst>
          </xdr:cNvPr>
          <xdr:cNvCxnSpPr/>
        </xdr:nvCxnSpPr>
        <xdr:spPr>
          <a:xfrm flipV="1">
            <a:off x="2238375" y="4191000"/>
            <a:ext cx="1418161" cy="523876"/>
          </a:xfrm>
          <a:prstGeom prst="line">
            <a:avLst/>
          </a:prstGeom>
          <a:ln w="12700" cap="rnd" cmpd="sng" algn="ctr">
            <a:solidFill>
              <a:srgbClr val="006B66"/>
            </a:solidFill>
            <a:prstDash val="dash"/>
            <a:round/>
            <a:headEnd type="none" w="med" len="med"/>
            <a:tailEnd type="oval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48080</xdr:colOff>
      <xdr:row>12</xdr:row>
      <xdr:rowOff>38098</xdr:rowOff>
    </xdr:from>
    <xdr:to>
      <xdr:col>3</xdr:col>
      <xdr:colOff>647700</xdr:colOff>
      <xdr:row>15</xdr:row>
      <xdr:rowOff>123825</xdr:rowOff>
    </xdr:to>
    <xdr:grpSp>
      <xdr:nvGrpSpPr>
        <xdr:cNvPr id="103" name="Agrupar 102">
          <a:extLst>
            <a:ext uri="{FF2B5EF4-FFF2-40B4-BE49-F238E27FC236}">
              <a16:creationId xmlns:a16="http://schemas.microsoft.com/office/drawing/2014/main" id="{B5D12155-B32B-49BD-94D1-EBEBBC4FFC2E}"/>
            </a:ext>
          </a:extLst>
        </xdr:cNvPr>
        <xdr:cNvGrpSpPr/>
      </xdr:nvGrpSpPr>
      <xdr:grpSpPr>
        <a:xfrm>
          <a:off x="162380" y="2552698"/>
          <a:ext cx="1999795" cy="714377"/>
          <a:chOff x="266700" y="3095623"/>
          <a:chExt cx="1955848" cy="714377"/>
        </a:xfrm>
      </xdr:grpSpPr>
      <xdr:grpSp>
        <xdr:nvGrpSpPr>
          <xdr:cNvPr id="77" name="Agrupar 76">
            <a:extLst>
              <a:ext uri="{FF2B5EF4-FFF2-40B4-BE49-F238E27FC236}">
                <a16:creationId xmlns:a16="http://schemas.microsoft.com/office/drawing/2014/main" id="{1BBC43B3-930B-4557-9663-4CA21934F359}"/>
              </a:ext>
            </a:extLst>
          </xdr:cNvPr>
          <xdr:cNvGrpSpPr/>
        </xdr:nvGrpSpPr>
        <xdr:grpSpPr>
          <a:xfrm>
            <a:off x="266700" y="3095623"/>
            <a:ext cx="1466850" cy="714377"/>
            <a:chOff x="266700" y="3095623"/>
            <a:chExt cx="1466850" cy="714377"/>
          </a:xfrm>
        </xdr:grpSpPr>
        <xdr:pic>
          <xdr:nvPicPr>
            <xdr:cNvPr id="69" name="Imagem 68" descr="mx.png">
              <a:extLst>
                <a:ext uri="{FF2B5EF4-FFF2-40B4-BE49-F238E27FC236}">
                  <a16:creationId xmlns:a16="http://schemas.microsoft.com/office/drawing/2014/main" id="{1BC790B5-1191-4CF0-897E-BC89FDBE0D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61950" y="3267075"/>
              <a:ext cx="360000" cy="36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2" name="Retângulo: Cantos Arredondados 71">
              <a:extLst>
                <a:ext uri="{FF2B5EF4-FFF2-40B4-BE49-F238E27FC236}">
                  <a16:creationId xmlns:a16="http://schemas.microsoft.com/office/drawing/2014/main" id="{DCE7F671-226F-4387-84C3-A83764989912}"/>
                </a:ext>
              </a:extLst>
            </xdr:cNvPr>
            <xdr:cNvSpPr/>
          </xdr:nvSpPr>
          <xdr:spPr>
            <a:xfrm>
              <a:off x="266700" y="3095623"/>
              <a:ext cx="1466850" cy="714377"/>
            </a:xfrm>
            <a:prstGeom prst="roundRect">
              <a:avLst/>
            </a:prstGeom>
            <a:noFill/>
            <a:ln w="19050" cap="flat" cmpd="sng" algn="ctr">
              <a:solidFill>
                <a:schemeClr val="accent3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3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76" name="Imagem 75">
                  <a:extLst>
                    <a:ext uri="{FF2B5EF4-FFF2-40B4-BE49-F238E27FC236}">
                      <a16:creationId xmlns:a16="http://schemas.microsoft.com/office/drawing/2014/main" id="{BA66E2B5-0295-4743-B364-937D8240E6F7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'Base Índices'!$AI$7" spid="_x0000_s63540"/>
                    </a:ext>
                  </a:extLst>
                </xdr:cNvPicPr>
              </xdr:nvPicPr>
              <xdr:blipFill>
                <a:blip xmlns:r="http://schemas.openxmlformats.org/officeDocument/2006/relationships" r:embed="rId7"/>
                <a:srcRect/>
                <a:stretch>
                  <a:fillRect/>
                </a:stretch>
              </xdr:blipFill>
              <xdr:spPr bwMode="auto">
                <a:xfrm>
                  <a:off x="1009821" y="3562350"/>
                  <a:ext cx="161925" cy="238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</xdr:grpSp>
      <xdr:cxnSp macro="">
        <xdr:nvCxnSpPr>
          <xdr:cNvPr id="98" name="Conector reto 97">
            <a:extLst>
              <a:ext uri="{FF2B5EF4-FFF2-40B4-BE49-F238E27FC236}">
                <a16:creationId xmlns:a16="http://schemas.microsoft.com/office/drawing/2014/main" id="{CDC73CDD-562E-47C5-9660-0FD6730E1126}"/>
              </a:ext>
            </a:extLst>
          </xdr:cNvPr>
          <xdr:cNvCxnSpPr/>
        </xdr:nvCxnSpPr>
        <xdr:spPr>
          <a:xfrm>
            <a:off x="1752600" y="3333752"/>
            <a:ext cx="469948" cy="333373"/>
          </a:xfrm>
          <a:prstGeom prst="line">
            <a:avLst/>
          </a:prstGeom>
          <a:ln w="12700" cap="rnd" cmpd="sng" algn="ctr">
            <a:solidFill>
              <a:srgbClr val="006B66"/>
            </a:solidFill>
            <a:prstDash val="dash"/>
            <a:round/>
            <a:headEnd type="none" w="med" len="med"/>
            <a:tailEnd type="oval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12</xdr:col>
      <xdr:colOff>33337</xdr:colOff>
      <xdr:row>6</xdr:row>
      <xdr:rowOff>142875</xdr:rowOff>
    </xdr:from>
    <xdr:to>
      <xdr:col>12</xdr:col>
      <xdr:colOff>393337</xdr:colOff>
      <xdr:row>8</xdr:row>
      <xdr:rowOff>83775</xdr:rowOff>
    </xdr:to>
    <xdr:pic>
      <xdr:nvPicPr>
        <xdr:cNvPr id="111" name="Imagem 110">
          <a:extLst>
            <a:ext uri="{FF2B5EF4-FFF2-40B4-BE49-F238E27FC236}">
              <a16:creationId xmlns:a16="http://schemas.microsoft.com/office/drawing/2014/main" id="{F47CDAC0-2DDD-4805-8A1E-A0CA4778F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2787" y="141922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15</xdr:row>
      <xdr:rowOff>90487</xdr:rowOff>
    </xdr:from>
    <xdr:to>
      <xdr:col>15</xdr:col>
      <xdr:colOff>178050</xdr:colOff>
      <xdr:row>18</xdr:row>
      <xdr:rowOff>1837</xdr:rowOff>
    </xdr:to>
    <xdr:pic>
      <xdr:nvPicPr>
        <xdr:cNvPr id="112" name="Imagem 111" descr="eu.png">
          <a:extLst>
            <a:ext uri="{FF2B5EF4-FFF2-40B4-BE49-F238E27FC236}">
              <a16:creationId xmlns:a16="http://schemas.microsoft.com/office/drawing/2014/main" id="{5BBCC593-0924-4E4F-9B38-3EA651BF1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252787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685800</xdr:colOff>
      <xdr:row>15</xdr:row>
      <xdr:rowOff>90487</xdr:rowOff>
    </xdr:from>
    <xdr:to>
      <xdr:col>14</xdr:col>
      <xdr:colOff>511425</xdr:colOff>
      <xdr:row>18</xdr:row>
      <xdr:rowOff>1837</xdr:rowOff>
    </xdr:to>
    <xdr:pic>
      <xdr:nvPicPr>
        <xdr:cNvPr id="113" name="Imagem 112">
          <a:extLst>
            <a:ext uri="{FF2B5EF4-FFF2-40B4-BE49-F238E27FC236}">
              <a16:creationId xmlns:a16="http://schemas.microsoft.com/office/drawing/2014/main" id="{5F67B1A1-5605-4B43-9088-907CA355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3252787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61350</xdr:rowOff>
    </xdr:from>
    <xdr:to>
      <xdr:col>17</xdr:col>
      <xdr:colOff>714900</xdr:colOff>
      <xdr:row>34</xdr:row>
      <xdr:rowOff>133350</xdr:rowOff>
    </xdr:to>
    <xdr:sp macro="" textlink="">
      <xdr:nvSpPr>
        <xdr:cNvPr id="58" name="Retângulo 57">
          <a:extLst>
            <a:ext uri="{FF2B5EF4-FFF2-40B4-BE49-F238E27FC236}">
              <a16:creationId xmlns:a16="http://schemas.microsoft.com/office/drawing/2014/main" id="{A4B63A17-6223-4E8E-BD5C-A225DF125F56}"/>
            </a:ext>
          </a:extLst>
        </xdr:cNvPr>
        <xdr:cNvSpPr/>
      </xdr:nvSpPr>
      <xdr:spPr>
        <a:xfrm>
          <a:off x="0" y="7376550"/>
          <a:ext cx="11649600" cy="7200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29</xdr:row>
          <xdr:rowOff>9525</xdr:rowOff>
        </xdr:from>
        <xdr:to>
          <xdr:col>10</xdr:col>
          <xdr:colOff>180975</xdr:colOff>
          <xdr:row>30</xdr:row>
          <xdr:rowOff>9525</xdr:rowOff>
        </xdr:to>
        <xdr:pic>
          <xdr:nvPicPr>
            <xdr:cNvPr id="73" name="Imagem 72">
              <a:extLst>
                <a:ext uri="{FF2B5EF4-FFF2-40B4-BE49-F238E27FC236}">
                  <a16:creationId xmlns:a16="http://schemas.microsoft.com/office/drawing/2014/main" id="{95B60207-0001-4447-A0C9-73F0E3C41C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Geral'!$K$7" spid="_x0000_s63541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6286500" y="6276975"/>
              <a:ext cx="152400" cy="209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238125</xdr:colOff>
          <xdr:row>15</xdr:row>
          <xdr:rowOff>9525</xdr:rowOff>
        </xdr:from>
        <xdr:to>
          <xdr:col>16</xdr:col>
          <xdr:colOff>409575</xdr:colOff>
          <xdr:row>18</xdr:row>
          <xdr:rowOff>66675</xdr:rowOff>
        </xdr:to>
        <xdr:pic>
          <xdr:nvPicPr>
            <xdr:cNvPr id="63" name="Imagem 62">
              <a:extLst>
                <a:ext uri="{FF2B5EF4-FFF2-40B4-BE49-F238E27FC236}">
                  <a16:creationId xmlns:a16="http://schemas.microsoft.com/office/drawing/2014/main" id="{83988A5A-E9B3-434B-8A01-54ABE7FA9DE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Índices'!$AV$5:$AV$7" spid="_x0000_s63542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9744075" y="3152775"/>
              <a:ext cx="88582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16</xdr:col>
      <xdr:colOff>92868</xdr:colOff>
      <xdr:row>6</xdr:row>
      <xdr:rowOff>142875</xdr:rowOff>
    </xdr:from>
    <xdr:to>
      <xdr:col>16</xdr:col>
      <xdr:colOff>452868</xdr:colOff>
      <xdr:row>8</xdr:row>
      <xdr:rowOff>83775</xdr:rowOff>
    </xdr:to>
    <xdr:pic>
      <xdr:nvPicPr>
        <xdr:cNvPr id="71" name="Imagem 70" descr="gb.png">
          <a:extLst>
            <a:ext uri="{FF2B5EF4-FFF2-40B4-BE49-F238E27FC236}">
              <a16:creationId xmlns:a16="http://schemas.microsoft.com/office/drawing/2014/main" id="{51DA7DD3-70E5-4FDA-893E-D7DDAEC1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818" y="141922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83343</xdr:colOff>
      <xdr:row>10</xdr:row>
      <xdr:rowOff>161925</xdr:rowOff>
    </xdr:from>
    <xdr:to>
      <xdr:col>14</xdr:col>
      <xdr:colOff>443343</xdr:colOff>
      <xdr:row>12</xdr:row>
      <xdr:rowOff>102825</xdr:rowOff>
    </xdr:to>
    <xdr:pic>
      <xdr:nvPicPr>
        <xdr:cNvPr id="74" name="Imagem 73" descr="flag_japan.png">
          <a:extLst>
            <a:ext uri="{FF2B5EF4-FFF2-40B4-BE49-F238E27FC236}">
              <a16:creationId xmlns:a16="http://schemas.microsoft.com/office/drawing/2014/main" id="{B7651D7E-00FB-47F1-8C4D-E9F6B9E9E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543" y="227647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33337</xdr:colOff>
      <xdr:row>10</xdr:row>
      <xdr:rowOff>161925</xdr:rowOff>
    </xdr:from>
    <xdr:to>
      <xdr:col>12</xdr:col>
      <xdr:colOff>393337</xdr:colOff>
      <xdr:row>12</xdr:row>
      <xdr:rowOff>102825</xdr:rowOff>
    </xdr:to>
    <xdr:pic>
      <xdr:nvPicPr>
        <xdr:cNvPr id="78" name="Imagem 77" descr="ch.png">
          <a:extLst>
            <a:ext uri="{FF2B5EF4-FFF2-40B4-BE49-F238E27FC236}">
              <a16:creationId xmlns:a16="http://schemas.microsoft.com/office/drawing/2014/main" id="{60704BE2-2E53-481E-A7CE-CD5C9542C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787" y="227647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92868</xdr:colOff>
      <xdr:row>10</xdr:row>
      <xdr:rowOff>161925</xdr:rowOff>
    </xdr:from>
    <xdr:to>
      <xdr:col>16</xdr:col>
      <xdr:colOff>452868</xdr:colOff>
      <xdr:row>12</xdr:row>
      <xdr:rowOff>102825</xdr:rowOff>
    </xdr:to>
    <xdr:pic>
      <xdr:nvPicPr>
        <xdr:cNvPr id="79" name="Imagem 78" descr="cn.png">
          <a:extLst>
            <a:ext uri="{FF2B5EF4-FFF2-40B4-BE49-F238E27FC236}">
              <a16:creationId xmlns:a16="http://schemas.microsoft.com/office/drawing/2014/main" id="{58F65B68-91AE-4150-8BB8-7616A8708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818" y="227647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152398</xdr:colOff>
      <xdr:row>18</xdr:row>
      <xdr:rowOff>38101</xdr:rowOff>
    </xdr:from>
    <xdr:to>
      <xdr:col>16</xdr:col>
      <xdr:colOff>638175</xdr:colOff>
      <xdr:row>19</xdr:row>
      <xdr:rowOff>9525</xdr:rowOff>
    </xdr:to>
    <xdr:sp macro="" textlink="">
      <xdr:nvSpPr>
        <xdr:cNvPr id="94" name="Retângulo: Cantos Arredondados 93">
          <a:extLst>
            <a:ext uri="{FF2B5EF4-FFF2-40B4-BE49-F238E27FC236}">
              <a16:creationId xmlns:a16="http://schemas.microsoft.com/office/drawing/2014/main" id="{8843F8F5-8939-47D0-A6EB-790E269970E6}"/>
            </a:ext>
          </a:extLst>
        </xdr:cNvPr>
        <xdr:cNvSpPr/>
      </xdr:nvSpPr>
      <xdr:spPr>
        <a:xfrm>
          <a:off x="7267573" y="3810001"/>
          <a:ext cx="3590927" cy="180974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</a:rPr>
            <a:t>* Dólar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 vs las monedas: Euro, </a:t>
          </a:r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</a:rPr>
            <a:t>Libra,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Franco, Yen y Iuan.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504825</xdr:colOff>
          <xdr:row>6</xdr:row>
          <xdr:rowOff>152400</xdr:rowOff>
        </xdr:from>
        <xdr:to>
          <xdr:col>18</xdr:col>
          <xdr:colOff>0</xdr:colOff>
          <xdr:row>10</xdr:row>
          <xdr:rowOff>0</xdr:rowOff>
        </xdr:to>
        <xdr:pic>
          <xdr:nvPicPr>
            <xdr:cNvPr id="100" name="Imagem 99">
              <a:extLst>
                <a:ext uri="{FF2B5EF4-FFF2-40B4-BE49-F238E27FC236}">
                  <a16:creationId xmlns:a16="http://schemas.microsoft.com/office/drawing/2014/main" id="{D9B6E4ED-E030-4DCB-9F34-AA10906010A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Índices'!$AZ$5:$AZ$7" spid="_x0000_s63543"/>
                </a:ext>
              </a:extLst>
            </xdr:cNvPicPr>
          </xdr:nvPicPr>
          <xdr:blipFill>
            <a:blip xmlns:r="http://schemas.openxmlformats.org/officeDocument/2006/relationships" r:embed="rId25"/>
            <a:srcRect/>
            <a:stretch>
              <a:fillRect/>
            </a:stretch>
          </xdr:blipFill>
          <xdr:spPr bwMode="auto">
            <a:xfrm>
              <a:off x="10391775" y="1428750"/>
              <a:ext cx="92392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571500</xdr:colOff>
          <xdr:row>6</xdr:row>
          <xdr:rowOff>161925</xdr:rowOff>
        </xdr:from>
        <xdr:to>
          <xdr:col>13</xdr:col>
          <xdr:colOff>523875</xdr:colOff>
          <xdr:row>10</xdr:row>
          <xdr:rowOff>0</xdr:rowOff>
        </xdr:to>
        <xdr:pic>
          <xdr:nvPicPr>
            <xdr:cNvPr id="114" name="Imagem 113">
              <a:extLst>
                <a:ext uri="{FF2B5EF4-FFF2-40B4-BE49-F238E27FC236}">
                  <a16:creationId xmlns:a16="http://schemas.microsoft.com/office/drawing/2014/main" id="{15A5E127-94B3-4911-8884-865D04143D8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Índices'!$AN$5:$AN$7" spid="_x0000_s63544"/>
                </a:ext>
              </a:extLst>
            </xdr:cNvPicPr>
          </xdr:nvPicPr>
          <xdr:blipFill>
            <a:blip xmlns:r="http://schemas.openxmlformats.org/officeDocument/2006/relationships" r:embed="rId26"/>
            <a:srcRect/>
            <a:stretch>
              <a:fillRect/>
            </a:stretch>
          </xdr:blipFill>
          <xdr:spPr bwMode="auto">
            <a:xfrm>
              <a:off x="7600950" y="1438275"/>
              <a:ext cx="666750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581025</xdr:colOff>
          <xdr:row>6</xdr:row>
          <xdr:rowOff>161925</xdr:rowOff>
        </xdr:from>
        <xdr:to>
          <xdr:col>15</xdr:col>
          <xdr:colOff>533400</xdr:colOff>
          <xdr:row>10</xdr:row>
          <xdr:rowOff>0</xdr:rowOff>
        </xdr:to>
        <xdr:pic>
          <xdr:nvPicPr>
            <xdr:cNvPr id="115" name="Imagem 114">
              <a:extLst>
                <a:ext uri="{FF2B5EF4-FFF2-40B4-BE49-F238E27FC236}">
                  <a16:creationId xmlns:a16="http://schemas.microsoft.com/office/drawing/2014/main" id="{815BE76D-D642-4881-B986-4018E2425DB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Índices'!$AR$5:$AR$7" spid="_x0000_s63545"/>
                </a:ext>
              </a:extLst>
            </xdr:cNvPicPr>
          </xdr:nvPicPr>
          <xdr:blipFill>
            <a:blip xmlns:r="http://schemas.openxmlformats.org/officeDocument/2006/relationships" r:embed="rId27"/>
            <a:srcRect/>
            <a:stretch>
              <a:fillRect/>
            </a:stretch>
          </xdr:blipFill>
          <xdr:spPr bwMode="auto">
            <a:xfrm>
              <a:off x="9039225" y="1438275"/>
              <a:ext cx="666750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447675</xdr:colOff>
          <xdr:row>10</xdr:row>
          <xdr:rowOff>152400</xdr:rowOff>
        </xdr:from>
        <xdr:to>
          <xdr:col>14</xdr:col>
          <xdr:colOff>0</xdr:colOff>
          <xdr:row>14</xdr:row>
          <xdr:rowOff>0</xdr:rowOff>
        </xdr:to>
        <xdr:pic>
          <xdr:nvPicPr>
            <xdr:cNvPr id="106" name="Imagem 105">
              <a:extLst>
                <a:ext uri="{FF2B5EF4-FFF2-40B4-BE49-F238E27FC236}">
                  <a16:creationId xmlns:a16="http://schemas.microsoft.com/office/drawing/2014/main" id="{B8FF3C62-126C-4946-9B00-C3B04732AF9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Índices'!$BD$5:$BD$7" spid="_x0000_s63546"/>
                </a:ext>
              </a:extLst>
            </xdr:cNvPicPr>
          </xdr:nvPicPr>
          <xdr:blipFill>
            <a:blip xmlns:r="http://schemas.openxmlformats.org/officeDocument/2006/relationships" r:embed="rId28"/>
            <a:srcRect/>
            <a:stretch>
              <a:fillRect/>
            </a:stretch>
          </xdr:blipFill>
          <xdr:spPr bwMode="auto">
            <a:xfrm>
              <a:off x="7477125" y="2266950"/>
              <a:ext cx="98107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10</xdr:row>
          <xdr:rowOff>152400</xdr:rowOff>
        </xdr:from>
        <xdr:to>
          <xdr:col>16</xdr:col>
          <xdr:colOff>0</xdr:colOff>
          <xdr:row>14</xdr:row>
          <xdr:rowOff>0</xdr:rowOff>
        </xdr:to>
        <xdr:pic>
          <xdr:nvPicPr>
            <xdr:cNvPr id="107" name="Imagem 106">
              <a:extLst>
                <a:ext uri="{FF2B5EF4-FFF2-40B4-BE49-F238E27FC236}">
                  <a16:creationId xmlns:a16="http://schemas.microsoft.com/office/drawing/2014/main" id="{4A9CDF0E-D740-40A1-831C-E108F023E56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Índices'!$BH$5:$BH$7" spid="_x0000_s63547"/>
                </a:ext>
              </a:extLst>
            </xdr:cNvPicPr>
          </xdr:nvPicPr>
          <xdr:blipFill>
            <a:blip xmlns:r="http://schemas.openxmlformats.org/officeDocument/2006/relationships" r:embed="rId29"/>
            <a:srcRect/>
            <a:stretch>
              <a:fillRect/>
            </a:stretch>
          </xdr:blipFill>
          <xdr:spPr bwMode="auto">
            <a:xfrm>
              <a:off x="9039225" y="2266950"/>
              <a:ext cx="84772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152400</xdr:rowOff>
        </xdr:from>
        <xdr:to>
          <xdr:col>17</xdr:col>
          <xdr:colOff>676275</xdr:colOff>
          <xdr:row>14</xdr:row>
          <xdr:rowOff>0</xdr:rowOff>
        </xdr:to>
        <xdr:pic>
          <xdr:nvPicPr>
            <xdr:cNvPr id="108" name="Imagem 107">
              <a:extLst>
                <a:ext uri="{FF2B5EF4-FFF2-40B4-BE49-F238E27FC236}">
                  <a16:creationId xmlns:a16="http://schemas.microsoft.com/office/drawing/2014/main" id="{0BE7B311-DE27-49B7-B9DA-0CA1EC993F5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Índices'!$BL$5:$BL$7" spid="_x0000_s63548"/>
                </a:ext>
              </a:extLst>
            </xdr:cNvPicPr>
          </xdr:nvPicPr>
          <xdr:blipFill>
            <a:blip xmlns:r="http://schemas.openxmlformats.org/officeDocument/2006/relationships" r:embed="rId30"/>
            <a:srcRect/>
            <a:stretch>
              <a:fillRect/>
            </a:stretch>
          </xdr:blipFill>
          <xdr:spPr bwMode="auto">
            <a:xfrm>
              <a:off x="10601325" y="2266950"/>
              <a:ext cx="67627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57150</xdr:rowOff>
        </xdr:from>
        <xdr:to>
          <xdr:col>3</xdr:col>
          <xdr:colOff>38100</xdr:colOff>
          <xdr:row>15</xdr:row>
          <xdr:rowOff>114300</xdr:rowOff>
        </xdr:to>
        <xdr:pic>
          <xdr:nvPicPr>
            <xdr:cNvPr id="116" name="Imagem 115">
              <a:extLst>
                <a:ext uri="{FF2B5EF4-FFF2-40B4-BE49-F238E27FC236}">
                  <a16:creationId xmlns:a16="http://schemas.microsoft.com/office/drawing/2014/main" id="{9224F07C-8251-462A-9339-25A0BD4F7B0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Índices'!$AJ$5:$AJ$7" spid="_x0000_s63549"/>
                </a:ext>
              </a:extLst>
            </xdr:cNvPicPr>
          </xdr:nvPicPr>
          <xdr:blipFill>
            <a:blip xmlns:r="http://schemas.openxmlformats.org/officeDocument/2006/relationships" r:embed="rId31"/>
            <a:srcRect/>
            <a:stretch>
              <a:fillRect/>
            </a:stretch>
          </xdr:blipFill>
          <xdr:spPr bwMode="auto">
            <a:xfrm>
              <a:off x="838200" y="2571750"/>
              <a:ext cx="67627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28575</xdr:colOff>
          <xdr:row>30</xdr:row>
          <xdr:rowOff>9525</xdr:rowOff>
        </xdr:from>
        <xdr:ext cx="152400" cy="209550"/>
        <xdr:pic>
          <xdr:nvPicPr>
            <xdr:cNvPr id="84" name="Imagem 83">
              <a:extLst>
                <a:ext uri="{FF2B5EF4-FFF2-40B4-BE49-F238E27FC236}">
                  <a16:creationId xmlns:a16="http://schemas.microsoft.com/office/drawing/2014/main" id="{61377D7D-058E-4B12-B553-DD2F5B49588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Geral'!$K$8" spid="_x0000_s63550"/>
                </a:ext>
              </a:extLst>
            </xdr:cNvPicPr>
          </xdr:nvPicPr>
          <xdr:blipFill>
            <a:blip xmlns:r="http://schemas.openxmlformats.org/officeDocument/2006/relationships" r:embed="rId32"/>
            <a:srcRect/>
            <a:stretch>
              <a:fillRect/>
            </a:stretch>
          </xdr:blipFill>
          <xdr:spPr bwMode="auto">
            <a:xfrm>
              <a:off x="6286500" y="6276975"/>
              <a:ext cx="152400" cy="209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3</xdr:col>
      <xdr:colOff>180975</xdr:colOff>
      <xdr:row>18</xdr:row>
      <xdr:rowOff>9525</xdr:rowOff>
    </xdr:from>
    <xdr:to>
      <xdr:col>4</xdr:col>
      <xdr:colOff>611734</xdr:colOff>
      <xdr:row>18</xdr:row>
      <xdr:rowOff>9525</xdr:rowOff>
    </xdr:to>
    <xdr:cxnSp macro="">
      <xdr:nvCxnSpPr>
        <xdr:cNvPr id="75" name="Conector reto 74">
          <a:extLst>
            <a:ext uri="{FF2B5EF4-FFF2-40B4-BE49-F238E27FC236}">
              <a16:creationId xmlns:a16="http://schemas.microsoft.com/office/drawing/2014/main" id="{21EEEC01-1397-4C32-A3B5-C2BF375DCDA6}"/>
            </a:ext>
          </a:extLst>
        </xdr:cNvPr>
        <xdr:cNvCxnSpPr/>
      </xdr:nvCxnSpPr>
      <xdr:spPr>
        <a:xfrm>
          <a:off x="1657350" y="3781425"/>
          <a:ext cx="1278484" cy="0"/>
        </a:xfrm>
        <a:prstGeom prst="line">
          <a:avLst/>
        </a:prstGeom>
        <a:ln w="12700" cap="rnd" cmpd="sng" algn="ctr">
          <a:solidFill>
            <a:srgbClr val="006B66"/>
          </a:solidFill>
          <a:prstDash val="dash"/>
          <a:round/>
          <a:headEnd type="none" w="med" len="med"/>
          <a:tailEnd type="oval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19</xdr:row>
      <xdr:rowOff>123826</xdr:rowOff>
    </xdr:from>
    <xdr:to>
      <xdr:col>4</xdr:col>
      <xdr:colOff>592684</xdr:colOff>
      <xdr:row>20</xdr:row>
      <xdr:rowOff>104775</xdr:rowOff>
    </xdr:to>
    <xdr:cxnSp macro="">
      <xdr:nvCxnSpPr>
        <xdr:cNvPr id="80" name="Conector reto 79">
          <a:extLst>
            <a:ext uri="{FF2B5EF4-FFF2-40B4-BE49-F238E27FC236}">
              <a16:creationId xmlns:a16="http://schemas.microsoft.com/office/drawing/2014/main" id="{B936E008-8A8C-4D3C-BC82-F3CF05B74E7B}"/>
            </a:ext>
          </a:extLst>
        </xdr:cNvPr>
        <xdr:cNvCxnSpPr/>
      </xdr:nvCxnSpPr>
      <xdr:spPr>
        <a:xfrm flipV="1">
          <a:off x="1657350" y="4105276"/>
          <a:ext cx="1259434" cy="285749"/>
        </a:xfrm>
        <a:prstGeom prst="line">
          <a:avLst/>
        </a:prstGeom>
        <a:ln w="12700" cap="rnd" cmpd="sng" algn="ctr">
          <a:solidFill>
            <a:srgbClr val="006B66"/>
          </a:solidFill>
          <a:prstDash val="dash"/>
          <a:round/>
          <a:headEnd type="none" w="med" len="med"/>
          <a:tailEnd type="oval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48080</xdr:colOff>
      <xdr:row>15</xdr:row>
      <xdr:rowOff>209548</xdr:rowOff>
    </xdr:from>
    <xdr:to>
      <xdr:col>3</xdr:col>
      <xdr:colOff>157240</xdr:colOff>
      <xdr:row>19</xdr:row>
      <xdr:rowOff>85725</xdr:rowOff>
    </xdr:to>
    <xdr:sp macro="" textlink="">
      <xdr:nvSpPr>
        <xdr:cNvPr id="93" name="Retângulo: Cantos Arredondados 92">
          <a:extLst>
            <a:ext uri="{FF2B5EF4-FFF2-40B4-BE49-F238E27FC236}">
              <a16:creationId xmlns:a16="http://schemas.microsoft.com/office/drawing/2014/main" id="{C1FD7AE3-53D3-451C-ABCE-17F9D461890B}"/>
            </a:ext>
          </a:extLst>
        </xdr:cNvPr>
        <xdr:cNvSpPr/>
      </xdr:nvSpPr>
      <xdr:spPr>
        <a:xfrm>
          <a:off x="162380" y="3352798"/>
          <a:ext cx="1471235" cy="714377"/>
        </a:xfrm>
        <a:prstGeom prst="roundRect">
          <a:avLst/>
        </a:prstGeom>
        <a:noFill/>
        <a:ln w="19050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38555</xdr:colOff>
      <xdr:row>19</xdr:row>
      <xdr:rowOff>171448</xdr:rowOff>
    </xdr:from>
    <xdr:to>
      <xdr:col>3</xdr:col>
      <xdr:colOff>147715</xdr:colOff>
      <xdr:row>22</xdr:row>
      <xdr:rowOff>161925</xdr:rowOff>
    </xdr:to>
    <xdr:sp macro="" textlink="">
      <xdr:nvSpPr>
        <xdr:cNvPr id="101" name="Retângulo: Cantos Arredondados 100">
          <a:extLst>
            <a:ext uri="{FF2B5EF4-FFF2-40B4-BE49-F238E27FC236}">
              <a16:creationId xmlns:a16="http://schemas.microsoft.com/office/drawing/2014/main" id="{878BFE4D-D7B0-440C-91B4-4FB93980EA40}"/>
            </a:ext>
          </a:extLst>
        </xdr:cNvPr>
        <xdr:cNvSpPr/>
      </xdr:nvSpPr>
      <xdr:spPr>
        <a:xfrm>
          <a:off x="152855" y="4152898"/>
          <a:ext cx="1471235" cy="714377"/>
        </a:xfrm>
        <a:prstGeom prst="roundRect">
          <a:avLst/>
        </a:prstGeom>
        <a:noFill/>
        <a:ln w="19050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142875</xdr:colOff>
      <xdr:row>16</xdr:row>
      <xdr:rowOff>171450</xdr:rowOff>
    </xdr:from>
    <xdr:to>
      <xdr:col>1</xdr:col>
      <xdr:colOff>502875</xdr:colOff>
      <xdr:row>18</xdr:row>
      <xdr:rowOff>112350</xdr:rowOff>
    </xdr:to>
    <xdr:pic>
      <xdr:nvPicPr>
        <xdr:cNvPr id="105" name="Imagem 104" descr="co.png">
          <a:extLst>
            <a:ext uri="{FF2B5EF4-FFF2-40B4-BE49-F238E27FC236}">
              <a16:creationId xmlns:a16="http://schemas.microsoft.com/office/drawing/2014/main" id="{F26D00FE-2A95-4160-B8DF-CBAA41BDF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24250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20</xdr:row>
      <xdr:rowOff>47625</xdr:rowOff>
    </xdr:from>
    <xdr:to>
      <xdr:col>1</xdr:col>
      <xdr:colOff>493350</xdr:colOff>
      <xdr:row>21</xdr:row>
      <xdr:rowOff>198075</xdr:rowOff>
    </xdr:to>
    <xdr:pic>
      <xdr:nvPicPr>
        <xdr:cNvPr id="109" name="Imagem 108" descr="Resultado de imagem para bandeira redonda png peru">
          <a:extLst>
            <a:ext uri="{FF2B5EF4-FFF2-40B4-BE49-F238E27FC236}">
              <a16:creationId xmlns:a16="http://schemas.microsoft.com/office/drawing/2014/main" id="{55DD0DA6-B160-4689-9E9A-635D9E3E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33387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66675</xdr:colOff>
          <xdr:row>16</xdr:row>
          <xdr:rowOff>19050</xdr:rowOff>
        </xdr:from>
        <xdr:to>
          <xdr:col>3</xdr:col>
          <xdr:colOff>28575</xdr:colOff>
          <xdr:row>19</xdr:row>
          <xdr:rowOff>76200</xdr:rowOff>
        </xdr:to>
        <xdr:grpSp>
          <xdr:nvGrpSpPr>
            <xdr:cNvPr id="29" name="Agrupar 28">
              <a:extLst>
                <a:ext uri="{FF2B5EF4-FFF2-40B4-BE49-F238E27FC236}">
                  <a16:creationId xmlns:a16="http://schemas.microsoft.com/office/drawing/2014/main" id="{298BC815-D567-4F3E-AAFF-25F296A10D36}"/>
                </a:ext>
              </a:extLst>
            </xdr:cNvPr>
            <xdr:cNvGrpSpPr/>
          </xdr:nvGrpSpPr>
          <xdr:grpSpPr>
            <a:xfrm>
              <a:off x="847725" y="3371850"/>
              <a:ext cx="695325" cy="685800"/>
              <a:chOff x="828675" y="3371850"/>
              <a:chExt cx="676275" cy="685800"/>
            </a:xfrm>
          </xdr:grpSpPr>
          <xdr:pic>
            <xdr:nvPicPr>
              <xdr:cNvPr id="118" name="Imagem 117">
                <a:extLst>
                  <a:ext uri="{FF2B5EF4-FFF2-40B4-BE49-F238E27FC236}">
                    <a16:creationId xmlns:a16="http://schemas.microsoft.com/office/drawing/2014/main" id="{35AAA528-D7B7-48C3-971B-0CEC80D5FE44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'Base Índices'!$AF$5:$AF$7" spid="_x0000_s63551"/>
                  </a:ext>
                </a:extLst>
              </xdr:cNvPicPr>
            </xdr:nvPicPr>
            <xdr:blipFill>
              <a:blip xmlns:r="http://schemas.openxmlformats.org/officeDocument/2006/relationships" r:embed="rId35"/>
              <a:srcRect/>
              <a:stretch>
                <a:fillRect/>
              </a:stretch>
            </xdr:blipFill>
            <xdr:spPr bwMode="auto">
              <a:xfrm>
                <a:off x="828675" y="3371850"/>
                <a:ext cx="676275" cy="68580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20" name="Imagem 119">
                <a:extLst>
                  <a:ext uri="{FF2B5EF4-FFF2-40B4-BE49-F238E27FC236}">
                    <a16:creationId xmlns:a16="http://schemas.microsoft.com/office/drawing/2014/main" id="{1B947023-C2D0-4432-BFB2-5C995DCF822A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'Base Índices'!$AE$7" spid="_x0000_s63552"/>
                  </a:ext>
                </a:extLst>
              </xdr:cNvPicPr>
            </xdr:nvPicPr>
            <xdr:blipFill>
              <a:blip xmlns:r="http://schemas.openxmlformats.org/officeDocument/2006/relationships" r:embed="rId7"/>
              <a:srcRect/>
              <a:stretch>
                <a:fillRect/>
              </a:stretch>
            </xdr:blipFill>
            <xdr:spPr bwMode="auto">
              <a:xfrm>
                <a:off x="942975" y="3810000"/>
                <a:ext cx="161925" cy="2381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628650</xdr:colOff>
          <xdr:row>19</xdr:row>
          <xdr:rowOff>200025</xdr:rowOff>
        </xdr:from>
        <xdr:to>
          <xdr:col>3</xdr:col>
          <xdr:colOff>19050</xdr:colOff>
          <xdr:row>22</xdr:row>
          <xdr:rowOff>153352</xdr:rowOff>
        </xdr:to>
        <xdr:grpSp>
          <xdr:nvGrpSpPr>
            <xdr:cNvPr id="30" name="Agrupar 29">
              <a:extLst>
                <a:ext uri="{FF2B5EF4-FFF2-40B4-BE49-F238E27FC236}">
                  <a16:creationId xmlns:a16="http://schemas.microsoft.com/office/drawing/2014/main" id="{C90DE489-80BD-4E70-889B-82DA95E4F9C1}"/>
                </a:ext>
              </a:extLst>
            </xdr:cNvPr>
            <xdr:cNvGrpSpPr/>
          </xdr:nvGrpSpPr>
          <xdr:grpSpPr>
            <a:xfrm>
              <a:off x="742950" y="4181475"/>
              <a:ext cx="790575" cy="677227"/>
              <a:chOff x="742950" y="4181475"/>
              <a:chExt cx="752475" cy="677227"/>
            </a:xfrm>
          </xdr:grpSpPr>
          <xdr:pic>
            <xdr:nvPicPr>
              <xdr:cNvPr id="117" name="Imagem 116">
                <a:extLst>
                  <a:ext uri="{FF2B5EF4-FFF2-40B4-BE49-F238E27FC236}">
                    <a16:creationId xmlns:a16="http://schemas.microsoft.com/office/drawing/2014/main" id="{4AAD5557-14D6-4B66-B043-6FC1497B70A2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'Base Índices'!$AB$5:$AB$7" spid="_x0000_s63553"/>
                  </a:ext>
                </a:extLst>
              </xdr:cNvPicPr>
            </xdr:nvPicPr>
            <xdr:blipFill>
              <a:blip xmlns:r="http://schemas.openxmlformats.org/officeDocument/2006/relationships" r:embed="rId36"/>
              <a:srcRect/>
              <a:stretch>
                <a:fillRect/>
              </a:stretch>
            </xdr:blipFill>
            <xdr:spPr bwMode="auto">
              <a:xfrm>
                <a:off x="742950" y="4181475"/>
                <a:ext cx="752475" cy="677227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22" name="Imagem 121">
                <a:extLst>
                  <a:ext uri="{FF2B5EF4-FFF2-40B4-BE49-F238E27FC236}">
                    <a16:creationId xmlns:a16="http://schemas.microsoft.com/office/drawing/2014/main" id="{EC28B3CA-51DA-4EB6-AAED-86EE46FC75C1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'Base Índices'!$AA$7" spid="_x0000_s63554"/>
                  </a:ext>
                </a:extLst>
              </xdr:cNvPicPr>
            </xdr:nvPicPr>
            <xdr:blipFill>
              <a:blip xmlns:r="http://schemas.openxmlformats.org/officeDocument/2006/relationships" r:embed="rId7"/>
              <a:srcRect/>
              <a:stretch>
                <a:fillRect/>
              </a:stretch>
            </xdr:blipFill>
            <xdr:spPr bwMode="auto">
              <a:xfrm>
                <a:off x="933450" y="4619625"/>
                <a:ext cx="161925" cy="2381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clientData/>
      </xdr:twoCellAnchor>
    </mc:Choice>
    <mc:Fallback/>
  </mc:AlternateContent>
  <xdr:twoCellAnchor>
    <xdr:from>
      <xdr:col>20</xdr:col>
      <xdr:colOff>19050</xdr:colOff>
      <xdr:row>0</xdr:row>
      <xdr:rowOff>466726</xdr:rowOff>
    </xdr:from>
    <xdr:to>
      <xdr:col>23</xdr:col>
      <xdr:colOff>333376</xdr:colOff>
      <xdr:row>6</xdr:row>
      <xdr:rowOff>76200</xdr:rowOff>
    </xdr:to>
    <xdr:sp macro="" textlink="">
      <xdr:nvSpPr>
        <xdr:cNvPr id="25" name="Retângulo: Cantos Arredondados 24">
          <a:extLst>
            <a:ext uri="{FF2B5EF4-FFF2-40B4-BE49-F238E27FC236}">
              <a16:creationId xmlns:a16="http://schemas.microsoft.com/office/drawing/2014/main" id="{AA7F131E-F9D1-461E-BC5C-8561A7953D5E}"/>
            </a:ext>
          </a:extLst>
        </xdr:cNvPr>
        <xdr:cNvSpPr/>
      </xdr:nvSpPr>
      <xdr:spPr>
        <a:xfrm>
          <a:off x="12334875" y="466726"/>
          <a:ext cx="2143126" cy="866774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just"/>
          <a:r>
            <a:rPr lang="pt-BR" sz="1000">
              <a:solidFill>
                <a:srgbClr val="FF0000"/>
              </a:solidFill>
            </a:rPr>
            <a:t>← </a:t>
          </a:r>
          <a:r>
            <a:rPr lang="es-ES" sz="1000">
              <a:solidFill>
                <a:srgbClr val="FF0000"/>
              </a:solidFill>
            </a:rPr>
            <a:t>Ingrese la fecha (se puede incluir una fecha de preferencia en la celda T3 o puede permanecer con la fecha automática de la celda R3.</a:t>
          </a:r>
          <a:endParaRPr lang="pt-BR" sz="10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28575</xdr:colOff>
          <xdr:row>30</xdr:row>
          <xdr:rowOff>9525</xdr:rowOff>
        </xdr:from>
        <xdr:ext cx="152400" cy="209550"/>
        <xdr:pic>
          <xdr:nvPicPr>
            <xdr:cNvPr id="85" name="Imagem 72">
              <a:extLst>
                <a:ext uri="{FF2B5EF4-FFF2-40B4-BE49-F238E27FC236}">
                  <a16:creationId xmlns:a16="http://schemas.microsoft.com/office/drawing/2014/main" id="{6F03A746-9588-4AA8-AB42-C9137CDEB8D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Geral'!$K$7" spid="_x0000_s63555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6515100" y="6276975"/>
              <a:ext cx="152400" cy="209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28575</xdr:colOff>
          <xdr:row>31</xdr:row>
          <xdr:rowOff>9525</xdr:rowOff>
        </xdr:from>
        <xdr:ext cx="152400" cy="209550"/>
        <xdr:pic>
          <xdr:nvPicPr>
            <xdr:cNvPr id="87" name="Imagem 83">
              <a:extLst>
                <a:ext uri="{FF2B5EF4-FFF2-40B4-BE49-F238E27FC236}">
                  <a16:creationId xmlns:a16="http://schemas.microsoft.com/office/drawing/2014/main" id="{7086C2BF-D2E6-4D45-B499-525BF4F2F70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Geral'!$K$8" spid="_x0000_s63556"/>
                </a:ext>
              </a:extLst>
            </xdr:cNvPicPr>
          </xdr:nvPicPr>
          <xdr:blipFill>
            <a:blip xmlns:r="http://schemas.openxmlformats.org/officeDocument/2006/relationships" r:embed="rId32"/>
            <a:srcRect/>
            <a:stretch>
              <a:fillRect/>
            </a:stretch>
          </xdr:blipFill>
          <xdr:spPr bwMode="auto">
            <a:xfrm>
              <a:off x="6515100" y="6486525"/>
              <a:ext cx="152400" cy="209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28575</xdr:colOff>
          <xdr:row>31</xdr:row>
          <xdr:rowOff>9525</xdr:rowOff>
        </xdr:from>
        <xdr:ext cx="152400" cy="209550"/>
        <xdr:pic>
          <xdr:nvPicPr>
            <xdr:cNvPr id="89" name="Imagem 72">
              <a:extLst>
                <a:ext uri="{FF2B5EF4-FFF2-40B4-BE49-F238E27FC236}">
                  <a16:creationId xmlns:a16="http://schemas.microsoft.com/office/drawing/2014/main" id="{E1416CB1-B171-4F99-93AB-C748E1A74F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Geral'!$K$7" spid="_x0000_s63557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6515100" y="6276975"/>
              <a:ext cx="152400" cy="209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28575</xdr:colOff>
          <xdr:row>32</xdr:row>
          <xdr:rowOff>9525</xdr:rowOff>
        </xdr:from>
        <xdr:ext cx="152400" cy="209550"/>
        <xdr:pic>
          <xdr:nvPicPr>
            <xdr:cNvPr id="90" name="Imagem 83">
              <a:extLst>
                <a:ext uri="{FF2B5EF4-FFF2-40B4-BE49-F238E27FC236}">
                  <a16:creationId xmlns:a16="http://schemas.microsoft.com/office/drawing/2014/main" id="{B36FF413-4D9D-402A-ACF8-3437DA254A9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Geral'!$K$8" spid="_x0000_s63558"/>
                </a:ext>
              </a:extLst>
            </xdr:cNvPicPr>
          </xdr:nvPicPr>
          <xdr:blipFill>
            <a:blip xmlns:r="http://schemas.openxmlformats.org/officeDocument/2006/relationships" r:embed="rId32"/>
            <a:srcRect/>
            <a:stretch>
              <a:fillRect/>
            </a:stretch>
          </xdr:blipFill>
          <xdr:spPr bwMode="auto">
            <a:xfrm>
              <a:off x="6515100" y="6486525"/>
              <a:ext cx="152400" cy="209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28575</xdr:colOff>
          <xdr:row>32</xdr:row>
          <xdr:rowOff>9525</xdr:rowOff>
        </xdr:from>
        <xdr:ext cx="152400" cy="209550"/>
        <xdr:pic>
          <xdr:nvPicPr>
            <xdr:cNvPr id="95" name="Imagem 72">
              <a:extLst>
                <a:ext uri="{FF2B5EF4-FFF2-40B4-BE49-F238E27FC236}">
                  <a16:creationId xmlns:a16="http://schemas.microsoft.com/office/drawing/2014/main" id="{F6979BEA-FCB0-419B-B982-83B6E687EAF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Geral'!$K$7" spid="_x0000_s63559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6515100" y="6486525"/>
              <a:ext cx="152400" cy="209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14500</xdr:rowOff>
    </xdr:from>
    <xdr:to>
      <xdr:col>5</xdr:col>
      <xdr:colOff>200024</xdr:colOff>
      <xdr:row>2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009DE2-DBB8-4D25-95D6-FC7C30E37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500"/>
          <a:ext cx="1666874" cy="366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304799</xdr:colOff>
      <xdr:row>1</xdr:row>
      <xdr:rowOff>366500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35F52-9BE8-4115-9AF8-71BBCFAD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4" cy="36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192A-9393-4FA9-B57F-E35C6CD700A5}">
  <sheetPr codeName="Planilha1">
    <tabColor rgb="FF006B66"/>
    <pageSetUpPr fitToPage="1"/>
  </sheetPr>
  <dimension ref="A1:W74"/>
  <sheetViews>
    <sheetView showGridLines="0" showRowColHeaders="0" tabSelected="1" topLeftCell="A3" zoomScale="80" zoomScaleNormal="80" workbookViewId="0">
      <selection activeCell="U25" sqref="U25"/>
    </sheetView>
  </sheetViews>
  <sheetFormatPr baseColWidth="10" defaultColWidth="9.109375" defaultRowHeight="14.4" x14ac:dyDescent="0.3"/>
  <cols>
    <col min="1" max="1" width="1.6640625" style="1" customWidth="1"/>
    <col min="2" max="2" width="9.6640625" style="1" customWidth="1"/>
    <col min="3" max="3" width="10.6640625" style="1" customWidth="1"/>
    <col min="4" max="5" width="12.6640625" style="1" customWidth="1"/>
    <col min="6" max="6" width="10.6640625" style="1" customWidth="1"/>
    <col min="7" max="7" width="9.6640625" style="1" customWidth="1"/>
    <col min="8" max="8" width="3.6640625" style="1" customWidth="1"/>
    <col min="9" max="9" width="10.5546875" style="1" customWidth="1"/>
    <col min="10" max="10" width="12.6640625" style="1" customWidth="1"/>
    <col min="11" max="11" width="11.6640625" style="1" customWidth="1"/>
    <col min="12" max="12" width="3.6640625" customWidth="1"/>
    <col min="13" max="17" width="10.6640625" style="1" customWidth="1"/>
    <col min="18" max="18" width="11.5546875" style="1" customWidth="1"/>
    <col min="19" max="19" width="0.88671875" style="1" customWidth="1"/>
    <col min="20" max="20" width="12.5546875" style="1" customWidth="1"/>
    <col min="21" max="16384" width="9.109375" style="1"/>
  </cols>
  <sheetData>
    <row r="1" spans="1:23" s="4" customFormat="1" ht="38.1" customHeight="1" x14ac:dyDescent="0.35">
      <c r="A1"/>
      <c r="L1"/>
    </row>
    <row r="2" spans="1:23" s="4" customFormat="1" ht="6" customHeight="1" x14ac:dyDescent="0.35">
      <c r="L2"/>
    </row>
    <row r="3" spans="1:23" ht="18" customHeight="1" x14ac:dyDescent="0.45">
      <c r="B3" s="53" t="s">
        <v>143</v>
      </c>
      <c r="I3" s="24"/>
      <c r="J3" s="24"/>
      <c r="K3" s="24"/>
      <c r="Q3" s="70" t="s">
        <v>140</v>
      </c>
      <c r="R3" s="118">
        <f>IF(T3="",_xll.ECONOMATICA("IBOV","Date of Last Quote"),T3)</f>
        <v>43936</v>
      </c>
      <c r="T3" s="81"/>
      <c r="U3" s="82"/>
    </row>
    <row r="4" spans="1:23" ht="8.1" customHeight="1" x14ac:dyDescent="0.4">
      <c r="B4" s="18"/>
      <c r="C4" s="7"/>
      <c r="D4" s="7"/>
      <c r="E4" s="7"/>
      <c r="F4" s="7"/>
      <c r="G4" s="7"/>
      <c r="H4" s="7"/>
      <c r="I4" s="8"/>
      <c r="J4" s="8"/>
      <c r="K4" s="8"/>
      <c r="L4" s="10"/>
      <c r="M4" s="7"/>
      <c r="N4" s="7"/>
      <c r="O4" s="7"/>
      <c r="P4" s="7"/>
      <c r="Q4" s="7"/>
      <c r="R4" s="9"/>
    </row>
    <row r="5" spans="1:23" ht="6" customHeight="1" x14ac:dyDescent="0.3">
      <c r="B5"/>
      <c r="C5"/>
      <c r="D5"/>
      <c r="E5"/>
      <c r="F5"/>
      <c r="G5"/>
      <c r="H5"/>
      <c r="I5"/>
      <c r="J5"/>
      <c r="K5"/>
      <c r="M5"/>
      <c r="N5"/>
      <c r="O5"/>
      <c r="P5"/>
      <c r="Q5"/>
      <c r="R5"/>
    </row>
    <row r="6" spans="1:23" ht="24" customHeight="1" x14ac:dyDescent="0.3">
      <c r="B6" s="28" t="s">
        <v>139</v>
      </c>
      <c r="C6" s="5"/>
      <c r="D6" s="2"/>
      <c r="E6" s="2"/>
      <c r="F6" s="2"/>
      <c r="G6" s="2"/>
      <c r="H6" s="2"/>
      <c r="I6" s="2"/>
      <c r="J6" s="2"/>
      <c r="K6" s="2"/>
      <c r="M6" s="28" t="s">
        <v>134</v>
      </c>
      <c r="N6" s="6"/>
      <c r="O6" s="2"/>
      <c r="P6" s="2"/>
      <c r="Q6" s="2"/>
      <c r="R6" s="2"/>
    </row>
    <row r="7" spans="1:23" ht="17.100000000000001" customHeight="1" x14ac:dyDescent="0.3">
      <c r="B7"/>
      <c r="C7"/>
      <c r="D7"/>
      <c r="E7"/>
      <c r="F7"/>
      <c r="G7"/>
      <c r="H7"/>
      <c r="I7"/>
      <c r="J7"/>
      <c r="K7"/>
      <c r="M7"/>
      <c r="N7"/>
      <c r="O7"/>
      <c r="P7"/>
      <c r="Q7"/>
      <c r="R7"/>
    </row>
    <row r="8" spans="1:23" ht="17.100000000000001" customHeight="1" x14ac:dyDescent="0.4">
      <c r="B8"/>
      <c r="C8"/>
      <c r="D8"/>
      <c r="E8"/>
      <c r="F8"/>
      <c r="G8"/>
      <c r="H8"/>
      <c r="I8"/>
      <c r="J8"/>
      <c r="K8"/>
      <c r="M8"/>
      <c r="N8"/>
      <c r="O8"/>
      <c r="P8"/>
      <c r="Q8"/>
      <c r="R8"/>
      <c r="T8" s="3"/>
      <c r="U8"/>
    </row>
    <row r="9" spans="1:23" ht="17.100000000000001" customHeight="1" x14ac:dyDescent="0.4">
      <c r="B9"/>
      <c r="C9"/>
      <c r="D9"/>
      <c r="E9"/>
      <c r="F9"/>
      <c r="G9"/>
      <c r="H9"/>
      <c r="I9"/>
      <c r="J9"/>
      <c r="K9"/>
      <c r="M9"/>
      <c r="N9"/>
      <c r="O9"/>
      <c r="P9"/>
      <c r="Q9"/>
      <c r="R9"/>
      <c r="S9"/>
      <c r="T9" s="3"/>
    </row>
    <row r="10" spans="1:23" ht="17.100000000000001" customHeight="1" x14ac:dyDescent="0.4">
      <c r="B10"/>
      <c r="C10"/>
      <c r="D10"/>
      <c r="E10"/>
      <c r="F10"/>
      <c r="G10"/>
      <c r="H10"/>
      <c r="I10"/>
      <c r="J10"/>
      <c r="K10"/>
      <c r="M10"/>
      <c r="N10"/>
      <c r="O10"/>
      <c r="P10"/>
      <c r="Q10"/>
      <c r="R10"/>
      <c r="T10" s="3"/>
      <c r="W10"/>
    </row>
    <row r="11" spans="1:23" ht="17.100000000000001" customHeight="1" x14ac:dyDescent="0.4">
      <c r="B11"/>
      <c r="C11"/>
      <c r="D11"/>
      <c r="E11"/>
      <c r="F11"/>
      <c r="G11"/>
      <c r="H11"/>
      <c r="I11"/>
      <c r="J11"/>
      <c r="K11"/>
      <c r="M11"/>
      <c r="N11"/>
      <c r="O11"/>
      <c r="P11"/>
      <c r="Q11"/>
      <c r="R11"/>
      <c r="T11" s="3"/>
      <c r="U11"/>
    </row>
    <row r="12" spans="1:23" ht="17.100000000000001" customHeight="1" x14ac:dyDescent="0.4">
      <c r="B12"/>
      <c r="C12"/>
      <c r="D12"/>
      <c r="E12"/>
      <c r="F12"/>
      <c r="G12"/>
      <c r="H12"/>
      <c r="I12"/>
      <c r="J12"/>
      <c r="K12"/>
      <c r="M12"/>
      <c r="N12"/>
      <c r="O12"/>
      <c r="P12"/>
      <c r="Q12"/>
      <c r="R12"/>
      <c r="T12" s="3"/>
      <c r="U12"/>
      <c r="V12" s="14"/>
    </row>
    <row r="13" spans="1:23" ht="17.100000000000001" customHeight="1" x14ac:dyDescent="0.4">
      <c r="B13"/>
      <c r="C13"/>
      <c r="D13"/>
      <c r="E13"/>
      <c r="F13"/>
      <c r="G13"/>
      <c r="H13"/>
      <c r="I13"/>
      <c r="J13"/>
      <c r="K13"/>
      <c r="M13"/>
      <c r="N13"/>
      <c r="O13"/>
      <c r="P13"/>
      <c r="Q13"/>
      <c r="R13"/>
      <c r="T13" s="3"/>
    </row>
    <row r="14" spans="1:23" ht="17.100000000000001" customHeight="1" x14ac:dyDescent="0.4">
      <c r="B14"/>
      <c r="C14"/>
      <c r="D14"/>
      <c r="E14"/>
      <c r="F14"/>
      <c r="G14"/>
      <c r="H14"/>
      <c r="I14"/>
      <c r="J14"/>
      <c r="K14"/>
      <c r="M14"/>
      <c r="N14"/>
      <c r="O14"/>
      <c r="P14"/>
      <c r="Q14"/>
      <c r="R14"/>
      <c r="T14" s="3"/>
    </row>
    <row r="15" spans="1:23" ht="17.100000000000001" customHeight="1" x14ac:dyDescent="0.4">
      <c r="B15"/>
      <c r="C15"/>
      <c r="D15"/>
      <c r="E15"/>
      <c r="F15"/>
      <c r="G15"/>
      <c r="H15"/>
      <c r="I15"/>
      <c r="J15"/>
      <c r="K15"/>
      <c r="M15"/>
      <c r="N15"/>
      <c r="O15"/>
      <c r="P15"/>
      <c r="Q15"/>
      <c r="R15"/>
      <c r="T15" s="3"/>
      <c r="V15"/>
    </row>
    <row r="16" spans="1:23" ht="17.100000000000001" customHeight="1" x14ac:dyDescent="0.4">
      <c r="B16"/>
      <c r="C16"/>
      <c r="D16"/>
      <c r="E16"/>
      <c r="F16"/>
      <c r="G16"/>
      <c r="H16"/>
      <c r="I16"/>
      <c r="J16"/>
      <c r="K16"/>
      <c r="M16"/>
      <c r="N16"/>
      <c r="O16"/>
      <c r="P16"/>
      <c r="Q16"/>
      <c r="R16"/>
      <c r="T16" s="3"/>
    </row>
    <row r="17" spans="1:22" ht="17.100000000000001" customHeight="1" x14ac:dyDescent="0.3">
      <c r="B17"/>
      <c r="C17"/>
      <c r="D17"/>
      <c r="E17"/>
      <c r="F17"/>
      <c r="G17"/>
      <c r="H17"/>
      <c r="I17"/>
      <c r="J17"/>
      <c r="K17"/>
      <c r="M17"/>
      <c r="N17"/>
      <c r="O17"/>
      <c r="P17"/>
      <c r="Q17"/>
      <c r="R17"/>
    </row>
    <row r="18" spans="1:22" ht="17.100000000000001" customHeight="1" x14ac:dyDescent="0.3">
      <c r="B18"/>
      <c r="C18"/>
      <c r="D18"/>
      <c r="E18"/>
      <c r="F18"/>
      <c r="G18"/>
      <c r="H18"/>
      <c r="I18"/>
      <c r="J18"/>
      <c r="K18"/>
      <c r="M18"/>
      <c r="N18"/>
      <c r="O18"/>
      <c r="P18"/>
      <c r="Q18"/>
      <c r="R18"/>
      <c r="V18"/>
    </row>
    <row r="19" spans="1:22" ht="17.100000000000001" customHeight="1" x14ac:dyDescent="0.3">
      <c r="B19"/>
      <c r="C19"/>
      <c r="D19"/>
      <c r="E19"/>
      <c r="F19"/>
      <c r="G19"/>
      <c r="H19"/>
      <c r="I19"/>
      <c r="J19"/>
      <c r="K19"/>
      <c r="M19"/>
      <c r="N19"/>
      <c r="O19"/>
      <c r="P19"/>
      <c r="Q19"/>
      <c r="R19"/>
    </row>
    <row r="20" spans="1:22" ht="24" customHeight="1" x14ac:dyDescent="0.3">
      <c r="A20"/>
      <c r="B20"/>
      <c r="C20"/>
      <c r="D20"/>
      <c r="E20"/>
      <c r="F20"/>
      <c r="G20"/>
      <c r="H20"/>
      <c r="I20"/>
      <c r="J20"/>
      <c r="K20"/>
      <c r="M20" s="122" t="s">
        <v>141</v>
      </c>
      <c r="N20" s="6"/>
      <c r="O20" s="2"/>
      <c r="P20" s="2"/>
      <c r="Q20" s="2"/>
      <c r="R20" s="2"/>
    </row>
    <row r="21" spans="1:22" ht="17.100000000000001" customHeight="1" x14ac:dyDescent="0.35">
      <c r="B21"/>
      <c r="C21"/>
      <c r="D21"/>
      <c r="E21"/>
      <c r="F21"/>
      <c r="G21"/>
      <c r="H21"/>
      <c r="I21"/>
      <c r="J21"/>
      <c r="K21"/>
      <c r="M21" s="52" t="s">
        <v>30</v>
      </c>
      <c r="N21" s="52"/>
      <c r="O21" s="52" t="s">
        <v>29</v>
      </c>
      <c r="P21" s="52"/>
      <c r="Q21" s="52" t="s">
        <v>28</v>
      </c>
      <c r="R21" s="52"/>
      <c r="V21"/>
    </row>
    <row r="22" spans="1:22" ht="17.100000000000001" customHeight="1" x14ac:dyDescent="0.3">
      <c r="B22"/>
      <c r="C22"/>
      <c r="D22"/>
      <c r="E22"/>
      <c r="F22"/>
      <c r="G22"/>
      <c r="H22"/>
      <c r="I22"/>
      <c r="J22"/>
      <c r="K22"/>
      <c r="M22" s="90" t="str">
        <f>+'Base Geral'!B25</f>
        <v>TAMEX</v>
      </c>
      <c r="N22" s="91"/>
      <c r="O22" s="94">
        <f>'Base Geral'!C25</f>
        <v>-0.12516469038208</v>
      </c>
      <c r="P22" s="95"/>
      <c r="Q22" s="98">
        <f>'Base Geral'!D25</f>
        <v>-0.155216284987546</v>
      </c>
      <c r="R22" s="98"/>
      <c r="S22"/>
    </row>
    <row r="23" spans="1:22" ht="17.100000000000001" customHeight="1" x14ac:dyDescent="0.3">
      <c r="B23"/>
      <c r="C23"/>
      <c r="D23"/>
      <c r="E23"/>
      <c r="F23"/>
      <c r="G23"/>
      <c r="H23"/>
      <c r="I23"/>
      <c r="J23"/>
      <c r="K23"/>
      <c r="M23" s="92"/>
      <c r="N23" s="93"/>
      <c r="O23" s="96"/>
      <c r="P23" s="97"/>
      <c r="Q23" s="99"/>
      <c r="R23" s="99"/>
      <c r="S23"/>
      <c r="V23"/>
    </row>
    <row r="24" spans="1:22" ht="17.100000000000001" customHeight="1" x14ac:dyDescent="0.3">
      <c r="B24"/>
      <c r="C24"/>
      <c r="D24"/>
      <c r="E24"/>
      <c r="F24"/>
      <c r="G24"/>
      <c r="H24"/>
      <c r="I24"/>
      <c r="J24"/>
      <c r="K24"/>
      <c r="M24" s="90" t="str">
        <f>+'Base Geral'!B26</f>
        <v>TAMN</v>
      </c>
      <c r="N24" s="91"/>
      <c r="O24" s="94">
        <f>'Base Geral'!C26</f>
        <v>-5.7142857142971501E-2</v>
      </c>
      <c r="P24" s="95"/>
      <c r="Q24" s="98">
        <f>'Base Geral'!D26</f>
        <v>-7.3287671233629198E-2</v>
      </c>
      <c r="R24" s="98"/>
      <c r="S24"/>
    </row>
    <row r="25" spans="1:22" ht="17.100000000000001" customHeight="1" x14ac:dyDescent="0.3">
      <c r="B25"/>
      <c r="C25"/>
      <c r="D25"/>
      <c r="E25"/>
      <c r="F25"/>
      <c r="G25"/>
      <c r="H25"/>
      <c r="I25"/>
      <c r="J25"/>
      <c r="K25"/>
      <c r="M25" s="100"/>
      <c r="N25" s="101"/>
      <c r="O25" s="102"/>
      <c r="P25" s="103"/>
      <c r="Q25" s="104"/>
      <c r="R25" s="104"/>
    </row>
    <row r="26" spans="1:22" ht="17.100000000000001" customHeight="1" x14ac:dyDescent="0.3">
      <c r="B26"/>
      <c r="C26"/>
      <c r="D26"/>
      <c r="E26"/>
      <c r="F26"/>
      <c r="G26"/>
      <c r="H26"/>
      <c r="I26"/>
      <c r="J26"/>
      <c r="K26"/>
      <c r="M26"/>
      <c r="N26"/>
      <c r="O26"/>
      <c r="P26"/>
      <c r="Q26"/>
      <c r="R26"/>
    </row>
    <row r="27" spans="1:22" ht="17.100000000000001" customHeight="1" x14ac:dyDescent="0.3">
      <c r="B27"/>
      <c r="C27"/>
      <c r="D27"/>
      <c r="E27"/>
      <c r="F27"/>
      <c r="G27"/>
      <c r="H27"/>
      <c r="I27"/>
      <c r="J27"/>
      <c r="K27"/>
      <c r="M27"/>
      <c r="N27"/>
      <c r="O27"/>
      <c r="P27"/>
      <c r="Q27"/>
      <c r="R27"/>
      <c r="T27"/>
    </row>
    <row r="28" spans="1:22" ht="24" customHeight="1" x14ac:dyDescent="0.3">
      <c r="B28" s="28" t="s">
        <v>142</v>
      </c>
      <c r="C28" s="5"/>
      <c r="D28" s="2"/>
      <c r="E28" s="2"/>
      <c r="F28" s="27"/>
      <c r="G28" s="51"/>
      <c r="I28" s="28" t="s">
        <v>39</v>
      </c>
      <c r="J28" s="28"/>
      <c r="K28" s="2"/>
      <c r="M28" s="28" t="s">
        <v>132</v>
      </c>
      <c r="N28" s="6"/>
      <c r="O28" s="2"/>
      <c r="P28" s="51"/>
      <c r="Q28" s="51"/>
      <c r="R28" s="51"/>
      <c r="T28"/>
    </row>
    <row r="29" spans="1:22" ht="17.100000000000001" customHeight="1" x14ac:dyDescent="0.4">
      <c r="B29" s="46" t="s">
        <v>24</v>
      </c>
      <c r="C29" s="52" t="s">
        <v>13</v>
      </c>
      <c r="D29" s="52"/>
      <c r="E29" s="52" t="s">
        <v>23</v>
      </c>
      <c r="F29" s="52"/>
      <c r="G29" s="45" t="s">
        <v>24</v>
      </c>
      <c r="H29"/>
      <c r="I29" s="59" t="s">
        <v>34</v>
      </c>
      <c r="J29" s="59" t="s">
        <v>35</v>
      </c>
      <c r="K29" s="59" t="s">
        <v>26</v>
      </c>
      <c r="L29" s="3"/>
      <c r="M29" s="52" t="s">
        <v>30</v>
      </c>
      <c r="N29" s="52"/>
      <c r="O29" s="52" t="s">
        <v>29</v>
      </c>
      <c r="P29" s="52"/>
      <c r="Q29" s="52" t="s">
        <v>28</v>
      </c>
      <c r="R29" s="52"/>
      <c r="T29"/>
    </row>
    <row r="30" spans="1:22" ht="17.100000000000001" customHeight="1" x14ac:dyDescent="0.45">
      <c r="B30" s="61">
        <f>'Base Geral'!B15</f>
        <v>1.5</v>
      </c>
      <c r="C30" s="71" t="str">
        <f>'Base Geral'!C15</f>
        <v>GRAMONC1</v>
      </c>
      <c r="D30" s="62">
        <f>'Base Geral'!D15</f>
        <v>0.23966942148777901</v>
      </c>
      <c r="E30" s="63">
        <f>'Base Geral'!E15</f>
        <v>-6.7532467532146298E-2</v>
      </c>
      <c r="F30" s="61" t="str">
        <f>'Base Geral'!F15</f>
        <v>BVN</v>
      </c>
      <c r="G30" s="61">
        <f>'Base Geral'!G15</f>
        <v>7.1800000000002902</v>
      </c>
      <c r="H30"/>
      <c r="I30" s="76" t="str">
        <f>+'Base Geral'!I7</f>
        <v>Oro</v>
      </c>
      <c r="J30" s="77">
        <f>'Base Geral'!J7</f>
        <v>297.20000000018598</v>
      </c>
      <c r="K30" s="78">
        <f>'Base Geral'!L7</f>
        <v>2.4827586206811199E-2</v>
      </c>
      <c r="L30" s="3"/>
      <c r="M30" s="90" t="str">
        <f>+'Base Geral'!B23</f>
        <v>IPM</v>
      </c>
      <c r="N30" s="91"/>
      <c r="O30" s="105">
        <f>+'Base Geral'!C23</f>
        <v>1.58189256035257E-3</v>
      </c>
      <c r="P30" s="106"/>
      <c r="Q30" s="105">
        <f>+'Base Geral'!D23</f>
        <v>-4.8951009730444604E-3</v>
      </c>
      <c r="R30" s="109"/>
      <c r="T30"/>
    </row>
    <row r="31" spans="1:22" ht="17.100000000000001" customHeight="1" x14ac:dyDescent="0.45">
      <c r="B31" s="61">
        <f>'Base Geral'!B16</f>
        <v>6.2000000000011803E-2</v>
      </c>
      <c r="C31" s="71" t="str">
        <f>'Base Geral'!C16</f>
        <v>RELAPAC1</v>
      </c>
      <c r="D31" s="62">
        <f>'Base Geral'!D16</f>
        <v>8.7719298246229302E-2</v>
      </c>
      <c r="E31" s="63">
        <f>'Base Geral'!E16</f>
        <v>-3.5639412998534702E-2</v>
      </c>
      <c r="F31" s="61" t="str">
        <f>'Base Geral'!F16</f>
        <v>BACKUSI1</v>
      </c>
      <c r="G31" s="61">
        <f>'Base Geral'!G16</f>
        <v>23</v>
      </c>
      <c r="H31"/>
      <c r="I31" s="76" t="str">
        <f>+'Base Geral'!I8</f>
        <v>Petróleo</v>
      </c>
      <c r="J31" s="89">
        <f>'Base Geral'!J8</f>
        <v>20.070000000006999</v>
      </c>
      <c r="K31" s="78">
        <f>'Base Geral'!L8</f>
        <v>-1.9890601679435301E-3</v>
      </c>
      <c r="L31" s="3"/>
      <c r="M31" s="92"/>
      <c r="N31" s="93"/>
      <c r="O31" s="107"/>
      <c r="P31" s="108"/>
      <c r="Q31" s="107"/>
      <c r="R31" s="110"/>
    </row>
    <row r="32" spans="1:22" ht="17.100000000000001" customHeight="1" x14ac:dyDescent="0.45">
      <c r="B32" s="61">
        <f>'Base Geral'!B17</f>
        <v>27.200000000011599</v>
      </c>
      <c r="C32" s="71" t="str">
        <f>'Base Geral'!C17</f>
        <v>IFS</v>
      </c>
      <c r="D32" s="62">
        <f>'Base Geral'!D17</f>
        <v>5.0193050194138798E-2</v>
      </c>
      <c r="E32" s="63">
        <f>'Base Geral'!E17</f>
        <v>-1.9933554816816499E-2</v>
      </c>
      <c r="F32" s="61" t="str">
        <f>'Base Geral'!F17</f>
        <v>PODERC1</v>
      </c>
      <c r="G32" s="61">
        <f>'Base Geral'!G17</f>
        <v>8.8500000000058208</v>
      </c>
      <c r="H32"/>
      <c r="I32" s="76" t="str">
        <f>+'Base Geral'!I9</f>
        <v>Cobre 3M</v>
      </c>
      <c r="J32" s="89">
        <f>'Base Geral'!J9</f>
        <v>2.26455990699833</v>
      </c>
      <c r="K32" s="78">
        <f>'Base Geral'!L9</f>
        <v>-1.8287287639395799E-2</v>
      </c>
      <c r="L32" s="3"/>
      <c r="M32" s="100" t="str">
        <f>+'Base Geral'!B24</f>
        <v xml:space="preserve">Inflación </v>
      </c>
      <c r="N32" s="101"/>
      <c r="O32" s="111">
        <f>'Base Geral'!C24</f>
        <v>7.8109736332407902E-3</v>
      </c>
      <c r="P32" s="112"/>
      <c r="Q32" s="111">
        <f>'Base Geral'!D24</f>
        <v>1.7829176962550299E-2</v>
      </c>
      <c r="R32" s="115"/>
    </row>
    <row r="33" spans="1:18" ht="17.100000000000001" customHeight="1" x14ac:dyDescent="0.45">
      <c r="B33" s="61">
        <f>'Base Geral'!B18</f>
        <v>0.68000000000029104</v>
      </c>
      <c r="C33" s="71" t="str">
        <f>'Base Geral'!C18</f>
        <v>SIDERC1</v>
      </c>
      <c r="D33" s="62">
        <f>'Base Geral'!D18</f>
        <v>4.6153846154993503E-2</v>
      </c>
      <c r="E33" s="63">
        <f>'Base Geral'!E18</f>
        <v>-1.8867924528421998E-2</v>
      </c>
      <c r="F33" s="61" t="str">
        <f>'Base Geral'!F18</f>
        <v>LUSURC1</v>
      </c>
      <c r="G33" s="61">
        <f>'Base Geral'!G18</f>
        <v>26</v>
      </c>
      <c r="H33"/>
      <c r="I33" s="76" t="str">
        <f>+'Base Geral'!I10</f>
        <v>Estaño 3M</v>
      </c>
      <c r="J33" s="89">
        <f>'Base Geral'!J10</f>
        <v>6.8301939070006501</v>
      </c>
      <c r="K33" s="78">
        <f>'Base Geral'!L10</f>
        <v>1.94989843439544E-2</v>
      </c>
      <c r="L33" s="3"/>
      <c r="M33" s="100"/>
      <c r="N33" s="101"/>
      <c r="O33" s="113"/>
      <c r="P33" s="114"/>
      <c r="Q33" s="113"/>
      <c r="R33" s="116"/>
    </row>
    <row r="34" spans="1:18" ht="17.100000000000001" customHeight="1" x14ac:dyDescent="0.35">
      <c r="A34" s="7"/>
      <c r="B34" s="72">
        <f>'Base Geral'!B19</f>
        <v>1.35000000000036</v>
      </c>
      <c r="C34" s="74" t="str">
        <f>'Base Geral'!C19</f>
        <v>UNACEMC1</v>
      </c>
      <c r="D34" s="73">
        <f>'Base Geral'!D19</f>
        <v>3.8461538462797797E-2</v>
      </c>
      <c r="E34" s="75">
        <f>'Base Geral'!E19</f>
        <v>-1.62601626016112E-2</v>
      </c>
      <c r="F34" s="64" t="str">
        <f>'Base Geral'!F19</f>
        <v>FERREYC1</v>
      </c>
      <c r="G34" s="64">
        <f>'Base Geral'!G19</f>
        <v>1.20999999999913</v>
      </c>
      <c r="H34" s="54"/>
      <c r="I34" s="120" t="str">
        <f>IFERROR("*Última cotización: "&amp;TEXT(_xll.ECONOMATICA("WTICO","Date of Last Quote",,,,,,,"FALSE","FALSE"),"dd-mm-aa"),"")</f>
        <v>*Última cotización: 15-04-aa</v>
      </c>
      <c r="J34" s="54"/>
      <c r="K34" s="54"/>
      <c r="L34" s="54"/>
      <c r="M34" s="119" t="str">
        <f>"Inflação em "&amp;IF(_xll.ECONOMATICA("IPCA","date of last quote")=$R$3,TEXT(_xll.ECONOMATICA("IPCA","date of last quote"),"mmm-aa"),TEXT(EOMONTH($R$3,-1),"mmm-aa"))</f>
        <v>Inflação em Mar-aa</v>
      </c>
      <c r="N34" s="54"/>
      <c r="O34" s="54"/>
      <c r="P34" s="54"/>
      <c r="Q34" s="54"/>
      <c r="R34" s="54"/>
    </row>
    <row r="35" spans="1:18" ht="17.100000000000001" customHeight="1" x14ac:dyDescent="0.3">
      <c r="B35"/>
      <c r="C35"/>
      <c r="D35"/>
      <c r="E35"/>
      <c r="F35"/>
      <c r="G35"/>
      <c r="H35"/>
      <c r="I35"/>
      <c r="J35"/>
      <c r="K35"/>
      <c r="M35"/>
      <c r="N35"/>
      <c r="O35"/>
      <c r="P35"/>
      <c r="Q35"/>
      <c r="R35"/>
    </row>
    <row r="36" spans="1:18" ht="17.100000000000001" customHeight="1" x14ac:dyDescent="0.3">
      <c r="B36"/>
      <c r="C36"/>
      <c r="D36"/>
      <c r="E36"/>
      <c r="F36"/>
      <c r="G36"/>
      <c r="H36"/>
      <c r="I36"/>
      <c r="J36"/>
      <c r="K36"/>
      <c r="M36"/>
      <c r="N36"/>
      <c r="O36"/>
      <c r="P36"/>
      <c r="Q36"/>
      <c r="R36"/>
    </row>
    <row r="37" spans="1:18" ht="15.9" customHeight="1" x14ac:dyDescent="0.3">
      <c r="B37"/>
      <c r="C37"/>
      <c r="D37"/>
      <c r="E37"/>
      <c r="F37"/>
      <c r="G37"/>
      <c r="H37"/>
      <c r="I37"/>
      <c r="J37"/>
      <c r="K37"/>
      <c r="M37"/>
      <c r="N37"/>
      <c r="O37"/>
      <c r="P37"/>
      <c r="Q37"/>
      <c r="R37"/>
    </row>
    <row r="38" spans="1:18" ht="5.0999999999999996" customHeight="1" x14ac:dyDescent="0.3">
      <c r="B38"/>
      <c r="C38"/>
      <c r="D38"/>
      <c r="E38"/>
      <c r="F38"/>
      <c r="G38"/>
      <c r="H38"/>
      <c r="I38"/>
      <c r="J38"/>
      <c r="K38"/>
      <c r="M38"/>
      <c r="N38"/>
      <c r="O38"/>
      <c r="P38"/>
      <c r="Q38"/>
      <c r="R38"/>
    </row>
    <row r="39" spans="1:18" ht="15.9" customHeight="1" x14ac:dyDescent="0.3">
      <c r="B39"/>
      <c r="C39"/>
      <c r="D39"/>
      <c r="E39"/>
      <c r="F39"/>
      <c r="G39"/>
      <c r="H39"/>
      <c r="I39"/>
      <c r="J39"/>
      <c r="K39"/>
      <c r="M39"/>
      <c r="N39"/>
      <c r="O39"/>
      <c r="P39"/>
      <c r="Q39"/>
      <c r="R39"/>
    </row>
    <row r="40" spans="1:18" ht="15.9" customHeight="1" x14ac:dyDescent="0.3">
      <c r="B40"/>
      <c r="C40"/>
      <c r="D40"/>
      <c r="E40"/>
      <c r="F40"/>
      <c r="G40"/>
      <c r="H40"/>
      <c r="I40"/>
      <c r="J40"/>
      <c r="K40"/>
      <c r="M40"/>
      <c r="N40"/>
      <c r="O40"/>
      <c r="P40"/>
      <c r="Q40"/>
      <c r="R40"/>
    </row>
    <row r="41" spans="1:18" ht="15.9" customHeight="1" x14ac:dyDescent="0.3"/>
    <row r="42" spans="1:18" ht="15.9" customHeight="1" x14ac:dyDescent="0.3"/>
    <row r="43" spans="1:18" ht="15.9" customHeight="1" x14ac:dyDescent="0.3"/>
    <row r="44" spans="1:18" ht="15.9" customHeight="1" x14ac:dyDescent="0.3"/>
    <row r="45" spans="1:18" ht="15.9" customHeight="1" x14ac:dyDescent="0.3"/>
    <row r="46" spans="1:18" ht="15.9" customHeight="1" x14ac:dyDescent="0.3"/>
    <row r="47" spans="1:18" ht="15.9" customHeight="1" x14ac:dyDescent="0.3"/>
    <row r="48" spans="1:18" ht="15.9" customHeight="1" x14ac:dyDescent="0.3"/>
    <row r="49" ht="15.9" customHeight="1" x14ac:dyDescent="0.3"/>
    <row r="50" ht="15.75" customHeight="1" x14ac:dyDescent="0.3"/>
    <row r="51" ht="15.9" customHeight="1" x14ac:dyDescent="0.3"/>
    <row r="52" customFormat="1" ht="15.9" customHeight="1" x14ac:dyDescent="0.3"/>
    <row r="53" customFormat="1" ht="15.9" customHeight="1" x14ac:dyDescent="0.3"/>
    <row r="54" customFormat="1" ht="15.9" customHeight="1" x14ac:dyDescent="0.3"/>
    <row r="55" customFormat="1" ht="15.9" customHeight="1" x14ac:dyDescent="0.3"/>
    <row r="56" customFormat="1" ht="15.9" customHeight="1" x14ac:dyDescent="0.3"/>
    <row r="57" customFormat="1" ht="15.9" customHeight="1" x14ac:dyDescent="0.3"/>
    <row r="58" customFormat="1" ht="15.9" customHeight="1" x14ac:dyDescent="0.3"/>
    <row r="59" customFormat="1" ht="15.9" customHeight="1" x14ac:dyDescent="0.3"/>
    <row r="60" customFormat="1" ht="15.9" customHeight="1" x14ac:dyDescent="0.3"/>
    <row r="61" customFormat="1" ht="15.9" customHeight="1" x14ac:dyDescent="0.3"/>
    <row r="62" customFormat="1" ht="15.9" customHeight="1" x14ac:dyDescent="0.3"/>
    <row r="63" customFormat="1" ht="15.9" customHeight="1" x14ac:dyDescent="0.3"/>
    <row r="64" customFormat="1" ht="15.9" customHeight="1" x14ac:dyDescent="0.3"/>
    <row r="65" customFormat="1" ht="15.9" customHeight="1" x14ac:dyDescent="0.3"/>
    <row r="66" customFormat="1" ht="15.9" customHeight="1" x14ac:dyDescent="0.3"/>
    <row r="67" customFormat="1" ht="15.9" customHeigh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</sheetData>
  <mergeCells count="12">
    <mergeCell ref="M30:N31"/>
    <mergeCell ref="M32:N33"/>
    <mergeCell ref="O30:P31"/>
    <mergeCell ref="Q30:R31"/>
    <mergeCell ref="O32:P33"/>
    <mergeCell ref="Q32:R33"/>
    <mergeCell ref="M22:N23"/>
    <mergeCell ref="O22:P23"/>
    <mergeCell ref="Q22:R23"/>
    <mergeCell ref="M24:N25"/>
    <mergeCell ref="O24:P25"/>
    <mergeCell ref="Q24:R25"/>
  </mergeCells>
  <conditionalFormatting sqref="E30:E34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{42CAB393-56EF-4814-A1FE-20E6AE132845}</x14:id>
        </ext>
      </extLst>
    </cfRule>
  </conditionalFormatting>
  <conditionalFormatting sqref="K30:K33">
    <cfRule type="cellIs" dxfId="41" priority="4" operator="greaterThan">
      <formula>0</formula>
    </cfRule>
  </conditionalFormatting>
  <conditionalFormatting sqref="V12">
    <cfRule type="cellIs" dxfId="40" priority="2" operator="equal">
      <formula>"q"</formula>
    </cfRule>
    <cfRule type="cellIs" dxfId="39" priority="3" operator="equal">
      <formula>"p"</formula>
    </cfRule>
  </conditionalFormatting>
  <conditionalFormatting sqref="D30:D3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{6D487AF7-C277-48F7-8044-26530C690895}</x14:id>
        </ext>
      </extLst>
    </cfRule>
  </conditionalFormatting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2" orientation="landscape" r:id="rId1"/>
  <headerFooter>
    <oddFooter>&amp;L&amp;"Segoe UI Light,Negrito"&amp;9&amp;K006B66Fuente: Economatica&amp;R&amp;"Segoe UI Light,Negrito"&amp;9&amp;K006B66www.economatica.com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CAB393-56EF-4814-A1FE-20E6AE13284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E30:E34</xm:sqref>
        </x14:conditionalFormatting>
        <x14:conditionalFormatting xmlns:xm="http://schemas.microsoft.com/office/excel/2006/main">
          <x14:cfRule type="dataBar" id="{6D487AF7-C277-48F7-8044-26530C6908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D30:D34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34B3-C903-4F02-8DA6-8EB068AD3BCF}">
  <sheetPr codeName="Planilha2"/>
  <dimension ref="A1:XFB33"/>
  <sheetViews>
    <sheetView showGridLines="0" topLeftCell="AE1" workbookViewId="0">
      <selection activeCell="AT11" sqref="AT11"/>
    </sheetView>
  </sheetViews>
  <sheetFormatPr baseColWidth="10" defaultColWidth="9.109375" defaultRowHeight="15" x14ac:dyDescent="0.35"/>
  <cols>
    <col min="1" max="1" width="1.6640625" style="4" customWidth="1"/>
    <col min="2" max="2" width="8" bestFit="1" customWidth="1"/>
    <col min="3" max="3" width="2.33203125" style="4" customWidth="1"/>
    <col min="4" max="4" width="10" style="15" bestFit="1" customWidth="1"/>
    <col min="5" max="5" width="1.6640625" style="4" customWidth="1"/>
    <col min="6" max="6" width="4.5546875" style="4" bestFit="1" customWidth="1"/>
    <col min="7" max="7" width="2.33203125" style="13" customWidth="1"/>
    <col min="8" max="8" width="13.88671875" style="13" bestFit="1" customWidth="1"/>
    <col min="9" max="9" width="1.6640625" style="4" customWidth="1"/>
    <col min="10" max="10" width="8.44140625" style="4" bestFit="1" customWidth="1"/>
    <col min="11" max="11" width="2.33203125" style="4" customWidth="1"/>
    <col min="12" max="12" width="10.44140625" style="4" bestFit="1" customWidth="1"/>
    <col min="13" max="13" width="1.6640625" style="4" customWidth="1"/>
    <col min="14" max="14" width="9.109375" style="4"/>
    <col min="15" max="15" width="2.33203125" style="4" customWidth="1"/>
    <col min="16" max="16" width="11.5546875" style="4" bestFit="1" customWidth="1"/>
    <col min="17" max="17" width="1.6640625" style="4" customWidth="1"/>
    <col min="18" max="18" width="8" style="4" bestFit="1" customWidth="1"/>
    <col min="19" max="19" width="2.33203125" style="4" customWidth="1"/>
    <col min="20" max="20" width="10" style="4" bestFit="1" customWidth="1"/>
    <col min="21" max="21" width="1.6640625" style="4" customWidth="1"/>
    <col min="22" max="22" width="10.6640625" style="4" customWidth="1"/>
    <col min="23" max="23" width="2.33203125" style="4" customWidth="1"/>
    <col min="24" max="24" width="12.33203125" style="4" bestFit="1" customWidth="1"/>
    <col min="25" max="25" width="1.6640625" style="4" customWidth="1"/>
    <col min="26" max="26" width="10.6640625" style="4" customWidth="1"/>
    <col min="27" max="27" width="2.33203125" style="4" customWidth="1"/>
    <col min="28" max="28" width="11.33203125" style="4" bestFit="1" customWidth="1"/>
    <col min="29" max="29" width="1.6640625" style="4" customWidth="1"/>
    <col min="30" max="30" width="10.6640625" style="4" customWidth="1"/>
    <col min="31" max="31" width="2.33203125" style="4" customWidth="1"/>
    <col min="32" max="32" width="10" style="4" bestFit="1" customWidth="1"/>
    <col min="33" max="33" width="1.6640625" style="4" customWidth="1"/>
    <col min="34" max="34" width="10.6640625" style="4" customWidth="1"/>
    <col min="35" max="35" width="2.33203125" style="4" customWidth="1"/>
    <col min="36" max="36" width="10" style="4" bestFit="1" customWidth="1"/>
    <col min="37" max="37" width="1.6640625" style="4" customWidth="1"/>
    <col min="38" max="38" width="9.109375" style="4"/>
    <col min="39" max="39" width="2.33203125" style="4" customWidth="1"/>
    <col min="40" max="40" width="10" style="4" bestFit="1" customWidth="1"/>
    <col min="41" max="41" width="1.6640625" style="4" customWidth="1"/>
    <col min="42" max="42" width="18.6640625" style="4" bestFit="1" customWidth="1"/>
    <col min="43" max="43" width="2.33203125" style="4" customWidth="1"/>
    <col min="44" max="44" width="10" style="4" bestFit="1" customWidth="1"/>
    <col min="45" max="45" width="1.6640625" style="4" customWidth="1"/>
    <col min="46" max="46" width="8" style="4" bestFit="1" customWidth="1"/>
    <col min="47" max="47" width="2.33203125" style="4" customWidth="1"/>
    <col min="48" max="48" width="13.109375" style="4" customWidth="1"/>
    <col min="49" max="49" width="1.6640625" style="4" customWidth="1"/>
    <col min="50" max="50" width="8" style="4" bestFit="1" customWidth="1"/>
    <col min="51" max="51" width="2.33203125" style="4" customWidth="1"/>
    <col min="52" max="52" width="15.5546875" style="4" bestFit="1" customWidth="1"/>
    <col min="53" max="53" width="1.6640625" style="4" customWidth="1"/>
    <col min="54" max="54" width="8" style="4" bestFit="1" customWidth="1"/>
    <col min="55" max="55" width="2.33203125" style="4" customWidth="1"/>
    <col min="56" max="56" width="15.109375" style="4" customWidth="1"/>
    <col min="57" max="57" width="1.6640625" style="4" customWidth="1"/>
    <col min="58" max="58" width="8" style="4" bestFit="1" customWidth="1"/>
    <col min="59" max="59" width="2.33203125" style="4" customWidth="1"/>
    <col min="60" max="60" width="12.5546875" style="4" bestFit="1" customWidth="1"/>
    <col min="61" max="61" width="1.6640625" style="4" customWidth="1"/>
    <col min="62" max="62" width="8" style="4" bestFit="1" customWidth="1"/>
    <col min="63" max="63" width="2.33203125" style="4" customWidth="1"/>
    <col min="64" max="64" width="10" style="4" bestFit="1" customWidth="1"/>
    <col min="65" max="16384" width="9.109375" style="4"/>
  </cols>
  <sheetData>
    <row r="1" spans="1:16382" x14ac:dyDescent="0.35">
      <c r="B1" s="123" t="s">
        <v>137</v>
      </c>
      <c r="C1" s="124"/>
      <c r="E1" s="124"/>
      <c r="F1" s="124"/>
    </row>
    <row r="2" spans="1:16382" ht="30" customHeight="1" x14ac:dyDescent="0.35"/>
    <row r="3" spans="1:16382" x14ac:dyDescent="0.35">
      <c r="A3" s="12"/>
      <c r="B3" s="69" t="s">
        <v>1</v>
      </c>
      <c r="C3" s="117">
        <f>'Panel de Mercado'!R3</f>
        <v>43936</v>
      </c>
      <c r="D3" s="117"/>
      <c r="AU3"/>
      <c r="AV3" s="125">
        <f>+AN6/AV6</f>
        <v>3.7147208344293574</v>
      </c>
      <c r="AW3"/>
      <c r="BE3"/>
    </row>
    <row r="4" spans="1:16382" x14ac:dyDescent="0.35">
      <c r="A4" s="11"/>
      <c r="AV4" s="125">
        <f>+AN7/AV7</f>
        <v>0.25741704389419912</v>
      </c>
    </row>
    <row r="5" spans="1:16382" ht="17.399999999999999" thickBot="1" x14ac:dyDescent="0.45">
      <c r="A5"/>
      <c r="D5" s="23" t="s">
        <v>2</v>
      </c>
      <c r="F5" s="17"/>
      <c r="G5" s="17"/>
      <c r="H5" s="23" t="s">
        <v>8</v>
      </c>
      <c r="K5" s="14"/>
      <c r="L5" s="23" t="s">
        <v>9</v>
      </c>
      <c r="O5" s="14"/>
      <c r="P5" s="23" t="s">
        <v>7</v>
      </c>
      <c r="T5" s="23" t="s">
        <v>5</v>
      </c>
      <c r="X5" s="23" t="s">
        <v>45</v>
      </c>
      <c r="AB5" s="23" t="s">
        <v>41</v>
      </c>
      <c r="AF5" s="23" t="s">
        <v>43</v>
      </c>
      <c r="AJ5" s="23" t="s">
        <v>10</v>
      </c>
      <c r="AL5"/>
      <c r="AN5" s="26" t="s">
        <v>136</v>
      </c>
      <c r="AP5" s="17"/>
      <c r="AQ5" s="17"/>
      <c r="AR5" s="26" t="s">
        <v>11</v>
      </c>
      <c r="AT5" s="17"/>
      <c r="AU5" s="17"/>
      <c r="AV5" s="26" t="s">
        <v>32</v>
      </c>
      <c r="AX5" s="17"/>
      <c r="AY5" s="17"/>
      <c r="AZ5" s="26" t="s">
        <v>36</v>
      </c>
      <c r="BB5" s="17"/>
      <c r="BC5" s="17"/>
      <c r="BD5" s="26" t="s">
        <v>135</v>
      </c>
      <c r="BF5" s="17"/>
      <c r="BG5" s="17"/>
      <c r="BH5" s="26" t="s">
        <v>138</v>
      </c>
      <c r="BJ5" s="17"/>
      <c r="BK5" s="17"/>
      <c r="BL5" s="26" t="s">
        <v>37</v>
      </c>
    </row>
    <row r="6" spans="1:16382" ht="18" customHeight="1" x14ac:dyDescent="0.35">
      <c r="A6"/>
      <c r="B6" s="4" t="s">
        <v>2</v>
      </c>
      <c r="D6" s="19">
        <f>IFERROR(_xll.ECONOMATICA(B6,"close",,$C$3,,,,,"false","false"),"")</f>
        <v>2783.3599999993999</v>
      </c>
      <c r="F6" s="15" t="s">
        <v>3</v>
      </c>
      <c r="G6" s="16"/>
      <c r="H6" s="19">
        <f>IFERROR(_xll.ECONOMATICA(F6,"close",,$C$3,,,,,"false","false"),"")</f>
        <v>23504.349999994</v>
      </c>
      <c r="J6" s="15" t="s">
        <v>6</v>
      </c>
      <c r="L6" s="19">
        <f>IFERROR(_xll.ECONOMATICA(J6,"close",,$C$3,,,,,"false","false"),"")</f>
        <v>8393.1800000071507</v>
      </c>
      <c r="N6" s="15" t="s">
        <v>4</v>
      </c>
      <c r="P6" s="19">
        <f>IFERROR(_xll.ECONOMATICA(N6,"close",,$C$3,,,,,"false","false"),"")</f>
        <v>78831.460000038103</v>
      </c>
      <c r="R6" s="15" t="s">
        <v>5</v>
      </c>
      <c r="S6" s="14"/>
      <c r="T6" s="19">
        <f>IFERROR(_xll.ECONOMATICA(R6,"close",,$C$3,,,,,"false","false"),"")</f>
        <v>32070.669999986902</v>
      </c>
      <c r="V6" s="15" t="s">
        <v>45</v>
      </c>
      <c r="X6" s="19">
        <f>IFERROR(_xll.ECONOMATICA(V6,"close",,$C$3,,,,,"false","false"),"")</f>
        <v>3854.4800000004502</v>
      </c>
      <c r="Z6" s="83" t="s">
        <v>40</v>
      </c>
      <c r="AB6" s="19">
        <f>IFERROR(_xll.ECONOMATICA(Z6,"close",,$C$3,,,,,"false","false"),"")</f>
        <v>14457.2300000042</v>
      </c>
      <c r="AD6" s="15" t="s">
        <v>42</v>
      </c>
      <c r="AF6" s="19">
        <f>IFERROR(_xll.ECONOMATICA(AD6,"close",,$C$3,,,,,"false","false"),"")</f>
        <v>1204.0099999997799</v>
      </c>
      <c r="AH6" s="15" t="s">
        <v>33</v>
      </c>
      <c r="AJ6" s="19">
        <f>IFERROR(_xll.ECONOMATICA(AH6,"close",,$C$3,,,,,"false","false"),"")</f>
        <v>33855.2400000095</v>
      </c>
      <c r="AL6" s="15" t="s">
        <v>128</v>
      </c>
      <c r="AN6" s="25">
        <f>IFERROR(_xll.ECONOMATICA(AL6,"close",,$C$3,,,,,"false","false"),"")</f>
        <v>3.3905000000013401</v>
      </c>
      <c r="AP6" s="15" t="s">
        <v>129</v>
      </c>
      <c r="AQ6" s="16"/>
      <c r="AR6" s="25">
        <f>IFERROR(_xll.ECONOMATICA(AP6,"close",,$C$3,,,,,"false","false"),+AN6/AV6)</f>
        <v>3.7147208344293574</v>
      </c>
      <c r="AT6" s="15" t="s">
        <v>20</v>
      </c>
      <c r="AU6" s="16"/>
      <c r="AV6" s="25">
        <f>IFERROR(_xll.ECONOMATICA(AT6,"close",,$C$3,,,,,"false","false"),"")</f>
        <v>0.91272000000026299</v>
      </c>
      <c r="AX6" s="15" t="s">
        <v>19</v>
      </c>
      <c r="AY6" s="16"/>
      <c r="AZ6" s="25">
        <f>IFERROR(_xll.ECONOMATICA(AX6,"close",,$C$3,,,,,"false","false"),"")</f>
        <v>0.79478000000017301</v>
      </c>
      <c r="BB6" s="4" t="s">
        <v>21</v>
      </c>
      <c r="BC6" s="16"/>
      <c r="BD6" s="25">
        <f>IFERROR(_xll.ECONOMATICA(BB6,"close",,$C$3,,,,,"false","false"),"")</f>
        <v>0.96260999999958596</v>
      </c>
      <c r="BF6" s="4" t="s">
        <v>22</v>
      </c>
      <c r="BG6" s="16"/>
      <c r="BH6" s="25">
        <f>IFERROR(_xll.ECONOMATICA(BF6,"close",,$C$3,,,,,"false","false"),"")</f>
        <v>107.390000000014</v>
      </c>
      <c r="BJ6" s="4" t="s">
        <v>18</v>
      </c>
      <c r="BK6" s="16"/>
      <c r="BL6" s="25">
        <f>IFERROR(_xll.ECONOMATICA(BJ6,"close",,$C$3,,,,,"false","false"),"")</f>
        <v>7.0494899999975997</v>
      </c>
    </row>
    <row r="7" spans="1:16382" ht="18" customHeight="1" x14ac:dyDescent="0.4">
      <c r="A7"/>
      <c r="C7" s="14" t="str">
        <f>IF(D7&gt;0,"p","q")</f>
        <v>q</v>
      </c>
      <c r="D7" s="20">
        <f>IFERROR(_xll.ECONOMATICA(B6,"RETURN",,$C$3,,,,"decimal","false","false"),"")</f>
        <v>-2.20304561389639E-2</v>
      </c>
      <c r="G7" s="14" t="str">
        <f>IF(H7&gt;0,"p","q")</f>
        <v>q</v>
      </c>
      <c r="H7" s="20">
        <f>IFERROR(_xll.ECONOMATICA(F6,"RETURN",,$C$3,,,,"decimal","false","false"),"")</f>
        <v>-1.8597681145365599E-2</v>
      </c>
      <c r="K7" s="14" t="str">
        <f>IF(L7&gt;0,"p","q")</f>
        <v>q</v>
      </c>
      <c r="L7" s="20">
        <f>IFERROR(_xll.ECONOMATICA(J6,"RETURN",,$C$3,,,,"decimal","false","false"),"")</f>
        <v>-1.43921726103144E-2</v>
      </c>
      <c r="N7" s="17"/>
      <c r="O7" s="14" t="str">
        <f>IF(P7&gt;0,"p","q")</f>
        <v>q</v>
      </c>
      <c r="P7" s="20">
        <f>IFERROR(_xll.ECONOMATICA(N6,"RETURN",,$C$3,,,,"decimal","false","false"),"")</f>
        <v>-1.36001289311025E-2</v>
      </c>
      <c r="R7" s="17"/>
      <c r="S7" s="14" t="str">
        <f>IF(T7&gt;0,"p","q")</f>
        <v>p</v>
      </c>
      <c r="T7" s="20">
        <f>IFERROR(_xll.ECONOMATICA(R6,"RETURN",,$C$3,,,,"decimal","false","false"),"")</f>
        <v>4.18796324411232E-2</v>
      </c>
      <c r="W7" s="14" t="str">
        <f>IF(X7&gt;0,"p","q")</f>
        <v>q</v>
      </c>
      <c r="X7" s="20">
        <f>IFERROR(_xll.ECONOMATICA(V6,"RETURN",,$C$3,,,,"decimal","false","false"),"")</f>
        <v>-1.68070870859083E-2</v>
      </c>
      <c r="AA7" s="14" t="str">
        <f>IF(AB7&gt;0,"p","q")</f>
        <v>q</v>
      </c>
      <c r="AB7" s="20">
        <f>IFERROR(_xll.ECONOMATICA(Z6,"RETURN",,$C$3,,,,"decimal","false","false"),"")</f>
        <v>-5.4406813615059902E-4</v>
      </c>
      <c r="AE7" s="14" t="str">
        <f>IF(AF7&gt;0,"p","q")</f>
        <v>q</v>
      </c>
      <c r="AF7" s="20">
        <f>IFERROR(_xll.ECONOMATICA(AD6,"RETURN",,$C$3,,,,"decimal","false","false"),"")</f>
        <v>-5.8213465899825704E-3</v>
      </c>
      <c r="AI7" s="14" t="str">
        <f>IF(AJ7&gt;0,"p","q")</f>
        <v>q</v>
      </c>
      <c r="AJ7" s="20">
        <f>IFERROR(_xll.ECONOMATICA(AH6,"RETURN",,$C$3,,,,"decimal","false","false"),"")</f>
        <v>-2.5647268679676899E-2</v>
      </c>
      <c r="AL7"/>
      <c r="AM7"/>
      <c r="AN7" s="20">
        <f>IFERROR(_xll.ECONOMATICA(AL6,"RETURN",,$C$3,,,,"decimal","false","false"),"")</f>
        <v>-7.36811080969346E-4</v>
      </c>
      <c r="AQ7"/>
      <c r="AR7" s="20" t="str">
        <f>IFERROR(_xll.ECONOMATICA(AP6,"RETURN",,$C$3,,,,"decimal","false","false"),"")</f>
        <v/>
      </c>
      <c r="AU7"/>
      <c r="AV7" s="20">
        <f>IFERROR(_xll.ECONOMATICA(AT6,"RETURN",,$C$3,,,,"decimal","false","false"),"")</f>
        <v>-2.8623243815673002E-3</v>
      </c>
      <c r="AY7"/>
      <c r="AZ7" s="20">
        <f>IFERROR(_xll.ECONOMATICA(AX6,"RETURN",,$C$3,,,,"decimal","false","false"),"")</f>
        <v>-6.5746712662075896E-3</v>
      </c>
      <c r="BC7"/>
      <c r="BD7" s="20">
        <f>IFERROR(_xll.ECONOMATICA(BB6,"RETURN",,$C$3,,,,"decimal","false","false"),"")</f>
        <v>-3.8186898482308598E-3</v>
      </c>
      <c r="BG7"/>
      <c r="BH7" s="20">
        <f>IFERROR(_xll.ECONOMATICA(BF6,"RETURN",,$C$3,,,,"decimal","false","false"),"")</f>
        <v>-4.2651831245166198E-3</v>
      </c>
      <c r="BK7"/>
      <c r="BL7" s="20">
        <f>IFERROR(_xll.ECONOMATICA(BJ6,"RETURN",,$C$3,,,,"decimal","false","false"),"")</f>
        <v>6.9513405833276906E-5</v>
      </c>
    </row>
    <row r="8" spans="1:16382" ht="18" customHeight="1" x14ac:dyDescent="0.4">
      <c r="A8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  <c r="XFB8" s="17"/>
    </row>
    <row r="9" spans="1:16382" ht="18" customHeight="1" x14ac:dyDescent="0.35">
      <c r="A9"/>
    </row>
    <row r="10" spans="1:16382" ht="18" customHeight="1" x14ac:dyDescent="0.35"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</row>
    <row r="11" spans="1:16382" ht="18" customHeight="1" x14ac:dyDescent="0.35"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B11"/>
      <c r="BC11"/>
      <c r="BD11"/>
      <c r="BF11"/>
      <c r="BG11"/>
      <c r="BH11"/>
      <c r="BJ11"/>
      <c r="BK11"/>
      <c r="BL11"/>
    </row>
    <row r="12" spans="1:16382" ht="18" customHeight="1" x14ac:dyDescent="0.35"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B12"/>
      <c r="BC12"/>
      <c r="BD12"/>
      <c r="BF12"/>
      <c r="BG12"/>
      <c r="BH12"/>
      <c r="BJ12"/>
      <c r="BK12"/>
      <c r="BL12"/>
    </row>
    <row r="13" spans="1:16382" ht="18" customHeight="1" x14ac:dyDescent="0.35"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B13"/>
      <c r="BC13"/>
      <c r="BD13"/>
      <c r="BF13"/>
      <c r="BG13"/>
      <c r="BH13"/>
      <c r="BJ13"/>
      <c r="BK13"/>
      <c r="BL13"/>
    </row>
    <row r="14" spans="1:16382" ht="18" customHeight="1" x14ac:dyDescent="0.4">
      <c r="E14" s="17"/>
      <c r="F14" s="17"/>
      <c r="G14" s="17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BA14" s="17"/>
      <c r="BE14" s="17"/>
      <c r="BI14" s="17"/>
    </row>
    <row r="15" spans="1:16382" ht="18" customHeight="1" x14ac:dyDescent="0.35"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16382" ht="18" customHeight="1" x14ac:dyDescent="0.35"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</row>
    <row r="17" spans="1:49" ht="18" customHeight="1" x14ac:dyDescent="0.35"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</row>
    <row r="18" spans="1:49" ht="18" customHeight="1" x14ac:dyDescent="0.35"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</row>
    <row r="19" spans="1:49" ht="18" customHeight="1" x14ac:dyDescent="0.35"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pans="1:49" ht="18" customHeight="1" x14ac:dyDescent="0.35"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49" ht="18" customHeight="1" x14ac:dyDescent="0.35">
      <c r="A21"/>
      <c r="D21" s="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 ht="18" customHeight="1" x14ac:dyDescent="0.35">
      <c r="A22"/>
      <c r="D22" s="21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</row>
    <row r="23" spans="1:49" ht="18" customHeight="1" x14ac:dyDescent="0.35">
      <c r="A23"/>
      <c r="D23" s="21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ht="18" customHeight="1" x14ac:dyDescent="0.35">
      <c r="A24"/>
      <c r="D24" s="21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ht="18" customHeight="1" x14ac:dyDescent="0.35">
      <c r="A25"/>
      <c r="D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ht="18" customHeight="1" x14ac:dyDescent="0.35">
      <c r="A26"/>
      <c r="D26" s="21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ht="18" customHeight="1" x14ac:dyDescent="0.35">
      <c r="A27"/>
      <c r="D27" s="21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ht="18" customHeight="1" x14ac:dyDescent="0.35">
      <c r="A28"/>
      <c r="D28" s="21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ht="18" customHeight="1" x14ac:dyDescent="0.35">
      <c r="A29" s="14"/>
      <c r="D29" s="21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ht="18" customHeight="1" x14ac:dyDescent="0.35">
      <c r="A30"/>
      <c r="D30" s="21"/>
    </row>
    <row r="31" spans="1:49" ht="21.9" customHeight="1" x14ac:dyDescent="0.35">
      <c r="D31" s="22"/>
    </row>
    <row r="32" spans="1:49" x14ac:dyDescent="0.35">
      <c r="D32" s="22"/>
    </row>
    <row r="33" spans="4:4" x14ac:dyDescent="0.35">
      <c r="D33" s="22"/>
    </row>
  </sheetData>
  <mergeCells count="1">
    <mergeCell ref="C3:D3"/>
  </mergeCells>
  <conditionalFormatting sqref="C7 K5 G6:G7 O5 K7 S6:S7 N7:O7 R7 A29 W7">
    <cfRule type="cellIs" dxfId="38" priority="68" operator="equal">
      <formula>"q"</formula>
    </cfRule>
    <cfRule type="cellIs" dxfId="37" priority="69" operator="equal">
      <formula>"p"</formula>
    </cfRule>
  </conditionalFormatting>
  <conditionalFormatting sqref="D7 D21:D30">
    <cfRule type="cellIs" dxfId="36" priority="67" operator="greaterThan">
      <formula>0</formula>
    </cfRule>
  </conditionalFormatting>
  <conditionalFormatting sqref="T7">
    <cfRule type="cellIs" dxfId="35" priority="62" operator="greaterThan">
      <formula>0</formula>
    </cfRule>
  </conditionalFormatting>
  <conditionalFormatting sqref="P7">
    <cfRule type="cellIs" dxfId="34" priority="63" operator="greaterThan">
      <formula>0</formula>
    </cfRule>
  </conditionalFormatting>
  <conditionalFormatting sqref="H7">
    <cfRule type="cellIs" dxfId="33" priority="61" operator="greaterThan">
      <formula>0</formula>
    </cfRule>
  </conditionalFormatting>
  <conditionalFormatting sqref="L7">
    <cfRule type="cellIs" dxfId="32" priority="60" operator="greaterThan">
      <formula>0</formula>
    </cfRule>
  </conditionalFormatting>
  <conditionalFormatting sqref="X7">
    <cfRule type="cellIs" dxfId="31" priority="57" operator="greaterThan">
      <formula>0</formula>
    </cfRule>
  </conditionalFormatting>
  <conditionalFormatting sqref="AI7">
    <cfRule type="cellIs" dxfId="30" priority="47" operator="equal">
      <formula>"q"</formula>
    </cfRule>
    <cfRule type="cellIs" dxfId="29" priority="48" operator="equal">
      <formula>"p"</formula>
    </cfRule>
  </conditionalFormatting>
  <conditionalFormatting sqref="AJ7">
    <cfRule type="cellIs" dxfId="28" priority="46" operator="greaterThan">
      <formula>0</formula>
    </cfRule>
  </conditionalFormatting>
  <conditionalFormatting sqref="AQ6">
    <cfRule type="cellIs" dxfId="27" priority="44" operator="equal">
      <formula>"q"</formula>
    </cfRule>
    <cfRule type="cellIs" dxfId="26" priority="45" operator="equal">
      <formula>"p"</formula>
    </cfRule>
  </conditionalFormatting>
  <conditionalFormatting sqref="AN7">
    <cfRule type="cellIs" dxfId="25" priority="34" operator="greaterThan">
      <formula>0</formula>
    </cfRule>
  </conditionalFormatting>
  <conditionalFormatting sqref="AR7">
    <cfRule type="cellIs" dxfId="24" priority="30" operator="greaterThan">
      <formula>0</formula>
    </cfRule>
  </conditionalFormatting>
  <conditionalFormatting sqref="AU6">
    <cfRule type="cellIs" dxfId="23" priority="21" operator="equal">
      <formula>"q"</formula>
    </cfRule>
    <cfRule type="cellIs" dxfId="22" priority="22" operator="equal">
      <formula>"p"</formula>
    </cfRule>
  </conditionalFormatting>
  <conditionalFormatting sqref="AV7">
    <cfRule type="cellIs" dxfId="21" priority="20" operator="greaterThan">
      <formula>0</formula>
    </cfRule>
  </conditionalFormatting>
  <conditionalFormatting sqref="AY6">
    <cfRule type="cellIs" dxfId="20" priority="18" operator="equal">
      <formula>"q"</formula>
    </cfRule>
    <cfRule type="cellIs" dxfId="19" priority="19" operator="equal">
      <formula>"p"</formula>
    </cfRule>
  </conditionalFormatting>
  <conditionalFormatting sqref="AZ7">
    <cfRule type="cellIs" dxfId="18" priority="16" operator="greaterThan">
      <formula>0</formula>
    </cfRule>
  </conditionalFormatting>
  <conditionalFormatting sqref="BC6">
    <cfRule type="cellIs" dxfId="17" priority="14" operator="equal">
      <formula>"q"</formula>
    </cfRule>
    <cfRule type="cellIs" dxfId="16" priority="15" operator="equal">
      <formula>"p"</formula>
    </cfRule>
  </conditionalFormatting>
  <conditionalFormatting sqref="BD7">
    <cfRule type="cellIs" dxfId="15" priority="13" operator="greaterThan">
      <formula>0</formula>
    </cfRule>
  </conditionalFormatting>
  <conditionalFormatting sqref="BG6">
    <cfRule type="cellIs" dxfId="14" priority="11" operator="equal">
      <formula>"q"</formula>
    </cfRule>
    <cfRule type="cellIs" dxfId="13" priority="12" operator="equal">
      <formula>"p"</formula>
    </cfRule>
  </conditionalFormatting>
  <conditionalFormatting sqref="BH7">
    <cfRule type="cellIs" dxfId="12" priority="10" operator="greaterThan">
      <formula>0</formula>
    </cfRule>
  </conditionalFormatting>
  <conditionalFormatting sqref="BK6">
    <cfRule type="cellIs" dxfId="11" priority="8" operator="equal">
      <formula>"q"</formula>
    </cfRule>
    <cfRule type="cellIs" dxfId="10" priority="9" operator="equal">
      <formula>"p"</formula>
    </cfRule>
  </conditionalFormatting>
  <conditionalFormatting sqref="BL7">
    <cfRule type="cellIs" dxfId="9" priority="7" operator="greaterThan">
      <formula>0</formula>
    </cfRule>
  </conditionalFormatting>
  <conditionalFormatting sqref="AA7">
    <cfRule type="cellIs" dxfId="8" priority="5" operator="equal">
      <formula>"q"</formula>
    </cfRule>
    <cfRule type="cellIs" dxfId="7" priority="6" operator="equal">
      <formula>"p"</formula>
    </cfRule>
  </conditionalFormatting>
  <conditionalFormatting sqref="AB7">
    <cfRule type="cellIs" dxfId="6" priority="4" operator="greaterThan">
      <formula>0</formula>
    </cfRule>
  </conditionalFormatting>
  <conditionalFormatting sqref="AE7">
    <cfRule type="cellIs" dxfId="5" priority="2" operator="equal">
      <formula>"q"</formula>
    </cfRule>
    <cfRule type="cellIs" dxfId="4" priority="3" operator="equal">
      <formula>"p"</formula>
    </cfRule>
  </conditionalFormatting>
  <conditionalFormatting sqref="AF7">
    <cfRule type="cellIs" dxfId="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F53C-9CC6-48CB-AA83-AFE347DB4B27}">
  <sheetPr codeName="Planilha3"/>
  <dimension ref="A1:S133"/>
  <sheetViews>
    <sheetView showGridLines="0" topLeftCell="A13" zoomScaleNormal="100" workbookViewId="0">
      <selection activeCell="E30" sqref="E30"/>
    </sheetView>
  </sheetViews>
  <sheetFormatPr baseColWidth="10" defaultColWidth="9.109375" defaultRowHeight="15" x14ac:dyDescent="0.35"/>
  <cols>
    <col min="1" max="1" width="1.6640625" style="4" customWidth="1"/>
    <col min="2" max="2" width="10.6640625" style="4" customWidth="1"/>
    <col min="3" max="3" width="9.6640625" style="4" customWidth="1"/>
    <col min="4" max="4" width="14.5546875" style="4" customWidth="1"/>
    <col min="5" max="5" width="10.6640625" style="4" customWidth="1"/>
    <col min="6" max="6" width="9.33203125" style="4" customWidth="1"/>
    <col min="7" max="7" width="10.6640625" style="4" customWidth="1"/>
    <col min="8" max="8" width="1.6640625" style="4" customWidth="1"/>
    <col min="9" max="9" width="10.6640625" style="4" customWidth="1"/>
    <col min="10" max="10" width="17" style="4" bestFit="1" customWidth="1"/>
    <col min="11" max="11" width="2.33203125" style="4" customWidth="1"/>
    <col min="12" max="12" width="13.33203125" style="4" customWidth="1"/>
    <col min="13" max="13" width="1.6640625" style="4" customWidth="1"/>
    <col min="14" max="14" width="14.5546875" style="13" bestFit="1" customWidth="1"/>
    <col min="15" max="15" width="7.109375" style="29" bestFit="1" customWidth="1"/>
    <col min="16" max="16" width="8.6640625" style="13" customWidth="1"/>
    <col min="17" max="17" width="16.109375" style="29" bestFit="1" customWidth="1"/>
    <col min="18" max="18" width="9.109375" style="4"/>
    <col min="19" max="19" width="19.44140625" style="4" bestFit="1" customWidth="1"/>
    <col min="20" max="16384" width="9.109375" style="4"/>
  </cols>
  <sheetData>
    <row r="1" spans="1:19" x14ac:dyDescent="0.35">
      <c r="B1" s="84" t="s">
        <v>44</v>
      </c>
    </row>
    <row r="2" spans="1:19" ht="30" customHeight="1" x14ac:dyDescent="0.35"/>
    <row r="3" spans="1:19" x14ac:dyDescent="0.35">
      <c r="A3" s="79"/>
      <c r="B3" s="69" t="s">
        <v>0</v>
      </c>
      <c r="C3" s="85">
        <f>'Panel de Mercado'!R3</f>
        <v>43936</v>
      </c>
      <c r="E3" s="30"/>
      <c r="N3" s="38" t="s">
        <v>112</v>
      </c>
      <c r="O3" s="4"/>
    </row>
    <row r="4" spans="1:19" x14ac:dyDescent="0.35">
      <c r="C4" s="30"/>
      <c r="I4"/>
      <c r="J4"/>
      <c r="K4"/>
      <c r="L4"/>
      <c r="N4" s="86" t="str">
        <f>_xll.ECOSECURITIES("STOCK","ACTIVE",,,"XLIM",,,$S$6)</f>
        <v>Codigo</v>
      </c>
      <c r="O4" s="87" t="s">
        <v>12</v>
      </c>
      <c r="P4" s="87" t="str">
        <f>_xll.ECONOMATICA($N$5:$N$132,"ticker")</f>
        <v>Codigo</v>
      </c>
      <c r="Q4" s="87" t="str">
        <f>_xll.ECONOMATICA($N$5:$N$132,"Return",,$C$3,,,,"decimal",,,"Máxima/Mínimo")</f>
        <v>Máxima/Mínimo</v>
      </c>
    </row>
    <row r="5" spans="1:19" ht="16.8" x14ac:dyDescent="0.35">
      <c r="B5" s="65" t="s">
        <v>113</v>
      </c>
      <c r="C5" s="34"/>
      <c r="D5" s="34"/>
      <c r="E5" s="35"/>
      <c r="I5" s="68" t="s">
        <v>25</v>
      </c>
      <c r="J5" s="66"/>
      <c r="K5" s="66"/>
      <c r="L5" s="66"/>
      <c r="N5" s="32" t="s">
        <v>48</v>
      </c>
      <c r="O5" s="33">
        <f>IFERROR(RANK(Q5,$Q$5:$Q$132)+COUNTIF($Q$5:Q5,Q5)-1,"")</f>
        <v>10</v>
      </c>
      <c r="P5" s="13" t="s">
        <v>79</v>
      </c>
      <c r="Q5" s="29">
        <v>1.71428571429715E-2</v>
      </c>
      <c r="S5" s="4" t="s">
        <v>111</v>
      </c>
    </row>
    <row r="6" spans="1:19" x14ac:dyDescent="0.35">
      <c r="B6" s="36" t="s">
        <v>14</v>
      </c>
      <c r="C6" s="37">
        <f>_xll.ECONOMATICA("SPBLPGPT","Low",,$C$3)</f>
        <v>14290.4599999934</v>
      </c>
      <c r="D6" s="38" t="s">
        <v>15</v>
      </c>
      <c r="E6" s="39">
        <f>_xll.ECONOMATICA("SPBLPGPT","RETURN",,$C$3,,,,"DECIMAL","FALSE","FALSE")</f>
        <v>-5.4406813615059902E-4</v>
      </c>
      <c r="I6" s="67"/>
      <c r="J6" s="67" t="s">
        <v>116</v>
      </c>
      <c r="K6" s="45"/>
      <c r="L6" s="45" t="s">
        <v>26</v>
      </c>
      <c r="N6" s="32" t="s">
        <v>52</v>
      </c>
      <c r="O6" s="33">
        <f>IFERROR(RANK(Q6,$Q$5:$Q$132)+COUNTIF($Q$5:Q6,Q6)-1,"")</f>
        <v>12</v>
      </c>
      <c r="P6" s="13" t="s">
        <v>80</v>
      </c>
      <c r="Q6" s="29">
        <v>0</v>
      </c>
      <c r="S6" s="4" t="s">
        <v>78</v>
      </c>
    </row>
    <row r="7" spans="1:19" ht="16.8" x14ac:dyDescent="0.35">
      <c r="B7" s="36" t="s">
        <v>16</v>
      </c>
      <c r="C7" s="37">
        <f>_xll.ECONOMATICA("SPBLPGPT","High",,$C$3)</f>
        <v>14546.8199999928</v>
      </c>
      <c r="D7" s="38" t="s">
        <v>17</v>
      </c>
      <c r="E7" s="39">
        <f>_xll.ECONOMATICA("SPBLPGPT","RETURN","1W",$C$3,,,,"DECIMAL","FALSE","FALSE")</f>
        <v>3.9118894097555298E-2</v>
      </c>
      <c r="I7" s="55" t="s">
        <v>133</v>
      </c>
      <c r="J7" s="56">
        <f>IFERROR(_xll.ECONOMATICA("OZ1D","CLOSE",,$C$3,,,,,"FALSE","FALSE"),"")</f>
        <v>297.20000000018598</v>
      </c>
      <c r="K7" s="58" t="str">
        <f>IF(L7&gt;0,"p","q")</f>
        <v>p</v>
      </c>
      <c r="L7" s="57">
        <f>IFERROR(_xll.ECONOMATICA("OZ1D","RETURN",,$C$3,,,,"DECIMAL","FALSE","FALSE"),"")</f>
        <v>2.4827586206811199E-2</v>
      </c>
      <c r="N7" s="32" t="s">
        <v>59</v>
      </c>
      <c r="O7" s="33">
        <f>IFERROR(RANK(Q7,$Q$5:$Q$132)+COUNTIF($Q$5:Q7,Q7)-1,"")</f>
        <v>13</v>
      </c>
      <c r="P7" s="13" t="s">
        <v>81</v>
      </c>
      <c r="Q7" s="29">
        <v>0</v>
      </c>
    </row>
    <row r="8" spans="1:19" ht="16.8" x14ac:dyDescent="0.35">
      <c r="B8" s="36" t="s">
        <v>115</v>
      </c>
      <c r="C8" s="37">
        <f>_xll.ECONOMATICA("SPBLPGPT","OPEN",,$C$3)</f>
        <v>14535.099999994</v>
      </c>
      <c r="D8" s="38" t="s">
        <v>114</v>
      </c>
      <c r="E8" s="39">
        <f>_xll.ECONOMATICA("SPBLPGPT","RETURN","MTD",$C$3,,,,"DECIMAL","FALSE","FALSE")</f>
        <v>-4.7496906063315702E-4</v>
      </c>
      <c r="I8" s="55" t="s">
        <v>38</v>
      </c>
      <c r="J8" s="88">
        <f>IFERROR(_xll.ECONOMATICA("WTICO","CLOSE",,"LATEST",,,,,"FALSE","FALSE"),"")</f>
        <v>20.070000000006999</v>
      </c>
      <c r="K8" s="58" t="str">
        <f>IF(L8&gt;0,"p","q")</f>
        <v>q</v>
      </c>
      <c r="L8" s="57">
        <f>IFERROR(_xll.ECONOMATICA("WTICO","RETURN",,"LATEST",,,,"DECIMAL","FALSE","FALSE"),"")</f>
        <v>-1.9890601679435301E-3</v>
      </c>
      <c r="N8" s="32" t="s">
        <v>75</v>
      </c>
      <c r="O8" s="33">
        <f>IFERROR(RANK(Q8,$Q$5:$Q$132)+COUNTIF($Q$5:Q8,Q8)-1,"")</f>
        <v>13</v>
      </c>
      <c r="P8" s="13" t="s">
        <v>82</v>
      </c>
    </row>
    <row r="9" spans="1:19" ht="16.5" customHeight="1" thickBot="1" x14ac:dyDescent="0.4">
      <c r="B9" s="40" t="s">
        <v>116</v>
      </c>
      <c r="C9" s="41">
        <f>_xll.ECONOMATICA("SPBLPGPT","CLOSE",,$C$3)</f>
        <v>14457.2300000042</v>
      </c>
      <c r="D9" s="121">
        <f>+C3</f>
        <v>43936</v>
      </c>
      <c r="E9" s="42">
        <f>_xll.ECONOMATICA("SPBLPGPT","RETURN","YTD",$C$3,,,,"DECIMAL","FALSE","FALSE")</f>
        <v>-0.29511483394715499</v>
      </c>
      <c r="G9" s="31"/>
      <c r="I9" s="55" t="s">
        <v>124</v>
      </c>
      <c r="J9" s="88">
        <f>IFERROR(_xll.ECONOMATICA("copper 3m","CLOSE",,"LATEST",,,,,"FALSE","FALSE"),"")</f>
        <v>2.26455990699833</v>
      </c>
      <c r="K9" s="58" t="str">
        <f t="shared" ref="K9:K10" si="0">IF(L9&gt;0,"p","q")</f>
        <v>q</v>
      </c>
      <c r="L9" s="57">
        <f>IFERROR(_xll.ECONOMATICA("copper 3m","RETURN",,"LATEST",,,,"DECIMAL","FALSE","FALSE"),"")</f>
        <v>-1.8287287639395799E-2</v>
      </c>
      <c r="N9" s="32" t="s">
        <v>58</v>
      </c>
      <c r="O9" s="33">
        <f>IFERROR(RANK(Q9,$Q$5:$Q$132)+COUNTIF($Q$5:Q9,Q9)-1,"")</f>
        <v>23</v>
      </c>
      <c r="P9" s="13" t="s">
        <v>83</v>
      </c>
      <c r="Q9" s="29">
        <v>-6.7532467532146298E-2</v>
      </c>
    </row>
    <row r="10" spans="1:19" ht="15" customHeight="1" thickTop="1" x14ac:dyDescent="0.35">
      <c r="G10" s="31"/>
      <c r="I10" s="55" t="s">
        <v>125</v>
      </c>
      <c r="J10" s="88">
        <f>IFERROR(_xll.ECONOMATICA("tin 3m","CLOSE",,"LATEST",,,,,"FALSE","FALSE"),"")</f>
        <v>6.8301939070006501</v>
      </c>
      <c r="K10" s="58" t="str">
        <f t="shared" si="0"/>
        <v>p</v>
      </c>
      <c r="L10" s="57">
        <f>IFERROR(_xll.ECONOMATICA("tin 3m","RETURN",,"LATEST",,,,"DECIMAL","FALSE","FALSE"),"")</f>
        <v>1.94989843439544E-2</v>
      </c>
      <c r="N10" s="32" t="s">
        <v>53</v>
      </c>
      <c r="O10" s="33">
        <f>IFERROR(RANK(Q10,$Q$5:$Q$132)+COUNTIF($Q$5:Q10,Q10)-1,"")</f>
        <v>13</v>
      </c>
      <c r="P10" s="13" t="s">
        <v>84</v>
      </c>
    </row>
    <row r="11" spans="1:19" x14ac:dyDescent="0.35">
      <c r="B11" s="4" t="s">
        <v>117</v>
      </c>
      <c r="I11"/>
      <c r="J11"/>
      <c r="K11"/>
      <c r="L11"/>
      <c r="N11" s="32" t="s">
        <v>56</v>
      </c>
      <c r="O11" s="33">
        <f>IFERROR(RANK(Q11,$Q$5:$Q$132)+COUNTIF($Q$5:Q11,Q11)-1,"")</f>
        <v>18</v>
      </c>
      <c r="P11" s="13" t="s">
        <v>85</v>
      </c>
      <c r="Q11" s="29">
        <v>-1.1160714286234E-2</v>
      </c>
    </row>
    <row r="12" spans="1:19" x14ac:dyDescent="0.35">
      <c r="I12"/>
      <c r="J12"/>
      <c r="K12"/>
      <c r="L12"/>
      <c r="N12" s="32" t="s">
        <v>77</v>
      </c>
      <c r="O12" s="33">
        <f>IFERROR(RANK(Q12,$Q$5:$Q$132)+COUNTIF($Q$5:Q12,Q12)-1,"")</f>
        <v>8</v>
      </c>
      <c r="P12" s="13" t="s">
        <v>86</v>
      </c>
      <c r="Q12" s="29">
        <v>2.8037383177434101E-2</v>
      </c>
    </row>
    <row r="13" spans="1:19" x14ac:dyDescent="0.35">
      <c r="B13" s="43"/>
      <c r="C13" s="44" t="s">
        <v>118</v>
      </c>
      <c r="D13" s="44"/>
      <c r="E13" s="44"/>
      <c r="F13" s="44"/>
      <c r="G13" s="43"/>
      <c r="I13"/>
      <c r="J13"/>
      <c r="K13"/>
      <c r="L13"/>
      <c r="N13" s="32" t="s">
        <v>71</v>
      </c>
      <c r="O13" s="33">
        <f>IFERROR(RANK(Q13,$Q$5:$Q$132)+COUNTIF($Q$5:Q13,Q13)-1,"")</f>
        <v>21</v>
      </c>
      <c r="P13" s="13" t="s">
        <v>87</v>
      </c>
      <c r="Q13" s="29">
        <v>-1.9933554816816499E-2</v>
      </c>
    </row>
    <row r="14" spans="1:19" x14ac:dyDescent="0.35">
      <c r="B14" s="45" t="s">
        <v>119</v>
      </c>
      <c r="C14" s="46" t="s">
        <v>120</v>
      </c>
      <c r="D14" s="46"/>
      <c r="E14" s="46" t="s">
        <v>121</v>
      </c>
      <c r="F14" s="46"/>
      <c r="G14" s="45" t="s">
        <v>116</v>
      </c>
      <c r="I14"/>
      <c r="J14"/>
      <c r="K14"/>
      <c r="L14"/>
      <c r="N14" s="32" t="s">
        <v>74</v>
      </c>
      <c r="O14" s="33">
        <f>IFERROR(RANK(Q14,$Q$5:$Q$132)+COUNTIF($Q$5:Q14,Q14)-1,"")</f>
        <v>13</v>
      </c>
      <c r="P14" s="13" t="s">
        <v>88</v>
      </c>
    </row>
    <row r="15" spans="1:19" x14ac:dyDescent="0.35">
      <c r="B15" s="47">
        <f>IFERROR(_xll.ECONOMATICA(C15:C19,"close",,$C$3,,,,,"false","false"),"")</f>
        <v>1.5</v>
      </c>
      <c r="C15" s="49" t="str">
        <f>VLOOKUP(SMALL(O:O,1),$O$4:$Q$132,2,FALSE)</f>
        <v>GRAMONC1</v>
      </c>
      <c r="D15" s="48">
        <f>VLOOKUP(SMALL(O:O,1),$O$4:$Q$132,3,FALSE)</f>
        <v>0.23966942148777901</v>
      </c>
      <c r="E15" s="50">
        <f>VLOOKUP(LARGE(O:O,1),$O$4:$Q$132,3,FALSE)</f>
        <v>-6.7532467532146298E-2</v>
      </c>
      <c r="F15" s="49" t="str">
        <f>VLOOKUP(LARGE($O$4:$O$132,1),$O$4:$Q$132,2,FALSE)</f>
        <v>BVN</v>
      </c>
      <c r="G15" s="47">
        <f>IFERROR(_xll.ECONOMATICA(F15:F19,"close",,$C$3,,,,,"false","false"),"")</f>
        <v>7.1800000000002902</v>
      </c>
      <c r="I15"/>
      <c r="J15"/>
      <c r="K15"/>
      <c r="L15"/>
      <c r="N15" s="32" t="s">
        <v>49</v>
      </c>
      <c r="O15" s="33">
        <f>IFERROR(RANK(Q15,$Q$5:$Q$132)+COUNTIF($Q$5:Q15,Q15)-1,"")</f>
        <v>14</v>
      </c>
      <c r="P15" s="13" t="s">
        <v>89</v>
      </c>
      <c r="Q15" s="29">
        <v>0</v>
      </c>
    </row>
    <row r="16" spans="1:19" x14ac:dyDescent="0.35">
      <c r="B16" s="47">
        <v>6.2000000000011803E-2</v>
      </c>
      <c r="C16" s="49" t="str">
        <f>VLOOKUP(SMALL(O:O,2),$O$4:$Q$132,2,FALSE)</f>
        <v>RELAPAC1</v>
      </c>
      <c r="D16" s="48">
        <f>VLOOKUP(SMALL(O:O,2),$O$4:$Q$132,3,FALSE)</f>
        <v>8.7719298246229302E-2</v>
      </c>
      <c r="E16" s="50">
        <f>VLOOKUP(LARGE(O:O,2),$O$4:$Q$132,3,FALSE)</f>
        <v>-3.5639412998534702E-2</v>
      </c>
      <c r="F16" s="49" t="str">
        <f>VLOOKUP(LARGE($O$4:$O$132,2),$O$4:$Q$132,2,FALSE)</f>
        <v>BACKUSI1</v>
      </c>
      <c r="G16" s="13">
        <v>23</v>
      </c>
      <c r="I16"/>
      <c r="J16"/>
      <c r="K16"/>
      <c r="L16"/>
      <c r="N16" s="32" t="s">
        <v>50</v>
      </c>
      <c r="O16" s="33">
        <f>IFERROR(RANK(Q16,$Q$5:$Q$132)+COUNTIF($Q$5:Q16,Q16)-1,"")</f>
        <v>9</v>
      </c>
      <c r="P16" s="13" t="s">
        <v>90</v>
      </c>
      <c r="Q16" s="29">
        <v>2.0363636363981599E-2</v>
      </c>
    </row>
    <row r="17" spans="2:17" x14ac:dyDescent="0.35">
      <c r="B17" s="47">
        <v>27.200000000011599</v>
      </c>
      <c r="C17" s="49" t="str">
        <f>VLOOKUP(SMALL(O:O,3),$O$4:$Q$132,2,FALSE)</f>
        <v>IFS</v>
      </c>
      <c r="D17" s="48">
        <f>VLOOKUP(SMALL(O:O,3),$O$4:$Q$132,3,FALSE)</f>
        <v>5.0193050194138798E-2</v>
      </c>
      <c r="E17" s="50">
        <f>VLOOKUP(LARGE(O:O,3),$O$4:$Q$132,3,FALSE)</f>
        <v>-1.9933554816816499E-2</v>
      </c>
      <c r="F17" s="49" t="str">
        <f>VLOOKUP(LARGE($O$4:$O$132,3),$O$4:$Q$132,2,FALSE)</f>
        <v>PODERC1</v>
      </c>
      <c r="G17" s="13">
        <v>8.8500000000058208</v>
      </c>
      <c r="I17"/>
      <c r="J17"/>
      <c r="K17"/>
      <c r="L17"/>
      <c r="N17" s="32" t="s">
        <v>69</v>
      </c>
      <c r="O17" s="33">
        <f>IFERROR(RANK(Q17,$Q$5:$Q$132)+COUNTIF($Q$5:Q17,Q17)-1,"")</f>
        <v>15</v>
      </c>
      <c r="P17" s="13" t="s">
        <v>91</v>
      </c>
      <c r="Q17" s="29">
        <v>0</v>
      </c>
    </row>
    <row r="18" spans="2:17" x14ac:dyDescent="0.35">
      <c r="B18" s="47">
        <v>0.68000000000029104</v>
      </c>
      <c r="C18" s="49" t="str">
        <f>VLOOKUP(SMALL(O:O,4),$O$4:$Q$132,2,FALSE)</f>
        <v>SIDERC1</v>
      </c>
      <c r="D18" s="48">
        <f>VLOOKUP(SMALL(O:O,4),$O$4:$Q$132,3,FALSE)</f>
        <v>4.6153846154993503E-2</v>
      </c>
      <c r="E18" s="50">
        <f>VLOOKUP(LARGE(O:O,4),$O$4:$Q$132,3,FALSE)</f>
        <v>-1.8867924528421998E-2</v>
      </c>
      <c r="F18" s="49" t="str">
        <f>VLOOKUP(LARGE($O$4:$O$132,4),$O$4:$Q$132,2,FALSE)</f>
        <v>LUSURC1</v>
      </c>
      <c r="G18" s="13">
        <v>26</v>
      </c>
      <c r="I18"/>
      <c r="J18"/>
      <c r="K18"/>
      <c r="L18"/>
      <c r="N18" s="32" t="s">
        <v>68</v>
      </c>
      <c r="O18" s="33">
        <f>IFERROR(RANK(Q18,$Q$5:$Q$132)+COUNTIF($Q$5:Q18,Q18)-1,"")</f>
        <v>15</v>
      </c>
      <c r="P18" s="13" t="s">
        <v>92</v>
      </c>
    </row>
    <row r="19" spans="2:17" x14ac:dyDescent="0.35">
      <c r="B19" s="47">
        <v>1.35000000000036</v>
      </c>
      <c r="C19" s="49" t="str">
        <f>VLOOKUP(SMALL(O:O,5),$O$4:$Q$132,2,FALSE)</f>
        <v>UNACEMC1</v>
      </c>
      <c r="D19" s="48">
        <f>VLOOKUP(SMALL(O:O,5),$O$4:$Q$132,3,FALSE)</f>
        <v>3.8461538462797797E-2</v>
      </c>
      <c r="E19" s="50">
        <f>VLOOKUP(LARGE(O:O,5),$O$4:$Q$132,3,FALSE)</f>
        <v>-1.62601626016112E-2</v>
      </c>
      <c r="F19" s="49" t="str">
        <f>VLOOKUP(LARGE($O$4:$O$132,5),$O$4:$Q$132,2,FALSE)</f>
        <v>FERREYC1</v>
      </c>
      <c r="G19" s="13">
        <v>1.20999999999913</v>
      </c>
      <c r="I19"/>
      <c r="J19"/>
      <c r="K19"/>
      <c r="L19"/>
      <c r="N19" s="32" t="s">
        <v>46</v>
      </c>
      <c r="O19" s="33">
        <f>IFERROR(RANK(Q19,$Q$5:$Q$132)+COUNTIF($Q$5:Q19,Q19)-1,"")</f>
        <v>19</v>
      </c>
      <c r="P19" s="13" t="s">
        <v>93</v>
      </c>
      <c r="Q19" s="29">
        <v>-1.62601626016112E-2</v>
      </c>
    </row>
    <row r="20" spans="2:17" x14ac:dyDescent="0.35">
      <c r="I20"/>
      <c r="J20"/>
      <c r="K20"/>
      <c r="L20"/>
      <c r="N20" s="32" t="s">
        <v>63</v>
      </c>
      <c r="O20" s="33">
        <f>IFERROR(RANK(Q20,$Q$5:$Q$132)+COUNTIF($Q$5:Q20,Q20)-1,"")</f>
        <v>1</v>
      </c>
      <c r="P20" s="13" t="s">
        <v>94</v>
      </c>
      <c r="Q20" s="29">
        <v>0.23966942148777901</v>
      </c>
    </row>
    <row r="21" spans="2:17" x14ac:dyDescent="0.35">
      <c r="B21" s="66" t="s">
        <v>122</v>
      </c>
      <c r="C21" s="66"/>
      <c r="D21" s="66"/>
      <c r="N21" s="32" t="s">
        <v>72</v>
      </c>
      <c r="O21" s="33">
        <f>IFERROR(RANK(Q21,$Q$5:$Q$132)+COUNTIF($Q$5:Q21,Q21)-1,"")</f>
        <v>15</v>
      </c>
      <c r="P21" s="13" t="s">
        <v>95</v>
      </c>
    </row>
    <row r="22" spans="2:17" x14ac:dyDescent="0.35">
      <c r="B22" s="59" t="s">
        <v>31</v>
      </c>
      <c r="C22" s="59" t="s">
        <v>123</v>
      </c>
      <c r="D22" s="59" t="s">
        <v>27</v>
      </c>
      <c r="N22" s="32" t="s">
        <v>51</v>
      </c>
      <c r="O22" s="33">
        <f>IFERROR(RANK(Q22,$Q$5:$Q$132)+COUNTIF($Q$5:Q22,Q22)-1,"")</f>
        <v>11</v>
      </c>
      <c r="P22" s="13" t="s">
        <v>96</v>
      </c>
      <c r="Q22" s="29">
        <v>6.82593856618041E-3</v>
      </c>
    </row>
    <row r="23" spans="2:17" x14ac:dyDescent="0.35">
      <c r="B23" s="60" t="s">
        <v>126</v>
      </c>
      <c r="C23" s="29">
        <f>IFERROR(_xll.ECONOMATICA("IPM&lt;PerNa&gt;","Return","1Y","D-0",,,"ORIGINAL CURRENCY","DECIMAL","FALSE","FALSE",,{"tc.dft=false";"tc.tp=1";"tc.pers=0";"tc.per=4"})," ")</f>
        <v>1.58189256035257E-3</v>
      </c>
      <c r="D23" s="29">
        <f>IFERROR(_xll.ECONOMATICA("IPM&lt;PerNa&gt;","Return","YTD","D-0",,,"ORIGINAL CURRENCY","DECIMAL","false","FALSE",,{"tc.dft=false";"tc.tp=1";"tc.pers=0";"tc.per=4"})," ")</f>
        <v>-4.8951009730444604E-3</v>
      </c>
      <c r="E23"/>
      <c r="N23" s="32" t="s">
        <v>76</v>
      </c>
      <c r="O23" s="33">
        <f>IFERROR(RANK(Q23,$Q$5:$Q$132)+COUNTIF($Q$5:Q23,Q23)-1,"")</f>
        <v>16</v>
      </c>
      <c r="P23" s="13" t="s">
        <v>97</v>
      </c>
      <c r="Q23" s="29">
        <v>0</v>
      </c>
    </row>
    <row r="24" spans="2:17" x14ac:dyDescent="0.35">
      <c r="B24" s="60" t="s">
        <v>127</v>
      </c>
      <c r="C24" s="29">
        <f>IFERROR(_xll.ECONOMATICA("INFLACION IPC&lt;PerNa&gt;","RETURN","YTD",$C$3,,,,"DECIMAL","FALSE","FALSE",,{"tc.dft=false";"tc.tp=0";"tc.pers=30";"tc.per=0"}),"")</f>
        <v>7.8109736332407902E-3</v>
      </c>
      <c r="D24" s="29">
        <f>IFERROR(_xll.ECONOMATICA("INFLACION IPC&lt;PerNa&gt;","RETURN","12M",$C$3,,,,"DECIMAL","FALSE","FALSE",,{"tc.dft=false";"tc.tp=0";"tc.pers=30";"tc.per=0"}),"")</f>
        <v>1.7829176962550299E-2</v>
      </c>
      <c r="E24"/>
      <c r="N24" s="32" t="s">
        <v>60</v>
      </c>
      <c r="O24" s="33">
        <f>IFERROR(RANK(Q24,$Q$5:$Q$132)+COUNTIF($Q$5:Q24,Q24)-1,"")</f>
        <v>3</v>
      </c>
      <c r="P24" s="13" t="s">
        <v>98</v>
      </c>
      <c r="Q24" s="29">
        <v>5.0193050194138798E-2</v>
      </c>
    </row>
    <row r="25" spans="2:17" x14ac:dyDescent="0.35">
      <c r="B25" s="60" t="s">
        <v>130</v>
      </c>
      <c r="C25" s="29">
        <f>IFERROR(_xll.ECONOMATICA("TAMEX&lt;PerNa&gt;","RETURN","YTD",$C$3,,,,"DECIMAL","FALSE","FALSE",,{"tc.dft=false";"tc.tp=0";"tc.pers=30";"tc.per=0"}),"")</f>
        <v>-0.12516469038208</v>
      </c>
      <c r="D25" s="29">
        <f>IFERROR(_xll.ECONOMATICA("TAMEX&lt;PerNa&gt;","RETURN","12M",$C$3,,,,"DECIMAL","FALSE","FALSE",,{"tc.dft=false";"tc.tp=0";"tc.pers=30";"tc.per=0"}),"")</f>
        <v>-0.155216284987546</v>
      </c>
      <c r="E25" s="30"/>
      <c r="N25" s="32" t="s">
        <v>54</v>
      </c>
      <c r="O25" s="33">
        <f>IFERROR(RANK(Q25,$Q$5:$Q$132)+COUNTIF($Q$5:Q25,Q25)-1,"")</f>
        <v>20</v>
      </c>
      <c r="P25" s="13" t="s">
        <v>99</v>
      </c>
      <c r="Q25" s="29">
        <v>-1.8867924528421998E-2</v>
      </c>
    </row>
    <row r="26" spans="2:17" ht="14.25" customHeight="1" x14ac:dyDescent="0.35">
      <c r="B26" s="60" t="s">
        <v>131</v>
      </c>
      <c r="C26" s="29">
        <f>IFERROR(_xll.ECONOMATICA("TAMN&lt;PerNa&gt;","RETURN","YTD",$C$3,,,,"DECIMAL","FALSE","FALSE",,{"tc.dft=false";"tc.tp=0";"tc.pers=30";"tc.per=0"}),"")</f>
        <v>-5.7142857142971501E-2</v>
      </c>
      <c r="D26" s="29">
        <f>IFERROR(_xll.ECONOMATICA("TAMN&lt;PerNa&gt;","RETURN","12M",$C$3,,,,"DECIMAL","FALSE","FALSE",,{"tc.dft=false";"tc.tp=0";"tc.pers=30";"tc.per=0"}),"")</f>
        <v>-7.3287671233629198E-2</v>
      </c>
      <c r="E26" s="30"/>
      <c r="I26" s="80"/>
      <c r="J26"/>
      <c r="K26"/>
      <c r="L26"/>
      <c r="N26" s="32" t="s">
        <v>65</v>
      </c>
      <c r="O26" s="33">
        <f>IFERROR(RANK(Q26,$Q$5:$Q$132)+COUNTIF($Q$5:Q26,Q26)-1,"")</f>
        <v>16</v>
      </c>
      <c r="P26" s="13" t="s">
        <v>100</v>
      </c>
    </row>
    <row r="27" spans="2:17" ht="14.25" customHeight="1" x14ac:dyDescent="0.35">
      <c r="N27" s="32" t="s">
        <v>67</v>
      </c>
      <c r="O27" s="33">
        <f>IFERROR(RANK(Q27,$Q$5:$Q$132)+COUNTIF($Q$5:Q27,Q27)-1,"")</f>
        <v>16</v>
      </c>
      <c r="P27" s="13" t="s">
        <v>101</v>
      </c>
    </row>
    <row r="28" spans="2:17" x14ac:dyDescent="0.35">
      <c r="N28" s="32" t="s">
        <v>70</v>
      </c>
      <c r="O28" s="33">
        <f>IFERROR(RANK(Q28,$Q$5:$Q$132)+COUNTIF($Q$5:Q28,Q28)-1,"")</f>
        <v>16</v>
      </c>
      <c r="P28" s="13" t="s">
        <v>102</v>
      </c>
    </row>
    <row r="29" spans="2:17" x14ac:dyDescent="0.35">
      <c r="N29" s="32" t="s">
        <v>55</v>
      </c>
      <c r="O29" s="33">
        <f>IFERROR(RANK(Q29,$Q$5:$Q$132)+COUNTIF($Q$5:Q29,Q29)-1,"")</f>
        <v>2</v>
      </c>
      <c r="P29" s="13" t="s">
        <v>103</v>
      </c>
      <c r="Q29" s="29">
        <v>8.7719298246229302E-2</v>
      </c>
    </row>
    <row r="30" spans="2:17" x14ac:dyDescent="0.35">
      <c r="N30" s="32" t="s">
        <v>73</v>
      </c>
      <c r="O30" s="33">
        <f>IFERROR(RANK(Q30,$Q$5:$Q$132)+COUNTIF($Q$5:Q30,Q30)-1,"")</f>
        <v>16</v>
      </c>
      <c r="P30" s="13" t="s">
        <v>104</v>
      </c>
    </row>
    <row r="31" spans="2:17" x14ac:dyDescent="0.35">
      <c r="N31" s="32" t="s">
        <v>57</v>
      </c>
      <c r="O31" s="33">
        <f>IFERROR(RANK(Q31,$Q$5:$Q$132)+COUNTIF($Q$5:Q31,Q31)-1,"")</f>
        <v>4</v>
      </c>
      <c r="P31" s="13" t="s">
        <v>105</v>
      </c>
      <c r="Q31" s="29">
        <v>4.6153846154993503E-2</v>
      </c>
    </row>
    <row r="32" spans="2:17" x14ac:dyDescent="0.35">
      <c r="C32" s="29"/>
      <c r="D32" s="29"/>
      <c r="N32" s="32" t="s">
        <v>62</v>
      </c>
      <c r="O32" s="33">
        <f>IFERROR(RANK(Q32,$Q$5:$Q$132)+COUNTIF($Q$5:Q32,Q32)-1,"")</f>
        <v>7</v>
      </c>
      <c r="P32" s="13" t="s">
        <v>106</v>
      </c>
      <c r="Q32" s="29">
        <v>3.20284697500028E-2</v>
      </c>
    </row>
    <row r="33" spans="9:17" x14ac:dyDescent="0.35">
      <c r="I33" s="30"/>
      <c r="N33" s="32" t="s">
        <v>61</v>
      </c>
      <c r="O33" s="33">
        <f>IFERROR(RANK(Q33,$Q$5:$Q$132)+COUNTIF($Q$5:Q33,Q33)-1,"")</f>
        <v>17</v>
      </c>
      <c r="P33" s="13" t="s">
        <v>107</v>
      </c>
      <c r="Q33" s="29">
        <v>0</v>
      </c>
    </row>
    <row r="34" spans="9:17" x14ac:dyDescent="0.35">
      <c r="N34" s="32" t="s">
        <v>66</v>
      </c>
      <c r="O34" s="33">
        <f>IFERROR(RANK(Q34,$Q$5:$Q$132)+COUNTIF($Q$5:Q34,Q34)-1,"")</f>
        <v>22</v>
      </c>
      <c r="P34" s="13" t="s">
        <v>108</v>
      </c>
      <c r="Q34" s="29">
        <v>-3.5639412998534702E-2</v>
      </c>
    </row>
    <row r="35" spans="9:17" x14ac:dyDescent="0.35">
      <c r="N35" s="32" t="s">
        <v>64</v>
      </c>
      <c r="O35" s="33">
        <f>IFERROR(RANK(Q35,$Q$5:$Q$132)+COUNTIF($Q$5:Q35,Q35)-1,"")</f>
        <v>5</v>
      </c>
      <c r="P35" s="13" t="s">
        <v>109</v>
      </c>
      <c r="Q35" s="29">
        <v>3.8461538462797797E-2</v>
      </c>
    </row>
    <row r="36" spans="9:17" x14ac:dyDescent="0.35">
      <c r="N36" s="32" t="s">
        <v>47</v>
      </c>
      <c r="O36" s="33">
        <f>IFERROR(RANK(Q36,$Q$5:$Q$132)+COUNTIF($Q$5:Q36,Q36)-1,"")</f>
        <v>6</v>
      </c>
      <c r="P36" s="13" t="s">
        <v>110</v>
      </c>
      <c r="Q36" s="29">
        <v>3.3210332103408298E-2</v>
      </c>
    </row>
    <row r="37" spans="9:17" x14ac:dyDescent="0.35">
      <c r="N37" s="32"/>
      <c r="O37" s="33">
        <f>IFERROR(RANK(Q37,$Q$5:$Q$132)+COUNTIF($Q$5:Q37,Q37)-1,"")</f>
        <v>17</v>
      </c>
    </row>
    <row r="38" spans="9:17" x14ac:dyDescent="0.35">
      <c r="N38" s="32"/>
      <c r="O38" s="33">
        <f>IFERROR(RANK(Q38,$Q$5:$Q$132)+COUNTIF($Q$5:Q38,Q38)-1,"")</f>
        <v>17</v>
      </c>
    </row>
    <row r="39" spans="9:17" x14ac:dyDescent="0.35">
      <c r="N39" s="32"/>
      <c r="O39" s="33">
        <f>IFERROR(RANK(Q39,$Q$5:$Q$132)+COUNTIF($Q$5:Q39,Q39)-1,"")</f>
        <v>17</v>
      </c>
    </row>
    <row r="40" spans="9:17" x14ac:dyDescent="0.35">
      <c r="N40" s="32"/>
      <c r="O40" s="33">
        <f>IFERROR(RANK(Q40,$Q$5:$Q$132)+COUNTIF($Q$5:Q40,Q40)-1,"")</f>
        <v>17</v>
      </c>
    </row>
    <row r="41" spans="9:17" x14ac:dyDescent="0.35">
      <c r="N41" s="32"/>
      <c r="O41" s="33">
        <f>IFERROR(RANK(Q41,$Q$5:$Q$132)+COUNTIF($Q$5:Q41,Q41)-1,"")</f>
        <v>17</v>
      </c>
    </row>
    <row r="42" spans="9:17" x14ac:dyDescent="0.35">
      <c r="N42" s="32"/>
      <c r="O42" s="33">
        <f>IFERROR(RANK(Q42,$Q$5:$Q$132)+COUNTIF($Q$5:Q42,Q42)-1,"")</f>
        <v>17</v>
      </c>
    </row>
    <row r="43" spans="9:17" x14ac:dyDescent="0.35">
      <c r="N43" s="32"/>
      <c r="O43" s="33">
        <f>IFERROR(RANK(Q43,$Q$5:$Q$132)+COUNTIF($Q$5:Q43,Q43)-1,"")</f>
        <v>17</v>
      </c>
    </row>
    <row r="44" spans="9:17" x14ac:dyDescent="0.35">
      <c r="N44" s="32"/>
      <c r="O44" s="33">
        <f>IFERROR(RANK(Q44,$Q$5:$Q$132)+COUNTIF($Q$5:Q44,Q44)-1,"")</f>
        <v>17</v>
      </c>
    </row>
    <row r="45" spans="9:17" x14ac:dyDescent="0.35">
      <c r="N45" s="32"/>
      <c r="O45" s="33">
        <f>IFERROR(RANK(Q45,$Q$5:$Q$132)+COUNTIF($Q$5:Q45,Q45)-1,"")</f>
        <v>17</v>
      </c>
    </row>
    <row r="46" spans="9:17" x14ac:dyDescent="0.35">
      <c r="N46" s="32"/>
      <c r="O46" s="33">
        <f>IFERROR(RANK(Q46,$Q$5:$Q$132)+COUNTIF($Q$5:Q46,Q46)-1,"")</f>
        <v>17</v>
      </c>
    </row>
    <row r="47" spans="9:17" x14ac:dyDescent="0.35">
      <c r="N47" s="32"/>
      <c r="O47" s="33">
        <f>IFERROR(RANK(Q47,$Q$5:$Q$132)+COUNTIF($Q$5:Q47,Q47)-1,"")</f>
        <v>17</v>
      </c>
    </row>
    <row r="48" spans="9:17" x14ac:dyDescent="0.35">
      <c r="N48" s="32"/>
      <c r="O48" s="33">
        <f>IFERROR(RANK(Q48,$Q$5:$Q$132)+COUNTIF($Q$5:Q48,Q48)-1,"")</f>
        <v>17</v>
      </c>
    </row>
    <row r="49" spans="14:15" x14ac:dyDescent="0.35">
      <c r="N49" s="32"/>
      <c r="O49" s="33">
        <f>IFERROR(RANK(Q49,$Q$5:$Q$132)+COUNTIF($Q$5:Q49,Q49)-1,"")</f>
        <v>17</v>
      </c>
    </row>
    <row r="50" spans="14:15" x14ac:dyDescent="0.35">
      <c r="N50" s="32"/>
      <c r="O50" s="33">
        <f>IFERROR(RANK(Q50,$Q$5:$Q$132)+COUNTIF($Q$5:Q50,Q50)-1,"")</f>
        <v>17</v>
      </c>
    </row>
    <row r="51" spans="14:15" x14ac:dyDescent="0.35">
      <c r="N51" s="32"/>
      <c r="O51" s="33">
        <f>IFERROR(RANK(Q51,$Q$5:$Q$132)+COUNTIF($Q$5:Q51,Q51)-1,"")</f>
        <v>17</v>
      </c>
    </row>
    <row r="52" spans="14:15" x14ac:dyDescent="0.35">
      <c r="N52" s="32"/>
      <c r="O52" s="33">
        <f>IFERROR(RANK(Q52,$Q$5:$Q$132)+COUNTIF($Q$5:Q52,Q52)-1,"")</f>
        <v>17</v>
      </c>
    </row>
    <row r="53" spans="14:15" x14ac:dyDescent="0.35">
      <c r="N53" s="32"/>
      <c r="O53" s="33">
        <f>IFERROR(RANK(Q53,$Q$5:$Q$132)+COUNTIF($Q$5:Q53,Q53)-1,"")</f>
        <v>17</v>
      </c>
    </row>
    <row r="54" spans="14:15" x14ac:dyDescent="0.35">
      <c r="N54" s="32"/>
      <c r="O54" s="33">
        <f>IFERROR(RANK(Q54,$Q$5:$Q$132)+COUNTIF($Q$5:Q54,Q54)-1,"")</f>
        <v>17</v>
      </c>
    </row>
    <row r="55" spans="14:15" x14ac:dyDescent="0.35">
      <c r="N55" s="32"/>
      <c r="O55" s="33">
        <f>IFERROR(RANK(Q55,$Q$5:$Q$132)+COUNTIF($Q$5:Q55,Q55)-1,"")</f>
        <v>17</v>
      </c>
    </row>
    <row r="56" spans="14:15" x14ac:dyDescent="0.35">
      <c r="N56" s="32"/>
      <c r="O56" s="33">
        <f>IFERROR(RANK(Q56,$Q$5:$Q$132)+COUNTIF($Q$5:Q56,Q56)-1,"")</f>
        <v>17</v>
      </c>
    </row>
    <row r="57" spans="14:15" x14ac:dyDescent="0.35">
      <c r="N57" s="32"/>
      <c r="O57" s="33">
        <f>IFERROR(RANK(Q57,$Q$5:$Q$132)+COUNTIF($Q$5:Q57,Q57)-1,"")</f>
        <v>17</v>
      </c>
    </row>
    <row r="58" spans="14:15" x14ac:dyDescent="0.35">
      <c r="N58" s="32"/>
      <c r="O58" s="33">
        <f>IFERROR(RANK(Q58,$Q$5:$Q$132)+COUNTIF($Q$5:Q58,Q58)-1,"")</f>
        <v>17</v>
      </c>
    </row>
    <row r="59" spans="14:15" x14ac:dyDescent="0.35">
      <c r="N59" s="32"/>
      <c r="O59" s="33">
        <f>IFERROR(RANK(Q59,$Q$5:$Q$132)+COUNTIF($Q$5:Q59,Q59)-1,"")</f>
        <v>17</v>
      </c>
    </row>
    <row r="60" spans="14:15" x14ac:dyDescent="0.35">
      <c r="N60" s="32"/>
      <c r="O60" s="33">
        <f>IFERROR(RANK(Q60,$Q$5:$Q$132)+COUNTIF($Q$5:Q60,Q60)-1,"")</f>
        <v>17</v>
      </c>
    </row>
    <row r="61" spans="14:15" x14ac:dyDescent="0.35">
      <c r="N61" s="32"/>
      <c r="O61" s="33">
        <f>IFERROR(RANK(Q61,$Q$5:$Q$132)+COUNTIF($Q$5:Q61,Q61)-1,"")</f>
        <v>17</v>
      </c>
    </row>
    <row r="62" spans="14:15" x14ac:dyDescent="0.35">
      <c r="N62" s="32"/>
      <c r="O62" s="33">
        <f>IFERROR(RANK(Q62,$Q$5:$Q$132)+COUNTIF($Q$5:Q62,Q62)-1,"")</f>
        <v>17</v>
      </c>
    </row>
    <row r="63" spans="14:15" x14ac:dyDescent="0.35">
      <c r="N63" s="32"/>
      <c r="O63" s="33">
        <f>IFERROR(RANK(Q63,$Q$5:$Q$132)+COUNTIF($Q$5:Q63,Q63)-1,"")</f>
        <v>17</v>
      </c>
    </row>
    <row r="64" spans="14:15" x14ac:dyDescent="0.35">
      <c r="N64" s="32"/>
      <c r="O64" s="33">
        <f>IFERROR(RANK(Q64,$Q$5:$Q$132)+COUNTIF($Q$5:Q64,Q64)-1,"")</f>
        <v>17</v>
      </c>
    </row>
    <row r="65" spans="14:15" x14ac:dyDescent="0.35">
      <c r="N65" s="32"/>
      <c r="O65" s="33">
        <f>IFERROR(RANK(Q65,$Q$5:$Q$132)+COUNTIF($Q$5:Q65,Q65)-1,"")</f>
        <v>17</v>
      </c>
    </row>
    <row r="66" spans="14:15" x14ac:dyDescent="0.35">
      <c r="N66" s="32"/>
      <c r="O66" s="33">
        <f>IFERROR(RANK(Q66,$Q$5:$Q$132)+COUNTIF($Q$5:Q66,Q66)-1,"")</f>
        <v>17</v>
      </c>
    </row>
    <row r="67" spans="14:15" x14ac:dyDescent="0.35">
      <c r="N67" s="32"/>
      <c r="O67" s="33">
        <f>IFERROR(RANK(Q67,$Q$5:$Q$132)+COUNTIF($Q$5:Q67,Q67)-1,"")</f>
        <v>17</v>
      </c>
    </row>
    <row r="68" spans="14:15" x14ac:dyDescent="0.35">
      <c r="N68" s="32"/>
      <c r="O68" s="33">
        <f>IFERROR(RANK(Q68,$Q$5:$Q$132)+COUNTIF($Q$5:Q68,Q68)-1,"")</f>
        <v>17</v>
      </c>
    </row>
    <row r="69" spans="14:15" x14ac:dyDescent="0.35">
      <c r="N69" s="32"/>
      <c r="O69" s="33">
        <f>IFERROR(RANK(Q69,$Q$5:$Q$132)+COUNTIF($Q$5:Q69,Q69)-1,"")</f>
        <v>17</v>
      </c>
    </row>
    <row r="70" spans="14:15" x14ac:dyDescent="0.35">
      <c r="O70" s="33">
        <f>IFERROR(RANK(Q70,$Q$5:$Q$132)+COUNTIF($Q$5:Q70,Q70)-1,"")</f>
        <v>17</v>
      </c>
    </row>
    <row r="71" spans="14:15" x14ac:dyDescent="0.35">
      <c r="O71" s="33">
        <f>IFERROR(RANK(Q71,$Q$5:$Q$132)+COUNTIF($Q$5:Q71,Q71)-1,"")</f>
        <v>17</v>
      </c>
    </row>
    <row r="72" spans="14:15" x14ac:dyDescent="0.35">
      <c r="O72" s="33">
        <f>IFERROR(RANK(Q72,$Q$5:$Q$132)+COUNTIF($Q$5:Q72,Q72)-1,"")</f>
        <v>17</v>
      </c>
    </row>
    <row r="73" spans="14:15" x14ac:dyDescent="0.35">
      <c r="O73" s="33">
        <f>IFERROR(RANK(Q73,$Q$5:$Q$132)+COUNTIF($Q$5:Q73,Q73)-1,"")</f>
        <v>17</v>
      </c>
    </row>
    <row r="74" spans="14:15" x14ac:dyDescent="0.35">
      <c r="O74" s="33">
        <f>IFERROR(RANK(Q74,$Q$5:$Q$132)+COUNTIF($Q$5:Q74,Q74)-1,"")</f>
        <v>17</v>
      </c>
    </row>
    <row r="75" spans="14:15" x14ac:dyDescent="0.35">
      <c r="O75" s="33">
        <f>IFERROR(RANK(Q75,$Q$5:$Q$132)+COUNTIF($Q$5:Q75,Q75)-1,"")</f>
        <v>17</v>
      </c>
    </row>
    <row r="76" spans="14:15" x14ac:dyDescent="0.35">
      <c r="O76" s="33">
        <f>IFERROR(RANK(Q76,$Q$5:$Q$132)+COUNTIF($Q$5:Q76,Q76)-1,"")</f>
        <v>17</v>
      </c>
    </row>
    <row r="77" spans="14:15" x14ac:dyDescent="0.35">
      <c r="O77" s="33">
        <f>IFERROR(RANK(Q77,$Q$5:$Q$132)+COUNTIF($Q$5:Q77,Q77)-1,"")</f>
        <v>17</v>
      </c>
    </row>
    <row r="78" spans="14:15" x14ac:dyDescent="0.35">
      <c r="O78" s="33">
        <f>IFERROR(RANK(Q78,$Q$5:$Q$132)+COUNTIF($Q$5:Q78,Q78)-1,"")</f>
        <v>17</v>
      </c>
    </row>
    <row r="79" spans="14:15" x14ac:dyDescent="0.35">
      <c r="O79" s="33">
        <f>IFERROR(RANK(Q79,$Q$5:$Q$132)+COUNTIF($Q$5:Q79,Q79)-1,"")</f>
        <v>17</v>
      </c>
    </row>
    <row r="80" spans="14:15" x14ac:dyDescent="0.35">
      <c r="O80" s="33">
        <f>IFERROR(RANK(Q80,$Q$5:$Q$132)+COUNTIF($Q$5:Q80,Q80)-1,"")</f>
        <v>17</v>
      </c>
    </row>
    <row r="81" spans="15:15" x14ac:dyDescent="0.35">
      <c r="O81" s="33">
        <f>IFERROR(RANK(Q81,$Q$5:$Q$132)+COUNTIF($Q$5:Q81,Q81)-1,"")</f>
        <v>17</v>
      </c>
    </row>
    <row r="82" spans="15:15" x14ac:dyDescent="0.35">
      <c r="O82" s="33">
        <f>IFERROR(RANK(Q82,$Q$5:$Q$132)+COUNTIF($Q$5:Q82,Q82)-1,"")</f>
        <v>17</v>
      </c>
    </row>
    <row r="83" spans="15:15" x14ac:dyDescent="0.35">
      <c r="O83" s="33">
        <f>IFERROR(RANK(Q83,$Q$5:$Q$132)+COUNTIF($Q$5:Q83,Q83)-1,"")</f>
        <v>17</v>
      </c>
    </row>
    <row r="84" spans="15:15" x14ac:dyDescent="0.35">
      <c r="O84" s="33">
        <f>IFERROR(RANK(Q84,$Q$5:$Q$132)+COUNTIF($Q$5:Q84,Q84)-1,"")</f>
        <v>17</v>
      </c>
    </row>
    <row r="85" spans="15:15" x14ac:dyDescent="0.35">
      <c r="O85" s="33">
        <f>IFERROR(RANK(Q85,$Q$5:$Q$132)+COUNTIF($Q$5:Q85,Q85)-1,"")</f>
        <v>17</v>
      </c>
    </row>
    <row r="86" spans="15:15" x14ac:dyDescent="0.35">
      <c r="O86" s="33">
        <f>IFERROR(RANK(Q86,$Q$5:$Q$132)+COUNTIF($Q$5:Q86,Q86)-1,"")</f>
        <v>17</v>
      </c>
    </row>
    <row r="87" spans="15:15" x14ac:dyDescent="0.35">
      <c r="O87" s="33">
        <f>IFERROR(RANK(Q87,$Q$5:$Q$132)+COUNTIF($Q$5:Q87,Q87)-1,"")</f>
        <v>17</v>
      </c>
    </row>
    <row r="88" spans="15:15" x14ac:dyDescent="0.35">
      <c r="O88" s="33">
        <f>IFERROR(RANK(Q88,$Q$5:$Q$132)+COUNTIF($Q$5:Q88,Q88)-1,"")</f>
        <v>17</v>
      </c>
    </row>
    <row r="89" spans="15:15" x14ac:dyDescent="0.35">
      <c r="O89" s="33">
        <f>IFERROR(RANK(Q89,$Q$5:$Q$132)+COUNTIF($Q$5:Q89,Q89)-1,"")</f>
        <v>17</v>
      </c>
    </row>
    <row r="90" spans="15:15" x14ac:dyDescent="0.35">
      <c r="O90" s="33">
        <f>IFERROR(RANK(Q90,$Q$5:$Q$132)+COUNTIF($Q$5:Q90,Q90)-1,"")</f>
        <v>17</v>
      </c>
    </row>
    <row r="91" spans="15:15" x14ac:dyDescent="0.35">
      <c r="O91" s="33">
        <f>IFERROR(RANK(Q91,$Q$5:$Q$132)+COUNTIF($Q$5:Q91,Q91)-1,"")</f>
        <v>17</v>
      </c>
    </row>
    <row r="92" spans="15:15" x14ac:dyDescent="0.35">
      <c r="O92" s="33">
        <f>IFERROR(RANK(Q92,$Q$5:$Q$132)+COUNTIF($Q$5:Q92,Q92)-1,"")</f>
        <v>17</v>
      </c>
    </row>
    <row r="93" spans="15:15" x14ac:dyDescent="0.35">
      <c r="O93" s="33">
        <f>IFERROR(RANK(Q93,$Q$5:$Q$132)+COUNTIF($Q$5:Q93,Q93)-1,"")</f>
        <v>17</v>
      </c>
    </row>
    <row r="94" spans="15:15" x14ac:dyDescent="0.35">
      <c r="O94" s="33">
        <f>IFERROR(RANK(Q94,$Q$5:$Q$132)+COUNTIF($Q$5:Q94,Q94)-1,"")</f>
        <v>17</v>
      </c>
    </row>
    <row r="95" spans="15:15" x14ac:dyDescent="0.35">
      <c r="O95" s="33">
        <f>IFERROR(RANK(Q95,$Q$5:$Q$132)+COUNTIF($Q$5:Q95,Q95)-1,"")</f>
        <v>17</v>
      </c>
    </row>
    <row r="96" spans="15:15" x14ac:dyDescent="0.35">
      <c r="O96" s="33">
        <f>IFERROR(RANK(Q96,$Q$5:$Q$132)+COUNTIF($Q$5:Q96,Q96)-1,"")</f>
        <v>17</v>
      </c>
    </row>
    <row r="97" spans="15:15" x14ac:dyDescent="0.35">
      <c r="O97" s="33">
        <f>IFERROR(RANK(Q97,$Q$5:$Q$132)+COUNTIF($Q$5:Q97,Q97)-1,"")</f>
        <v>17</v>
      </c>
    </row>
    <row r="98" spans="15:15" x14ac:dyDescent="0.35">
      <c r="O98" s="33">
        <f>IFERROR(RANK(Q98,$Q$5:$Q$132)+COUNTIF($Q$5:Q98,Q98)-1,"")</f>
        <v>17</v>
      </c>
    </row>
    <row r="99" spans="15:15" x14ac:dyDescent="0.35">
      <c r="O99" s="33">
        <f>IFERROR(RANK(Q99,$Q$5:$Q$132)+COUNTIF($Q$5:Q99,Q99)-1,"")</f>
        <v>17</v>
      </c>
    </row>
    <row r="100" spans="15:15" x14ac:dyDescent="0.35">
      <c r="O100" s="33">
        <f>IFERROR(RANK(Q100,$Q$5:$Q$132)+COUNTIF($Q$5:Q100,Q100)-1,"")</f>
        <v>17</v>
      </c>
    </row>
    <row r="101" spans="15:15" x14ac:dyDescent="0.35">
      <c r="O101" s="33">
        <f>IFERROR(RANK(Q101,$Q$5:$Q$132)+COUNTIF($Q$5:Q101,Q101)-1,"")</f>
        <v>17</v>
      </c>
    </row>
    <row r="102" spans="15:15" x14ac:dyDescent="0.35">
      <c r="O102" s="33">
        <f>IFERROR(RANK(Q102,$Q$5:$Q$132)+COUNTIF($Q$5:Q102,Q102)-1,"")</f>
        <v>17</v>
      </c>
    </row>
    <row r="103" spans="15:15" x14ac:dyDescent="0.35">
      <c r="O103" s="33">
        <f>IFERROR(RANK(Q103,$Q$5:$Q$132)+COUNTIF($Q$5:Q103,Q103)-1,"")</f>
        <v>17</v>
      </c>
    </row>
    <row r="104" spans="15:15" x14ac:dyDescent="0.35">
      <c r="O104" s="33">
        <f>IFERROR(RANK(Q104,$Q$5:$Q$132)+COUNTIF($Q$5:Q104,Q104)-1,"")</f>
        <v>17</v>
      </c>
    </row>
    <row r="105" spans="15:15" x14ac:dyDescent="0.35">
      <c r="O105" s="33">
        <f>IFERROR(RANK(Q105,$Q$5:$Q$132)+COUNTIF($Q$5:Q105,Q105)-1,"")</f>
        <v>17</v>
      </c>
    </row>
    <row r="106" spans="15:15" x14ac:dyDescent="0.35">
      <c r="O106" s="33">
        <f>IFERROR(RANK(Q106,$Q$5:$Q$132)+COUNTIF($Q$5:Q106,Q106)-1,"")</f>
        <v>17</v>
      </c>
    </row>
    <row r="107" spans="15:15" x14ac:dyDescent="0.35">
      <c r="O107" s="33">
        <f>IFERROR(RANK(Q107,$Q$5:$Q$132)+COUNTIF($Q$5:Q107,Q107)-1,"")</f>
        <v>17</v>
      </c>
    </row>
    <row r="108" spans="15:15" x14ac:dyDescent="0.35">
      <c r="O108" s="33">
        <f>IFERROR(RANK(Q108,$Q$5:$Q$132)+COUNTIF($Q$5:Q108,Q108)-1,"")</f>
        <v>17</v>
      </c>
    </row>
    <row r="109" spans="15:15" x14ac:dyDescent="0.35">
      <c r="O109" s="33">
        <f>IFERROR(RANK(Q109,$Q$5:$Q$132)+COUNTIF($Q$5:Q109,Q109)-1,"")</f>
        <v>17</v>
      </c>
    </row>
    <row r="110" spans="15:15" x14ac:dyDescent="0.35">
      <c r="O110" s="33">
        <f>IFERROR(RANK(Q110,$Q$5:$Q$132)+COUNTIF($Q$5:Q110,Q110)-1,"")</f>
        <v>17</v>
      </c>
    </row>
    <row r="111" spans="15:15" x14ac:dyDescent="0.35">
      <c r="O111" s="33">
        <f>IFERROR(RANK(Q111,$Q$5:$Q$132)+COUNTIF($Q$5:Q111,Q111)-1,"")</f>
        <v>17</v>
      </c>
    </row>
    <row r="112" spans="15:15" x14ac:dyDescent="0.35">
      <c r="O112" s="33">
        <f>IFERROR(RANK(Q112,$Q$5:$Q$132)+COUNTIF($Q$5:Q112,Q112)-1,"")</f>
        <v>17</v>
      </c>
    </row>
    <row r="113" spans="15:15" x14ac:dyDescent="0.35">
      <c r="O113" s="33">
        <f>IFERROR(RANK(Q113,$Q$5:$Q$132)+COUNTIF($Q$5:Q113,Q113)-1,"")</f>
        <v>17</v>
      </c>
    </row>
    <row r="114" spans="15:15" x14ac:dyDescent="0.35">
      <c r="O114" s="33">
        <f>IFERROR(RANK(Q114,$Q$5:$Q$132)+COUNTIF($Q$5:Q114,Q114)-1,"")</f>
        <v>17</v>
      </c>
    </row>
    <row r="115" spans="15:15" x14ac:dyDescent="0.35">
      <c r="O115" s="33">
        <f>IFERROR(RANK(Q115,$Q$5:$Q$132)+COUNTIF($Q$5:Q115,Q115)-1,"")</f>
        <v>17</v>
      </c>
    </row>
    <row r="116" spans="15:15" x14ac:dyDescent="0.35">
      <c r="O116" s="33">
        <f>IFERROR(RANK(Q116,$Q$5:$Q$132)+COUNTIF($Q$5:Q116,Q116)-1,"")</f>
        <v>17</v>
      </c>
    </row>
    <row r="117" spans="15:15" x14ac:dyDescent="0.35">
      <c r="O117" s="33">
        <f>IFERROR(RANK(Q117,$Q$5:$Q$132)+COUNTIF($Q$5:Q117,Q117)-1,"")</f>
        <v>17</v>
      </c>
    </row>
    <row r="118" spans="15:15" x14ac:dyDescent="0.35">
      <c r="O118" s="33">
        <f>IFERROR(RANK(Q118,$Q$5:$Q$132)+COUNTIF($Q$5:Q118,Q118)-1,"")</f>
        <v>17</v>
      </c>
    </row>
    <row r="119" spans="15:15" x14ac:dyDescent="0.35">
      <c r="O119" s="33">
        <f>IFERROR(RANK(Q119,$Q$5:$Q$132)+COUNTIF($Q$5:Q119,Q119)-1,"")</f>
        <v>17</v>
      </c>
    </row>
    <row r="120" spans="15:15" x14ac:dyDescent="0.35">
      <c r="O120" s="33">
        <f>IFERROR(RANK(Q120,$Q$5:$Q$132)+COUNTIF($Q$5:Q120,Q120)-1,"")</f>
        <v>17</v>
      </c>
    </row>
    <row r="121" spans="15:15" x14ac:dyDescent="0.35">
      <c r="O121" s="33">
        <f>IFERROR(RANK(Q121,$Q$5:$Q$132)+COUNTIF($Q$5:Q121,Q121)-1,"")</f>
        <v>17</v>
      </c>
    </row>
    <row r="122" spans="15:15" x14ac:dyDescent="0.35">
      <c r="O122" s="33">
        <f>IFERROR(RANK(Q122,$Q$5:$Q$132)+COUNTIF($Q$5:Q122,Q122)-1,"")</f>
        <v>17</v>
      </c>
    </row>
    <row r="123" spans="15:15" x14ac:dyDescent="0.35">
      <c r="O123" s="33">
        <f>IFERROR(RANK(Q123,$Q$5:$Q$132)+COUNTIF($Q$5:Q123,Q123)-1,"")</f>
        <v>17</v>
      </c>
    </row>
    <row r="124" spans="15:15" x14ac:dyDescent="0.35">
      <c r="O124" s="33">
        <f>IFERROR(RANK(Q124,$Q$5:$Q$132)+COUNTIF($Q$5:Q124,Q124)-1,"")</f>
        <v>17</v>
      </c>
    </row>
    <row r="125" spans="15:15" x14ac:dyDescent="0.35">
      <c r="O125" s="33">
        <f>IFERROR(RANK(Q125,$Q$5:$Q$132)+COUNTIF($Q$5:Q125,Q125)-1,"")</f>
        <v>17</v>
      </c>
    </row>
    <row r="126" spans="15:15" x14ac:dyDescent="0.35">
      <c r="O126" s="33">
        <f>IFERROR(RANK(Q126,$Q$5:$Q$132)+COUNTIF($Q$5:Q126,Q126)-1,"")</f>
        <v>17</v>
      </c>
    </row>
    <row r="127" spans="15:15" x14ac:dyDescent="0.35">
      <c r="O127" s="33">
        <f>IFERROR(RANK(Q127,$Q$5:$Q$132)+COUNTIF($Q$5:Q127,Q127)-1,"")</f>
        <v>17</v>
      </c>
    </row>
    <row r="128" spans="15:15" x14ac:dyDescent="0.35">
      <c r="O128" s="33">
        <f>IFERROR(RANK(Q128,$Q$5:$Q$132)+COUNTIF($Q$5:Q128,Q128)-1,"")</f>
        <v>17</v>
      </c>
    </row>
    <row r="129" spans="15:15" x14ac:dyDescent="0.35">
      <c r="O129" s="33">
        <f>IFERROR(RANK(Q129,$Q$5:$Q$132)+COUNTIF($Q$5:Q129,Q129)-1,"")</f>
        <v>17</v>
      </c>
    </row>
    <row r="130" spans="15:15" x14ac:dyDescent="0.35">
      <c r="O130" s="33">
        <f>IFERROR(RANK(Q130,$Q$5:$Q$132)+COUNTIF($Q$5:Q130,Q130)-1,"")</f>
        <v>17</v>
      </c>
    </row>
    <row r="131" spans="15:15" x14ac:dyDescent="0.35">
      <c r="O131" s="33">
        <f>IFERROR(RANK(Q131,$Q$5:$Q$132)+COUNTIF($Q$5:Q131,Q131)-1,"")</f>
        <v>17</v>
      </c>
    </row>
    <row r="132" spans="15:15" x14ac:dyDescent="0.35">
      <c r="O132" s="33">
        <f>IFERROR(RANK(Q132,$Q$5:$Q$132)+COUNTIF($Q$5:Q132,Q132)-1,"")</f>
        <v>17</v>
      </c>
    </row>
    <row r="133" spans="15:15" x14ac:dyDescent="0.35">
      <c r="O133" s="33"/>
    </row>
  </sheetData>
  <conditionalFormatting sqref="D15:D19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{DC1D17B8-360B-4445-AC3B-D3BDD033E891}</x14:id>
        </ext>
      </extLst>
    </cfRule>
  </conditionalFormatting>
  <conditionalFormatting sqref="E15:E19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{F35FBDE4-E250-452D-AF7C-79BB37345337}</x14:id>
        </ext>
      </extLst>
    </cfRule>
  </conditionalFormatting>
  <conditionalFormatting sqref="L7:L10">
    <cfRule type="cellIs" dxfId="2" priority="5" operator="greaterThan">
      <formula>0</formula>
    </cfRule>
  </conditionalFormatting>
  <conditionalFormatting sqref="K7:K10">
    <cfRule type="cellIs" dxfId="1" priority="3" operator="equal">
      <formula>"q"</formula>
    </cfRule>
    <cfRule type="cellIs" dxfId="0" priority="4" operator="equal">
      <formula>"p"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1D17B8-360B-4445-AC3B-D3BDD033E8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D15:D19</xm:sqref>
        </x14:conditionalFormatting>
        <x14:conditionalFormatting xmlns:xm="http://schemas.microsoft.com/office/excel/2006/main">
          <x14:cfRule type="dataBar" id="{F35FBDE4-E250-452D-AF7C-79BB3734533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E15:E19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Panel de Mercado</vt:lpstr>
      <vt:lpstr>Base Índices</vt:lpstr>
      <vt:lpstr>Base Geral</vt:lpstr>
      <vt:lpstr>'Panel de Mercado'!Área_de_impresión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Eduardo</cp:lastModifiedBy>
  <cp:lastPrinted>2019-03-18T13:46:32Z</cp:lastPrinted>
  <dcterms:created xsi:type="dcterms:W3CDTF">2018-07-16T19:23:00Z</dcterms:created>
  <dcterms:modified xsi:type="dcterms:W3CDTF">2020-04-15T22:52:38Z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1271457828</vt:lpwstr>
  </property>
  <property fmtid="{D5CDD505-2E9C-101B-9397-08002B2CF9AE}" pid="3" name="EcoUpdateMessage">
    <vt:lpwstr>2020/04/15-22:43:48</vt:lpwstr>
  </property>
  <property fmtid="{D5CDD505-2E9C-101B-9397-08002B2CF9AE}" pid="4" name="EcoUpdateStatus">
    <vt:lpwstr>2020-04-15=BRA:St,ME,Fd,TP;USA:St,ME;ARG:St,ME,TP;MEX:St,ME,Fd;CHL:St,ME;COL:St,ME;PER:St,ME|2000-07-28=USA:TP|2020-04-14=ARG:Fd;MEX:TP;CHL:Fd;COL:Fd;PER:Fd,TP|2020-04-02=CHL:TP|2014-02-26=VEN:St|2002-11-08=JPN:St|2020-04-09=GBR:St,ME|2016-08-18=NNN:St|20</vt:lpwstr>
  </property>
</Properties>
</file>